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30" windowWidth="27555" windowHeight="12045" activeTab="2"/>
  </bookViews>
  <sheets>
    <sheet name="Avoided Cost inputs" sheetId="1" r:id="rId1"/>
    <sheet name="Avoided Costs 2014-2023" sheetId="2" r:id="rId2"/>
    <sheet name="2014 Actuals" sheetId="4" r:id="rId3"/>
  </sheets>
  <externalReferences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p">#REF!</definedName>
    <definedName name="_cpi8">#REF!</definedName>
    <definedName name="_cpi9">#REF!</definedName>
    <definedName name="_xlnm._FilterDatabase" localSheetId="2" hidden="1">'2014 Actuals'!$A$4:$AH$978</definedName>
    <definedName name="Actual_Units">#REF!</definedName>
    <definedName name="combo_space_water_heat" localSheetId="1">'Avoided Costs 2014-2023'!$B$77:$M$106</definedName>
    <definedName name="combo_space_water_heat">#REF!</definedName>
    <definedName name="fac">[1]Prescriptive!$B$21</definedName>
    <definedName name="fifty">#REF!</definedName>
    <definedName name="grosstarget">#REF!</definedName>
    <definedName name="hampton_1">'[2]Full Summary'!$C$15:$M$23</definedName>
    <definedName name="hampton_2">'[2]Full Summary'!$C$30:$M$38</definedName>
    <definedName name="hampton_3">'[2]Full Summary'!$C$45:$M$53</definedName>
    <definedName name="hampton_4">'[2]Full Summary'!$C$60:$M$68</definedName>
    <definedName name="hampton_j_1">'Avoided Cost inputs'!#REF!</definedName>
    <definedName name="hampton_j_2">'Avoided Cost inputs'!#REF!</definedName>
    <definedName name="hampton_j_3">'Avoided Cost inputs'!#REF!</definedName>
    <definedName name="hampton_j_4">'Avoided Cost inputs'!#REF!</definedName>
    <definedName name="hampton_t_1">'Avoided Cost inputs'!$K$12:$L$20</definedName>
    <definedName name="hampton_t_2">'Avoided Cost inputs'!$K$26:$L$34</definedName>
    <definedName name="hampton_t_3">'Avoided Cost inputs'!$K$40:$L$48</definedName>
    <definedName name="hampton_t_4">'Avoided Cost inputs'!$K$54:$L$62</definedName>
    <definedName name="Housing_Starts">#REF!</definedName>
    <definedName name="industrial" localSheetId="1">'Avoided Costs 2014-2023'!$B$113:$M$142</definedName>
    <definedName name="industrial">#REF!</definedName>
    <definedName name="input">#REF!</definedName>
    <definedName name="Low_Income_Section">#REF!</definedName>
    <definedName name="MACROS">#REF!</definedName>
    <definedName name="mil">#REF!</definedName>
    <definedName name="OM_Variable">#REF!</definedName>
    <definedName name="OM_Variance">#REF!</definedName>
    <definedName name="PAGE1">#REF!</definedName>
    <definedName name="PAGE2">#REF!</definedName>
    <definedName name="PAGE3">#REF!</definedName>
    <definedName name="_xlnm.Print_Area" localSheetId="2">'2014 Actuals'!$A$1:$AF$976</definedName>
    <definedName name="_xlnm.Print_Area" localSheetId="0">'Avoided Cost inputs'!$A$1:$L$72</definedName>
    <definedName name="Print_Area_MI">#REF!</definedName>
    <definedName name="_xlnm.Print_Titles" localSheetId="2">'2014 Actuals'!$B:$B,'2014 Actuals'!$2:$4</definedName>
    <definedName name="res_comm_space_heat" localSheetId="1">'Avoided Costs 2014-2023'!$B$41:$M$70</definedName>
    <definedName name="res_comm_space_heat">#REF!</definedName>
    <definedName name="res_comm_water_heat" localSheetId="1">'Avoided Costs 2014-2023'!$B$5:$P$34</definedName>
    <definedName name="res_comm_water_heat">#REF!</definedName>
    <definedName name="seventyfive">#REF!</definedName>
    <definedName name="SSM">#REF!</definedName>
    <definedName name="SSM_Builders">#REF!</definedName>
    <definedName name="SSM_Units_Installed">#REF!</definedName>
    <definedName name="ssmtarget">#REF!</definedName>
    <definedName name="target">#REF!</definedName>
    <definedName name="Target100">#REF!</definedName>
    <definedName name="Target150">#REF!</definedName>
    <definedName name="Target50">#REF!</definedName>
    <definedName name="Total_YTD_SSM">#REF!</definedName>
    <definedName name="wrn.all." hidden="1">{"class_gascosts",#N/A,FALSE,"GASCOST1";"class_stortransp",#N/A,FALSE,"GASCOST1";"class_transp",#N/A,FALSE,"GASCOST1"}</definedName>
    <definedName name="wrn.class_gascosts." hidden="1">{"class_gascosts",#N/A,FALSE,"GASCOST1"}</definedName>
    <definedName name="wrn.class_stortransp." hidden="1">{"class_stortransp",#N/A,FALSE,"GASCOST1"}</definedName>
    <definedName name="wrn.class_transp." hidden="1">{"class_transp",#N/A,FALSE,"GASCOST1"}</definedName>
    <definedName name="YTDTRC">#REF!</definedName>
    <definedName name="Z_D3618886_EC92_4244_941D_CAF99D049731_.wvu.FilterData" localSheetId="2" hidden="1">'2014 Actuals'!$A$1:$AH$972</definedName>
    <definedName name="Z_D3618886_EC92_4244_941D_CAF99D049731_.wvu.PrintArea" localSheetId="2" hidden="1">'2014 Actuals'!$A$1:$AF$976</definedName>
    <definedName name="Z_D3618886_EC92_4244_941D_CAF99D049731_.wvu.PrintTitles" localSheetId="2" hidden="1">'2014 Actuals'!$B:$B,'2014 Actuals'!$2:$4</definedName>
  </definedNames>
  <calcPr calcId="145621"/>
</workbook>
</file>

<file path=xl/calcChain.xml><?xml version="1.0" encoding="utf-8"?>
<calcChain xmlns="http://schemas.openxmlformats.org/spreadsheetml/2006/main">
  <c r="AB975" i="4" l="1"/>
  <c r="AD974" i="4"/>
  <c r="AC973" i="4"/>
  <c r="AC975" i="4" s="1"/>
  <c r="AC971" i="4"/>
  <c r="AB971" i="4"/>
  <c r="AD970" i="4"/>
  <c r="AC968" i="4"/>
  <c r="AB968" i="4"/>
  <c r="AD967" i="4"/>
  <c r="AD966" i="4"/>
  <c r="AD965" i="4"/>
  <c r="AD964" i="4"/>
  <c r="AE960" i="4"/>
  <c r="AF960" i="4" s="1"/>
  <c r="AD960" i="4"/>
  <c r="AD958" i="4"/>
  <c r="Q958" i="4"/>
  <c r="M958" i="4"/>
  <c r="I958" i="4"/>
  <c r="E958" i="4"/>
  <c r="AA957" i="4"/>
  <c r="AE957" i="4" s="1"/>
  <c r="S957" i="4"/>
  <c r="R957" i="4"/>
  <c r="O957" i="4"/>
  <c r="N957" i="4"/>
  <c r="J957" i="4"/>
  <c r="AH957" i="4" s="1"/>
  <c r="F957" i="4"/>
  <c r="K957" i="4" s="1"/>
  <c r="AA956" i="4"/>
  <c r="AE956" i="4" s="1"/>
  <c r="R956" i="4"/>
  <c r="S956" i="4" s="1"/>
  <c r="N956" i="4"/>
  <c r="O956" i="4" s="1"/>
  <c r="J956" i="4"/>
  <c r="D956" i="4"/>
  <c r="AA955" i="4"/>
  <c r="AE955" i="4" s="1"/>
  <c r="R955" i="4"/>
  <c r="S955" i="4" s="1"/>
  <c r="N955" i="4"/>
  <c r="O955" i="4" s="1"/>
  <c r="J955" i="4"/>
  <c r="D955" i="4"/>
  <c r="AA954" i="4"/>
  <c r="AE954" i="4" s="1"/>
  <c r="R954" i="4"/>
  <c r="S954" i="4" s="1"/>
  <c r="N954" i="4"/>
  <c r="O954" i="4" s="1"/>
  <c r="J954" i="4"/>
  <c r="AA953" i="4"/>
  <c r="AE953" i="4" s="1"/>
  <c r="R953" i="4"/>
  <c r="S953" i="4" s="1"/>
  <c r="N953" i="4"/>
  <c r="O953" i="4" s="1"/>
  <c r="J953" i="4"/>
  <c r="AA952" i="4"/>
  <c r="AE952" i="4" s="1"/>
  <c r="R952" i="4"/>
  <c r="S952" i="4" s="1"/>
  <c r="N952" i="4"/>
  <c r="O952" i="4" s="1"/>
  <c r="J952" i="4"/>
  <c r="AA951" i="4"/>
  <c r="AE951" i="4" s="1"/>
  <c r="R951" i="4"/>
  <c r="S951" i="4" s="1"/>
  <c r="N951" i="4"/>
  <c r="O951" i="4" s="1"/>
  <c r="J951" i="4"/>
  <c r="AA950" i="4"/>
  <c r="AE950" i="4" s="1"/>
  <c r="R950" i="4"/>
  <c r="S950" i="4" s="1"/>
  <c r="N950" i="4"/>
  <c r="O950" i="4" s="1"/>
  <c r="J950" i="4"/>
  <c r="AA949" i="4"/>
  <c r="AE949" i="4" s="1"/>
  <c r="R949" i="4"/>
  <c r="S949" i="4" s="1"/>
  <c r="N949" i="4"/>
  <c r="O949" i="4" s="1"/>
  <c r="J949" i="4"/>
  <c r="AA948" i="4"/>
  <c r="AE948" i="4" s="1"/>
  <c r="R948" i="4"/>
  <c r="S948" i="4" s="1"/>
  <c r="N948" i="4"/>
  <c r="O948" i="4" s="1"/>
  <c r="J948" i="4"/>
  <c r="AA947" i="4"/>
  <c r="AE947" i="4" s="1"/>
  <c r="R947" i="4"/>
  <c r="S947" i="4" s="1"/>
  <c r="N947" i="4"/>
  <c r="O947" i="4" s="1"/>
  <c r="J947" i="4"/>
  <c r="AA946" i="4"/>
  <c r="AE946" i="4" s="1"/>
  <c r="R946" i="4"/>
  <c r="S946" i="4" s="1"/>
  <c r="N946" i="4"/>
  <c r="O946" i="4" s="1"/>
  <c r="J946" i="4"/>
  <c r="AA945" i="4"/>
  <c r="AE945" i="4" s="1"/>
  <c r="R945" i="4"/>
  <c r="S945" i="4" s="1"/>
  <c r="N945" i="4"/>
  <c r="O945" i="4" s="1"/>
  <c r="J945" i="4"/>
  <c r="AA944" i="4"/>
  <c r="AE944" i="4" s="1"/>
  <c r="R944" i="4"/>
  <c r="S944" i="4" s="1"/>
  <c r="N944" i="4"/>
  <c r="O944" i="4" s="1"/>
  <c r="J944" i="4"/>
  <c r="AA943" i="4"/>
  <c r="AE943" i="4" s="1"/>
  <c r="R943" i="4"/>
  <c r="S943" i="4" s="1"/>
  <c r="N943" i="4"/>
  <c r="O943" i="4" s="1"/>
  <c r="J943" i="4"/>
  <c r="AA942" i="4"/>
  <c r="AE942" i="4" s="1"/>
  <c r="R942" i="4"/>
  <c r="S942" i="4" s="1"/>
  <c r="N942" i="4"/>
  <c r="O942" i="4" s="1"/>
  <c r="J942" i="4"/>
  <c r="AA941" i="4"/>
  <c r="AE941" i="4" s="1"/>
  <c r="R941" i="4"/>
  <c r="S941" i="4" s="1"/>
  <c r="N941" i="4"/>
  <c r="O941" i="4" s="1"/>
  <c r="J941" i="4"/>
  <c r="AA940" i="4"/>
  <c r="AE940" i="4" s="1"/>
  <c r="R940" i="4"/>
  <c r="S940" i="4" s="1"/>
  <c r="N940" i="4"/>
  <c r="O940" i="4" s="1"/>
  <c r="J940" i="4"/>
  <c r="AA939" i="4"/>
  <c r="AE939" i="4" s="1"/>
  <c r="R939" i="4"/>
  <c r="S939" i="4" s="1"/>
  <c r="N939" i="4"/>
  <c r="O939" i="4" s="1"/>
  <c r="J939" i="4"/>
  <c r="AA938" i="4"/>
  <c r="AE938" i="4" s="1"/>
  <c r="R938" i="4"/>
  <c r="S938" i="4" s="1"/>
  <c r="N938" i="4"/>
  <c r="O938" i="4" s="1"/>
  <c r="J938" i="4"/>
  <c r="AA937" i="4"/>
  <c r="AE937" i="4" s="1"/>
  <c r="R937" i="4"/>
  <c r="S937" i="4" s="1"/>
  <c r="N937" i="4"/>
  <c r="O937" i="4" s="1"/>
  <c r="J937" i="4"/>
  <c r="AA936" i="4"/>
  <c r="AE936" i="4" s="1"/>
  <c r="R936" i="4"/>
  <c r="S936" i="4" s="1"/>
  <c r="N936" i="4"/>
  <c r="O936" i="4" s="1"/>
  <c r="J936" i="4"/>
  <c r="AA935" i="4"/>
  <c r="AE935" i="4" s="1"/>
  <c r="R935" i="4"/>
  <c r="S935" i="4" s="1"/>
  <c r="N935" i="4"/>
  <c r="O935" i="4" s="1"/>
  <c r="J935" i="4"/>
  <c r="K935" i="4" s="1"/>
  <c r="AG935" i="4" s="1"/>
  <c r="AA934" i="4"/>
  <c r="AE934" i="4" s="1"/>
  <c r="R934" i="4"/>
  <c r="S934" i="4" s="1"/>
  <c r="N934" i="4"/>
  <c r="O934" i="4" s="1"/>
  <c r="J934" i="4"/>
  <c r="AA933" i="4"/>
  <c r="AE933" i="4" s="1"/>
  <c r="R933" i="4"/>
  <c r="S933" i="4" s="1"/>
  <c r="N933" i="4"/>
  <c r="O933" i="4" s="1"/>
  <c r="J933" i="4"/>
  <c r="AA932" i="4"/>
  <c r="AE932" i="4" s="1"/>
  <c r="R932" i="4"/>
  <c r="S932" i="4" s="1"/>
  <c r="N932" i="4"/>
  <c r="O932" i="4" s="1"/>
  <c r="J932" i="4"/>
  <c r="AA931" i="4"/>
  <c r="AE931" i="4" s="1"/>
  <c r="R931" i="4"/>
  <c r="S931" i="4" s="1"/>
  <c r="N931" i="4"/>
  <c r="O931" i="4" s="1"/>
  <c r="J931" i="4"/>
  <c r="AA930" i="4"/>
  <c r="AE930" i="4" s="1"/>
  <c r="R930" i="4"/>
  <c r="S930" i="4" s="1"/>
  <c r="N930" i="4"/>
  <c r="O930" i="4" s="1"/>
  <c r="J930" i="4"/>
  <c r="AA929" i="4"/>
  <c r="AE929" i="4" s="1"/>
  <c r="R929" i="4"/>
  <c r="S929" i="4" s="1"/>
  <c r="N929" i="4"/>
  <c r="O929" i="4" s="1"/>
  <c r="J929" i="4"/>
  <c r="AA928" i="4"/>
  <c r="AE928" i="4" s="1"/>
  <c r="R928" i="4"/>
  <c r="S928" i="4" s="1"/>
  <c r="N928" i="4"/>
  <c r="O928" i="4" s="1"/>
  <c r="J928" i="4"/>
  <c r="AA927" i="4"/>
  <c r="AE927" i="4" s="1"/>
  <c r="R927" i="4"/>
  <c r="S927" i="4" s="1"/>
  <c r="N927" i="4"/>
  <c r="O927" i="4" s="1"/>
  <c r="J927" i="4"/>
  <c r="AA926" i="4"/>
  <c r="AE926" i="4" s="1"/>
  <c r="R926" i="4"/>
  <c r="S926" i="4" s="1"/>
  <c r="N926" i="4"/>
  <c r="O926" i="4" s="1"/>
  <c r="J926" i="4"/>
  <c r="AA925" i="4"/>
  <c r="AE925" i="4" s="1"/>
  <c r="R925" i="4"/>
  <c r="S925" i="4" s="1"/>
  <c r="N925" i="4"/>
  <c r="O925" i="4" s="1"/>
  <c r="J925" i="4"/>
  <c r="AA924" i="4"/>
  <c r="AE924" i="4" s="1"/>
  <c r="R924" i="4"/>
  <c r="S924" i="4" s="1"/>
  <c r="N924" i="4"/>
  <c r="O924" i="4" s="1"/>
  <c r="J924" i="4"/>
  <c r="AA923" i="4"/>
  <c r="AE923" i="4" s="1"/>
  <c r="R923" i="4"/>
  <c r="S923" i="4" s="1"/>
  <c r="N923" i="4"/>
  <c r="O923" i="4" s="1"/>
  <c r="J923" i="4"/>
  <c r="AA922" i="4"/>
  <c r="AE922" i="4" s="1"/>
  <c r="R922" i="4"/>
  <c r="S922" i="4" s="1"/>
  <c r="N922" i="4"/>
  <c r="O922" i="4" s="1"/>
  <c r="J922" i="4"/>
  <c r="AA921" i="4"/>
  <c r="AE921" i="4" s="1"/>
  <c r="R921" i="4"/>
  <c r="S921" i="4" s="1"/>
  <c r="N921" i="4"/>
  <c r="O921" i="4" s="1"/>
  <c r="J921" i="4"/>
  <c r="AA920" i="4"/>
  <c r="AE920" i="4" s="1"/>
  <c r="R920" i="4"/>
  <c r="S920" i="4" s="1"/>
  <c r="N920" i="4"/>
  <c r="O920" i="4" s="1"/>
  <c r="J920" i="4"/>
  <c r="AA919" i="4"/>
  <c r="AE919" i="4" s="1"/>
  <c r="R919" i="4"/>
  <c r="S919" i="4" s="1"/>
  <c r="N919" i="4"/>
  <c r="O919" i="4" s="1"/>
  <c r="J919" i="4"/>
  <c r="AA918" i="4"/>
  <c r="AE918" i="4" s="1"/>
  <c r="R918" i="4"/>
  <c r="S918" i="4" s="1"/>
  <c r="N918" i="4"/>
  <c r="O918" i="4" s="1"/>
  <c r="J918" i="4"/>
  <c r="AA917" i="4"/>
  <c r="AE917" i="4" s="1"/>
  <c r="R917" i="4"/>
  <c r="S917" i="4" s="1"/>
  <c r="N917" i="4"/>
  <c r="O917" i="4" s="1"/>
  <c r="J917" i="4"/>
  <c r="AA916" i="4"/>
  <c r="AE916" i="4" s="1"/>
  <c r="R916" i="4"/>
  <c r="S916" i="4" s="1"/>
  <c r="N916" i="4"/>
  <c r="O916" i="4" s="1"/>
  <c r="J916" i="4"/>
  <c r="AA915" i="4"/>
  <c r="AE915" i="4" s="1"/>
  <c r="R915" i="4"/>
  <c r="S915" i="4" s="1"/>
  <c r="N915" i="4"/>
  <c r="O915" i="4" s="1"/>
  <c r="J915" i="4"/>
  <c r="AA914" i="4"/>
  <c r="AE914" i="4" s="1"/>
  <c r="R914" i="4"/>
  <c r="S914" i="4" s="1"/>
  <c r="N914" i="4"/>
  <c r="O914" i="4" s="1"/>
  <c r="J914" i="4"/>
  <c r="AA913" i="4"/>
  <c r="AE913" i="4" s="1"/>
  <c r="R913" i="4"/>
  <c r="S913" i="4" s="1"/>
  <c r="N913" i="4"/>
  <c r="O913" i="4" s="1"/>
  <c r="J913" i="4"/>
  <c r="AA912" i="4"/>
  <c r="AE912" i="4" s="1"/>
  <c r="R912" i="4"/>
  <c r="S912" i="4" s="1"/>
  <c r="N912" i="4"/>
  <c r="O912" i="4" s="1"/>
  <c r="J912" i="4"/>
  <c r="AA911" i="4"/>
  <c r="AE911" i="4" s="1"/>
  <c r="R911" i="4"/>
  <c r="S911" i="4" s="1"/>
  <c r="N911" i="4"/>
  <c r="O911" i="4" s="1"/>
  <c r="J911" i="4"/>
  <c r="AA910" i="4"/>
  <c r="AE910" i="4" s="1"/>
  <c r="R910" i="4"/>
  <c r="S910" i="4" s="1"/>
  <c r="N910" i="4"/>
  <c r="O910" i="4" s="1"/>
  <c r="J910" i="4"/>
  <c r="AA909" i="4"/>
  <c r="AE909" i="4" s="1"/>
  <c r="R909" i="4"/>
  <c r="S909" i="4" s="1"/>
  <c r="N909" i="4"/>
  <c r="O909" i="4" s="1"/>
  <c r="J909" i="4"/>
  <c r="AA908" i="4"/>
  <c r="AE908" i="4" s="1"/>
  <c r="R908" i="4"/>
  <c r="S908" i="4" s="1"/>
  <c r="N908" i="4"/>
  <c r="O908" i="4" s="1"/>
  <c r="J908" i="4"/>
  <c r="AA907" i="4"/>
  <c r="AE907" i="4" s="1"/>
  <c r="R907" i="4"/>
  <c r="S907" i="4" s="1"/>
  <c r="N907" i="4"/>
  <c r="O907" i="4" s="1"/>
  <c r="J907" i="4"/>
  <c r="AE906" i="4"/>
  <c r="AA906" i="4"/>
  <c r="R906" i="4"/>
  <c r="S906" i="4" s="1"/>
  <c r="N906" i="4"/>
  <c r="O906" i="4" s="1"/>
  <c r="J906" i="4"/>
  <c r="AA905" i="4"/>
  <c r="AE905" i="4" s="1"/>
  <c r="R905" i="4"/>
  <c r="S905" i="4" s="1"/>
  <c r="N905" i="4"/>
  <c r="O905" i="4" s="1"/>
  <c r="J905" i="4"/>
  <c r="AA904" i="4"/>
  <c r="AE904" i="4" s="1"/>
  <c r="R904" i="4"/>
  <c r="S904" i="4" s="1"/>
  <c r="N904" i="4"/>
  <c r="O904" i="4" s="1"/>
  <c r="J904" i="4"/>
  <c r="AA903" i="4"/>
  <c r="AE903" i="4" s="1"/>
  <c r="R903" i="4"/>
  <c r="S903" i="4" s="1"/>
  <c r="N903" i="4"/>
  <c r="O903" i="4" s="1"/>
  <c r="J903" i="4"/>
  <c r="AA902" i="4"/>
  <c r="AE902" i="4" s="1"/>
  <c r="R902" i="4"/>
  <c r="S902" i="4" s="1"/>
  <c r="N902" i="4"/>
  <c r="O902" i="4" s="1"/>
  <c r="J902" i="4"/>
  <c r="AA901" i="4"/>
  <c r="AE901" i="4" s="1"/>
  <c r="R901" i="4"/>
  <c r="S901" i="4" s="1"/>
  <c r="N901" i="4"/>
  <c r="O901" i="4" s="1"/>
  <c r="J901" i="4"/>
  <c r="AA900" i="4"/>
  <c r="AE900" i="4" s="1"/>
  <c r="R900" i="4"/>
  <c r="S900" i="4" s="1"/>
  <c r="N900" i="4"/>
  <c r="O900" i="4" s="1"/>
  <c r="J900" i="4"/>
  <c r="AA899" i="4"/>
  <c r="AE899" i="4" s="1"/>
  <c r="R899" i="4"/>
  <c r="S899" i="4" s="1"/>
  <c r="N899" i="4"/>
  <c r="O899" i="4" s="1"/>
  <c r="J899" i="4"/>
  <c r="AA898" i="4"/>
  <c r="AE898" i="4" s="1"/>
  <c r="R898" i="4"/>
  <c r="S898" i="4" s="1"/>
  <c r="N898" i="4"/>
  <c r="O898" i="4" s="1"/>
  <c r="J898" i="4"/>
  <c r="AA897" i="4"/>
  <c r="AE897" i="4" s="1"/>
  <c r="R897" i="4"/>
  <c r="S897" i="4" s="1"/>
  <c r="N897" i="4"/>
  <c r="O897" i="4" s="1"/>
  <c r="J897" i="4"/>
  <c r="AA896" i="4"/>
  <c r="AE896" i="4" s="1"/>
  <c r="R896" i="4"/>
  <c r="S896" i="4" s="1"/>
  <c r="N896" i="4"/>
  <c r="O896" i="4" s="1"/>
  <c r="J896" i="4"/>
  <c r="AA895" i="4"/>
  <c r="AE895" i="4" s="1"/>
  <c r="R895" i="4"/>
  <c r="S895" i="4" s="1"/>
  <c r="N895" i="4"/>
  <c r="O895" i="4" s="1"/>
  <c r="J895" i="4"/>
  <c r="AA894" i="4"/>
  <c r="AE894" i="4" s="1"/>
  <c r="R894" i="4"/>
  <c r="S894" i="4" s="1"/>
  <c r="N894" i="4"/>
  <c r="O894" i="4" s="1"/>
  <c r="J894" i="4"/>
  <c r="AA893" i="4"/>
  <c r="AE893" i="4" s="1"/>
  <c r="R893" i="4"/>
  <c r="S893" i="4" s="1"/>
  <c r="N893" i="4"/>
  <c r="O893" i="4" s="1"/>
  <c r="J893" i="4"/>
  <c r="AA892" i="4"/>
  <c r="AE892" i="4" s="1"/>
  <c r="R892" i="4"/>
  <c r="S892" i="4" s="1"/>
  <c r="N892" i="4"/>
  <c r="O892" i="4" s="1"/>
  <c r="J892" i="4"/>
  <c r="AA891" i="4"/>
  <c r="AE891" i="4" s="1"/>
  <c r="R891" i="4"/>
  <c r="S891" i="4" s="1"/>
  <c r="N891" i="4"/>
  <c r="O891" i="4" s="1"/>
  <c r="J891" i="4"/>
  <c r="AA890" i="4"/>
  <c r="AE890" i="4" s="1"/>
  <c r="R890" i="4"/>
  <c r="S890" i="4" s="1"/>
  <c r="N890" i="4"/>
  <c r="O890" i="4" s="1"/>
  <c r="J890" i="4"/>
  <c r="D890" i="4"/>
  <c r="AA889" i="4"/>
  <c r="AE889" i="4" s="1"/>
  <c r="R889" i="4"/>
  <c r="S889" i="4" s="1"/>
  <c r="N889" i="4"/>
  <c r="O889" i="4" s="1"/>
  <c r="J889" i="4"/>
  <c r="AA888" i="4"/>
  <c r="AE888" i="4" s="1"/>
  <c r="R888" i="4"/>
  <c r="S888" i="4" s="1"/>
  <c r="N888" i="4"/>
  <c r="O888" i="4" s="1"/>
  <c r="J888" i="4"/>
  <c r="AA887" i="4"/>
  <c r="AE887" i="4" s="1"/>
  <c r="R887" i="4"/>
  <c r="S887" i="4" s="1"/>
  <c r="N887" i="4"/>
  <c r="O887" i="4" s="1"/>
  <c r="J887" i="4"/>
  <c r="AA886" i="4"/>
  <c r="AE886" i="4" s="1"/>
  <c r="R886" i="4"/>
  <c r="S886" i="4" s="1"/>
  <c r="N886" i="4"/>
  <c r="O886" i="4" s="1"/>
  <c r="J886" i="4"/>
  <c r="AH886" i="4" s="1"/>
  <c r="AA885" i="4"/>
  <c r="AE885" i="4" s="1"/>
  <c r="R885" i="4"/>
  <c r="S885" i="4" s="1"/>
  <c r="N885" i="4"/>
  <c r="O885" i="4" s="1"/>
  <c r="J885" i="4"/>
  <c r="AH885" i="4" s="1"/>
  <c r="AA884" i="4"/>
  <c r="AE884" i="4" s="1"/>
  <c r="R884" i="4"/>
  <c r="S884" i="4" s="1"/>
  <c r="N884" i="4"/>
  <c r="O884" i="4" s="1"/>
  <c r="J884" i="4"/>
  <c r="AH884" i="4" s="1"/>
  <c r="AA883" i="4"/>
  <c r="AE883" i="4" s="1"/>
  <c r="R883" i="4"/>
  <c r="S883" i="4" s="1"/>
  <c r="N883" i="4"/>
  <c r="O883" i="4" s="1"/>
  <c r="J883" i="4"/>
  <c r="AH883" i="4" s="1"/>
  <c r="AA882" i="4"/>
  <c r="AE882" i="4" s="1"/>
  <c r="R882" i="4"/>
  <c r="S882" i="4" s="1"/>
  <c r="N882" i="4"/>
  <c r="O882" i="4" s="1"/>
  <c r="J882" i="4"/>
  <c r="D882" i="4"/>
  <c r="AA881" i="4"/>
  <c r="AE881" i="4" s="1"/>
  <c r="R881" i="4"/>
  <c r="S881" i="4" s="1"/>
  <c r="N881" i="4"/>
  <c r="O881" i="4" s="1"/>
  <c r="J881" i="4"/>
  <c r="AA880" i="4"/>
  <c r="AE880" i="4" s="1"/>
  <c r="R880" i="4"/>
  <c r="S880" i="4" s="1"/>
  <c r="N880" i="4"/>
  <c r="O880" i="4" s="1"/>
  <c r="J880" i="4"/>
  <c r="AA879" i="4"/>
  <c r="AE879" i="4" s="1"/>
  <c r="R879" i="4"/>
  <c r="S879" i="4" s="1"/>
  <c r="N879" i="4"/>
  <c r="O879" i="4" s="1"/>
  <c r="J879" i="4"/>
  <c r="AA878" i="4"/>
  <c r="AE878" i="4" s="1"/>
  <c r="R878" i="4"/>
  <c r="S878" i="4" s="1"/>
  <c r="N878" i="4"/>
  <c r="O878" i="4" s="1"/>
  <c r="J878" i="4"/>
  <c r="AA877" i="4"/>
  <c r="AE877" i="4" s="1"/>
  <c r="R877" i="4"/>
  <c r="S877" i="4" s="1"/>
  <c r="N877" i="4"/>
  <c r="O877" i="4" s="1"/>
  <c r="J877" i="4"/>
  <c r="AA876" i="4"/>
  <c r="AE876" i="4" s="1"/>
  <c r="R876" i="4"/>
  <c r="S876" i="4" s="1"/>
  <c r="N876" i="4"/>
  <c r="O876" i="4" s="1"/>
  <c r="J876" i="4"/>
  <c r="AA875" i="4"/>
  <c r="AE875" i="4" s="1"/>
  <c r="R875" i="4"/>
  <c r="S875" i="4" s="1"/>
  <c r="N875" i="4"/>
  <c r="O875" i="4" s="1"/>
  <c r="J875" i="4"/>
  <c r="AA874" i="4"/>
  <c r="AE874" i="4" s="1"/>
  <c r="R874" i="4"/>
  <c r="S874" i="4" s="1"/>
  <c r="N874" i="4"/>
  <c r="O874" i="4" s="1"/>
  <c r="J874" i="4"/>
  <c r="AA873" i="4"/>
  <c r="AE873" i="4" s="1"/>
  <c r="R873" i="4"/>
  <c r="S873" i="4" s="1"/>
  <c r="N873" i="4"/>
  <c r="O873" i="4" s="1"/>
  <c r="J873" i="4"/>
  <c r="AA872" i="4"/>
  <c r="AE872" i="4" s="1"/>
  <c r="R872" i="4"/>
  <c r="S872" i="4" s="1"/>
  <c r="N872" i="4"/>
  <c r="O872" i="4" s="1"/>
  <c r="J872" i="4"/>
  <c r="K872" i="4" s="1"/>
  <c r="AA871" i="4"/>
  <c r="AE871" i="4" s="1"/>
  <c r="R871" i="4"/>
  <c r="S871" i="4" s="1"/>
  <c r="N871" i="4"/>
  <c r="O871" i="4" s="1"/>
  <c r="J871" i="4"/>
  <c r="K871" i="4" s="1"/>
  <c r="D871" i="4"/>
  <c r="AA870" i="4"/>
  <c r="R870" i="4"/>
  <c r="N870" i="4"/>
  <c r="J870" i="4"/>
  <c r="AC867" i="4"/>
  <c r="AC961" i="4" s="1"/>
  <c r="AB867" i="4"/>
  <c r="AB961" i="4" s="1"/>
  <c r="AA867" i="4"/>
  <c r="I867" i="4"/>
  <c r="E867" i="4"/>
  <c r="D867" i="4"/>
  <c r="AE866" i="4"/>
  <c r="AD866" i="4"/>
  <c r="S866" i="4"/>
  <c r="Q866" i="4"/>
  <c r="O866" i="4"/>
  <c r="N866" i="4"/>
  <c r="J866" i="4"/>
  <c r="AH866" i="4" s="1"/>
  <c r="F866" i="4"/>
  <c r="K866" i="4" s="1"/>
  <c r="AE865" i="4"/>
  <c r="S865" i="4"/>
  <c r="Q865" i="4"/>
  <c r="R865" i="4" s="1"/>
  <c r="O865" i="4"/>
  <c r="N865" i="4"/>
  <c r="J865" i="4"/>
  <c r="AH865" i="4" s="1"/>
  <c r="F865" i="4"/>
  <c r="K865" i="4" s="1"/>
  <c r="AE864" i="4"/>
  <c r="AD864" i="4"/>
  <c r="S864" i="4"/>
  <c r="Q864" i="4"/>
  <c r="R864" i="4" s="1"/>
  <c r="O864" i="4"/>
  <c r="M864" i="4"/>
  <c r="N864" i="4" s="1"/>
  <c r="J864" i="4"/>
  <c r="AH864" i="4" s="1"/>
  <c r="F864" i="4"/>
  <c r="K864" i="4" s="1"/>
  <c r="AE863" i="4"/>
  <c r="AD863" i="4"/>
  <c r="R863" i="4"/>
  <c r="N863" i="4"/>
  <c r="J863" i="4"/>
  <c r="AH863" i="4" s="1"/>
  <c r="F863" i="4"/>
  <c r="E863" i="4"/>
  <c r="AE862" i="4"/>
  <c r="S862" i="4"/>
  <c r="R862" i="4"/>
  <c r="O862" i="4"/>
  <c r="N862" i="4"/>
  <c r="J862" i="4"/>
  <c r="F862" i="4"/>
  <c r="AE861" i="4"/>
  <c r="AD861" i="4"/>
  <c r="Z861" i="4"/>
  <c r="S861" i="4"/>
  <c r="R861" i="4"/>
  <c r="O861" i="4"/>
  <c r="N861" i="4"/>
  <c r="J861" i="4"/>
  <c r="AH861" i="4" s="1"/>
  <c r="F861" i="4"/>
  <c r="K861" i="4" s="1"/>
  <c r="AE856" i="4"/>
  <c r="AF856" i="4" s="1"/>
  <c r="AD856" i="4"/>
  <c r="AB850" i="4"/>
  <c r="AD850" i="4" s="1"/>
  <c r="Q850" i="4"/>
  <c r="E850" i="4"/>
  <c r="D850" i="4"/>
  <c r="D852" i="4" s="1"/>
  <c r="Z849" i="4"/>
  <c r="AA849" i="4" s="1"/>
  <c r="AE849" i="4" s="1"/>
  <c r="R849" i="4"/>
  <c r="S849" i="4" s="1"/>
  <c r="N849" i="4"/>
  <c r="O849" i="4" s="1"/>
  <c r="J849" i="4"/>
  <c r="F849" i="4"/>
  <c r="AA848" i="4"/>
  <c r="AE848" i="4" s="1"/>
  <c r="R848" i="4"/>
  <c r="S848" i="4" s="1"/>
  <c r="N848" i="4"/>
  <c r="O848" i="4" s="1"/>
  <c r="I848" i="4"/>
  <c r="J848" i="4" s="1"/>
  <c r="AA847" i="4"/>
  <c r="AE847" i="4" s="1"/>
  <c r="R847" i="4"/>
  <c r="S847" i="4" s="1"/>
  <c r="M847" i="4"/>
  <c r="N847" i="4" s="1"/>
  <c r="O847" i="4" s="1"/>
  <c r="I847" i="4"/>
  <c r="J847" i="4" s="1"/>
  <c r="Z846" i="4"/>
  <c r="AA846" i="4" s="1"/>
  <c r="AE846" i="4" s="1"/>
  <c r="R846" i="4"/>
  <c r="S846" i="4" s="1"/>
  <c r="M846" i="4"/>
  <c r="N846" i="4" s="1"/>
  <c r="O846" i="4" s="1"/>
  <c r="I846" i="4"/>
  <c r="J846" i="4" s="1"/>
  <c r="Z845" i="4"/>
  <c r="AA845" i="4" s="1"/>
  <c r="R845" i="4"/>
  <c r="N845" i="4"/>
  <c r="J845" i="4"/>
  <c r="K845" i="4" s="1"/>
  <c r="F845" i="4"/>
  <c r="AC842" i="4"/>
  <c r="AB842" i="4"/>
  <c r="Q842" i="4"/>
  <c r="M842" i="4"/>
  <c r="I842" i="4"/>
  <c r="E842" i="4"/>
  <c r="AA841" i="4"/>
  <c r="AE841" i="4" s="1"/>
  <c r="R841" i="4"/>
  <c r="S841" i="4" s="1"/>
  <c r="N841" i="4"/>
  <c r="O841" i="4" s="1"/>
  <c r="AA840" i="4"/>
  <c r="AE840" i="4" s="1"/>
  <c r="R840" i="4"/>
  <c r="S840" i="4" s="1"/>
  <c r="N840" i="4"/>
  <c r="O840" i="4" s="1"/>
  <c r="AA839" i="4"/>
  <c r="AE839" i="4" s="1"/>
  <c r="R839" i="4"/>
  <c r="S839" i="4" s="1"/>
  <c r="N839" i="4"/>
  <c r="O839" i="4" s="1"/>
  <c r="AA838" i="4"/>
  <c r="AE838" i="4" s="1"/>
  <c r="R838" i="4"/>
  <c r="S838" i="4" s="1"/>
  <c r="N838" i="4"/>
  <c r="O838" i="4" s="1"/>
  <c r="AA837" i="4"/>
  <c r="AE837" i="4" s="1"/>
  <c r="R837" i="4"/>
  <c r="S837" i="4" s="1"/>
  <c r="N837" i="4"/>
  <c r="O837" i="4" s="1"/>
  <c r="AA836" i="4"/>
  <c r="AE836" i="4" s="1"/>
  <c r="R836" i="4"/>
  <c r="S836" i="4" s="1"/>
  <c r="N836" i="4"/>
  <c r="O836" i="4" s="1"/>
  <c r="AA835" i="4"/>
  <c r="AE835" i="4" s="1"/>
  <c r="R835" i="4"/>
  <c r="S835" i="4" s="1"/>
  <c r="N835" i="4"/>
  <c r="O835" i="4" s="1"/>
  <c r="AA834" i="4"/>
  <c r="AE834" i="4" s="1"/>
  <c r="R834" i="4"/>
  <c r="S834" i="4" s="1"/>
  <c r="N834" i="4"/>
  <c r="O834" i="4" s="1"/>
  <c r="AA833" i="4"/>
  <c r="AE833" i="4" s="1"/>
  <c r="R833" i="4"/>
  <c r="S833" i="4" s="1"/>
  <c r="N833" i="4"/>
  <c r="O833" i="4" s="1"/>
  <c r="AA832" i="4"/>
  <c r="AE832" i="4" s="1"/>
  <c r="R832" i="4"/>
  <c r="S832" i="4" s="1"/>
  <c r="N832" i="4"/>
  <c r="O832" i="4" s="1"/>
  <c r="AA831" i="4"/>
  <c r="AE831" i="4" s="1"/>
  <c r="R831" i="4"/>
  <c r="S831" i="4" s="1"/>
  <c r="N831" i="4"/>
  <c r="O831" i="4" s="1"/>
  <c r="AA830" i="4"/>
  <c r="AE830" i="4" s="1"/>
  <c r="R830" i="4"/>
  <c r="S830" i="4" s="1"/>
  <c r="N830" i="4"/>
  <c r="O830" i="4" s="1"/>
  <c r="AA829" i="4"/>
  <c r="AE829" i="4" s="1"/>
  <c r="R829" i="4"/>
  <c r="S829" i="4" s="1"/>
  <c r="N829" i="4"/>
  <c r="O829" i="4" s="1"/>
  <c r="AA828" i="4"/>
  <c r="AE828" i="4" s="1"/>
  <c r="R828" i="4"/>
  <c r="S828" i="4" s="1"/>
  <c r="N828" i="4"/>
  <c r="O828" i="4" s="1"/>
  <c r="AA827" i="4"/>
  <c r="AE827" i="4" s="1"/>
  <c r="R827" i="4"/>
  <c r="S827" i="4" s="1"/>
  <c r="N827" i="4"/>
  <c r="O827" i="4" s="1"/>
  <c r="AA826" i="4"/>
  <c r="AE826" i="4" s="1"/>
  <c r="R826" i="4"/>
  <c r="S826" i="4" s="1"/>
  <c r="N826" i="4"/>
  <c r="O826" i="4" s="1"/>
  <c r="AA825" i="4"/>
  <c r="AE825" i="4" s="1"/>
  <c r="R825" i="4"/>
  <c r="S825" i="4" s="1"/>
  <c r="N825" i="4"/>
  <c r="O825" i="4" s="1"/>
  <c r="AA824" i="4"/>
  <c r="AE824" i="4" s="1"/>
  <c r="R824" i="4"/>
  <c r="S824" i="4" s="1"/>
  <c r="N824" i="4"/>
  <c r="O824" i="4" s="1"/>
  <c r="AA823" i="4"/>
  <c r="AE823" i="4" s="1"/>
  <c r="R823" i="4"/>
  <c r="S823" i="4" s="1"/>
  <c r="N823" i="4"/>
  <c r="O823" i="4" s="1"/>
  <c r="AA822" i="4"/>
  <c r="AE822" i="4" s="1"/>
  <c r="R822" i="4"/>
  <c r="S822" i="4" s="1"/>
  <c r="N822" i="4"/>
  <c r="O822" i="4" s="1"/>
  <c r="AA821" i="4"/>
  <c r="AE821" i="4" s="1"/>
  <c r="R821" i="4"/>
  <c r="S821" i="4" s="1"/>
  <c r="N821" i="4"/>
  <c r="O821" i="4" s="1"/>
  <c r="AA820" i="4"/>
  <c r="AE820" i="4" s="1"/>
  <c r="R820" i="4"/>
  <c r="S820" i="4" s="1"/>
  <c r="N820" i="4"/>
  <c r="O820" i="4" s="1"/>
  <c r="AA819" i="4"/>
  <c r="AE819" i="4" s="1"/>
  <c r="R819" i="4"/>
  <c r="S819" i="4" s="1"/>
  <c r="N819" i="4"/>
  <c r="O819" i="4" s="1"/>
  <c r="AA818" i="4"/>
  <c r="AE818" i="4" s="1"/>
  <c r="R818" i="4"/>
  <c r="S818" i="4" s="1"/>
  <c r="N818" i="4"/>
  <c r="O818" i="4" s="1"/>
  <c r="AA817" i="4"/>
  <c r="AE817" i="4" s="1"/>
  <c r="R817" i="4"/>
  <c r="S817" i="4" s="1"/>
  <c r="N817" i="4"/>
  <c r="O817" i="4" s="1"/>
  <c r="AA816" i="4"/>
  <c r="AE816" i="4" s="1"/>
  <c r="R816" i="4"/>
  <c r="S816" i="4" s="1"/>
  <c r="N816" i="4"/>
  <c r="O816" i="4" s="1"/>
  <c r="AA815" i="4"/>
  <c r="AE815" i="4" s="1"/>
  <c r="R815" i="4"/>
  <c r="S815" i="4" s="1"/>
  <c r="N815" i="4"/>
  <c r="O815" i="4" s="1"/>
  <c r="AA814" i="4"/>
  <c r="AE814" i="4" s="1"/>
  <c r="R814" i="4"/>
  <c r="S814" i="4" s="1"/>
  <c r="N814" i="4"/>
  <c r="O814" i="4" s="1"/>
  <c r="AA813" i="4"/>
  <c r="AE813" i="4" s="1"/>
  <c r="R813" i="4"/>
  <c r="S813" i="4" s="1"/>
  <c r="N813" i="4"/>
  <c r="O813" i="4" s="1"/>
  <c r="AA812" i="4"/>
  <c r="AE812" i="4" s="1"/>
  <c r="R812" i="4"/>
  <c r="S812" i="4" s="1"/>
  <c r="N812" i="4"/>
  <c r="O812" i="4" s="1"/>
  <c r="AA811" i="4"/>
  <c r="AE811" i="4" s="1"/>
  <c r="R811" i="4"/>
  <c r="S811" i="4" s="1"/>
  <c r="N811" i="4"/>
  <c r="O811" i="4" s="1"/>
  <c r="AA810" i="4"/>
  <c r="AE810" i="4" s="1"/>
  <c r="R810" i="4"/>
  <c r="S810" i="4" s="1"/>
  <c r="N810" i="4"/>
  <c r="O810" i="4" s="1"/>
  <c r="AA809" i="4"/>
  <c r="AE809" i="4" s="1"/>
  <c r="R809" i="4"/>
  <c r="S809" i="4" s="1"/>
  <c r="N809" i="4"/>
  <c r="O809" i="4" s="1"/>
  <c r="AA808" i="4"/>
  <c r="AE808" i="4" s="1"/>
  <c r="R808" i="4"/>
  <c r="S808" i="4" s="1"/>
  <c r="N808" i="4"/>
  <c r="O808" i="4" s="1"/>
  <c r="AA807" i="4"/>
  <c r="AE807" i="4" s="1"/>
  <c r="R807" i="4"/>
  <c r="S807" i="4" s="1"/>
  <c r="N807" i="4"/>
  <c r="O807" i="4" s="1"/>
  <c r="AA806" i="4"/>
  <c r="AE806" i="4" s="1"/>
  <c r="R806" i="4"/>
  <c r="S806" i="4" s="1"/>
  <c r="N806" i="4"/>
  <c r="O806" i="4" s="1"/>
  <c r="AA805" i="4"/>
  <c r="AE805" i="4" s="1"/>
  <c r="R805" i="4"/>
  <c r="S805" i="4" s="1"/>
  <c r="N805" i="4"/>
  <c r="O805" i="4" s="1"/>
  <c r="AA804" i="4"/>
  <c r="AE804" i="4" s="1"/>
  <c r="R804" i="4"/>
  <c r="S804" i="4" s="1"/>
  <c r="N804" i="4"/>
  <c r="O804" i="4" s="1"/>
  <c r="AA803" i="4"/>
  <c r="AE803" i="4" s="1"/>
  <c r="R803" i="4"/>
  <c r="S803" i="4" s="1"/>
  <c r="N803" i="4"/>
  <c r="O803" i="4" s="1"/>
  <c r="AA802" i="4"/>
  <c r="AE802" i="4" s="1"/>
  <c r="R802" i="4"/>
  <c r="S802" i="4" s="1"/>
  <c r="N802" i="4"/>
  <c r="O802" i="4" s="1"/>
  <c r="AA801" i="4"/>
  <c r="AE801" i="4" s="1"/>
  <c r="R801" i="4"/>
  <c r="S801" i="4" s="1"/>
  <c r="N801" i="4"/>
  <c r="O801" i="4" s="1"/>
  <c r="AA800" i="4"/>
  <c r="AE800" i="4" s="1"/>
  <c r="R800" i="4"/>
  <c r="S800" i="4" s="1"/>
  <c r="N800" i="4"/>
  <c r="O800" i="4" s="1"/>
  <c r="AA799" i="4"/>
  <c r="AE799" i="4" s="1"/>
  <c r="R799" i="4"/>
  <c r="S799" i="4" s="1"/>
  <c r="N799" i="4"/>
  <c r="O799" i="4" s="1"/>
  <c r="AA798" i="4"/>
  <c r="AE798" i="4" s="1"/>
  <c r="R798" i="4"/>
  <c r="S798" i="4" s="1"/>
  <c r="N798" i="4"/>
  <c r="O798" i="4" s="1"/>
  <c r="AA797" i="4"/>
  <c r="AE797" i="4" s="1"/>
  <c r="R797" i="4"/>
  <c r="S797" i="4" s="1"/>
  <c r="N797" i="4"/>
  <c r="O797" i="4" s="1"/>
  <c r="AA796" i="4"/>
  <c r="AE796" i="4" s="1"/>
  <c r="R796" i="4"/>
  <c r="S796" i="4" s="1"/>
  <c r="N796" i="4"/>
  <c r="O796" i="4" s="1"/>
  <c r="AA795" i="4"/>
  <c r="AE795" i="4" s="1"/>
  <c r="R795" i="4"/>
  <c r="S795" i="4" s="1"/>
  <c r="N795" i="4"/>
  <c r="O795" i="4" s="1"/>
  <c r="AA794" i="4"/>
  <c r="AE794" i="4" s="1"/>
  <c r="R794" i="4"/>
  <c r="S794" i="4" s="1"/>
  <c r="N794" i="4"/>
  <c r="O794" i="4" s="1"/>
  <c r="AA793" i="4"/>
  <c r="AE793" i="4" s="1"/>
  <c r="R793" i="4"/>
  <c r="S793" i="4" s="1"/>
  <c r="N793" i="4"/>
  <c r="O793" i="4" s="1"/>
  <c r="AA792" i="4"/>
  <c r="AE792" i="4" s="1"/>
  <c r="R792" i="4"/>
  <c r="S792" i="4" s="1"/>
  <c r="N792" i="4"/>
  <c r="O792" i="4" s="1"/>
  <c r="AA791" i="4"/>
  <c r="AE791" i="4" s="1"/>
  <c r="R791" i="4"/>
  <c r="S791" i="4" s="1"/>
  <c r="N791" i="4"/>
  <c r="O791" i="4" s="1"/>
  <c r="AA790" i="4"/>
  <c r="AE790" i="4" s="1"/>
  <c r="R790" i="4"/>
  <c r="S790" i="4" s="1"/>
  <c r="N790" i="4"/>
  <c r="O790" i="4" s="1"/>
  <c r="AA789" i="4"/>
  <c r="AE789" i="4" s="1"/>
  <c r="R789" i="4"/>
  <c r="S789" i="4" s="1"/>
  <c r="N789" i="4"/>
  <c r="O789" i="4" s="1"/>
  <c r="AA788" i="4"/>
  <c r="AE788" i="4" s="1"/>
  <c r="R788" i="4"/>
  <c r="S788" i="4" s="1"/>
  <c r="N788" i="4"/>
  <c r="O788" i="4" s="1"/>
  <c r="AA787" i="4"/>
  <c r="AE787" i="4" s="1"/>
  <c r="R787" i="4"/>
  <c r="S787" i="4" s="1"/>
  <c r="N787" i="4"/>
  <c r="O787" i="4" s="1"/>
  <c r="AA786" i="4"/>
  <c r="AE786" i="4" s="1"/>
  <c r="R786" i="4"/>
  <c r="S786" i="4" s="1"/>
  <c r="N786" i="4"/>
  <c r="O786" i="4" s="1"/>
  <c r="AA785" i="4"/>
  <c r="AE785" i="4" s="1"/>
  <c r="R785" i="4"/>
  <c r="S785" i="4" s="1"/>
  <c r="N785" i="4"/>
  <c r="O785" i="4" s="1"/>
  <c r="AA784" i="4"/>
  <c r="AE784" i="4" s="1"/>
  <c r="R784" i="4"/>
  <c r="S784" i="4" s="1"/>
  <c r="N784" i="4"/>
  <c r="O784" i="4" s="1"/>
  <c r="AA783" i="4"/>
  <c r="AE783" i="4" s="1"/>
  <c r="R783" i="4"/>
  <c r="S783" i="4" s="1"/>
  <c r="N783" i="4"/>
  <c r="O783" i="4" s="1"/>
  <c r="AA782" i="4"/>
  <c r="AE782" i="4" s="1"/>
  <c r="R782" i="4"/>
  <c r="S782" i="4" s="1"/>
  <c r="N782" i="4"/>
  <c r="O782" i="4" s="1"/>
  <c r="AA781" i="4"/>
  <c r="AE781" i="4" s="1"/>
  <c r="R781" i="4"/>
  <c r="S781" i="4" s="1"/>
  <c r="N781" i="4"/>
  <c r="O781" i="4" s="1"/>
  <c r="AA780" i="4"/>
  <c r="AE780" i="4" s="1"/>
  <c r="R780" i="4"/>
  <c r="S780" i="4" s="1"/>
  <c r="N780" i="4"/>
  <c r="O780" i="4" s="1"/>
  <c r="AA779" i="4"/>
  <c r="AE779" i="4" s="1"/>
  <c r="R779" i="4"/>
  <c r="S779" i="4" s="1"/>
  <c r="N779" i="4"/>
  <c r="O779" i="4" s="1"/>
  <c r="AA778" i="4"/>
  <c r="AE778" i="4" s="1"/>
  <c r="R778" i="4"/>
  <c r="S778" i="4" s="1"/>
  <c r="N778" i="4"/>
  <c r="O778" i="4" s="1"/>
  <c r="AA777" i="4"/>
  <c r="AE777" i="4" s="1"/>
  <c r="R777" i="4"/>
  <c r="S777" i="4" s="1"/>
  <c r="N777" i="4"/>
  <c r="O777" i="4" s="1"/>
  <c r="AA776" i="4"/>
  <c r="AE776" i="4" s="1"/>
  <c r="R776" i="4"/>
  <c r="S776" i="4" s="1"/>
  <c r="N776" i="4"/>
  <c r="O776" i="4" s="1"/>
  <c r="AA775" i="4"/>
  <c r="AE775" i="4" s="1"/>
  <c r="R775" i="4"/>
  <c r="S775" i="4" s="1"/>
  <c r="N775" i="4"/>
  <c r="O775" i="4" s="1"/>
  <c r="AA774" i="4"/>
  <c r="AE774" i="4" s="1"/>
  <c r="R774" i="4"/>
  <c r="S774" i="4" s="1"/>
  <c r="N774" i="4"/>
  <c r="O774" i="4" s="1"/>
  <c r="AA773" i="4"/>
  <c r="AE773" i="4" s="1"/>
  <c r="R773" i="4"/>
  <c r="S773" i="4" s="1"/>
  <c r="N773" i="4"/>
  <c r="O773" i="4" s="1"/>
  <c r="AA772" i="4"/>
  <c r="AE772" i="4" s="1"/>
  <c r="R772" i="4"/>
  <c r="S772" i="4" s="1"/>
  <c r="N772" i="4"/>
  <c r="O772" i="4" s="1"/>
  <c r="AA771" i="4"/>
  <c r="AE771" i="4" s="1"/>
  <c r="R771" i="4"/>
  <c r="S771" i="4" s="1"/>
  <c r="N771" i="4"/>
  <c r="O771" i="4" s="1"/>
  <c r="AA770" i="4"/>
  <c r="AE770" i="4" s="1"/>
  <c r="R770" i="4"/>
  <c r="S770" i="4" s="1"/>
  <c r="N770" i="4"/>
  <c r="O770" i="4" s="1"/>
  <c r="AA769" i="4"/>
  <c r="AE769" i="4" s="1"/>
  <c r="R769" i="4"/>
  <c r="S769" i="4" s="1"/>
  <c r="N769" i="4"/>
  <c r="O769" i="4" s="1"/>
  <c r="AA768" i="4"/>
  <c r="AE768" i="4" s="1"/>
  <c r="R768" i="4"/>
  <c r="S768" i="4" s="1"/>
  <c r="N768" i="4"/>
  <c r="O768" i="4" s="1"/>
  <c r="AA767" i="4"/>
  <c r="AE767" i="4" s="1"/>
  <c r="R767" i="4"/>
  <c r="S767" i="4" s="1"/>
  <c r="N767" i="4"/>
  <c r="O767" i="4" s="1"/>
  <c r="AA766" i="4"/>
  <c r="AE766" i="4" s="1"/>
  <c r="R766" i="4"/>
  <c r="S766" i="4" s="1"/>
  <c r="N766" i="4"/>
  <c r="O766" i="4" s="1"/>
  <c r="AA765" i="4"/>
  <c r="AE765" i="4" s="1"/>
  <c r="R765" i="4"/>
  <c r="S765" i="4" s="1"/>
  <c r="N765" i="4"/>
  <c r="O765" i="4" s="1"/>
  <c r="AA764" i="4"/>
  <c r="AE764" i="4" s="1"/>
  <c r="R764" i="4"/>
  <c r="S764" i="4" s="1"/>
  <c r="N764" i="4"/>
  <c r="O764" i="4" s="1"/>
  <c r="AA763" i="4"/>
  <c r="AE763" i="4" s="1"/>
  <c r="R763" i="4"/>
  <c r="S763" i="4" s="1"/>
  <c r="N763" i="4"/>
  <c r="O763" i="4" s="1"/>
  <c r="AA762" i="4"/>
  <c r="AE762" i="4" s="1"/>
  <c r="R762" i="4"/>
  <c r="S762" i="4" s="1"/>
  <c r="N762" i="4"/>
  <c r="O762" i="4" s="1"/>
  <c r="AA761" i="4"/>
  <c r="AE761" i="4" s="1"/>
  <c r="R761" i="4"/>
  <c r="S761" i="4" s="1"/>
  <c r="N761" i="4"/>
  <c r="O761" i="4" s="1"/>
  <c r="AA760" i="4"/>
  <c r="AE760" i="4" s="1"/>
  <c r="R760" i="4"/>
  <c r="S760" i="4" s="1"/>
  <c r="N760" i="4"/>
  <c r="O760" i="4" s="1"/>
  <c r="AA759" i="4"/>
  <c r="AE759" i="4" s="1"/>
  <c r="R759" i="4"/>
  <c r="S759" i="4" s="1"/>
  <c r="N759" i="4"/>
  <c r="O759" i="4" s="1"/>
  <c r="AA758" i="4"/>
  <c r="AE758" i="4" s="1"/>
  <c r="R758" i="4"/>
  <c r="S758" i="4" s="1"/>
  <c r="N758" i="4"/>
  <c r="O758" i="4" s="1"/>
  <c r="AA757" i="4"/>
  <c r="AE757" i="4" s="1"/>
  <c r="R757" i="4"/>
  <c r="S757" i="4" s="1"/>
  <c r="N757" i="4"/>
  <c r="O757" i="4" s="1"/>
  <c r="AA756" i="4"/>
  <c r="AE756" i="4" s="1"/>
  <c r="R756" i="4"/>
  <c r="S756" i="4" s="1"/>
  <c r="N756" i="4"/>
  <c r="O756" i="4" s="1"/>
  <c r="AA755" i="4"/>
  <c r="AE755" i="4" s="1"/>
  <c r="R755" i="4"/>
  <c r="S755" i="4" s="1"/>
  <c r="N755" i="4"/>
  <c r="O755" i="4" s="1"/>
  <c r="AA754" i="4"/>
  <c r="AE754" i="4" s="1"/>
  <c r="R754" i="4"/>
  <c r="S754" i="4" s="1"/>
  <c r="N754" i="4"/>
  <c r="O754" i="4" s="1"/>
  <c r="AA753" i="4"/>
  <c r="AE753" i="4" s="1"/>
  <c r="R753" i="4"/>
  <c r="S753" i="4" s="1"/>
  <c r="N753" i="4"/>
  <c r="O753" i="4" s="1"/>
  <c r="AA752" i="4"/>
  <c r="AE752" i="4" s="1"/>
  <c r="R752" i="4"/>
  <c r="S752" i="4" s="1"/>
  <c r="N752" i="4"/>
  <c r="O752" i="4" s="1"/>
  <c r="AA751" i="4"/>
  <c r="AE751" i="4" s="1"/>
  <c r="R751" i="4"/>
  <c r="S751" i="4" s="1"/>
  <c r="N751" i="4"/>
  <c r="O751" i="4" s="1"/>
  <c r="AA750" i="4"/>
  <c r="AE750" i="4" s="1"/>
  <c r="R750" i="4"/>
  <c r="S750" i="4" s="1"/>
  <c r="N750" i="4"/>
  <c r="O750" i="4" s="1"/>
  <c r="AA749" i="4"/>
  <c r="AE749" i="4" s="1"/>
  <c r="R749" i="4"/>
  <c r="S749" i="4" s="1"/>
  <c r="N749" i="4"/>
  <c r="O749" i="4" s="1"/>
  <c r="AA748" i="4"/>
  <c r="AE748" i="4" s="1"/>
  <c r="R748" i="4"/>
  <c r="S748" i="4" s="1"/>
  <c r="N748" i="4"/>
  <c r="O748" i="4" s="1"/>
  <c r="AA747" i="4"/>
  <c r="AE747" i="4" s="1"/>
  <c r="R747" i="4"/>
  <c r="S747" i="4" s="1"/>
  <c r="N747" i="4"/>
  <c r="O747" i="4" s="1"/>
  <c r="AA746" i="4"/>
  <c r="AE746" i="4" s="1"/>
  <c r="R746" i="4"/>
  <c r="S746" i="4" s="1"/>
  <c r="N746" i="4"/>
  <c r="O746" i="4" s="1"/>
  <c r="AA745" i="4"/>
  <c r="AE745" i="4" s="1"/>
  <c r="R745" i="4"/>
  <c r="S745" i="4" s="1"/>
  <c r="N745" i="4"/>
  <c r="O745" i="4" s="1"/>
  <c r="AA744" i="4"/>
  <c r="AE744" i="4" s="1"/>
  <c r="R744" i="4"/>
  <c r="S744" i="4" s="1"/>
  <c r="N744" i="4"/>
  <c r="O744" i="4" s="1"/>
  <c r="AA743" i="4"/>
  <c r="AE743" i="4" s="1"/>
  <c r="R743" i="4"/>
  <c r="S743" i="4" s="1"/>
  <c r="N743" i="4"/>
  <c r="O743" i="4" s="1"/>
  <c r="AA742" i="4"/>
  <c r="AE742" i="4" s="1"/>
  <c r="R742" i="4"/>
  <c r="S742" i="4" s="1"/>
  <c r="N742" i="4"/>
  <c r="O742" i="4" s="1"/>
  <c r="AA741" i="4"/>
  <c r="AE741" i="4" s="1"/>
  <c r="R741" i="4"/>
  <c r="S741" i="4" s="1"/>
  <c r="N741" i="4"/>
  <c r="O741" i="4" s="1"/>
  <c r="AA740" i="4"/>
  <c r="AE740" i="4" s="1"/>
  <c r="R740" i="4"/>
  <c r="S740" i="4" s="1"/>
  <c r="N740" i="4"/>
  <c r="O740" i="4" s="1"/>
  <c r="AA739" i="4"/>
  <c r="AE739" i="4" s="1"/>
  <c r="R739" i="4"/>
  <c r="S739" i="4" s="1"/>
  <c r="N739" i="4"/>
  <c r="O739" i="4" s="1"/>
  <c r="AA738" i="4"/>
  <c r="AE738" i="4" s="1"/>
  <c r="R738" i="4"/>
  <c r="S738" i="4" s="1"/>
  <c r="N738" i="4"/>
  <c r="O738" i="4" s="1"/>
  <c r="AA737" i="4"/>
  <c r="AE737" i="4" s="1"/>
  <c r="R737" i="4"/>
  <c r="S737" i="4" s="1"/>
  <c r="N737" i="4"/>
  <c r="O737" i="4" s="1"/>
  <c r="AA736" i="4"/>
  <c r="AE736" i="4" s="1"/>
  <c r="R736" i="4"/>
  <c r="S736" i="4" s="1"/>
  <c r="N736" i="4"/>
  <c r="O736" i="4" s="1"/>
  <c r="AA735" i="4"/>
  <c r="AE735" i="4" s="1"/>
  <c r="R735" i="4"/>
  <c r="S735" i="4" s="1"/>
  <c r="N735" i="4"/>
  <c r="O735" i="4" s="1"/>
  <c r="AA734" i="4"/>
  <c r="AE734" i="4" s="1"/>
  <c r="R734" i="4"/>
  <c r="S734" i="4" s="1"/>
  <c r="N734" i="4"/>
  <c r="O734" i="4" s="1"/>
  <c r="AA733" i="4"/>
  <c r="AE733" i="4" s="1"/>
  <c r="R733" i="4"/>
  <c r="S733" i="4" s="1"/>
  <c r="N733" i="4"/>
  <c r="O733" i="4" s="1"/>
  <c r="AA732" i="4"/>
  <c r="AE732" i="4" s="1"/>
  <c r="R732" i="4"/>
  <c r="S732" i="4" s="1"/>
  <c r="N732" i="4"/>
  <c r="O732" i="4" s="1"/>
  <c r="AA731" i="4"/>
  <c r="AE731" i="4" s="1"/>
  <c r="R731" i="4"/>
  <c r="S731" i="4" s="1"/>
  <c r="N731" i="4"/>
  <c r="O731" i="4" s="1"/>
  <c r="AA730" i="4"/>
  <c r="AE730" i="4" s="1"/>
  <c r="R730" i="4"/>
  <c r="S730" i="4" s="1"/>
  <c r="N730" i="4"/>
  <c r="O730" i="4" s="1"/>
  <c r="AA729" i="4"/>
  <c r="AE729" i="4" s="1"/>
  <c r="R729" i="4"/>
  <c r="S729" i="4" s="1"/>
  <c r="N729" i="4"/>
  <c r="O729" i="4" s="1"/>
  <c r="AA728" i="4"/>
  <c r="AE728" i="4" s="1"/>
  <c r="R728" i="4"/>
  <c r="S728" i="4" s="1"/>
  <c r="N728" i="4"/>
  <c r="O728" i="4" s="1"/>
  <c r="AA727" i="4"/>
  <c r="AE727" i="4" s="1"/>
  <c r="R727" i="4"/>
  <c r="S727" i="4" s="1"/>
  <c r="N727" i="4"/>
  <c r="O727" i="4" s="1"/>
  <c r="AA726" i="4"/>
  <c r="AE726" i="4" s="1"/>
  <c r="R726" i="4"/>
  <c r="S726" i="4" s="1"/>
  <c r="N726" i="4"/>
  <c r="O726" i="4" s="1"/>
  <c r="AA725" i="4"/>
  <c r="AE725" i="4" s="1"/>
  <c r="R725" i="4"/>
  <c r="S725" i="4" s="1"/>
  <c r="N725" i="4"/>
  <c r="O725" i="4" s="1"/>
  <c r="AA724" i="4"/>
  <c r="AE724" i="4" s="1"/>
  <c r="R724" i="4"/>
  <c r="S724" i="4" s="1"/>
  <c r="N724" i="4"/>
  <c r="O724" i="4" s="1"/>
  <c r="AA723" i="4"/>
  <c r="R723" i="4"/>
  <c r="S723" i="4" s="1"/>
  <c r="N723" i="4"/>
  <c r="AC720" i="4"/>
  <c r="AB720" i="4"/>
  <c r="Q720" i="4"/>
  <c r="M720" i="4"/>
  <c r="I720" i="4"/>
  <c r="E720" i="4"/>
  <c r="AA719" i="4"/>
  <c r="AE719" i="4" s="1"/>
  <c r="R719" i="4"/>
  <c r="S719" i="4" s="1"/>
  <c r="N719" i="4"/>
  <c r="O719" i="4" s="1"/>
  <c r="AA718" i="4"/>
  <c r="AE718" i="4" s="1"/>
  <c r="R718" i="4"/>
  <c r="S718" i="4" s="1"/>
  <c r="N718" i="4"/>
  <c r="O718" i="4" s="1"/>
  <c r="AA717" i="4"/>
  <c r="AE717" i="4" s="1"/>
  <c r="R717" i="4"/>
  <c r="S717" i="4" s="1"/>
  <c r="N717" i="4"/>
  <c r="O717" i="4" s="1"/>
  <c r="AA716" i="4"/>
  <c r="AE716" i="4" s="1"/>
  <c r="R716" i="4"/>
  <c r="S716" i="4" s="1"/>
  <c r="N716" i="4"/>
  <c r="O716" i="4" s="1"/>
  <c r="AA715" i="4"/>
  <c r="AE715" i="4" s="1"/>
  <c r="R715" i="4"/>
  <c r="S715" i="4" s="1"/>
  <c r="N715" i="4"/>
  <c r="O715" i="4" s="1"/>
  <c r="AA714" i="4"/>
  <c r="AE714" i="4" s="1"/>
  <c r="R714" i="4"/>
  <c r="S714" i="4" s="1"/>
  <c r="N714" i="4"/>
  <c r="O714" i="4" s="1"/>
  <c r="AA713" i="4"/>
  <c r="AE713" i="4" s="1"/>
  <c r="R713" i="4"/>
  <c r="S713" i="4" s="1"/>
  <c r="N713" i="4"/>
  <c r="O713" i="4" s="1"/>
  <c r="AA712" i="4"/>
  <c r="AE712" i="4" s="1"/>
  <c r="R712" i="4"/>
  <c r="S712" i="4" s="1"/>
  <c r="N712" i="4"/>
  <c r="O712" i="4" s="1"/>
  <c r="AA711" i="4"/>
  <c r="AE711" i="4" s="1"/>
  <c r="R711" i="4"/>
  <c r="S711" i="4" s="1"/>
  <c r="N711" i="4"/>
  <c r="O711" i="4" s="1"/>
  <c r="AA710" i="4"/>
  <c r="AE710" i="4" s="1"/>
  <c r="R710" i="4"/>
  <c r="S710" i="4" s="1"/>
  <c r="N710" i="4"/>
  <c r="O710" i="4" s="1"/>
  <c r="AA709" i="4"/>
  <c r="AE709" i="4" s="1"/>
  <c r="R709" i="4"/>
  <c r="S709" i="4" s="1"/>
  <c r="N709" i="4"/>
  <c r="O709" i="4" s="1"/>
  <c r="AA708" i="4"/>
  <c r="AE708" i="4" s="1"/>
  <c r="R708" i="4"/>
  <c r="N708" i="4"/>
  <c r="I707" i="4"/>
  <c r="AD703" i="4"/>
  <c r="M703" i="4"/>
  <c r="I703" i="4"/>
  <c r="E703" i="4"/>
  <c r="AA702" i="4"/>
  <c r="AE702" i="4" s="1"/>
  <c r="R702" i="4"/>
  <c r="S702" i="4" s="1"/>
  <c r="N702" i="4"/>
  <c r="O702" i="4" s="1"/>
  <c r="J702" i="4"/>
  <c r="AA701" i="4"/>
  <c r="AE701" i="4" s="1"/>
  <c r="R701" i="4"/>
  <c r="S701" i="4" s="1"/>
  <c r="N701" i="4"/>
  <c r="O701" i="4" s="1"/>
  <c r="J701" i="4"/>
  <c r="K701" i="4" s="1"/>
  <c r="AA700" i="4"/>
  <c r="AE700" i="4" s="1"/>
  <c r="R700" i="4"/>
  <c r="S700" i="4" s="1"/>
  <c r="N700" i="4"/>
  <c r="O700" i="4" s="1"/>
  <c r="J700" i="4"/>
  <c r="AA699" i="4"/>
  <c r="AE699" i="4" s="1"/>
  <c r="R699" i="4"/>
  <c r="S699" i="4" s="1"/>
  <c r="N699" i="4"/>
  <c r="O699" i="4" s="1"/>
  <c r="J699" i="4"/>
  <c r="AH699" i="4" s="1"/>
  <c r="AA698" i="4"/>
  <c r="AE698" i="4" s="1"/>
  <c r="R698" i="4"/>
  <c r="S698" i="4" s="1"/>
  <c r="N698" i="4"/>
  <c r="O698" i="4" s="1"/>
  <c r="J698" i="4"/>
  <c r="AA697" i="4"/>
  <c r="AE697" i="4" s="1"/>
  <c r="R697" i="4"/>
  <c r="S697" i="4" s="1"/>
  <c r="N697" i="4"/>
  <c r="O697" i="4" s="1"/>
  <c r="J697" i="4"/>
  <c r="K697" i="4" s="1"/>
  <c r="AA696" i="4"/>
  <c r="AE696" i="4" s="1"/>
  <c r="R696" i="4"/>
  <c r="S696" i="4" s="1"/>
  <c r="N696" i="4"/>
  <c r="O696" i="4" s="1"/>
  <c r="J696" i="4"/>
  <c r="AA695" i="4"/>
  <c r="AE695" i="4" s="1"/>
  <c r="R695" i="4"/>
  <c r="S695" i="4" s="1"/>
  <c r="N695" i="4"/>
  <c r="O695" i="4" s="1"/>
  <c r="J695" i="4"/>
  <c r="AA694" i="4"/>
  <c r="AE694" i="4" s="1"/>
  <c r="R694" i="4"/>
  <c r="S694" i="4" s="1"/>
  <c r="N694" i="4"/>
  <c r="J694" i="4"/>
  <c r="AA693" i="4"/>
  <c r="AE693" i="4" s="1"/>
  <c r="R693" i="4"/>
  <c r="S693" i="4" s="1"/>
  <c r="N693" i="4"/>
  <c r="O693" i="4" s="1"/>
  <c r="J693" i="4"/>
  <c r="K693" i="4" s="1"/>
  <c r="AC690" i="4"/>
  <c r="AB690" i="4"/>
  <c r="AD688" i="4"/>
  <c r="I688" i="4"/>
  <c r="E688" i="4"/>
  <c r="D688" i="4"/>
  <c r="D690" i="4" s="1"/>
  <c r="AA687" i="4"/>
  <c r="S687" i="4"/>
  <c r="S688" i="4" s="1"/>
  <c r="Q687" i="4"/>
  <c r="Q688" i="4" s="1"/>
  <c r="Q690" i="4" s="1"/>
  <c r="N687" i="4"/>
  <c r="N688" i="4" s="1"/>
  <c r="J687" i="4"/>
  <c r="AH687" i="4" s="1"/>
  <c r="AH688" i="4" s="1"/>
  <c r="AD684" i="4"/>
  <c r="M684" i="4"/>
  <c r="M690" i="4" s="1"/>
  <c r="I684" i="4"/>
  <c r="E684" i="4"/>
  <c r="AA683" i="4"/>
  <c r="AE683" i="4" s="1"/>
  <c r="R683" i="4"/>
  <c r="S683" i="4" s="1"/>
  <c r="N683" i="4"/>
  <c r="O683" i="4" s="1"/>
  <c r="J683" i="4"/>
  <c r="AA682" i="4"/>
  <c r="AE682" i="4" s="1"/>
  <c r="R682" i="4"/>
  <c r="S682" i="4" s="1"/>
  <c r="N682" i="4"/>
  <c r="O682" i="4" s="1"/>
  <c r="J682" i="4"/>
  <c r="AA681" i="4"/>
  <c r="AE681" i="4" s="1"/>
  <c r="R681" i="4"/>
  <c r="S681" i="4" s="1"/>
  <c r="N681" i="4"/>
  <c r="O681" i="4" s="1"/>
  <c r="J681" i="4"/>
  <c r="AA680" i="4"/>
  <c r="AE680" i="4" s="1"/>
  <c r="R680" i="4"/>
  <c r="S680" i="4" s="1"/>
  <c r="N680" i="4"/>
  <c r="O680" i="4" s="1"/>
  <c r="J680" i="4"/>
  <c r="AA679" i="4"/>
  <c r="AE679" i="4" s="1"/>
  <c r="R679" i="4"/>
  <c r="S679" i="4" s="1"/>
  <c r="N679" i="4"/>
  <c r="O679" i="4" s="1"/>
  <c r="J679" i="4"/>
  <c r="AA678" i="4"/>
  <c r="AE678" i="4" s="1"/>
  <c r="R678" i="4"/>
  <c r="S678" i="4" s="1"/>
  <c r="N678" i="4"/>
  <c r="O678" i="4" s="1"/>
  <c r="J678" i="4"/>
  <c r="AA677" i="4"/>
  <c r="AE677" i="4" s="1"/>
  <c r="R677" i="4"/>
  <c r="S677" i="4" s="1"/>
  <c r="N677" i="4"/>
  <c r="O677" i="4" s="1"/>
  <c r="J677" i="4"/>
  <c r="AA676" i="4"/>
  <c r="AE676" i="4" s="1"/>
  <c r="R676" i="4"/>
  <c r="S676" i="4" s="1"/>
  <c r="N676" i="4"/>
  <c r="O676" i="4" s="1"/>
  <c r="J676" i="4"/>
  <c r="AA675" i="4"/>
  <c r="AE675" i="4" s="1"/>
  <c r="R675" i="4"/>
  <c r="S675" i="4" s="1"/>
  <c r="N675" i="4"/>
  <c r="O675" i="4" s="1"/>
  <c r="J675" i="4"/>
  <c r="AA674" i="4"/>
  <c r="AE674" i="4" s="1"/>
  <c r="R674" i="4"/>
  <c r="S674" i="4" s="1"/>
  <c r="N674" i="4"/>
  <c r="O674" i="4" s="1"/>
  <c r="J674" i="4"/>
  <c r="AA673" i="4"/>
  <c r="AE673" i="4" s="1"/>
  <c r="R673" i="4"/>
  <c r="S673" i="4" s="1"/>
  <c r="N673" i="4"/>
  <c r="O673" i="4" s="1"/>
  <c r="J673" i="4"/>
  <c r="AA672" i="4"/>
  <c r="AE672" i="4" s="1"/>
  <c r="R672" i="4"/>
  <c r="S672" i="4" s="1"/>
  <c r="N672" i="4"/>
  <c r="O672" i="4" s="1"/>
  <c r="J672" i="4"/>
  <c r="AA671" i="4"/>
  <c r="AE671" i="4" s="1"/>
  <c r="R671" i="4"/>
  <c r="S671" i="4" s="1"/>
  <c r="N671" i="4"/>
  <c r="O671" i="4" s="1"/>
  <c r="J671" i="4"/>
  <c r="AA670" i="4"/>
  <c r="AE670" i="4" s="1"/>
  <c r="R670" i="4"/>
  <c r="S670" i="4" s="1"/>
  <c r="N670" i="4"/>
  <c r="O670" i="4" s="1"/>
  <c r="J670" i="4"/>
  <c r="AA669" i="4"/>
  <c r="AE669" i="4" s="1"/>
  <c r="R669" i="4"/>
  <c r="S669" i="4" s="1"/>
  <c r="N669" i="4"/>
  <c r="O669" i="4" s="1"/>
  <c r="J669" i="4"/>
  <c r="AA668" i="4"/>
  <c r="AE668" i="4" s="1"/>
  <c r="R668" i="4"/>
  <c r="S668" i="4" s="1"/>
  <c r="N668" i="4"/>
  <c r="O668" i="4" s="1"/>
  <c r="J668" i="4"/>
  <c r="AA667" i="4"/>
  <c r="AE667" i="4" s="1"/>
  <c r="R667" i="4"/>
  <c r="S667" i="4" s="1"/>
  <c r="N667" i="4"/>
  <c r="O667" i="4" s="1"/>
  <c r="J667" i="4"/>
  <c r="AA666" i="4"/>
  <c r="AE666" i="4" s="1"/>
  <c r="R666" i="4"/>
  <c r="S666" i="4" s="1"/>
  <c r="N666" i="4"/>
  <c r="O666" i="4" s="1"/>
  <c r="J666" i="4"/>
  <c r="AA665" i="4"/>
  <c r="AE665" i="4" s="1"/>
  <c r="R665" i="4"/>
  <c r="S665" i="4" s="1"/>
  <c r="N665" i="4"/>
  <c r="O665" i="4" s="1"/>
  <c r="J665" i="4"/>
  <c r="AA664" i="4"/>
  <c r="AE664" i="4" s="1"/>
  <c r="R664" i="4"/>
  <c r="S664" i="4" s="1"/>
  <c r="N664" i="4"/>
  <c r="O664" i="4" s="1"/>
  <c r="J664" i="4"/>
  <c r="AA663" i="4"/>
  <c r="AE663" i="4" s="1"/>
  <c r="R663" i="4"/>
  <c r="S663" i="4" s="1"/>
  <c r="N663" i="4"/>
  <c r="O663" i="4" s="1"/>
  <c r="J663" i="4"/>
  <c r="AA662" i="4"/>
  <c r="AE662" i="4" s="1"/>
  <c r="R662" i="4"/>
  <c r="S662" i="4" s="1"/>
  <c r="N662" i="4"/>
  <c r="O662" i="4" s="1"/>
  <c r="J662" i="4"/>
  <c r="AA661" i="4"/>
  <c r="AE661" i="4" s="1"/>
  <c r="R661" i="4"/>
  <c r="S661" i="4" s="1"/>
  <c r="N661" i="4"/>
  <c r="O661" i="4" s="1"/>
  <c r="J661" i="4"/>
  <c r="AA660" i="4"/>
  <c r="AE660" i="4" s="1"/>
  <c r="R660" i="4"/>
  <c r="S660" i="4" s="1"/>
  <c r="N660" i="4"/>
  <c r="O660" i="4" s="1"/>
  <c r="J660" i="4"/>
  <c r="AA659" i="4"/>
  <c r="AE659" i="4" s="1"/>
  <c r="R659" i="4"/>
  <c r="S659" i="4" s="1"/>
  <c r="N659" i="4"/>
  <c r="O659" i="4" s="1"/>
  <c r="J659" i="4"/>
  <c r="AA658" i="4"/>
  <c r="AE658" i="4" s="1"/>
  <c r="R658" i="4"/>
  <c r="S658" i="4" s="1"/>
  <c r="N658" i="4"/>
  <c r="O658" i="4" s="1"/>
  <c r="J658" i="4"/>
  <c r="AA657" i="4"/>
  <c r="AE657" i="4" s="1"/>
  <c r="R657" i="4"/>
  <c r="S657" i="4" s="1"/>
  <c r="N657" i="4"/>
  <c r="O657" i="4" s="1"/>
  <c r="J657" i="4"/>
  <c r="AA656" i="4"/>
  <c r="AE656" i="4" s="1"/>
  <c r="R656" i="4"/>
  <c r="S656" i="4" s="1"/>
  <c r="N656" i="4"/>
  <c r="O656" i="4" s="1"/>
  <c r="J656" i="4"/>
  <c r="AA655" i="4"/>
  <c r="AE655" i="4" s="1"/>
  <c r="R655" i="4"/>
  <c r="S655" i="4" s="1"/>
  <c r="N655" i="4"/>
  <c r="O655" i="4" s="1"/>
  <c r="J655" i="4"/>
  <c r="AA654" i="4"/>
  <c r="AE654" i="4" s="1"/>
  <c r="R654" i="4"/>
  <c r="S654" i="4" s="1"/>
  <c r="N654" i="4"/>
  <c r="O654" i="4" s="1"/>
  <c r="J654" i="4"/>
  <c r="AA653" i="4"/>
  <c r="AE653" i="4" s="1"/>
  <c r="R653" i="4"/>
  <c r="S653" i="4" s="1"/>
  <c r="N653" i="4"/>
  <c r="O653" i="4" s="1"/>
  <c r="J653" i="4"/>
  <c r="AA652" i="4"/>
  <c r="AE652" i="4" s="1"/>
  <c r="R652" i="4"/>
  <c r="S652" i="4" s="1"/>
  <c r="N652" i="4"/>
  <c r="O652" i="4" s="1"/>
  <c r="J652" i="4"/>
  <c r="AA651" i="4"/>
  <c r="AE651" i="4" s="1"/>
  <c r="R651" i="4"/>
  <c r="S651" i="4" s="1"/>
  <c r="N651" i="4"/>
  <c r="O651" i="4" s="1"/>
  <c r="J651" i="4"/>
  <c r="AA650" i="4"/>
  <c r="AE650" i="4" s="1"/>
  <c r="R650" i="4"/>
  <c r="S650" i="4" s="1"/>
  <c r="N650" i="4"/>
  <c r="O650" i="4" s="1"/>
  <c r="J650" i="4"/>
  <c r="AA649" i="4"/>
  <c r="AE649" i="4" s="1"/>
  <c r="R649" i="4"/>
  <c r="S649" i="4" s="1"/>
  <c r="N649" i="4"/>
  <c r="O649" i="4" s="1"/>
  <c r="J649" i="4"/>
  <c r="AA648" i="4"/>
  <c r="AE648" i="4" s="1"/>
  <c r="R648" i="4"/>
  <c r="S648" i="4" s="1"/>
  <c r="N648" i="4"/>
  <c r="O648" i="4" s="1"/>
  <c r="J648" i="4"/>
  <c r="AA647" i="4"/>
  <c r="AE647" i="4" s="1"/>
  <c r="R647" i="4"/>
  <c r="S647" i="4" s="1"/>
  <c r="N647" i="4"/>
  <c r="O647" i="4" s="1"/>
  <c r="J647" i="4"/>
  <c r="AA646" i="4"/>
  <c r="AE646" i="4" s="1"/>
  <c r="R646" i="4"/>
  <c r="S646" i="4" s="1"/>
  <c r="N646" i="4"/>
  <c r="O646" i="4" s="1"/>
  <c r="J646" i="4"/>
  <c r="AA645" i="4"/>
  <c r="AE645" i="4" s="1"/>
  <c r="R645" i="4"/>
  <c r="S645" i="4" s="1"/>
  <c r="N645" i="4"/>
  <c r="O645" i="4" s="1"/>
  <c r="J645" i="4"/>
  <c r="AA644" i="4"/>
  <c r="AE644" i="4" s="1"/>
  <c r="R644" i="4"/>
  <c r="S644" i="4" s="1"/>
  <c r="N644" i="4"/>
  <c r="O644" i="4" s="1"/>
  <c r="J644" i="4"/>
  <c r="AA643" i="4"/>
  <c r="AE643" i="4" s="1"/>
  <c r="R643" i="4"/>
  <c r="S643" i="4" s="1"/>
  <c r="N643" i="4"/>
  <c r="O643" i="4" s="1"/>
  <c r="J643" i="4"/>
  <c r="AA642" i="4"/>
  <c r="AE642" i="4" s="1"/>
  <c r="R642" i="4"/>
  <c r="S642" i="4" s="1"/>
  <c r="N642" i="4"/>
  <c r="O642" i="4" s="1"/>
  <c r="J642" i="4"/>
  <c r="AA641" i="4"/>
  <c r="AE641" i="4" s="1"/>
  <c r="R641" i="4"/>
  <c r="S641" i="4" s="1"/>
  <c r="N641" i="4"/>
  <c r="O641" i="4" s="1"/>
  <c r="J641" i="4"/>
  <c r="AA640" i="4"/>
  <c r="AE640" i="4" s="1"/>
  <c r="R640" i="4"/>
  <c r="S640" i="4" s="1"/>
  <c r="N640" i="4"/>
  <c r="O640" i="4" s="1"/>
  <c r="J640" i="4"/>
  <c r="AA639" i="4"/>
  <c r="AE639" i="4" s="1"/>
  <c r="R639" i="4"/>
  <c r="S639" i="4" s="1"/>
  <c r="N639" i="4"/>
  <c r="O639" i="4" s="1"/>
  <c r="J639" i="4"/>
  <c r="AA638" i="4"/>
  <c r="AE638" i="4" s="1"/>
  <c r="R638" i="4"/>
  <c r="S638" i="4" s="1"/>
  <c r="N638" i="4"/>
  <c r="O638" i="4" s="1"/>
  <c r="J638" i="4"/>
  <c r="AA637" i="4"/>
  <c r="AE637" i="4" s="1"/>
  <c r="R637" i="4"/>
  <c r="S637" i="4" s="1"/>
  <c r="N637" i="4"/>
  <c r="O637" i="4" s="1"/>
  <c r="J637" i="4"/>
  <c r="AA636" i="4"/>
  <c r="AE636" i="4" s="1"/>
  <c r="R636" i="4"/>
  <c r="S636" i="4" s="1"/>
  <c r="N636" i="4"/>
  <c r="O636" i="4" s="1"/>
  <c r="J636" i="4"/>
  <c r="AA635" i="4"/>
  <c r="AE635" i="4" s="1"/>
  <c r="R635" i="4"/>
  <c r="S635" i="4" s="1"/>
  <c r="N635" i="4"/>
  <c r="O635" i="4" s="1"/>
  <c r="J635" i="4"/>
  <c r="AA634" i="4"/>
  <c r="AE634" i="4" s="1"/>
  <c r="R634" i="4"/>
  <c r="S634" i="4" s="1"/>
  <c r="N634" i="4"/>
  <c r="O634" i="4" s="1"/>
  <c r="J634" i="4"/>
  <c r="AA633" i="4"/>
  <c r="AE633" i="4" s="1"/>
  <c r="R633" i="4"/>
  <c r="S633" i="4" s="1"/>
  <c r="N633" i="4"/>
  <c r="O633" i="4" s="1"/>
  <c r="J633" i="4"/>
  <c r="AA632" i="4"/>
  <c r="AE632" i="4" s="1"/>
  <c r="R632" i="4"/>
  <c r="S632" i="4" s="1"/>
  <c r="N632" i="4"/>
  <c r="O632" i="4" s="1"/>
  <c r="J632" i="4"/>
  <c r="AA631" i="4"/>
  <c r="AE631" i="4" s="1"/>
  <c r="R631" i="4"/>
  <c r="S631" i="4" s="1"/>
  <c r="N631" i="4"/>
  <c r="O631" i="4" s="1"/>
  <c r="J631" i="4"/>
  <c r="K631" i="4" s="1"/>
  <c r="AA630" i="4"/>
  <c r="AE630" i="4" s="1"/>
  <c r="R630" i="4"/>
  <c r="S630" i="4" s="1"/>
  <c r="N630" i="4"/>
  <c r="O630" i="4" s="1"/>
  <c r="J630" i="4"/>
  <c r="AA629" i="4"/>
  <c r="AE629" i="4" s="1"/>
  <c r="R629" i="4"/>
  <c r="S629" i="4" s="1"/>
  <c r="N629" i="4"/>
  <c r="O629" i="4" s="1"/>
  <c r="J629" i="4"/>
  <c r="K629" i="4" s="1"/>
  <c r="AG629" i="4" s="1"/>
  <c r="AA628" i="4"/>
  <c r="AE628" i="4" s="1"/>
  <c r="R628" i="4"/>
  <c r="S628" i="4" s="1"/>
  <c r="N628" i="4"/>
  <c r="O628" i="4" s="1"/>
  <c r="J628" i="4"/>
  <c r="AA627" i="4"/>
  <c r="AE627" i="4" s="1"/>
  <c r="R627" i="4"/>
  <c r="S627" i="4" s="1"/>
  <c r="N627" i="4"/>
  <c r="O627" i="4" s="1"/>
  <c r="J627" i="4"/>
  <c r="K627" i="4" s="1"/>
  <c r="AA626" i="4"/>
  <c r="AE626" i="4" s="1"/>
  <c r="R626" i="4"/>
  <c r="S626" i="4" s="1"/>
  <c r="N626" i="4"/>
  <c r="O626" i="4" s="1"/>
  <c r="J626" i="4"/>
  <c r="AA625" i="4"/>
  <c r="AE625" i="4" s="1"/>
  <c r="R625" i="4"/>
  <c r="S625" i="4" s="1"/>
  <c r="N625" i="4"/>
  <c r="O625" i="4" s="1"/>
  <c r="J625" i="4"/>
  <c r="AA624" i="4"/>
  <c r="AE624" i="4" s="1"/>
  <c r="R624" i="4"/>
  <c r="S624" i="4" s="1"/>
  <c r="N624" i="4"/>
  <c r="O624" i="4" s="1"/>
  <c r="J624" i="4"/>
  <c r="AA623" i="4"/>
  <c r="AE623" i="4" s="1"/>
  <c r="R623" i="4"/>
  <c r="S623" i="4" s="1"/>
  <c r="N623" i="4"/>
  <c r="O623" i="4" s="1"/>
  <c r="J623" i="4"/>
  <c r="AA622" i="4"/>
  <c r="AE622" i="4" s="1"/>
  <c r="R622" i="4"/>
  <c r="S622" i="4" s="1"/>
  <c r="N622" i="4"/>
  <c r="O622" i="4" s="1"/>
  <c r="J622" i="4"/>
  <c r="AA621" i="4"/>
  <c r="AE621" i="4" s="1"/>
  <c r="R621" i="4"/>
  <c r="S621" i="4" s="1"/>
  <c r="N621" i="4"/>
  <c r="O621" i="4" s="1"/>
  <c r="J621" i="4"/>
  <c r="K621" i="4" s="1"/>
  <c r="AG621" i="4" s="1"/>
  <c r="AA620" i="4"/>
  <c r="AE620" i="4" s="1"/>
  <c r="R620" i="4"/>
  <c r="S620" i="4" s="1"/>
  <c r="N620" i="4"/>
  <c r="O620" i="4" s="1"/>
  <c r="J620" i="4"/>
  <c r="AA619" i="4"/>
  <c r="AE619" i="4" s="1"/>
  <c r="R619" i="4"/>
  <c r="S619" i="4" s="1"/>
  <c r="N619" i="4"/>
  <c r="O619" i="4" s="1"/>
  <c r="J619" i="4"/>
  <c r="AA618" i="4"/>
  <c r="AE618" i="4" s="1"/>
  <c r="R618" i="4"/>
  <c r="S618" i="4" s="1"/>
  <c r="N618" i="4"/>
  <c r="O618" i="4" s="1"/>
  <c r="J618" i="4"/>
  <c r="AA617" i="4"/>
  <c r="AE617" i="4" s="1"/>
  <c r="R617" i="4"/>
  <c r="S617" i="4" s="1"/>
  <c r="N617" i="4"/>
  <c r="O617" i="4" s="1"/>
  <c r="J617" i="4"/>
  <c r="AA616" i="4"/>
  <c r="AE616" i="4" s="1"/>
  <c r="R616" i="4"/>
  <c r="S616" i="4" s="1"/>
  <c r="N616" i="4"/>
  <c r="O616" i="4" s="1"/>
  <c r="J616" i="4"/>
  <c r="AH616" i="4" s="1"/>
  <c r="AA615" i="4"/>
  <c r="AE615" i="4" s="1"/>
  <c r="R615" i="4"/>
  <c r="S615" i="4" s="1"/>
  <c r="N615" i="4"/>
  <c r="O615" i="4" s="1"/>
  <c r="J615" i="4"/>
  <c r="AA614" i="4"/>
  <c r="AE614" i="4" s="1"/>
  <c r="R614" i="4"/>
  <c r="S614" i="4" s="1"/>
  <c r="N614" i="4"/>
  <c r="O614" i="4" s="1"/>
  <c r="J614" i="4"/>
  <c r="AH614" i="4" s="1"/>
  <c r="AA613" i="4"/>
  <c r="AE613" i="4" s="1"/>
  <c r="R613" i="4"/>
  <c r="S613" i="4" s="1"/>
  <c r="N613" i="4"/>
  <c r="O613" i="4" s="1"/>
  <c r="J613" i="4"/>
  <c r="AA612" i="4"/>
  <c r="AE612" i="4" s="1"/>
  <c r="R612" i="4"/>
  <c r="S612" i="4" s="1"/>
  <c r="N612" i="4"/>
  <c r="O612" i="4" s="1"/>
  <c r="J612" i="4"/>
  <c r="AA611" i="4"/>
  <c r="AE611" i="4" s="1"/>
  <c r="R611" i="4"/>
  <c r="S611" i="4" s="1"/>
  <c r="N611" i="4"/>
  <c r="O611" i="4" s="1"/>
  <c r="J611" i="4"/>
  <c r="AA610" i="4"/>
  <c r="AE610" i="4" s="1"/>
  <c r="R610" i="4"/>
  <c r="S610" i="4" s="1"/>
  <c r="N610" i="4"/>
  <c r="O610" i="4" s="1"/>
  <c r="J610" i="4"/>
  <c r="AA609" i="4"/>
  <c r="AE609" i="4" s="1"/>
  <c r="R609" i="4"/>
  <c r="S609" i="4" s="1"/>
  <c r="N609" i="4"/>
  <c r="O609" i="4" s="1"/>
  <c r="J609" i="4"/>
  <c r="AA608" i="4"/>
  <c r="AE608" i="4" s="1"/>
  <c r="R608" i="4"/>
  <c r="S608" i="4" s="1"/>
  <c r="N608" i="4"/>
  <c r="O608" i="4" s="1"/>
  <c r="J608" i="4"/>
  <c r="AH608" i="4" s="1"/>
  <c r="AA607" i="4"/>
  <c r="AE607" i="4" s="1"/>
  <c r="R607" i="4"/>
  <c r="S607" i="4" s="1"/>
  <c r="N607" i="4"/>
  <c r="O607" i="4" s="1"/>
  <c r="J607" i="4"/>
  <c r="AA606" i="4"/>
  <c r="AE606" i="4" s="1"/>
  <c r="R606" i="4"/>
  <c r="S606" i="4" s="1"/>
  <c r="N606" i="4"/>
  <c r="O606" i="4" s="1"/>
  <c r="J606" i="4"/>
  <c r="AA605" i="4"/>
  <c r="AE605" i="4" s="1"/>
  <c r="R605" i="4"/>
  <c r="S605" i="4" s="1"/>
  <c r="N605" i="4"/>
  <c r="O605" i="4" s="1"/>
  <c r="J605" i="4"/>
  <c r="AA604" i="4"/>
  <c r="AE604" i="4" s="1"/>
  <c r="R604" i="4"/>
  <c r="S604" i="4" s="1"/>
  <c r="N604" i="4"/>
  <c r="O604" i="4" s="1"/>
  <c r="J604" i="4"/>
  <c r="AA603" i="4"/>
  <c r="AE603" i="4" s="1"/>
  <c r="R603" i="4"/>
  <c r="S603" i="4" s="1"/>
  <c r="N603" i="4"/>
  <c r="O603" i="4" s="1"/>
  <c r="J603" i="4"/>
  <c r="AA602" i="4"/>
  <c r="AE602" i="4" s="1"/>
  <c r="R602" i="4"/>
  <c r="S602" i="4" s="1"/>
  <c r="N602" i="4"/>
  <c r="O602" i="4" s="1"/>
  <c r="J602" i="4"/>
  <c r="AH602" i="4" s="1"/>
  <c r="AA601" i="4"/>
  <c r="AE601" i="4" s="1"/>
  <c r="R601" i="4"/>
  <c r="S601" i="4" s="1"/>
  <c r="N601" i="4"/>
  <c r="O601" i="4" s="1"/>
  <c r="J601" i="4"/>
  <c r="AA600" i="4"/>
  <c r="AE600" i="4" s="1"/>
  <c r="R600" i="4"/>
  <c r="S600" i="4" s="1"/>
  <c r="N600" i="4"/>
  <c r="O600" i="4" s="1"/>
  <c r="J600" i="4"/>
  <c r="AH600" i="4" s="1"/>
  <c r="AA599" i="4"/>
  <c r="AE599" i="4" s="1"/>
  <c r="R599" i="4"/>
  <c r="S599" i="4" s="1"/>
  <c r="N599" i="4"/>
  <c r="O599" i="4" s="1"/>
  <c r="J599" i="4"/>
  <c r="AA598" i="4"/>
  <c r="AE598" i="4" s="1"/>
  <c r="R598" i="4"/>
  <c r="S598" i="4" s="1"/>
  <c r="N598" i="4"/>
  <c r="O598" i="4" s="1"/>
  <c r="J598" i="4"/>
  <c r="AA597" i="4"/>
  <c r="AE597" i="4" s="1"/>
  <c r="R597" i="4"/>
  <c r="S597" i="4" s="1"/>
  <c r="N597" i="4"/>
  <c r="O597" i="4" s="1"/>
  <c r="J597" i="4"/>
  <c r="AA596" i="4"/>
  <c r="AE596" i="4" s="1"/>
  <c r="R596" i="4"/>
  <c r="S596" i="4" s="1"/>
  <c r="N596" i="4"/>
  <c r="O596" i="4" s="1"/>
  <c r="J596" i="4"/>
  <c r="AH596" i="4" s="1"/>
  <c r="AA595" i="4"/>
  <c r="AE595" i="4" s="1"/>
  <c r="R595" i="4"/>
  <c r="S595" i="4" s="1"/>
  <c r="N595" i="4"/>
  <c r="O595" i="4" s="1"/>
  <c r="J595" i="4"/>
  <c r="AA594" i="4"/>
  <c r="AE594" i="4" s="1"/>
  <c r="R594" i="4"/>
  <c r="S594" i="4" s="1"/>
  <c r="N594" i="4"/>
  <c r="O594" i="4" s="1"/>
  <c r="J594" i="4"/>
  <c r="AA593" i="4"/>
  <c r="AE593" i="4" s="1"/>
  <c r="R593" i="4"/>
  <c r="S593" i="4" s="1"/>
  <c r="N593" i="4"/>
  <c r="O593" i="4" s="1"/>
  <c r="J593" i="4"/>
  <c r="AA592" i="4"/>
  <c r="AE592" i="4" s="1"/>
  <c r="R592" i="4"/>
  <c r="S592" i="4" s="1"/>
  <c r="N592" i="4"/>
  <c r="O592" i="4" s="1"/>
  <c r="J592" i="4"/>
  <c r="AA591" i="4"/>
  <c r="AE591" i="4" s="1"/>
  <c r="R591" i="4"/>
  <c r="S591" i="4" s="1"/>
  <c r="N591" i="4"/>
  <c r="O591" i="4" s="1"/>
  <c r="J591" i="4"/>
  <c r="AA590" i="4"/>
  <c r="AE590" i="4" s="1"/>
  <c r="R590" i="4"/>
  <c r="S590" i="4" s="1"/>
  <c r="N590" i="4"/>
  <c r="O590" i="4" s="1"/>
  <c r="J590" i="4"/>
  <c r="AA589" i="4"/>
  <c r="AE589" i="4" s="1"/>
  <c r="R589" i="4"/>
  <c r="S589" i="4" s="1"/>
  <c r="N589" i="4"/>
  <c r="O589" i="4" s="1"/>
  <c r="J589" i="4"/>
  <c r="AH589" i="4" s="1"/>
  <c r="AA588" i="4"/>
  <c r="AE588" i="4" s="1"/>
  <c r="R588" i="4"/>
  <c r="S588" i="4" s="1"/>
  <c r="N588" i="4"/>
  <c r="O588" i="4" s="1"/>
  <c r="J588" i="4"/>
  <c r="AA587" i="4"/>
  <c r="AE587" i="4" s="1"/>
  <c r="R587" i="4"/>
  <c r="S587" i="4" s="1"/>
  <c r="N587" i="4"/>
  <c r="O587" i="4" s="1"/>
  <c r="J587" i="4"/>
  <c r="AH587" i="4" s="1"/>
  <c r="AA586" i="4"/>
  <c r="AE586" i="4" s="1"/>
  <c r="R586" i="4"/>
  <c r="S586" i="4" s="1"/>
  <c r="N586" i="4"/>
  <c r="O586" i="4" s="1"/>
  <c r="J586" i="4"/>
  <c r="K586" i="4" s="1"/>
  <c r="AA585" i="4"/>
  <c r="AE585" i="4" s="1"/>
  <c r="R585" i="4"/>
  <c r="S585" i="4" s="1"/>
  <c r="N585" i="4"/>
  <c r="O585" i="4" s="1"/>
  <c r="J585" i="4"/>
  <c r="AH585" i="4" s="1"/>
  <c r="AA584" i="4"/>
  <c r="AE584" i="4" s="1"/>
  <c r="R584" i="4"/>
  <c r="S584" i="4" s="1"/>
  <c r="N584" i="4"/>
  <c r="O584" i="4" s="1"/>
  <c r="J584" i="4"/>
  <c r="AA583" i="4"/>
  <c r="AE583" i="4" s="1"/>
  <c r="R583" i="4"/>
  <c r="S583" i="4" s="1"/>
  <c r="N583" i="4"/>
  <c r="O583" i="4" s="1"/>
  <c r="J583" i="4"/>
  <c r="AA582" i="4"/>
  <c r="AE582" i="4" s="1"/>
  <c r="R582" i="4"/>
  <c r="S582" i="4" s="1"/>
  <c r="N582" i="4"/>
  <c r="O582" i="4" s="1"/>
  <c r="J582" i="4"/>
  <c r="AA581" i="4"/>
  <c r="AE581" i="4" s="1"/>
  <c r="R581" i="4"/>
  <c r="S581" i="4" s="1"/>
  <c r="N581" i="4"/>
  <c r="O581" i="4" s="1"/>
  <c r="J581" i="4"/>
  <c r="AH581" i="4" s="1"/>
  <c r="AA580" i="4"/>
  <c r="AE580" i="4" s="1"/>
  <c r="R580" i="4"/>
  <c r="S580" i="4" s="1"/>
  <c r="N580" i="4"/>
  <c r="O580" i="4" s="1"/>
  <c r="J580" i="4"/>
  <c r="AA579" i="4"/>
  <c r="AE579" i="4" s="1"/>
  <c r="R579" i="4"/>
  <c r="S579" i="4" s="1"/>
  <c r="N579" i="4"/>
  <c r="O579" i="4" s="1"/>
  <c r="J579" i="4"/>
  <c r="K579" i="4" s="1"/>
  <c r="AA578" i="4"/>
  <c r="AE578" i="4" s="1"/>
  <c r="R578" i="4"/>
  <c r="S578" i="4" s="1"/>
  <c r="N578" i="4"/>
  <c r="O578" i="4" s="1"/>
  <c r="J578" i="4"/>
  <c r="AA577" i="4"/>
  <c r="AE577" i="4" s="1"/>
  <c r="R577" i="4"/>
  <c r="S577" i="4" s="1"/>
  <c r="N577" i="4"/>
  <c r="O577" i="4" s="1"/>
  <c r="J577" i="4"/>
  <c r="AH577" i="4" s="1"/>
  <c r="AA576" i="4"/>
  <c r="AE576" i="4" s="1"/>
  <c r="R576" i="4"/>
  <c r="S576" i="4" s="1"/>
  <c r="N576" i="4"/>
  <c r="O576" i="4" s="1"/>
  <c r="J576" i="4"/>
  <c r="AA575" i="4"/>
  <c r="AE575" i="4" s="1"/>
  <c r="R575" i="4"/>
  <c r="S575" i="4" s="1"/>
  <c r="N575" i="4"/>
  <c r="O575" i="4" s="1"/>
  <c r="J575" i="4"/>
  <c r="AA574" i="4"/>
  <c r="AE574" i="4" s="1"/>
  <c r="R574" i="4"/>
  <c r="S574" i="4" s="1"/>
  <c r="N574" i="4"/>
  <c r="O574" i="4" s="1"/>
  <c r="J574" i="4"/>
  <c r="K574" i="4" s="1"/>
  <c r="AA573" i="4"/>
  <c r="AE573" i="4" s="1"/>
  <c r="R573" i="4"/>
  <c r="S573" i="4" s="1"/>
  <c r="N573" i="4"/>
  <c r="O573" i="4" s="1"/>
  <c r="J573" i="4"/>
  <c r="AH573" i="4" s="1"/>
  <c r="AA572" i="4"/>
  <c r="AE572" i="4" s="1"/>
  <c r="R572" i="4"/>
  <c r="S572" i="4" s="1"/>
  <c r="N572" i="4"/>
  <c r="O572" i="4" s="1"/>
  <c r="J572" i="4"/>
  <c r="AA571" i="4"/>
  <c r="AE571" i="4" s="1"/>
  <c r="R571" i="4"/>
  <c r="S571" i="4" s="1"/>
  <c r="N571" i="4"/>
  <c r="O571" i="4" s="1"/>
  <c r="J571" i="4"/>
  <c r="AH571" i="4" s="1"/>
  <c r="AA570" i="4"/>
  <c r="AE570" i="4" s="1"/>
  <c r="R570" i="4"/>
  <c r="S570" i="4" s="1"/>
  <c r="N570" i="4"/>
  <c r="O570" i="4" s="1"/>
  <c r="J570" i="4"/>
  <c r="AA569" i="4"/>
  <c r="AE569" i="4" s="1"/>
  <c r="R569" i="4"/>
  <c r="S569" i="4" s="1"/>
  <c r="N569" i="4"/>
  <c r="O569" i="4" s="1"/>
  <c r="J569" i="4"/>
  <c r="AH569" i="4" s="1"/>
  <c r="AA568" i="4"/>
  <c r="AE568" i="4" s="1"/>
  <c r="R568" i="4"/>
  <c r="S568" i="4" s="1"/>
  <c r="N568" i="4"/>
  <c r="O568" i="4" s="1"/>
  <c r="J568" i="4"/>
  <c r="AH568" i="4" s="1"/>
  <c r="AA567" i="4"/>
  <c r="AE567" i="4" s="1"/>
  <c r="R567" i="4"/>
  <c r="S567" i="4" s="1"/>
  <c r="N567" i="4"/>
  <c r="O567" i="4" s="1"/>
  <c r="J567" i="4"/>
  <c r="AA566" i="4"/>
  <c r="AE566" i="4" s="1"/>
  <c r="R566" i="4"/>
  <c r="S566" i="4" s="1"/>
  <c r="N566" i="4"/>
  <c r="O566" i="4" s="1"/>
  <c r="J566" i="4"/>
  <c r="K566" i="4" s="1"/>
  <c r="AA565" i="4"/>
  <c r="AE565" i="4" s="1"/>
  <c r="R565" i="4"/>
  <c r="S565" i="4" s="1"/>
  <c r="N565" i="4"/>
  <c r="O565" i="4" s="1"/>
  <c r="J565" i="4"/>
  <c r="AH565" i="4" s="1"/>
  <c r="AA564" i="4"/>
  <c r="AE564" i="4" s="1"/>
  <c r="R564" i="4"/>
  <c r="S564" i="4" s="1"/>
  <c r="N564" i="4"/>
  <c r="O564" i="4" s="1"/>
  <c r="J564" i="4"/>
  <c r="K564" i="4" s="1"/>
  <c r="AA563" i="4"/>
  <c r="AE563" i="4" s="1"/>
  <c r="R563" i="4"/>
  <c r="S563" i="4" s="1"/>
  <c r="N563" i="4"/>
  <c r="O563" i="4" s="1"/>
  <c r="J563" i="4"/>
  <c r="K563" i="4" s="1"/>
  <c r="AA562" i="4"/>
  <c r="AE562" i="4" s="1"/>
  <c r="R562" i="4"/>
  <c r="S562" i="4" s="1"/>
  <c r="N562" i="4"/>
  <c r="O562" i="4" s="1"/>
  <c r="K562" i="4"/>
  <c r="J562" i="4"/>
  <c r="AH562" i="4" s="1"/>
  <c r="AA561" i="4"/>
  <c r="AE561" i="4" s="1"/>
  <c r="R561" i="4"/>
  <c r="S561" i="4" s="1"/>
  <c r="N561" i="4"/>
  <c r="O561" i="4" s="1"/>
  <c r="J561" i="4"/>
  <c r="AH561" i="4" s="1"/>
  <c r="AA560" i="4"/>
  <c r="AE560" i="4" s="1"/>
  <c r="R560" i="4"/>
  <c r="S560" i="4" s="1"/>
  <c r="N560" i="4"/>
  <c r="O560" i="4" s="1"/>
  <c r="J560" i="4"/>
  <c r="AH560" i="4" s="1"/>
  <c r="AA559" i="4"/>
  <c r="AE559" i="4" s="1"/>
  <c r="R559" i="4"/>
  <c r="S559" i="4" s="1"/>
  <c r="N559" i="4"/>
  <c r="O559" i="4" s="1"/>
  <c r="J559" i="4"/>
  <c r="AA558" i="4"/>
  <c r="AE558" i="4" s="1"/>
  <c r="R558" i="4"/>
  <c r="S558" i="4" s="1"/>
  <c r="N558" i="4"/>
  <c r="O558" i="4" s="1"/>
  <c r="J558" i="4"/>
  <c r="K558" i="4" s="1"/>
  <c r="AA557" i="4"/>
  <c r="AE557" i="4" s="1"/>
  <c r="R557" i="4"/>
  <c r="S557" i="4" s="1"/>
  <c r="N557" i="4"/>
  <c r="O557" i="4" s="1"/>
  <c r="J557" i="4"/>
  <c r="AH557" i="4" s="1"/>
  <c r="AA556" i="4"/>
  <c r="AE556" i="4" s="1"/>
  <c r="R556" i="4"/>
  <c r="S556" i="4" s="1"/>
  <c r="N556" i="4"/>
  <c r="O556" i="4" s="1"/>
  <c r="J556" i="4"/>
  <c r="AA555" i="4"/>
  <c r="AE555" i="4" s="1"/>
  <c r="R555" i="4"/>
  <c r="S555" i="4" s="1"/>
  <c r="N555" i="4"/>
  <c r="O555" i="4" s="1"/>
  <c r="J555" i="4"/>
  <c r="AH555" i="4" s="1"/>
  <c r="AA554" i="4"/>
  <c r="AE554" i="4" s="1"/>
  <c r="R554" i="4"/>
  <c r="S554" i="4" s="1"/>
  <c r="N554" i="4"/>
  <c r="O554" i="4" s="1"/>
  <c r="J554" i="4"/>
  <c r="AA553" i="4"/>
  <c r="AE553" i="4" s="1"/>
  <c r="R553" i="4"/>
  <c r="S553" i="4" s="1"/>
  <c r="N553" i="4"/>
  <c r="O553" i="4" s="1"/>
  <c r="J553" i="4"/>
  <c r="AH553" i="4" s="1"/>
  <c r="AA552" i="4"/>
  <c r="AE552" i="4" s="1"/>
  <c r="R552" i="4"/>
  <c r="S552" i="4" s="1"/>
  <c r="N552" i="4"/>
  <c r="O552" i="4" s="1"/>
  <c r="J552" i="4"/>
  <c r="AH552" i="4" s="1"/>
  <c r="AA551" i="4"/>
  <c r="AE551" i="4" s="1"/>
  <c r="R551" i="4"/>
  <c r="S551" i="4" s="1"/>
  <c r="N551" i="4"/>
  <c r="O551" i="4" s="1"/>
  <c r="J551" i="4"/>
  <c r="AA550" i="4"/>
  <c r="AE550" i="4" s="1"/>
  <c r="R550" i="4"/>
  <c r="S550" i="4" s="1"/>
  <c r="N550" i="4"/>
  <c r="O550" i="4" s="1"/>
  <c r="J550" i="4"/>
  <c r="K550" i="4" s="1"/>
  <c r="AA549" i="4"/>
  <c r="AE549" i="4" s="1"/>
  <c r="R549" i="4"/>
  <c r="S549" i="4" s="1"/>
  <c r="N549" i="4"/>
  <c r="O549" i="4" s="1"/>
  <c r="J549" i="4"/>
  <c r="AH549" i="4" s="1"/>
  <c r="AA548" i="4"/>
  <c r="AE548" i="4" s="1"/>
  <c r="R548" i="4"/>
  <c r="S548" i="4" s="1"/>
  <c r="N548" i="4"/>
  <c r="O548" i="4" s="1"/>
  <c r="J548" i="4"/>
  <c r="K548" i="4" s="1"/>
  <c r="AA547" i="4"/>
  <c r="AE547" i="4" s="1"/>
  <c r="R547" i="4"/>
  <c r="S547" i="4" s="1"/>
  <c r="N547" i="4"/>
  <c r="O547" i="4" s="1"/>
  <c r="J547" i="4"/>
  <c r="K547" i="4" s="1"/>
  <c r="AA546" i="4"/>
  <c r="AE546" i="4" s="1"/>
  <c r="R546" i="4"/>
  <c r="S546" i="4" s="1"/>
  <c r="N546" i="4"/>
  <c r="O546" i="4" s="1"/>
  <c r="J546" i="4"/>
  <c r="AH546" i="4" s="1"/>
  <c r="AA545" i="4"/>
  <c r="AE545" i="4" s="1"/>
  <c r="R545" i="4"/>
  <c r="S545" i="4" s="1"/>
  <c r="N545" i="4"/>
  <c r="O545" i="4" s="1"/>
  <c r="J545" i="4"/>
  <c r="AH545" i="4" s="1"/>
  <c r="AA544" i="4"/>
  <c r="AE544" i="4" s="1"/>
  <c r="R544" i="4"/>
  <c r="S544" i="4" s="1"/>
  <c r="N544" i="4"/>
  <c r="O544" i="4" s="1"/>
  <c r="J544" i="4"/>
  <c r="AH544" i="4" s="1"/>
  <c r="AA543" i="4"/>
  <c r="AE543" i="4" s="1"/>
  <c r="R543" i="4"/>
  <c r="S543" i="4" s="1"/>
  <c r="N543" i="4"/>
  <c r="O543" i="4" s="1"/>
  <c r="J543" i="4"/>
  <c r="AA542" i="4"/>
  <c r="AE542" i="4" s="1"/>
  <c r="R542" i="4"/>
  <c r="S542" i="4" s="1"/>
  <c r="N542" i="4"/>
  <c r="O542" i="4" s="1"/>
  <c r="J542" i="4"/>
  <c r="K542" i="4" s="1"/>
  <c r="AA541" i="4"/>
  <c r="AE541" i="4" s="1"/>
  <c r="R541" i="4"/>
  <c r="S541" i="4" s="1"/>
  <c r="N541" i="4"/>
  <c r="O541" i="4" s="1"/>
  <c r="J541" i="4"/>
  <c r="AH541" i="4" s="1"/>
  <c r="AA540" i="4"/>
  <c r="AE540" i="4" s="1"/>
  <c r="R540" i="4"/>
  <c r="S540" i="4" s="1"/>
  <c r="N540" i="4"/>
  <c r="O540" i="4" s="1"/>
  <c r="J540" i="4"/>
  <c r="AA539" i="4"/>
  <c r="AE539" i="4" s="1"/>
  <c r="R539" i="4"/>
  <c r="S539" i="4" s="1"/>
  <c r="N539" i="4"/>
  <c r="O539" i="4" s="1"/>
  <c r="J539" i="4"/>
  <c r="AA538" i="4"/>
  <c r="AE538" i="4" s="1"/>
  <c r="R538" i="4"/>
  <c r="S538" i="4" s="1"/>
  <c r="N538" i="4"/>
  <c r="O538" i="4" s="1"/>
  <c r="J538" i="4"/>
  <c r="AA537" i="4"/>
  <c r="AE537" i="4" s="1"/>
  <c r="R537" i="4"/>
  <c r="S537" i="4" s="1"/>
  <c r="N537" i="4"/>
  <c r="O537" i="4" s="1"/>
  <c r="J537" i="4"/>
  <c r="AH537" i="4" s="1"/>
  <c r="AA536" i="4"/>
  <c r="AE536" i="4" s="1"/>
  <c r="R536" i="4"/>
  <c r="S536" i="4" s="1"/>
  <c r="N536" i="4"/>
  <c r="O536" i="4" s="1"/>
  <c r="J536" i="4"/>
  <c r="AH536" i="4" s="1"/>
  <c r="AA535" i="4"/>
  <c r="AE535" i="4" s="1"/>
  <c r="R535" i="4"/>
  <c r="S535" i="4" s="1"/>
  <c r="N535" i="4"/>
  <c r="O535" i="4" s="1"/>
  <c r="J535" i="4"/>
  <c r="AA534" i="4"/>
  <c r="AE534" i="4" s="1"/>
  <c r="R534" i="4"/>
  <c r="S534" i="4" s="1"/>
  <c r="N534" i="4"/>
  <c r="O534" i="4" s="1"/>
  <c r="J534" i="4"/>
  <c r="K534" i="4" s="1"/>
  <c r="AA533" i="4"/>
  <c r="AE533" i="4" s="1"/>
  <c r="R533" i="4"/>
  <c r="S533" i="4" s="1"/>
  <c r="N533" i="4"/>
  <c r="O533" i="4" s="1"/>
  <c r="J533" i="4"/>
  <c r="AH533" i="4" s="1"/>
  <c r="AA532" i="4"/>
  <c r="AE532" i="4" s="1"/>
  <c r="R532" i="4"/>
  <c r="S532" i="4" s="1"/>
  <c r="N532" i="4"/>
  <c r="O532" i="4" s="1"/>
  <c r="J532" i="4"/>
  <c r="AA531" i="4"/>
  <c r="AE531" i="4" s="1"/>
  <c r="R531" i="4"/>
  <c r="S531" i="4" s="1"/>
  <c r="N531" i="4"/>
  <c r="O531" i="4" s="1"/>
  <c r="J531" i="4"/>
  <c r="AH531" i="4" s="1"/>
  <c r="AA530" i="4"/>
  <c r="AE530" i="4" s="1"/>
  <c r="R530" i="4"/>
  <c r="S530" i="4" s="1"/>
  <c r="N530" i="4"/>
  <c r="O530" i="4" s="1"/>
  <c r="J530" i="4"/>
  <c r="K530" i="4" s="1"/>
  <c r="AA529" i="4"/>
  <c r="AE529" i="4" s="1"/>
  <c r="R529" i="4"/>
  <c r="S529" i="4" s="1"/>
  <c r="N529" i="4"/>
  <c r="O529" i="4" s="1"/>
  <c r="J529" i="4"/>
  <c r="AH529" i="4" s="1"/>
  <c r="AA528" i="4"/>
  <c r="AE528" i="4" s="1"/>
  <c r="R528" i="4"/>
  <c r="S528" i="4" s="1"/>
  <c r="N528" i="4"/>
  <c r="O528" i="4" s="1"/>
  <c r="J528" i="4"/>
  <c r="AH528" i="4" s="1"/>
  <c r="AA527" i="4"/>
  <c r="AE527" i="4" s="1"/>
  <c r="R527" i="4"/>
  <c r="S527" i="4" s="1"/>
  <c r="N527" i="4"/>
  <c r="O527" i="4" s="1"/>
  <c r="J527" i="4"/>
  <c r="AA526" i="4"/>
  <c r="AE526" i="4" s="1"/>
  <c r="R526" i="4"/>
  <c r="S526" i="4" s="1"/>
  <c r="N526" i="4"/>
  <c r="O526" i="4" s="1"/>
  <c r="J526" i="4"/>
  <c r="AH526" i="4" s="1"/>
  <c r="AA525" i="4"/>
  <c r="AE525" i="4" s="1"/>
  <c r="R525" i="4"/>
  <c r="S525" i="4" s="1"/>
  <c r="N525" i="4"/>
  <c r="O525" i="4" s="1"/>
  <c r="J525" i="4"/>
  <c r="AA524" i="4"/>
  <c r="AE524" i="4" s="1"/>
  <c r="R524" i="4"/>
  <c r="S524" i="4" s="1"/>
  <c r="N524" i="4"/>
  <c r="O524" i="4" s="1"/>
  <c r="J524" i="4"/>
  <c r="AH524" i="4" s="1"/>
  <c r="AA523" i="4"/>
  <c r="AE523" i="4" s="1"/>
  <c r="R523" i="4"/>
  <c r="S523" i="4" s="1"/>
  <c r="N523" i="4"/>
  <c r="O523" i="4" s="1"/>
  <c r="J523" i="4"/>
  <c r="AA522" i="4"/>
  <c r="AE522" i="4" s="1"/>
  <c r="R522" i="4"/>
  <c r="S522" i="4" s="1"/>
  <c r="N522" i="4"/>
  <c r="O522" i="4" s="1"/>
  <c r="J522" i="4"/>
  <c r="AH522" i="4" s="1"/>
  <c r="AA521" i="4"/>
  <c r="AE521" i="4" s="1"/>
  <c r="R521" i="4"/>
  <c r="S521" i="4" s="1"/>
  <c r="N521" i="4"/>
  <c r="O521" i="4" s="1"/>
  <c r="J521" i="4"/>
  <c r="AH521" i="4" s="1"/>
  <c r="AA520" i="4"/>
  <c r="AE520" i="4" s="1"/>
  <c r="R520" i="4"/>
  <c r="S520" i="4" s="1"/>
  <c r="N520" i="4"/>
  <c r="O520" i="4" s="1"/>
  <c r="J520" i="4"/>
  <c r="AH520" i="4" s="1"/>
  <c r="AA519" i="4"/>
  <c r="AE519" i="4" s="1"/>
  <c r="R519" i="4"/>
  <c r="S519" i="4" s="1"/>
  <c r="N519" i="4"/>
  <c r="O519" i="4" s="1"/>
  <c r="J519" i="4"/>
  <c r="AA518" i="4"/>
  <c r="AE518" i="4" s="1"/>
  <c r="R518" i="4"/>
  <c r="S518" i="4" s="1"/>
  <c r="N518" i="4"/>
  <c r="O518" i="4" s="1"/>
  <c r="J518" i="4"/>
  <c r="AH518" i="4" s="1"/>
  <c r="AA517" i="4"/>
  <c r="AE517" i="4" s="1"/>
  <c r="R517" i="4"/>
  <c r="S517" i="4" s="1"/>
  <c r="N517" i="4"/>
  <c r="O517" i="4" s="1"/>
  <c r="J517" i="4"/>
  <c r="AA516" i="4"/>
  <c r="AE516" i="4" s="1"/>
  <c r="R516" i="4"/>
  <c r="S516" i="4" s="1"/>
  <c r="N516" i="4"/>
  <c r="O516" i="4" s="1"/>
  <c r="J516" i="4"/>
  <c r="AH516" i="4" s="1"/>
  <c r="AA515" i="4"/>
  <c r="AE515" i="4" s="1"/>
  <c r="R515" i="4"/>
  <c r="S515" i="4" s="1"/>
  <c r="N515" i="4"/>
  <c r="O515" i="4" s="1"/>
  <c r="J515" i="4"/>
  <c r="AH515" i="4" s="1"/>
  <c r="AA514" i="4"/>
  <c r="AE514" i="4" s="1"/>
  <c r="R514" i="4"/>
  <c r="S514" i="4" s="1"/>
  <c r="N514" i="4"/>
  <c r="O514" i="4" s="1"/>
  <c r="J514" i="4"/>
  <c r="AH514" i="4" s="1"/>
  <c r="AA513" i="4"/>
  <c r="AE513" i="4" s="1"/>
  <c r="R513" i="4"/>
  <c r="S513" i="4" s="1"/>
  <c r="N513" i="4"/>
  <c r="O513" i="4" s="1"/>
  <c r="J513" i="4"/>
  <c r="AA512" i="4"/>
  <c r="AE512" i="4" s="1"/>
  <c r="R512" i="4"/>
  <c r="S512" i="4" s="1"/>
  <c r="N512" i="4"/>
  <c r="O512" i="4" s="1"/>
  <c r="J512" i="4"/>
  <c r="AH512" i="4" s="1"/>
  <c r="AA511" i="4"/>
  <c r="AE511" i="4" s="1"/>
  <c r="R511" i="4"/>
  <c r="S511" i="4" s="1"/>
  <c r="N511" i="4"/>
  <c r="O511" i="4" s="1"/>
  <c r="J511" i="4"/>
  <c r="K511" i="4" s="1"/>
  <c r="AA510" i="4"/>
  <c r="AE510" i="4" s="1"/>
  <c r="R510" i="4"/>
  <c r="S510" i="4" s="1"/>
  <c r="N510" i="4"/>
  <c r="O510" i="4" s="1"/>
  <c r="J510" i="4"/>
  <c r="AH510" i="4" s="1"/>
  <c r="AA509" i="4"/>
  <c r="AE509" i="4" s="1"/>
  <c r="R509" i="4"/>
  <c r="S509" i="4" s="1"/>
  <c r="N509" i="4"/>
  <c r="O509" i="4" s="1"/>
  <c r="J509" i="4"/>
  <c r="AH509" i="4" s="1"/>
  <c r="AA508" i="4"/>
  <c r="AE508" i="4" s="1"/>
  <c r="R508" i="4"/>
  <c r="S508" i="4" s="1"/>
  <c r="N508" i="4"/>
  <c r="O508" i="4" s="1"/>
  <c r="J508" i="4"/>
  <c r="AH508" i="4" s="1"/>
  <c r="AA507" i="4"/>
  <c r="AE507" i="4" s="1"/>
  <c r="R507" i="4"/>
  <c r="S507" i="4" s="1"/>
  <c r="N507" i="4"/>
  <c r="O507" i="4" s="1"/>
  <c r="J507" i="4"/>
  <c r="AH507" i="4" s="1"/>
  <c r="AA506" i="4"/>
  <c r="AE506" i="4" s="1"/>
  <c r="R506" i="4"/>
  <c r="S506" i="4" s="1"/>
  <c r="N506" i="4"/>
  <c r="O506" i="4" s="1"/>
  <c r="J506" i="4"/>
  <c r="AH506" i="4" s="1"/>
  <c r="AA505" i="4"/>
  <c r="AE505" i="4" s="1"/>
  <c r="R505" i="4"/>
  <c r="S505" i="4" s="1"/>
  <c r="N505" i="4"/>
  <c r="O505" i="4" s="1"/>
  <c r="J505" i="4"/>
  <c r="AA504" i="4"/>
  <c r="AE504" i="4" s="1"/>
  <c r="R504" i="4"/>
  <c r="S504" i="4" s="1"/>
  <c r="N504" i="4"/>
  <c r="O504" i="4" s="1"/>
  <c r="J504" i="4"/>
  <c r="AH504" i="4" s="1"/>
  <c r="AA503" i="4"/>
  <c r="AE503" i="4" s="1"/>
  <c r="R503" i="4"/>
  <c r="S503" i="4" s="1"/>
  <c r="N503" i="4"/>
  <c r="O503" i="4" s="1"/>
  <c r="J503" i="4"/>
  <c r="K503" i="4" s="1"/>
  <c r="AA502" i="4"/>
  <c r="AE502" i="4" s="1"/>
  <c r="R502" i="4"/>
  <c r="S502" i="4" s="1"/>
  <c r="N502" i="4"/>
  <c r="O502" i="4" s="1"/>
  <c r="J502" i="4"/>
  <c r="AH502" i="4" s="1"/>
  <c r="AA501" i="4"/>
  <c r="AE501" i="4" s="1"/>
  <c r="R501" i="4"/>
  <c r="S501" i="4" s="1"/>
  <c r="N501" i="4"/>
  <c r="O501" i="4" s="1"/>
  <c r="J501" i="4"/>
  <c r="AH501" i="4" s="1"/>
  <c r="AA500" i="4"/>
  <c r="AE500" i="4" s="1"/>
  <c r="R500" i="4"/>
  <c r="S500" i="4" s="1"/>
  <c r="N500" i="4"/>
  <c r="O500" i="4" s="1"/>
  <c r="J500" i="4"/>
  <c r="AH500" i="4" s="1"/>
  <c r="AA499" i="4"/>
  <c r="AE499" i="4" s="1"/>
  <c r="R499" i="4"/>
  <c r="S499" i="4" s="1"/>
  <c r="N499" i="4"/>
  <c r="O499" i="4" s="1"/>
  <c r="J499" i="4"/>
  <c r="AH499" i="4" s="1"/>
  <c r="AA498" i="4"/>
  <c r="AE498" i="4" s="1"/>
  <c r="R498" i="4"/>
  <c r="S498" i="4" s="1"/>
  <c r="N498" i="4"/>
  <c r="O498" i="4" s="1"/>
  <c r="J498" i="4"/>
  <c r="AH498" i="4" s="1"/>
  <c r="AA497" i="4"/>
  <c r="AE497" i="4" s="1"/>
  <c r="R497" i="4"/>
  <c r="S497" i="4" s="1"/>
  <c r="N497" i="4"/>
  <c r="O497" i="4" s="1"/>
  <c r="J497" i="4"/>
  <c r="AA496" i="4"/>
  <c r="AE496" i="4" s="1"/>
  <c r="R496" i="4"/>
  <c r="S496" i="4" s="1"/>
  <c r="N496" i="4"/>
  <c r="O496" i="4" s="1"/>
  <c r="J496" i="4"/>
  <c r="AA495" i="4"/>
  <c r="AE495" i="4" s="1"/>
  <c r="R495" i="4"/>
  <c r="S495" i="4" s="1"/>
  <c r="N495" i="4"/>
  <c r="O495" i="4" s="1"/>
  <c r="J495" i="4"/>
  <c r="AA494" i="4"/>
  <c r="AE494" i="4" s="1"/>
  <c r="R494" i="4"/>
  <c r="S494" i="4" s="1"/>
  <c r="N494" i="4"/>
  <c r="O494" i="4" s="1"/>
  <c r="J494" i="4"/>
  <c r="AA493" i="4"/>
  <c r="AE493" i="4" s="1"/>
  <c r="R493" i="4"/>
  <c r="S493" i="4" s="1"/>
  <c r="N493" i="4"/>
  <c r="O493" i="4" s="1"/>
  <c r="J493" i="4"/>
  <c r="AH493" i="4" s="1"/>
  <c r="AA492" i="4"/>
  <c r="AE492" i="4" s="1"/>
  <c r="R492" i="4"/>
  <c r="S492" i="4" s="1"/>
  <c r="N492" i="4"/>
  <c r="O492" i="4" s="1"/>
  <c r="J492" i="4"/>
  <c r="AA491" i="4"/>
  <c r="AE491" i="4" s="1"/>
  <c r="R491" i="4"/>
  <c r="S491" i="4" s="1"/>
  <c r="N491" i="4"/>
  <c r="O491" i="4" s="1"/>
  <c r="J491" i="4"/>
  <c r="AA490" i="4"/>
  <c r="AE490" i="4" s="1"/>
  <c r="R490" i="4"/>
  <c r="S490" i="4" s="1"/>
  <c r="N490" i="4"/>
  <c r="O490" i="4" s="1"/>
  <c r="J490" i="4"/>
  <c r="AA489" i="4"/>
  <c r="AE489" i="4" s="1"/>
  <c r="R489" i="4"/>
  <c r="S489" i="4" s="1"/>
  <c r="N489" i="4"/>
  <c r="O489" i="4" s="1"/>
  <c r="J489" i="4"/>
  <c r="AH489" i="4" s="1"/>
  <c r="AA488" i="4"/>
  <c r="AE488" i="4" s="1"/>
  <c r="R488" i="4"/>
  <c r="S488" i="4" s="1"/>
  <c r="N488" i="4"/>
  <c r="O488" i="4" s="1"/>
  <c r="J488" i="4"/>
  <c r="AA487" i="4"/>
  <c r="AE487" i="4" s="1"/>
  <c r="R487" i="4"/>
  <c r="S487" i="4" s="1"/>
  <c r="N487" i="4"/>
  <c r="O487" i="4" s="1"/>
  <c r="J487" i="4"/>
  <c r="AA486" i="4"/>
  <c r="AE486" i="4" s="1"/>
  <c r="R486" i="4"/>
  <c r="S486" i="4" s="1"/>
  <c r="N486" i="4"/>
  <c r="O486" i="4" s="1"/>
  <c r="J486" i="4"/>
  <c r="AA485" i="4"/>
  <c r="AE485" i="4" s="1"/>
  <c r="R485" i="4"/>
  <c r="S485" i="4" s="1"/>
  <c r="N485" i="4"/>
  <c r="O485" i="4" s="1"/>
  <c r="J485" i="4"/>
  <c r="AA484" i="4"/>
  <c r="AE484" i="4" s="1"/>
  <c r="R484" i="4"/>
  <c r="S484" i="4" s="1"/>
  <c r="N484" i="4"/>
  <c r="O484" i="4" s="1"/>
  <c r="J484" i="4"/>
  <c r="AA483" i="4"/>
  <c r="AE483" i="4" s="1"/>
  <c r="R483" i="4"/>
  <c r="S483" i="4" s="1"/>
  <c r="N483" i="4"/>
  <c r="O483" i="4" s="1"/>
  <c r="J483" i="4"/>
  <c r="AH483" i="4" s="1"/>
  <c r="AA482" i="4"/>
  <c r="AE482" i="4" s="1"/>
  <c r="R482" i="4"/>
  <c r="S482" i="4" s="1"/>
  <c r="N482" i="4"/>
  <c r="O482" i="4" s="1"/>
  <c r="J482" i="4"/>
  <c r="AA481" i="4"/>
  <c r="AE481" i="4" s="1"/>
  <c r="R481" i="4"/>
  <c r="S481" i="4" s="1"/>
  <c r="N481" i="4"/>
  <c r="O481" i="4" s="1"/>
  <c r="J481" i="4"/>
  <c r="AA480" i="4"/>
  <c r="AE480" i="4" s="1"/>
  <c r="S480" i="4"/>
  <c r="R480" i="4"/>
  <c r="N480" i="4"/>
  <c r="O480" i="4" s="1"/>
  <c r="J480" i="4"/>
  <c r="AH480" i="4" s="1"/>
  <c r="AA479" i="4"/>
  <c r="AE479" i="4" s="1"/>
  <c r="R479" i="4"/>
  <c r="S479" i="4" s="1"/>
  <c r="N479" i="4"/>
  <c r="O479" i="4" s="1"/>
  <c r="J479" i="4"/>
  <c r="AA478" i="4"/>
  <c r="AE478" i="4" s="1"/>
  <c r="R478" i="4"/>
  <c r="S478" i="4" s="1"/>
  <c r="N478" i="4"/>
  <c r="O478" i="4" s="1"/>
  <c r="J478" i="4"/>
  <c r="AH478" i="4" s="1"/>
  <c r="AA477" i="4"/>
  <c r="AE477" i="4" s="1"/>
  <c r="R477" i="4"/>
  <c r="S477" i="4" s="1"/>
  <c r="N477" i="4"/>
  <c r="O477" i="4" s="1"/>
  <c r="J477" i="4"/>
  <c r="AA476" i="4"/>
  <c r="AE476" i="4" s="1"/>
  <c r="R476" i="4"/>
  <c r="S476" i="4" s="1"/>
  <c r="N476" i="4"/>
  <c r="O476" i="4" s="1"/>
  <c r="J476" i="4"/>
  <c r="AH476" i="4" s="1"/>
  <c r="AA475" i="4"/>
  <c r="AE475" i="4" s="1"/>
  <c r="R475" i="4"/>
  <c r="S475" i="4" s="1"/>
  <c r="N475" i="4"/>
  <c r="O475" i="4" s="1"/>
  <c r="J475" i="4"/>
  <c r="AA474" i="4"/>
  <c r="AE474" i="4" s="1"/>
  <c r="R474" i="4"/>
  <c r="S474" i="4" s="1"/>
  <c r="N474" i="4"/>
  <c r="O474" i="4" s="1"/>
  <c r="J474" i="4"/>
  <c r="AA473" i="4"/>
  <c r="AE473" i="4" s="1"/>
  <c r="R473" i="4"/>
  <c r="S473" i="4" s="1"/>
  <c r="N473" i="4"/>
  <c r="O473" i="4" s="1"/>
  <c r="J473" i="4"/>
  <c r="AA472" i="4"/>
  <c r="AE472" i="4" s="1"/>
  <c r="R472" i="4"/>
  <c r="S472" i="4" s="1"/>
  <c r="N472" i="4"/>
  <c r="O472" i="4" s="1"/>
  <c r="J472" i="4"/>
  <c r="AH472" i="4" s="1"/>
  <c r="AA471" i="4"/>
  <c r="AE471" i="4" s="1"/>
  <c r="R471" i="4"/>
  <c r="S471" i="4" s="1"/>
  <c r="N471" i="4"/>
  <c r="O471" i="4" s="1"/>
  <c r="J471" i="4"/>
  <c r="AA470" i="4"/>
  <c r="AE470" i="4" s="1"/>
  <c r="R470" i="4"/>
  <c r="S470" i="4" s="1"/>
  <c r="N470" i="4"/>
  <c r="O470" i="4" s="1"/>
  <c r="J470" i="4"/>
  <c r="K470" i="4" s="1"/>
  <c r="AA469" i="4"/>
  <c r="AE469" i="4" s="1"/>
  <c r="R469" i="4"/>
  <c r="S469" i="4" s="1"/>
  <c r="N469" i="4"/>
  <c r="O469" i="4" s="1"/>
  <c r="J469" i="4"/>
  <c r="AA468" i="4"/>
  <c r="AE468" i="4" s="1"/>
  <c r="R468" i="4"/>
  <c r="S468" i="4" s="1"/>
  <c r="N468" i="4"/>
  <c r="O468" i="4" s="1"/>
  <c r="J468" i="4"/>
  <c r="AA467" i="4"/>
  <c r="AE467" i="4" s="1"/>
  <c r="R467" i="4"/>
  <c r="S467" i="4" s="1"/>
  <c r="N467" i="4"/>
  <c r="O467" i="4" s="1"/>
  <c r="J467" i="4"/>
  <c r="AA466" i="4"/>
  <c r="AE466" i="4" s="1"/>
  <c r="R466" i="4"/>
  <c r="S466" i="4" s="1"/>
  <c r="N466" i="4"/>
  <c r="O466" i="4" s="1"/>
  <c r="J466" i="4"/>
  <c r="AA465" i="4"/>
  <c r="AE465" i="4" s="1"/>
  <c r="R465" i="4"/>
  <c r="S465" i="4" s="1"/>
  <c r="N465" i="4"/>
  <c r="O465" i="4" s="1"/>
  <c r="J465" i="4"/>
  <c r="AA464" i="4"/>
  <c r="AE464" i="4" s="1"/>
  <c r="R464" i="4"/>
  <c r="S464" i="4" s="1"/>
  <c r="N464" i="4"/>
  <c r="O464" i="4" s="1"/>
  <c r="J464" i="4"/>
  <c r="AA463" i="4"/>
  <c r="AE463" i="4" s="1"/>
  <c r="R463" i="4"/>
  <c r="S463" i="4" s="1"/>
  <c r="N463" i="4"/>
  <c r="O463" i="4" s="1"/>
  <c r="J463" i="4"/>
  <c r="AA462" i="4"/>
  <c r="AE462" i="4" s="1"/>
  <c r="R462" i="4"/>
  <c r="S462" i="4" s="1"/>
  <c r="N462" i="4"/>
  <c r="O462" i="4" s="1"/>
  <c r="J462" i="4"/>
  <c r="AA461" i="4"/>
  <c r="AE461" i="4" s="1"/>
  <c r="R461" i="4"/>
  <c r="S461" i="4" s="1"/>
  <c r="N461" i="4"/>
  <c r="O461" i="4" s="1"/>
  <c r="J461" i="4"/>
  <c r="AA460" i="4"/>
  <c r="AE460" i="4" s="1"/>
  <c r="R460" i="4"/>
  <c r="S460" i="4" s="1"/>
  <c r="N460" i="4"/>
  <c r="O460" i="4" s="1"/>
  <c r="J460" i="4"/>
  <c r="AA459" i="4"/>
  <c r="AE459" i="4" s="1"/>
  <c r="R459" i="4"/>
  <c r="S459" i="4" s="1"/>
  <c r="N459" i="4"/>
  <c r="O459" i="4" s="1"/>
  <c r="J459" i="4"/>
  <c r="AA458" i="4"/>
  <c r="AE458" i="4" s="1"/>
  <c r="R458" i="4"/>
  <c r="S458" i="4" s="1"/>
  <c r="N458" i="4"/>
  <c r="O458" i="4" s="1"/>
  <c r="J458" i="4"/>
  <c r="AA457" i="4"/>
  <c r="AE457" i="4" s="1"/>
  <c r="R457" i="4"/>
  <c r="S457" i="4" s="1"/>
  <c r="N457" i="4"/>
  <c r="O457" i="4" s="1"/>
  <c r="J457" i="4"/>
  <c r="AA456" i="4"/>
  <c r="AE456" i="4" s="1"/>
  <c r="R456" i="4"/>
  <c r="S456" i="4" s="1"/>
  <c r="N456" i="4"/>
  <c r="O456" i="4" s="1"/>
  <c r="J456" i="4"/>
  <c r="AH456" i="4" s="1"/>
  <c r="AA455" i="4"/>
  <c r="AE455" i="4" s="1"/>
  <c r="R455" i="4"/>
  <c r="S455" i="4" s="1"/>
  <c r="N455" i="4"/>
  <c r="O455" i="4" s="1"/>
  <c r="J455" i="4"/>
  <c r="AA454" i="4"/>
  <c r="AE454" i="4" s="1"/>
  <c r="R454" i="4"/>
  <c r="S454" i="4" s="1"/>
  <c r="N454" i="4"/>
  <c r="O454" i="4" s="1"/>
  <c r="J454" i="4"/>
  <c r="AA453" i="4"/>
  <c r="AE453" i="4" s="1"/>
  <c r="R453" i="4"/>
  <c r="S453" i="4" s="1"/>
  <c r="N453" i="4"/>
  <c r="O453" i="4" s="1"/>
  <c r="J453" i="4"/>
  <c r="AA452" i="4"/>
  <c r="AE452" i="4" s="1"/>
  <c r="R452" i="4"/>
  <c r="S452" i="4" s="1"/>
  <c r="N452" i="4"/>
  <c r="O452" i="4" s="1"/>
  <c r="J452" i="4"/>
  <c r="AA451" i="4"/>
  <c r="AE451" i="4" s="1"/>
  <c r="R451" i="4"/>
  <c r="S451" i="4" s="1"/>
  <c r="N451" i="4"/>
  <c r="O451" i="4" s="1"/>
  <c r="J451" i="4"/>
  <c r="AA450" i="4"/>
  <c r="AE450" i="4" s="1"/>
  <c r="R450" i="4"/>
  <c r="S450" i="4" s="1"/>
  <c r="N450" i="4"/>
  <c r="O450" i="4" s="1"/>
  <c r="J450" i="4"/>
  <c r="AA449" i="4"/>
  <c r="AE449" i="4" s="1"/>
  <c r="R449" i="4"/>
  <c r="S449" i="4" s="1"/>
  <c r="N449" i="4"/>
  <c r="O449" i="4" s="1"/>
  <c r="J449" i="4"/>
  <c r="AA448" i="4"/>
  <c r="AE448" i="4" s="1"/>
  <c r="R448" i="4"/>
  <c r="S448" i="4" s="1"/>
  <c r="N448" i="4"/>
  <c r="O448" i="4" s="1"/>
  <c r="J448" i="4"/>
  <c r="K448" i="4" s="1"/>
  <c r="AA447" i="4"/>
  <c r="AE447" i="4" s="1"/>
  <c r="R447" i="4"/>
  <c r="S447" i="4" s="1"/>
  <c r="N447" i="4"/>
  <c r="O447" i="4" s="1"/>
  <c r="J447" i="4"/>
  <c r="AA446" i="4"/>
  <c r="AE446" i="4" s="1"/>
  <c r="R446" i="4"/>
  <c r="S446" i="4" s="1"/>
  <c r="N446" i="4"/>
  <c r="O446" i="4" s="1"/>
  <c r="J446" i="4"/>
  <c r="AH446" i="4" s="1"/>
  <c r="AA445" i="4"/>
  <c r="AE445" i="4" s="1"/>
  <c r="R445" i="4"/>
  <c r="S445" i="4" s="1"/>
  <c r="N445" i="4"/>
  <c r="O445" i="4" s="1"/>
  <c r="J445" i="4"/>
  <c r="AA444" i="4"/>
  <c r="AE444" i="4" s="1"/>
  <c r="R444" i="4"/>
  <c r="S444" i="4" s="1"/>
  <c r="N444" i="4"/>
  <c r="O444" i="4" s="1"/>
  <c r="J444" i="4"/>
  <c r="K444" i="4" s="1"/>
  <c r="AA443" i="4"/>
  <c r="AE443" i="4" s="1"/>
  <c r="R443" i="4"/>
  <c r="S443" i="4" s="1"/>
  <c r="N443" i="4"/>
  <c r="O443" i="4" s="1"/>
  <c r="J443" i="4"/>
  <c r="AA442" i="4"/>
  <c r="AE442" i="4" s="1"/>
  <c r="R442" i="4"/>
  <c r="S442" i="4" s="1"/>
  <c r="N442" i="4"/>
  <c r="O442" i="4" s="1"/>
  <c r="J442" i="4"/>
  <c r="K442" i="4" s="1"/>
  <c r="AA441" i="4"/>
  <c r="AE441" i="4" s="1"/>
  <c r="R441" i="4"/>
  <c r="S441" i="4" s="1"/>
  <c r="N441" i="4"/>
  <c r="O441" i="4" s="1"/>
  <c r="J441" i="4"/>
  <c r="AA440" i="4"/>
  <c r="AE440" i="4" s="1"/>
  <c r="R440" i="4"/>
  <c r="S440" i="4" s="1"/>
  <c r="N440" i="4"/>
  <c r="O440" i="4" s="1"/>
  <c r="J440" i="4"/>
  <c r="AH440" i="4" s="1"/>
  <c r="AA439" i="4"/>
  <c r="AE439" i="4" s="1"/>
  <c r="R439" i="4"/>
  <c r="S439" i="4" s="1"/>
  <c r="N439" i="4"/>
  <c r="O439" i="4" s="1"/>
  <c r="J439" i="4"/>
  <c r="AA438" i="4"/>
  <c r="AE438" i="4" s="1"/>
  <c r="R438" i="4"/>
  <c r="S438" i="4" s="1"/>
  <c r="N438" i="4"/>
  <c r="O438" i="4" s="1"/>
  <c r="J438" i="4"/>
  <c r="K438" i="4" s="1"/>
  <c r="AA437" i="4"/>
  <c r="AE437" i="4" s="1"/>
  <c r="R437" i="4"/>
  <c r="S437" i="4" s="1"/>
  <c r="N437" i="4"/>
  <c r="O437" i="4" s="1"/>
  <c r="J437" i="4"/>
  <c r="AA436" i="4"/>
  <c r="AE436" i="4" s="1"/>
  <c r="R436" i="4"/>
  <c r="S436" i="4" s="1"/>
  <c r="N436" i="4"/>
  <c r="O436" i="4" s="1"/>
  <c r="J436" i="4"/>
  <c r="AA435" i="4"/>
  <c r="AE435" i="4" s="1"/>
  <c r="R435" i="4"/>
  <c r="S435" i="4" s="1"/>
  <c r="N435" i="4"/>
  <c r="O435" i="4" s="1"/>
  <c r="J435" i="4"/>
  <c r="AA434" i="4"/>
  <c r="AE434" i="4" s="1"/>
  <c r="R434" i="4"/>
  <c r="S434" i="4" s="1"/>
  <c r="N434" i="4"/>
  <c r="O434" i="4" s="1"/>
  <c r="J434" i="4"/>
  <c r="AA433" i="4"/>
  <c r="AE433" i="4" s="1"/>
  <c r="R433" i="4"/>
  <c r="S433" i="4" s="1"/>
  <c r="N433" i="4"/>
  <c r="O433" i="4" s="1"/>
  <c r="J433" i="4"/>
  <c r="AA432" i="4"/>
  <c r="AE432" i="4" s="1"/>
  <c r="R432" i="4"/>
  <c r="S432" i="4" s="1"/>
  <c r="N432" i="4"/>
  <c r="O432" i="4" s="1"/>
  <c r="J432" i="4"/>
  <c r="AH432" i="4" s="1"/>
  <c r="AA431" i="4"/>
  <c r="AE431" i="4" s="1"/>
  <c r="R431" i="4"/>
  <c r="S431" i="4" s="1"/>
  <c r="N431" i="4"/>
  <c r="O431" i="4" s="1"/>
  <c r="J431" i="4"/>
  <c r="AA430" i="4"/>
  <c r="AE430" i="4" s="1"/>
  <c r="R430" i="4"/>
  <c r="S430" i="4" s="1"/>
  <c r="N430" i="4"/>
  <c r="O430" i="4" s="1"/>
  <c r="J430" i="4"/>
  <c r="K430" i="4" s="1"/>
  <c r="AA429" i="4"/>
  <c r="AE429" i="4" s="1"/>
  <c r="R429" i="4"/>
  <c r="S429" i="4" s="1"/>
  <c r="N429" i="4"/>
  <c r="O429" i="4" s="1"/>
  <c r="J429" i="4"/>
  <c r="AA428" i="4"/>
  <c r="AE428" i="4" s="1"/>
  <c r="R428" i="4"/>
  <c r="S428" i="4" s="1"/>
  <c r="N428" i="4"/>
  <c r="O428" i="4" s="1"/>
  <c r="J428" i="4"/>
  <c r="AA427" i="4"/>
  <c r="AE427" i="4" s="1"/>
  <c r="R427" i="4"/>
  <c r="S427" i="4" s="1"/>
  <c r="N427" i="4"/>
  <c r="O427" i="4" s="1"/>
  <c r="J427" i="4"/>
  <c r="AA426" i="4"/>
  <c r="AE426" i="4" s="1"/>
  <c r="R426" i="4"/>
  <c r="S426" i="4" s="1"/>
  <c r="N426" i="4"/>
  <c r="O426" i="4" s="1"/>
  <c r="J426" i="4"/>
  <c r="AA425" i="4"/>
  <c r="AE425" i="4" s="1"/>
  <c r="R425" i="4"/>
  <c r="S425" i="4" s="1"/>
  <c r="N425" i="4"/>
  <c r="O425" i="4" s="1"/>
  <c r="J425" i="4"/>
  <c r="AA424" i="4"/>
  <c r="AE424" i="4" s="1"/>
  <c r="R424" i="4"/>
  <c r="S424" i="4" s="1"/>
  <c r="N424" i="4"/>
  <c r="O424" i="4" s="1"/>
  <c r="J424" i="4"/>
  <c r="AH424" i="4" s="1"/>
  <c r="AA423" i="4"/>
  <c r="AE423" i="4" s="1"/>
  <c r="R423" i="4"/>
  <c r="S423" i="4" s="1"/>
  <c r="N423" i="4"/>
  <c r="O423" i="4" s="1"/>
  <c r="J423" i="4"/>
  <c r="AA422" i="4"/>
  <c r="AE422" i="4" s="1"/>
  <c r="R422" i="4"/>
  <c r="S422" i="4" s="1"/>
  <c r="N422" i="4"/>
  <c r="O422" i="4" s="1"/>
  <c r="J422" i="4"/>
  <c r="K422" i="4" s="1"/>
  <c r="AA421" i="4"/>
  <c r="AE421" i="4" s="1"/>
  <c r="R421" i="4"/>
  <c r="S421" i="4" s="1"/>
  <c r="N421" i="4"/>
  <c r="O421" i="4" s="1"/>
  <c r="J421" i="4"/>
  <c r="AA420" i="4"/>
  <c r="AE420" i="4" s="1"/>
  <c r="R420" i="4"/>
  <c r="S420" i="4" s="1"/>
  <c r="N420" i="4"/>
  <c r="O420" i="4" s="1"/>
  <c r="J420" i="4"/>
  <c r="AA419" i="4"/>
  <c r="AE419" i="4" s="1"/>
  <c r="R419" i="4"/>
  <c r="S419" i="4" s="1"/>
  <c r="N419" i="4"/>
  <c r="O419" i="4" s="1"/>
  <c r="J419" i="4"/>
  <c r="AH419" i="4" s="1"/>
  <c r="AA418" i="4"/>
  <c r="AE418" i="4" s="1"/>
  <c r="R418" i="4"/>
  <c r="S418" i="4" s="1"/>
  <c r="N418" i="4"/>
  <c r="O418" i="4" s="1"/>
  <c r="J418" i="4"/>
  <c r="K418" i="4" s="1"/>
  <c r="AA417" i="4"/>
  <c r="AE417" i="4" s="1"/>
  <c r="R417" i="4"/>
  <c r="S417" i="4" s="1"/>
  <c r="N417" i="4"/>
  <c r="O417" i="4" s="1"/>
  <c r="J417" i="4"/>
  <c r="AA416" i="4"/>
  <c r="AE416" i="4" s="1"/>
  <c r="R416" i="4"/>
  <c r="S416" i="4" s="1"/>
  <c r="N416" i="4"/>
  <c r="O416" i="4" s="1"/>
  <c r="J416" i="4"/>
  <c r="AH416" i="4" s="1"/>
  <c r="AA415" i="4"/>
  <c r="AE415" i="4" s="1"/>
  <c r="R415" i="4"/>
  <c r="S415" i="4" s="1"/>
  <c r="N415" i="4"/>
  <c r="O415" i="4" s="1"/>
  <c r="J415" i="4"/>
  <c r="AA414" i="4"/>
  <c r="AE414" i="4" s="1"/>
  <c r="R414" i="4"/>
  <c r="S414" i="4" s="1"/>
  <c r="N414" i="4"/>
  <c r="O414" i="4" s="1"/>
  <c r="J414" i="4"/>
  <c r="K414" i="4" s="1"/>
  <c r="AA413" i="4"/>
  <c r="AE413" i="4" s="1"/>
  <c r="R413" i="4"/>
  <c r="S413" i="4" s="1"/>
  <c r="N413" i="4"/>
  <c r="O413" i="4" s="1"/>
  <c r="J413" i="4"/>
  <c r="AA412" i="4"/>
  <c r="AE412" i="4" s="1"/>
  <c r="R412" i="4"/>
  <c r="S412" i="4" s="1"/>
  <c r="N412" i="4"/>
  <c r="O412" i="4" s="1"/>
  <c r="J412" i="4"/>
  <c r="K412" i="4" s="1"/>
  <c r="AA411" i="4"/>
  <c r="AE411" i="4" s="1"/>
  <c r="R411" i="4"/>
  <c r="S411" i="4" s="1"/>
  <c r="N411" i="4"/>
  <c r="O411" i="4" s="1"/>
  <c r="J411" i="4"/>
  <c r="AH411" i="4" s="1"/>
  <c r="AA410" i="4"/>
  <c r="AE410" i="4" s="1"/>
  <c r="R410" i="4"/>
  <c r="S410" i="4" s="1"/>
  <c r="N410" i="4"/>
  <c r="O410" i="4" s="1"/>
  <c r="J410" i="4"/>
  <c r="K410" i="4" s="1"/>
  <c r="AA409" i="4"/>
  <c r="AE409" i="4" s="1"/>
  <c r="R409" i="4"/>
  <c r="S409" i="4" s="1"/>
  <c r="N409" i="4"/>
  <c r="O409" i="4" s="1"/>
  <c r="J409" i="4"/>
  <c r="AA408" i="4"/>
  <c r="AE408" i="4" s="1"/>
  <c r="R408" i="4"/>
  <c r="S408" i="4" s="1"/>
  <c r="N408" i="4"/>
  <c r="O408" i="4" s="1"/>
  <c r="J408" i="4"/>
  <c r="AH408" i="4" s="1"/>
  <c r="AA407" i="4"/>
  <c r="AE407" i="4" s="1"/>
  <c r="R407" i="4"/>
  <c r="S407" i="4" s="1"/>
  <c r="N407" i="4"/>
  <c r="O407" i="4" s="1"/>
  <c r="J407" i="4"/>
  <c r="AA406" i="4"/>
  <c r="AE406" i="4" s="1"/>
  <c r="R406" i="4"/>
  <c r="S406" i="4" s="1"/>
  <c r="N406" i="4"/>
  <c r="O406" i="4" s="1"/>
  <c r="J406" i="4"/>
  <c r="AA405" i="4"/>
  <c r="AE405" i="4" s="1"/>
  <c r="R405" i="4"/>
  <c r="S405" i="4" s="1"/>
  <c r="N405" i="4"/>
  <c r="O405" i="4" s="1"/>
  <c r="J405" i="4"/>
  <c r="AA404" i="4"/>
  <c r="AE404" i="4" s="1"/>
  <c r="R404" i="4"/>
  <c r="S404" i="4" s="1"/>
  <c r="N404" i="4"/>
  <c r="O404" i="4" s="1"/>
  <c r="J404" i="4"/>
  <c r="K404" i="4" s="1"/>
  <c r="AA403" i="4"/>
  <c r="AE403" i="4" s="1"/>
  <c r="R403" i="4"/>
  <c r="S403" i="4" s="1"/>
  <c r="N403" i="4"/>
  <c r="O403" i="4" s="1"/>
  <c r="J403" i="4"/>
  <c r="AH403" i="4" s="1"/>
  <c r="AA402" i="4"/>
  <c r="AE402" i="4" s="1"/>
  <c r="R402" i="4"/>
  <c r="S402" i="4" s="1"/>
  <c r="N402" i="4"/>
  <c r="O402" i="4" s="1"/>
  <c r="J402" i="4"/>
  <c r="K402" i="4" s="1"/>
  <c r="AA401" i="4"/>
  <c r="AE401" i="4" s="1"/>
  <c r="R401" i="4"/>
  <c r="S401" i="4" s="1"/>
  <c r="N401" i="4"/>
  <c r="O401" i="4" s="1"/>
  <c r="J401" i="4"/>
  <c r="AH401" i="4" s="1"/>
  <c r="AD397" i="4"/>
  <c r="AC397" i="4"/>
  <c r="Q397" i="4"/>
  <c r="M397" i="4"/>
  <c r="AB395" i="4"/>
  <c r="AB397" i="4" s="1"/>
  <c r="R395" i="4"/>
  <c r="S395" i="4" s="1"/>
  <c r="S397" i="4" s="1"/>
  <c r="N395" i="4"/>
  <c r="E395" i="4"/>
  <c r="E397" i="4" s="1"/>
  <c r="AG394" i="4"/>
  <c r="AA394" i="4"/>
  <c r="AE394" i="4" s="1"/>
  <c r="T394" i="4"/>
  <c r="R394" i="4"/>
  <c r="S394" i="4" s="1"/>
  <c r="N394" i="4"/>
  <c r="O394" i="4" s="1"/>
  <c r="AC391" i="4"/>
  <c r="AB391" i="4"/>
  <c r="AD388" i="4"/>
  <c r="Q388" i="4"/>
  <c r="M388" i="4"/>
  <c r="I388" i="4"/>
  <c r="E388" i="4"/>
  <c r="AA387" i="4"/>
  <c r="AE387" i="4" s="1"/>
  <c r="R387" i="4"/>
  <c r="S387" i="4" s="1"/>
  <c r="N387" i="4"/>
  <c r="O387" i="4" s="1"/>
  <c r="J387" i="4"/>
  <c r="AA386" i="4"/>
  <c r="AE386" i="4" s="1"/>
  <c r="R386" i="4"/>
  <c r="S386" i="4" s="1"/>
  <c r="N386" i="4"/>
  <c r="O386" i="4" s="1"/>
  <c r="J386" i="4"/>
  <c r="AH386" i="4" s="1"/>
  <c r="AA385" i="4"/>
  <c r="AE385" i="4" s="1"/>
  <c r="R385" i="4"/>
  <c r="S385" i="4" s="1"/>
  <c r="N385" i="4"/>
  <c r="O385" i="4" s="1"/>
  <c r="J385" i="4"/>
  <c r="AA384" i="4"/>
  <c r="AE384" i="4" s="1"/>
  <c r="R384" i="4"/>
  <c r="S384" i="4" s="1"/>
  <c r="N384" i="4"/>
  <c r="O384" i="4" s="1"/>
  <c r="J384" i="4"/>
  <c r="K384" i="4" s="1"/>
  <c r="AA383" i="4"/>
  <c r="AE383" i="4" s="1"/>
  <c r="R383" i="4"/>
  <c r="S383" i="4" s="1"/>
  <c r="N383" i="4"/>
  <c r="O383" i="4" s="1"/>
  <c r="J383" i="4"/>
  <c r="AA382" i="4"/>
  <c r="AE382" i="4" s="1"/>
  <c r="R382" i="4"/>
  <c r="S382" i="4" s="1"/>
  <c r="N382" i="4"/>
  <c r="O382" i="4" s="1"/>
  <c r="J382" i="4"/>
  <c r="K382" i="4" s="1"/>
  <c r="AA381" i="4"/>
  <c r="AE381" i="4" s="1"/>
  <c r="R381" i="4"/>
  <c r="S381" i="4" s="1"/>
  <c r="N381" i="4"/>
  <c r="O381" i="4" s="1"/>
  <c r="J381" i="4"/>
  <c r="AA380" i="4"/>
  <c r="AE380" i="4" s="1"/>
  <c r="R380" i="4"/>
  <c r="S380" i="4" s="1"/>
  <c r="N380" i="4"/>
  <c r="O380" i="4" s="1"/>
  <c r="J380" i="4"/>
  <c r="AA379" i="4"/>
  <c r="AE379" i="4" s="1"/>
  <c r="R379" i="4"/>
  <c r="S379" i="4" s="1"/>
  <c r="N379" i="4"/>
  <c r="O379" i="4" s="1"/>
  <c r="J379" i="4"/>
  <c r="AA378" i="4"/>
  <c r="AE378" i="4" s="1"/>
  <c r="R378" i="4"/>
  <c r="S378" i="4" s="1"/>
  <c r="N378" i="4"/>
  <c r="O378" i="4" s="1"/>
  <c r="J378" i="4"/>
  <c r="K378" i="4" s="1"/>
  <c r="AA377" i="4"/>
  <c r="AE377" i="4" s="1"/>
  <c r="R377" i="4"/>
  <c r="S377" i="4" s="1"/>
  <c r="N377" i="4"/>
  <c r="O377" i="4" s="1"/>
  <c r="J377" i="4"/>
  <c r="AA376" i="4"/>
  <c r="AE376" i="4" s="1"/>
  <c r="R376" i="4"/>
  <c r="S376" i="4" s="1"/>
  <c r="N376" i="4"/>
  <c r="O376" i="4" s="1"/>
  <c r="J376" i="4"/>
  <c r="AA375" i="4"/>
  <c r="AE375" i="4" s="1"/>
  <c r="R375" i="4"/>
  <c r="S375" i="4" s="1"/>
  <c r="N375" i="4"/>
  <c r="O375" i="4" s="1"/>
  <c r="J375" i="4"/>
  <c r="AA374" i="4"/>
  <c r="AE374" i="4" s="1"/>
  <c r="R374" i="4"/>
  <c r="S374" i="4" s="1"/>
  <c r="N374" i="4"/>
  <c r="O374" i="4" s="1"/>
  <c r="J374" i="4"/>
  <c r="K374" i="4" s="1"/>
  <c r="AA373" i="4"/>
  <c r="AE373" i="4" s="1"/>
  <c r="R373" i="4"/>
  <c r="S373" i="4" s="1"/>
  <c r="N373" i="4"/>
  <c r="O373" i="4" s="1"/>
  <c r="J373" i="4"/>
  <c r="AA372" i="4"/>
  <c r="AE372" i="4" s="1"/>
  <c r="R372" i="4"/>
  <c r="S372" i="4" s="1"/>
  <c r="N372" i="4"/>
  <c r="O372" i="4" s="1"/>
  <c r="J372" i="4"/>
  <c r="K372" i="4" s="1"/>
  <c r="AA371" i="4"/>
  <c r="R371" i="4"/>
  <c r="N371" i="4"/>
  <c r="J371" i="4"/>
  <c r="AD368" i="4"/>
  <c r="M368" i="4"/>
  <c r="I368" i="4"/>
  <c r="E368" i="4"/>
  <c r="AA367" i="4"/>
  <c r="AE367" i="4" s="1"/>
  <c r="R367" i="4"/>
  <c r="S367" i="4" s="1"/>
  <c r="N367" i="4"/>
  <c r="O367" i="4" s="1"/>
  <c r="J367" i="4"/>
  <c r="AA366" i="4"/>
  <c r="AE366" i="4" s="1"/>
  <c r="R366" i="4"/>
  <c r="S366" i="4" s="1"/>
  <c r="N366" i="4"/>
  <c r="O366" i="4" s="1"/>
  <c r="J366" i="4"/>
  <c r="AA365" i="4"/>
  <c r="AE365" i="4" s="1"/>
  <c r="R365" i="4"/>
  <c r="S365" i="4" s="1"/>
  <c r="N365" i="4"/>
  <c r="O365" i="4" s="1"/>
  <c r="J365" i="4"/>
  <c r="AA364" i="4"/>
  <c r="AE364" i="4" s="1"/>
  <c r="R364" i="4"/>
  <c r="S364" i="4" s="1"/>
  <c r="N364" i="4"/>
  <c r="O364" i="4" s="1"/>
  <c r="J364" i="4"/>
  <c r="AA363" i="4"/>
  <c r="AE363" i="4" s="1"/>
  <c r="R363" i="4"/>
  <c r="S363" i="4" s="1"/>
  <c r="N363" i="4"/>
  <c r="O363" i="4" s="1"/>
  <c r="J363" i="4"/>
  <c r="AA362" i="4"/>
  <c r="AE362" i="4" s="1"/>
  <c r="R362" i="4"/>
  <c r="S362" i="4" s="1"/>
  <c r="N362" i="4"/>
  <c r="O362" i="4" s="1"/>
  <c r="J362" i="4"/>
  <c r="AA361" i="4"/>
  <c r="AE361" i="4" s="1"/>
  <c r="R361" i="4"/>
  <c r="S361" i="4" s="1"/>
  <c r="N361" i="4"/>
  <c r="O361" i="4" s="1"/>
  <c r="J361" i="4"/>
  <c r="AA360" i="4"/>
  <c r="AE360" i="4" s="1"/>
  <c r="R360" i="4"/>
  <c r="S360" i="4" s="1"/>
  <c r="N360" i="4"/>
  <c r="O360" i="4" s="1"/>
  <c r="J360" i="4"/>
  <c r="AA359" i="4"/>
  <c r="AE359" i="4" s="1"/>
  <c r="R359" i="4"/>
  <c r="S359" i="4" s="1"/>
  <c r="N359" i="4"/>
  <c r="O359" i="4" s="1"/>
  <c r="J359" i="4"/>
  <c r="AA358" i="4"/>
  <c r="AE358" i="4" s="1"/>
  <c r="R358" i="4"/>
  <c r="S358" i="4" s="1"/>
  <c r="N358" i="4"/>
  <c r="O358" i="4" s="1"/>
  <c r="J358" i="4"/>
  <c r="AA357" i="4"/>
  <c r="AE357" i="4" s="1"/>
  <c r="R357" i="4"/>
  <c r="S357" i="4" s="1"/>
  <c r="N357" i="4"/>
  <c r="O357" i="4" s="1"/>
  <c r="J357" i="4"/>
  <c r="AA356" i="4"/>
  <c r="AE356" i="4" s="1"/>
  <c r="R356" i="4"/>
  <c r="S356" i="4" s="1"/>
  <c r="N356" i="4"/>
  <c r="O356" i="4" s="1"/>
  <c r="J356" i="4"/>
  <c r="AA355" i="4"/>
  <c r="AE355" i="4" s="1"/>
  <c r="R355" i="4"/>
  <c r="S355" i="4" s="1"/>
  <c r="N355" i="4"/>
  <c r="O355" i="4" s="1"/>
  <c r="J355" i="4"/>
  <c r="AA354" i="4"/>
  <c r="AE354" i="4" s="1"/>
  <c r="R354" i="4"/>
  <c r="S354" i="4" s="1"/>
  <c r="N354" i="4"/>
  <c r="O354" i="4" s="1"/>
  <c r="J354" i="4"/>
  <c r="AA353" i="4"/>
  <c r="AE353" i="4" s="1"/>
  <c r="R353" i="4"/>
  <c r="S353" i="4" s="1"/>
  <c r="N353" i="4"/>
  <c r="O353" i="4" s="1"/>
  <c r="J353" i="4"/>
  <c r="AA352" i="4"/>
  <c r="AE352" i="4" s="1"/>
  <c r="R352" i="4"/>
  <c r="S352" i="4" s="1"/>
  <c r="N352" i="4"/>
  <c r="O352" i="4" s="1"/>
  <c r="J352" i="4"/>
  <c r="AA351" i="4"/>
  <c r="AE351" i="4" s="1"/>
  <c r="R351" i="4"/>
  <c r="S351" i="4" s="1"/>
  <c r="N351" i="4"/>
  <c r="O351" i="4" s="1"/>
  <c r="J351" i="4"/>
  <c r="AA350" i="4"/>
  <c r="AE350" i="4" s="1"/>
  <c r="R350" i="4"/>
  <c r="S350" i="4" s="1"/>
  <c r="N350" i="4"/>
  <c r="O350" i="4" s="1"/>
  <c r="J350" i="4"/>
  <c r="AA349" i="4"/>
  <c r="AE349" i="4" s="1"/>
  <c r="R349" i="4"/>
  <c r="S349" i="4" s="1"/>
  <c r="N349" i="4"/>
  <c r="O349" i="4" s="1"/>
  <c r="J349" i="4"/>
  <c r="AA348" i="4"/>
  <c r="AE348" i="4" s="1"/>
  <c r="R348" i="4"/>
  <c r="S348" i="4" s="1"/>
  <c r="N348" i="4"/>
  <c r="O348" i="4" s="1"/>
  <c r="J348" i="4"/>
  <c r="AA347" i="4"/>
  <c r="AE347" i="4" s="1"/>
  <c r="R347" i="4"/>
  <c r="S347" i="4" s="1"/>
  <c r="N347" i="4"/>
  <c r="O347" i="4" s="1"/>
  <c r="J347" i="4"/>
  <c r="AA346" i="4"/>
  <c r="AE346" i="4" s="1"/>
  <c r="R346" i="4"/>
  <c r="S346" i="4" s="1"/>
  <c r="N346" i="4"/>
  <c r="O346" i="4" s="1"/>
  <c r="J346" i="4"/>
  <c r="AA345" i="4"/>
  <c r="AE345" i="4" s="1"/>
  <c r="R345" i="4"/>
  <c r="S345" i="4" s="1"/>
  <c r="N345" i="4"/>
  <c r="O345" i="4" s="1"/>
  <c r="J345" i="4"/>
  <c r="AA344" i="4"/>
  <c r="AE344" i="4" s="1"/>
  <c r="R344" i="4"/>
  <c r="S344" i="4" s="1"/>
  <c r="N344" i="4"/>
  <c r="O344" i="4" s="1"/>
  <c r="J344" i="4"/>
  <c r="AA343" i="4"/>
  <c r="AE343" i="4" s="1"/>
  <c r="R343" i="4"/>
  <c r="S343" i="4" s="1"/>
  <c r="N343" i="4"/>
  <c r="O343" i="4" s="1"/>
  <c r="J343" i="4"/>
  <c r="AA342" i="4"/>
  <c r="R342" i="4"/>
  <c r="S342" i="4" s="1"/>
  <c r="N342" i="4"/>
  <c r="O342" i="4" s="1"/>
  <c r="J342" i="4"/>
  <c r="AD339" i="4"/>
  <c r="Q339" i="4"/>
  <c r="M339" i="4"/>
  <c r="I339" i="4"/>
  <c r="E339" i="4"/>
  <c r="AA338" i="4"/>
  <c r="AE338" i="4" s="1"/>
  <c r="R338" i="4"/>
  <c r="S338" i="4" s="1"/>
  <c r="N338" i="4"/>
  <c r="O338" i="4" s="1"/>
  <c r="J338" i="4"/>
  <c r="AH338" i="4" s="1"/>
  <c r="AA337" i="4"/>
  <c r="AE337" i="4" s="1"/>
  <c r="R337" i="4"/>
  <c r="S337" i="4" s="1"/>
  <c r="N337" i="4"/>
  <c r="O337" i="4" s="1"/>
  <c r="J337" i="4"/>
  <c r="AA336" i="4"/>
  <c r="AE336" i="4" s="1"/>
  <c r="R336" i="4"/>
  <c r="S336" i="4" s="1"/>
  <c r="N336" i="4"/>
  <c r="O336" i="4" s="1"/>
  <c r="J336" i="4"/>
  <c r="AA335" i="4"/>
  <c r="AE335" i="4" s="1"/>
  <c r="R335" i="4"/>
  <c r="S335" i="4" s="1"/>
  <c r="N335" i="4"/>
  <c r="O335" i="4" s="1"/>
  <c r="J335" i="4"/>
  <c r="AA334" i="4"/>
  <c r="AE334" i="4" s="1"/>
  <c r="R334" i="4"/>
  <c r="S334" i="4" s="1"/>
  <c r="N334" i="4"/>
  <c r="O334" i="4" s="1"/>
  <c r="J334" i="4"/>
  <c r="AA333" i="4"/>
  <c r="AE333" i="4" s="1"/>
  <c r="R333" i="4"/>
  <c r="S333" i="4" s="1"/>
  <c r="N333" i="4"/>
  <c r="O333" i="4" s="1"/>
  <c r="J333" i="4"/>
  <c r="AA332" i="4"/>
  <c r="AE332" i="4" s="1"/>
  <c r="R332" i="4"/>
  <c r="N332" i="4"/>
  <c r="O332" i="4" s="1"/>
  <c r="J332" i="4"/>
  <c r="AD329" i="4"/>
  <c r="M329" i="4"/>
  <c r="I329" i="4"/>
  <c r="E329" i="4"/>
  <c r="AA328" i="4"/>
  <c r="AE328" i="4" s="1"/>
  <c r="R328" i="4"/>
  <c r="S328" i="4" s="1"/>
  <c r="N328" i="4"/>
  <c r="O328" i="4" s="1"/>
  <c r="J328" i="4"/>
  <c r="K328" i="4" s="1"/>
  <c r="AA327" i="4"/>
  <c r="AE327" i="4" s="1"/>
  <c r="R327" i="4"/>
  <c r="S327" i="4" s="1"/>
  <c r="N327" i="4"/>
  <c r="O327" i="4" s="1"/>
  <c r="J327" i="4"/>
  <c r="AA326" i="4"/>
  <c r="AE326" i="4" s="1"/>
  <c r="R326" i="4"/>
  <c r="S326" i="4" s="1"/>
  <c r="N326" i="4"/>
  <c r="O326" i="4" s="1"/>
  <c r="J326" i="4"/>
  <c r="AA325" i="4"/>
  <c r="AE325" i="4" s="1"/>
  <c r="R325" i="4"/>
  <c r="S325" i="4" s="1"/>
  <c r="N325" i="4"/>
  <c r="O325" i="4" s="1"/>
  <c r="J325" i="4"/>
  <c r="AA324" i="4"/>
  <c r="AE324" i="4" s="1"/>
  <c r="R324" i="4"/>
  <c r="S324" i="4" s="1"/>
  <c r="N324" i="4"/>
  <c r="O324" i="4" s="1"/>
  <c r="J324" i="4"/>
  <c r="AA323" i="4"/>
  <c r="AE323" i="4" s="1"/>
  <c r="R323" i="4"/>
  <c r="S323" i="4" s="1"/>
  <c r="N323" i="4"/>
  <c r="O323" i="4" s="1"/>
  <c r="J323" i="4"/>
  <c r="AA322" i="4"/>
  <c r="AE322" i="4" s="1"/>
  <c r="R322" i="4"/>
  <c r="S322" i="4" s="1"/>
  <c r="N322" i="4"/>
  <c r="O322" i="4" s="1"/>
  <c r="J322" i="4"/>
  <c r="AA321" i="4"/>
  <c r="AE321" i="4" s="1"/>
  <c r="R321" i="4"/>
  <c r="S321" i="4" s="1"/>
  <c r="N321" i="4"/>
  <c r="O321" i="4" s="1"/>
  <c r="J321" i="4"/>
  <c r="AA320" i="4"/>
  <c r="AE320" i="4" s="1"/>
  <c r="R320" i="4"/>
  <c r="S320" i="4" s="1"/>
  <c r="N320" i="4"/>
  <c r="O320" i="4" s="1"/>
  <c r="J320" i="4"/>
  <c r="K320" i="4" s="1"/>
  <c r="AA319" i="4"/>
  <c r="AE319" i="4" s="1"/>
  <c r="R319" i="4"/>
  <c r="S319" i="4" s="1"/>
  <c r="N319" i="4"/>
  <c r="O319" i="4" s="1"/>
  <c r="J319" i="4"/>
  <c r="AA318" i="4"/>
  <c r="AE318" i="4" s="1"/>
  <c r="R318" i="4"/>
  <c r="S318" i="4" s="1"/>
  <c r="N318" i="4"/>
  <c r="O318" i="4" s="1"/>
  <c r="J318" i="4"/>
  <c r="AA317" i="4"/>
  <c r="AE317" i="4" s="1"/>
  <c r="R317" i="4"/>
  <c r="S317" i="4" s="1"/>
  <c r="N317" i="4"/>
  <c r="O317" i="4" s="1"/>
  <c r="J317" i="4"/>
  <c r="AA316" i="4"/>
  <c r="AE316" i="4" s="1"/>
  <c r="R316" i="4"/>
  <c r="S316" i="4" s="1"/>
  <c r="N316" i="4"/>
  <c r="O316" i="4" s="1"/>
  <c r="J316" i="4"/>
  <c r="AA315" i="4"/>
  <c r="AE315" i="4" s="1"/>
  <c r="R315" i="4"/>
  <c r="S315" i="4" s="1"/>
  <c r="N315" i="4"/>
  <c r="O315" i="4" s="1"/>
  <c r="J315" i="4"/>
  <c r="AA314" i="4"/>
  <c r="AE314" i="4" s="1"/>
  <c r="R314" i="4"/>
  <c r="S314" i="4" s="1"/>
  <c r="N314" i="4"/>
  <c r="O314" i="4" s="1"/>
  <c r="J314" i="4"/>
  <c r="AH314" i="4" s="1"/>
  <c r="AA313" i="4"/>
  <c r="AE313" i="4" s="1"/>
  <c r="R313" i="4"/>
  <c r="S313" i="4" s="1"/>
  <c r="N313" i="4"/>
  <c r="O313" i="4" s="1"/>
  <c r="J313" i="4"/>
  <c r="AA312" i="4"/>
  <c r="AE312" i="4" s="1"/>
  <c r="R312" i="4"/>
  <c r="S312" i="4" s="1"/>
  <c r="N312" i="4"/>
  <c r="O312" i="4" s="1"/>
  <c r="J312" i="4"/>
  <c r="K312" i="4" s="1"/>
  <c r="AA311" i="4"/>
  <c r="AE311" i="4" s="1"/>
  <c r="R311" i="4"/>
  <c r="S311" i="4" s="1"/>
  <c r="N311" i="4"/>
  <c r="O311" i="4" s="1"/>
  <c r="J311" i="4"/>
  <c r="AA310" i="4"/>
  <c r="AE310" i="4" s="1"/>
  <c r="R310" i="4"/>
  <c r="S310" i="4" s="1"/>
  <c r="N310" i="4"/>
  <c r="O310" i="4" s="1"/>
  <c r="J310" i="4"/>
  <c r="AA309" i="4"/>
  <c r="AE309" i="4" s="1"/>
  <c r="R309" i="4"/>
  <c r="S309" i="4" s="1"/>
  <c r="N309" i="4"/>
  <c r="O309" i="4" s="1"/>
  <c r="J309" i="4"/>
  <c r="AA308" i="4"/>
  <c r="AE308" i="4" s="1"/>
  <c r="R308" i="4"/>
  <c r="S308" i="4" s="1"/>
  <c r="N308" i="4"/>
  <c r="O308" i="4" s="1"/>
  <c r="J308" i="4"/>
  <c r="K308" i="4" s="1"/>
  <c r="AA307" i="4"/>
  <c r="AE307" i="4" s="1"/>
  <c r="R307" i="4"/>
  <c r="S307" i="4" s="1"/>
  <c r="N307" i="4"/>
  <c r="O307" i="4" s="1"/>
  <c r="J307" i="4"/>
  <c r="AA306" i="4"/>
  <c r="AE306" i="4" s="1"/>
  <c r="R306" i="4"/>
  <c r="S306" i="4" s="1"/>
  <c r="N306" i="4"/>
  <c r="O306" i="4" s="1"/>
  <c r="J306" i="4"/>
  <c r="AH306" i="4" s="1"/>
  <c r="AA305" i="4"/>
  <c r="AE305" i="4" s="1"/>
  <c r="R305" i="4"/>
  <c r="S305" i="4" s="1"/>
  <c r="N305" i="4"/>
  <c r="O305" i="4" s="1"/>
  <c r="J305" i="4"/>
  <c r="AA304" i="4"/>
  <c r="AE304" i="4" s="1"/>
  <c r="R304" i="4"/>
  <c r="S304" i="4" s="1"/>
  <c r="N304" i="4"/>
  <c r="O304" i="4" s="1"/>
  <c r="J304" i="4"/>
  <c r="AA303" i="4"/>
  <c r="AE303" i="4" s="1"/>
  <c r="R303" i="4"/>
  <c r="S303" i="4" s="1"/>
  <c r="N303" i="4"/>
  <c r="O303" i="4" s="1"/>
  <c r="J303" i="4"/>
  <c r="AA302" i="4"/>
  <c r="AE302" i="4" s="1"/>
  <c r="R302" i="4"/>
  <c r="S302" i="4" s="1"/>
  <c r="N302" i="4"/>
  <c r="O302" i="4" s="1"/>
  <c r="J302" i="4"/>
  <c r="AA301" i="4"/>
  <c r="AE301" i="4" s="1"/>
  <c r="R301" i="4"/>
  <c r="S301" i="4" s="1"/>
  <c r="N301" i="4"/>
  <c r="O301" i="4" s="1"/>
  <c r="J301" i="4"/>
  <c r="AA300" i="4"/>
  <c r="AE300" i="4" s="1"/>
  <c r="R300" i="4"/>
  <c r="S300" i="4" s="1"/>
  <c r="N300" i="4"/>
  <c r="O300" i="4" s="1"/>
  <c r="J300" i="4"/>
  <c r="AA299" i="4"/>
  <c r="AE299" i="4" s="1"/>
  <c r="R299" i="4"/>
  <c r="S299" i="4" s="1"/>
  <c r="N299" i="4"/>
  <c r="O299" i="4" s="1"/>
  <c r="J299" i="4"/>
  <c r="AA298" i="4"/>
  <c r="AE298" i="4" s="1"/>
  <c r="S298" i="4"/>
  <c r="R298" i="4"/>
  <c r="N298" i="4"/>
  <c r="O298" i="4" s="1"/>
  <c r="J298" i="4"/>
  <c r="AH298" i="4" s="1"/>
  <c r="AA297" i="4"/>
  <c r="AE297" i="4" s="1"/>
  <c r="R297" i="4"/>
  <c r="S297" i="4" s="1"/>
  <c r="N297" i="4"/>
  <c r="O297" i="4" s="1"/>
  <c r="J297" i="4"/>
  <c r="AA296" i="4"/>
  <c r="AE296" i="4" s="1"/>
  <c r="R296" i="4"/>
  <c r="S296" i="4" s="1"/>
  <c r="N296" i="4"/>
  <c r="O296" i="4" s="1"/>
  <c r="J296" i="4"/>
  <c r="K296" i="4" s="1"/>
  <c r="AA295" i="4"/>
  <c r="AE295" i="4" s="1"/>
  <c r="R295" i="4"/>
  <c r="S295" i="4" s="1"/>
  <c r="N295" i="4"/>
  <c r="O295" i="4" s="1"/>
  <c r="J295" i="4"/>
  <c r="AA294" i="4"/>
  <c r="AE294" i="4" s="1"/>
  <c r="R294" i="4"/>
  <c r="S294" i="4" s="1"/>
  <c r="N294" i="4"/>
  <c r="O294" i="4" s="1"/>
  <c r="J294" i="4"/>
  <c r="AA293" i="4"/>
  <c r="AE293" i="4" s="1"/>
  <c r="R293" i="4"/>
  <c r="S293" i="4" s="1"/>
  <c r="N293" i="4"/>
  <c r="O293" i="4" s="1"/>
  <c r="J293" i="4"/>
  <c r="AA292" i="4"/>
  <c r="AE292" i="4" s="1"/>
  <c r="R292" i="4"/>
  <c r="S292" i="4" s="1"/>
  <c r="N292" i="4"/>
  <c r="O292" i="4" s="1"/>
  <c r="J292" i="4"/>
  <c r="AE291" i="4"/>
  <c r="AA291" i="4"/>
  <c r="R291" i="4"/>
  <c r="S291" i="4" s="1"/>
  <c r="N291" i="4"/>
  <c r="O291" i="4" s="1"/>
  <c r="J291" i="4"/>
  <c r="AA290" i="4"/>
  <c r="AE290" i="4" s="1"/>
  <c r="R290" i="4"/>
  <c r="S290" i="4" s="1"/>
  <c r="N290" i="4"/>
  <c r="O290" i="4" s="1"/>
  <c r="J290" i="4"/>
  <c r="AA289" i="4"/>
  <c r="AE289" i="4" s="1"/>
  <c r="R289" i="4"/>
  <c r="S289" i="4" s="1"/>
  <c r="N289" i="4"/>
  <c r="O289" i="4" s="1"/>
  <c r="J289" i="4"/>
  <c r="AA288" i="4"/>
  <c r="AE288" i="4" s="1"/>
  <c r="R288" i="4"/>
  <c r="S288" i="4" s="1"/>
  <c r="N288" i="4"/>
  <c r="O288" i="4" s="1"/>
  <c r="J288" i="4"/>
  <c r="K288" i="4" s="1"/>
  <c r="AA287" i="4"/>
  <c r="AE287" i="4" s="1"/>
  <c r="R287" i="4"/>
  <c r="S287" i="4" s="1"/>
  <c r="N287" i="4"/>
  <c r="O287" i="4" s="1"/>
  <c r="J287" i="4"/>
  <c r="AA286" i="4"/>
  <c r="AE286" i="4" s="1"/>
  <c r="R286" i="4"/>
  <c r="S286" i="4" s="1"/>
  <c r="N286" i="4"/>
  <c r="O286" i="4" s="1"/>
  <c r="J286" i="4"/>
  <c r="AA285" i="4"/>
  <c r="AE285" i="4" s="1"/>
  <c r="R285" i="4"/>
  <c r="S285" i="4" s="1"/>
  <c r="N285" i="4"/>
  <c r="O285" i="4" s="1"/>
  <c r="J285" i="4"/>
  <c r="AA284" i="4"/>
  <c r="AE284" i="4" s="1"/>
  <c r="R284" i="4"/>
  <c r="S284" i="4" s="1"/>
  <c r="N284" i="4"/>
  <c r="O284" i="4" s="1"/>
  <c r="J284" i="4"/>
  <c r="AH284" i="4" s="1"/>
  <c r="AA283" i="4"/>
  <c r="AE283" i="4" s="1"/>
  <c r="R283" i="4"/>
  <c r="S283" i="4" s="1"/>
  <c r="N283" i="4"/>
  <c r="O283" i="4" s="1"/>
  <c r="J283" i="4"/>
  <c r="AA282" i="4"/>
  <c r="AE282" i="4" s="1"/>
  <c r="R282" i="4"/>
  <c r="S282" i="4" s="1"/>
  <c r="N282" i="4"/>
  <c r="O282" i="4" s="1"/>
  <c r="J282" i="4"/>
  <c r="K282" i="4" s="1"/>
  <c r="AA281" i="4"/>
  <c r="AE281" i="4" s="1"/>
  <c r="R281" i="4"/>
  <c r="S281" i="4" s="1"/>
  <c r="N281" i="4"/>
  <c r="O281" i="4" s="1"/>
  <c r="J281" i="4"/>
  <c r="AA280" i="4"/>
  <c r="AE280" i="4" s="1"/>
  <c r="R280" i="4"/>
  <c r="S280" i="4" s="1"/>
  <c r="N280" i="4"/>
  <c r="O280" i="4" s="1"/>
  <c r="J280" i="4"/>
  <c r="K280" i="4" s="1"/>
  <c r="AA279" i="4"/>
  <c r="AE279" i="4" s="1"/>
  <c r="R279" i="4"/>
  <c r="S279" i="4" s="1"/>
  <c r="N279" i="4"/>
  <c r="O279" i="4" s="1"/>
  <c r="J279" i="4"/>
  <c r="AA278" i="4"/>
  <c r="AE278" i="4" s="1"/>
  <c r="R278" i="4"/>
  <c r="S278" i="4" s="1"/>
  <c r="N278" i="4"/>
  <c r="O278" i="4" s="1"/>
  <c r="J278" i="4"/>
  <c r="AA277" i="4"/>
  <c r="R277" i="4"/>
  <c r="N277" i="4"/>
  <c r="J277" i="4"/>
  <c r="AD274" i="4"/>
  <c r="M274" i="4"/>
  <c r="I274" i="4"/>
  <c r="E274" i="4"/>
  <c r="AA273" i="4"/>
  <c r="AE273" i="4" s="1"/>
  <c r="R273" i="4"/>
  <c r="S273" i="4" s="1"/>
  <c r="N273" i="4"/>
  <c r="O273" i="4" s="1"/>
  <c r="J273" i="4"/>
  <c r="AA272" i="4"/>
  <c r="AE272" i="4" s="1"/>
  <c r="R272" i="4"/>
  <c r="S272" i="4" s="1"/>
  <c r="N272" i="4"/>
  <c r="O272" i="4" s="1"/>
  <c r="J272" i="4"/>
  <c r="AA271" i="4"/>
  <c r="AE271" i="4" s="1"/>
  <c r="R271" i="4"/>
  <c r="S271" i="4" s="1"/>
  <c r="N271" i="4"/>
  <c r="O271" i="4" s="1"/>
  <c r="J271" i="4"/>
  <c r="AA270" i="4"/>
  <c r="AE270" i="4" s="1"/>
  <c r="R270" i="4"/>
  <c r="S270" i="4" s="1"/>
  <c r="N270" i="4"/>
  <c r="O270" i="4" s="1"/>
  <c r="J270" i="4"/>
  <c r="K270" i="4" s="1"/>
  <c r="AA269" i="4"/>
  <c r="AE269" i="4" s="1"/>
  <c r="R269" i="4"/>
  <c r="S269" i="4" s="1"/>
  <c r="N269" i="4"/>
  <c r="O269" i="4" s="1"/>
  <c r="J269" i="4"/>
  <c r="AA268" i="4"/>
  <c r="AE268" i="4" s="1"/>
  <c r="R268" i="4"/>
  <c r="S268" i="4" s="1"/>
  <c r="N268" i="4"/>
  <c r="O268" i="4" s="1"/>
  <c r="J268" i="4"/>
  <c r="AH268" i="4" s="1"/>
  <c r="AA267" i="4"/>
  <c r="AE267" i="4" s="1"/>
  <c r="R267" i="4"/>
  <c r="S267" i="4" s="1"/>
  <c r="N267" i="4"/>
  <c r="O267" i="4" s="1"/>
  <c r="J267" i="4"/>
  <c r="AA266" i="4"/>
  <c r="AE266" i="4" s="1"/>
  <c r="R266" i="4"/>
  <c r="S266" i="4" s="1"/>
  <c r="N266" i="4"/>
  <c r="O266" i="4" s="1"/>
  <c r="J266" i="4"/>
  <c r="AH266" i="4" s="1"/>
  <c r="AA265" i="4"/>
  <c r="AE265" i="4" s="1"/>
  <c r="R265" i="4"/>
  <c r="S265" i="4" s="1"/>
  <c r="N265" i="4"/>
  <c r="O265" i="4" s="1"/>
  <c r="J265" i="4"/>
  <c r="AA264" i="4"/>
  <c r="AE264" i="4" s="1"/>
  <c r="R264" i="4"/>
  <c r="S264" i="4" s="1"/>
  <c r="N264" i="4"/>
  <c r="O264" i="4" s="1"/>
  <c r="J264" i="4"/>
  <c r="AA263" i="4"/>
  <c r="AE263" i="4" s="1"/>
  <c r="R263" i="4"/>
  <c r="S263" i="4" s="1"/>
  <c r="N263" i="4"/>
  <c r="O263" i="4" s="1"/>
  <c r="J263" i="4"/>
  <c r="AA262" i="4"/>
  <c r="AE262" i="4" s="1"/>
  <c r="R262" i="4"/>
  <c r="S262" i="4" s="1"/>
  <c r="N262" i="4"/>
  <c r="O262" i="4" s="1"/>
  <c r="J262" i="4"/>
  <c r="K262" i="4" s="1"/>
  <c r="AA261" i="4"/>
  <c r="AE261" i="4" s="1"/>
  <c r="R261" i="4"/>
  <c r="S261" i="4" s="1"/>
  <c r="N261" i="4"/>
  <c r="O261" i="4" s="1"/>
  <c r="J261" i="4"/>
  <c r="AA260" i="4"/>
  <c r="AE260" i="4" s="1"/>
  <c r="R260" i="4"/>
  <c r="S260" i="4" s="1"/>
  <c r="N260" i="4"/>
  <c r="O260" i="4" s="1"/>
  <c r="J260" i="4"/>
  <c r="AH260" i="4" s="1"/>
  <c r="AA259" i="4"/>
  <c r="AE259" i="4" s="1"/>
  <c r="R259" i="4"/>
  <c r="S259" i="4" s="1"/>
  <c r="N259" i="4"/>
  <c r="O259" i="4" s="1"/>
  <c r="J259" i="4"/>
  <c r="AA258" i="4"/>
  <c r="AE258" i="4" s="1"/>
  <c r="R258" i="4"/>
  <c r="S258" i="4" s="1"/>
  <c r="N258" i="4"/>
  <c r="O258" i="4" s="1"/>
  <c r="J258" i="4"/>
  <c r="AH258" i="4" s="1"/>
  <c r="AA257" i="4"/>
  <c r="AE257" i="4" s="1"/>
  <c r="R257" i="4"/>
  <c r="S257" i="4" s="1"/>
  <c r="N257" i="4"/>
  <c r="O257" i="4" s="1"/>
  <c r="J257" i="4"/>
  <c r="AA256" i="4"/>
  <c r="AE256" i="4" s="1"/>
  <c r="R256" i="4"/>
  <c r="S256" i="4" s="1"/>
  <c r="N256" i="4"/>
  <c r="O256" i="4" s="1"/>
  <c r="J256" i="4"/>
  <c r="AA255" i="4"/>
  <c r="AE255" i="4" s="1"/>
  <c r="R255" i="4"/>
  <c r="S255" i="4" s="1"/>
  <c r="N255" i="4"/>
  <c r="O255" i="4" s="1"/>
  <c r="J255" i="4"/>
  <c r="AA254" i="4"/>
  <c r="AE254" i="4" s="1"/>
  <c r="R254" i="4"/>
  <c r="S254" i="4" s="1"/>
  <c r="N254" i="4"/>
  <c r="O254" i="4" s="1"/>
  <c r="J254" i="4"/>
  <c r="K254" i="4" s="1"/>
  <c r="AA253" i="4"/>
  <c r="AE253" i="4" s="1"/>
  <c r="R253" i="4"/>
  <c r="S253" i="4" s="1"/>
  <c r="N253" i="4"/>
  <c r="O253" i="4" s="1"/>
  <c r="J253" i="4"/>
  <c r="AA252" i="4"/>
  <c r="AE252" i="4" s="1"/>
  <c r="R252" i="4"/>
  <c r="S252" i="4" s="1"/>
  <c r="N252" i="4"/>
  <c r="O252" i="4" s="1"/>
  <c r="J252" i="4"/>
  <c r="K252" i="4" s="1"/>
  <c r="AA251" i="4"/>
  <c r="AE251" i="4" s="1"/>
  <c r="R251" i="4"/>
  <c r="S251" i="4" s="1"/>
  <c r="N251" i="4"/>
  <c r="O251" i="4" s="1"/>
  <c r="J251" i="4"/>
  <c r="AA250" i="4"/>
  <c r="AE250" i="4" s="1"/>
  <c r="R250" i="4"/>
  <c r="S250" i="4" s="1"/>
  <c r="N250" i="4"/>
  <c r="O250" i="4" s="1"/>
  <c r="J250" i="4"/>
  <c r="AA249" i="4"/>
  <c r="AE249" i="4" s="1"/>
  <c r="R249" i="4"/>
  <c r="S249" i="4" s="1"/>
  <c r="N249" i="4"/>
  <c r="O249" i="4" s="1"/>
  <c r="J249" i="4"/>
  <c r="AA248" i="4"/>
  <c r="AE248" i="4" s="1"/>
  <c r="R248" i="4"/>
  <c r="S248" i="4" s="1"/>
  <c r="N248" i="4"/>
  <c r="O248" i="4" s="1"/>
  <c r="J248" i="4"/>
  <c r="AA247" i="4"/>
  <c r="AE247" i="4" s="1"/>
  <c r="R247" i="4"/>
  <c r="S247" i="4" s="1"/>
  <c r="N247" i="4"/>
  <c r="O247" i="4" s="1"/>
  <c r="J247" i="4"/>
  <c r="AA246" i="4"/>
  <c r="AE246" i="4" s="1"/>
  <c r="R246" i="4"/>
  <c r="S246" i="4" s="1"/>
  <c r="N246" i="4"/>
  <c r="O246" i="4" s="1"/>
  <c r="J246" i="4"/>
  <c r="K246" i="4" s="1"/>
  <c r="AA245" i="4"/>
  <c r="AE245" i="4" s="1"/>
  <c r="R245" i="4"/>
  <c r="S245" i="4" s="1"/>
  <c r="N245" i="4"/>
  <c r="O245" i="4" s="1"/>
  <c r="J245" i="4"/>
  <c r="AA244" i="4"/>
  <c r="AE244" i="4" s="1"/>
  <c r="R244" i="4"/>
  <c r="S244" i="4" s="1"/>
  <c r="N244" i="4"/>
  <c r="O244" i="4" s="1"/>
  <c r="J244" i="4"/>
  <c r="AH244" i="4" s="1"/>
  <c r="AA243" i="4"/>
  <c r="AE243" i="4" s="1"/>
  <c r="R243" i="4"/>
  <c r="S243" i="4" s="1"/>
  <c r="N243" i="4"/>
  <c r="O243" i="4" s="1"/>
  <c r="J243" i="4"/>
  <c r="AA242" i="4"/>
  <c r="AE242" i="4" s="1"/>
  <c r="R242" i="4"/>
  <c r="S242" i="4" s="1"/>
  <c r="N242" i="4"/>
  <c r="O242" i="4" s="1"/>
  <c r="J242" i="4"/>
  <c r="AH242" i="4" s="1"/>
  <c r="AA241" i="4"/>
  <c r="AE241" i="4" s="1"/>
  <c r="R241" i="4"/>
  <c r="S241" i="4" s="1"/>
  <c r="N241" i="4"/>
  <c r="O241" i="4" s="1"/>
  <c r="J241" i="4"/>
  <c r="AA240" i="4"/>
  <c r="AE240" i="4" s="1"/>
  <c r="R240" i="4"/>
  <c r="S240" i="4" s="1"/>
  <c r="N240" i="4"/>
  <c r="O240" i="4" s="1"/>
  <c r="J240" i="4"/>
  <c r="AA239" i="4"/>
  <c r="AE239" i="4" s="1"/>
  <c r="R239" i="4"/>
  <c r="S239" i="4" s="1"/>
  <c r="N239" i="4"/>
  <c r="O239" i="4" s="1"/>
  <c r="J239" i="4"/>
  <c r="AA238" i="4"/>
  <c r="AE238" i="4" s="1"/>
  <c r="R238" i="4"/>
  <c r="S238" i="4" s="1"/>
  <c r="N238" i="4"/>
  <c r="O238" i="4" s="1"/>
  <c r="J238" i="4"/>
  <c r="K238" i="4" s="1"/>
  <c r="AA237" i="4"/>
  <c r="AE237" i="4" s="1"/>
  <c r="R237" i="4"/>
  <c r="S237" i="4" s="1"/>
  <c r="N237" i="4"/>
  <c r="O237" i="4" s="1"/>
  <c r="J237" i="4"/>
  <c r="AA236" i="4"/>
  <c r="AE236" i="4" s="1"/>
  <c r="R236" i="4"/>
  <c r="S236" i="4" s="1"/>
  <c r="N236" i="4"/>
  <c r="O236" i="4" s="1"/>
  <c r="J236" i="4"/>
  <c r="K236" i="4" s="1"/>
  <c r="AA235" i="4"/>
  <c r="AE235" i="4" s="1"/>
  <c r="R235" i="4"/>
  <c r="S235" i="4" s="1"/>
  <c r="N235" i="4"/>
  <c r="O235" i="4" s="1"/>
  <c r="J235" i="4"/>
  <c r="AA234" i="4"/>
  <c r="AE234" i="4" s="1"/>
  <c r="R234" i="4"/>
  <c r="S234" i="4" s="1"/>
  <c r="N234" i="4"/>
  <c r="O234" i="4" s="1"/>
  <c r="J234" i="4"/>
  <c r="AA233" i="4"/>
  <c r="AE233" i="4" s="1"/>
  <c r="R233" i="4"/>
  <c r="S233" i="4" s="1"/>
  <c r="N233" i="4"/>
  <c r="O233" i="4" s="1"/>
  <c r="J233" i="4"/>
  <c r="AA232" i="4"/>
  <c r="AE232" i="4" s="1"/>
  <c r="R232" i="4"/>
  <c r="S232" i="4" s="1"/>
  <c r="N232" i="4"/>
  <c r="O232" i="4" s="1"/>
  <c r="J232" i="4"/>
  <c r="AA231" i="4"/>
  <c r="AE231" i="4" s="1"/>
  <c r="R231" i="4"/>
  <c r="S231" i="4" s="1"/>
  <c r="N231" i="4"/>
  <c r="O231" i="4" s="1"/>
  <c r="J231" i="4"/>
  <c r="AA230" i="4"/>
  <c r="AE230" i="4" s="1"/>
  <c r="R230" i="4"/>
  <c r="S230" i="4" s="1"/>
  <c r="N230" i="4"/>
  <c r="O230" i="4" s="1"/>
  <c r="J230" i="4"/>
  <c r="K230" i="4" s="1"/>
  <c r="AA229" i="4"/>
  <c r="R229" i="4"/>
  <c r="S229" i="4" s="1"/>
  <c r="N229" i="4"/>
  <c r="O229" i="4" s="1"/>
  <c r="J229" i="4"/>
  <c r="AD226" i="4"/>
  <c r="M226" i="4"/>
  <c r="I226" i="4"/>
  <c r="E226" i="4"/>
  <c r="AA225" i="4"/>
  <c r="AE225" i="4" s="1"/>
  <c r="R225" i="4"/>
  <c r="S225" i="4" s="1"/>
  <c r="N225" i="4"/>
  <c r="O225" i="4" s="1"/>
  <c r="J225" i="4"/>
  <c r="AA224" i="4"/>
  <c r="AE224" i="4" s="1"/>
  <c r="R224" i="4"/>
  <c r="S224" i="4" s="1"/>
  <c r="N224" i="4"/>
  <c r="O224" i="4" s="1"/>
  <c r="J224" i="4"/>
  <c r="AA223" i="4"/>
  <c r="AE223" i="4" s="1"/>
  <c r="R223" i="4"/>
  <c r="S223" i="4" s="1"/>
  <c r="N223" i="4"/>
  <c r="O223" i="4" s="1"/>
  <c r="J223" i="4"/>
  <c r="AA222" i="4"/>
  <c r="AE222" i="4" s="1"/>
  <c r="R222" i="4"/>
  <c r="S222" i="4" s="1"/>
  <c r="N222" i="4"/>
  <c r="O222" i="4" s="1"/>
  <c r="J222" i="4"/>
  <c r="K222" i="4" s="1"/>
  <c r="AA221" i="4"/>
  <c r="AE221" i="4" s="1"/>
  <c r="R221" i="4"/>
  <c r="S221" i="4" s="1"/>
  <c r="N221" i="4"/>
  <c r="O221" i="4" s="1"/>
  <c r="J221" i="4"/>
  <c r="AA220" i="4"/>
  <c r="AE220" i="4" s="1"/>
  <c r="R220" i="4"/>
  <c r="S220" i="4" s="1"/>
  <c r="N220" i="4"/>
  <c r="O220" i="4" s="1"/>
  <c r="J220" i="4"/>
  <c r="K220" i="4" s="1"/>
  <c r="AA219" i="4"/>
  <c r="AE219" i="4" s="1"/>
  <c r="R219" i="4"/>
  <c r="S219" i="4" s="1"/>
  <c r="N219" i="4"/>
  <c r="O219" i="4" s="1"/>
  <c r="J219" i="4"/>
  <c r="AA218" i="4"/>
  <c r="AE218" i="4" s="1"/>
  <c r="R218" i="4"/>
  <c r="S218" i="4" s="1"/>
  <c r="N218" i="4"/>
  <c r="O218" i="4" s="1"/>
  <c r="J218" i="4"/>
  <c r="AH218" i="4" s="1"/>
  <c r="AA217" i="4"/>
  <c r="AE217" i="4" s="1"/>
  <c r="R217" i="4"/>
  <c r="S217" i="4" s="1"/>
  <c r="N217" i="4"/>
  <c r="O217" i="4" s="1"/>
  <c r="J217" i="4"/>
  <c r="AA216" i="4"/>
  <c r="AE216" i="4" s="1"/>
  <c r="R216" i="4"/>
  <c r="S216" i="4" s="1"/>
  <c r="N216" i="4"/>
  <c r="O216" i="4" s="1"/>
  <c r="J216" i="4"/>
  <c r="AH216" i="4" s="1"/>
  <c r="AA215" i="4"/>
  <c r="AE215" i="4" s="1"/>
  <c r="R215" i="4"/>
  <c r="S215" i="4" s="1"/>
  <c r="N215" i="4"/>
  <c r="O215" i="4" s="1"/>
  <c r="J215" i="4"/>
  <c r="AA214" i="4"/>
  <c r="AE214" i="4" s="1"/>
  <c r="R214" i="4"/>
  <c r="S214" i="4" s="1"/>
  <c r="N214" i="4"/>
  <c r="O214" i="4" s="1"/>
  <c r="J214" i="4"/>
  <c r="AA213" i="4"/>
  <c r="AE213" i="4" s="1"/>
  <c r="R213" i="4"/>
  <c r="S213" i="4" s="1"/>
  <c r="N213" i="4"/>
  <c r="O213" i="4" s="1"/>
  <c r="J213" i="4"/>
  <c r="AA212" i="4"/>
  <c r="AE212" i="4" s="1"/>
  <c r="R212" i="4"/>
  <c r="S212" i="4" s="1"/>
  <c r="N212" i="4"/>
  <c r="O212" i="4" s="1"/>
  <c r="J212" i="4"/>
  <c r="K212" i="4" s="1"/>
  <c r="AA211" i="4"/>
  <c r="AE211" i="4" s="1"/>
  <c r="R211" i="4"/>
  <c r="S211" i="4" s="1"/>
  <c r="N211" i="4"/>
  <c r="O211" i="4" s="1"/>
  <c r="J211" i="4"/>
  <c r="AA210" i="4"/>
  <c r="AE210" i="4" s="1"/>
  <c r="R210" i="4"/>
  <c r="S210" i="4" s="1"/>
  <c r="N210" i="4"/>
  <c r="O210" i="4" s="1"/>
  <c r="J210" i="4"/>
  <c r="AH210" i="4" s="1"/>
  <c r="AA209" i="4"/>
  <c r="AE209" i="4" s="1"/>
  <c r="R209" i="4"/>
  <c r="S209" i="4" s="1"/>
  <c r="N209" i="4"/>
  <c r="O209" i="4" s="1"/>
  <c r="J209" i="4"/>
  <c r="AA208" i="4"/>
  <c r="AE208" i="4" s="1"/>
  <c r="R208" i="4"/>
  <c r="S208" i="4" s="1"/>
  <c r="N208" i="4"/>
  <c r="O208" i="4" s="1"/>
  <c r="J208" i="4"/>
  <c r="AH208" i="4" s="1"/>
  <c r="AA207" i="4"/>
  <c r="AE207" i="4" s="1"/>
  <c r="R207" i="4"/>
  <c r="S207" i="4" s="1"/>
  <c r="N207" i="4"/>
  <c r="O207" i="4" s="1"/>
  <c r="J207" i="4"/>
  <c r="AA206" i="4"/>
  <c r="AE206" i="4" s="1"/>
  <c r="R206" i="4"/>
  <c r="S206" i="4" s="1"/>
  <c r="N206" i="4"/>
  <c r="O206" i="4" s="1"/>
  <c r="J206" i="4"/>
  <c r="AH206" i="4" s="1"/>
  <c r="AA205" i="4"/>
  <c r="AE205" i="4" s="1"/>
  <c r="R205" i="4"/>
  <c r="S205" i="4" s="1"/>
  <c r="N205" i="4"/>
  <c r="O205" i="4" s="1"/>
  <c r="J205" i="4"/>
  <c r="AA204" i="4"/>
  <c r="AE204" i="4" s="1"/>
  <c r="R204" i="4"/>
  <c r="S204" i="4" s="1"/>
  <c r="N204" i="4"/>
  <c r="O204" i="4" s="1"/>
  <c r="J204" i="4"/>
  <c r="K204" i="4" s="1"/>
  <c r="AA203" i="4"/>
  <c r="AE203" i="4" s="1"/>
  <c r="R203" i="4"/>
  <c r="S203" i="4" s="1"/>
  <c r="N203" i="4"/>
  <c r="O203" i="4" s="1"/>
  <c r="J203" i="4"/>
  <c r="AA202" i="4"/>
  <c r="AE202" i="4" s="1"/>
  <c r="R202" i="4"/>
  <c r="S202" i="4" s="1"/>
  <c r="N202" i="4"/>
  <c r="O202" i="4" s="1"/>
  <c r="J202" i="4"/>
  <c r="AH202" i="4" s="1"/>
  <c r="AA201" i="4"/>
  <c r="AE201" i="4" s="1"/>
  <c r="R201" i="4"/>
  <c r="S201" i="4" s="1"/>
  <c r="N201" i="4"/>
  <c r="O201" i="4" s="1"/>
  <c r="J201" i="4"/>
  <c r="AA200" i="4"/>
  <c r="AE200" i="4" s="1"/>
  <c r="R200" i="4"/>
  <c r="S200" i="4" s="1"/>
  <c r="N200" i="4"/>
  <c r="O200" i="4" s="1"/>
  <c r="J200" i="4"/>
  <c r="AH200" i="4" s="1"/>
  <c r="AA199" i="4"/>
  <c r="AE199" i="4" s="1"/>
  <c r="R199" i="4"/>
  <c r="S199" i="4" s="1"/>
  <c r="N199" i="4"/>
  <c r="O199" i="4" s="1"/>
  <c r="J199" i="4"/>
  <c r="AA198" i="4"/>
  <c r="AE198" i="4" s="1"/>
  <c r="R198" i="4"/>
  <c r="S198" i="4" s="1"/>
  <c r="N198" i="4"/>
  <c r="O198" i="4" s="1"/>
  <c r="J198" i="4"/>
  <c r="AH198" i="4" s="1"/>
  <c r="AA197" i="4"/>
  <c r="AE197" i="4" s="1"/>
  <c r="R197" i="4"/>
  <c r="S197" i="4" s="1"/>
  <c r="N197" i="4"/>
  <c r="O197" i="4" s="1"/>
  <c r="J197" i="4"/>
  <c r="AA196" i="4"/>
  <c r="AE196" i="4" s="1"/>
  <c r="R196" i="4"/>
  <c r="S196" i="4" s="1"/>
  <c r="N196" i="4"/>
  <c r="O196" i="4" s="1"/>
  <c r="J196" i="4"/>
  <c r="K196" i="4" s="1"/>
  <c r="AA195" i="4"/>
  <c r="AE195" i="4" s="1"/>
  <c r="R195" i="4"/>
  <c r="S195" i="4" s="1"/>
  <c r="N195" i="4"/>
  <c r="O195" i="4" s="1"/>
  <c r="J195" i="4"/>
  <c r="AA194" i="4"/>
  <c r="AE194" i="4" s="1"/>
  <c r="R194" i="4"/>
  <c r="S194" i="4" s="1"/>
  <c r="N194" i="4"/>
  <c r="O194" i="4" s="1"/>
  <c r="J194" i="4"/>
  <c r="AH194" i="4" s="1"/>
  <c r="AA193" i="4"/>
  <c r="R193" i="4"/>
  <c r="S193" i="4" s="1"/>
  <c r="N193" i="4"/>
  <c r="O193" i="4" s="1"/>
  <c r="J193" i="4"/>
  <c r="AD190" i="4"/>
  <c r="I190" i="4"/>
  <c r="E190" i="4"/>
  <c r="AA189" i="4"/>
  <c r="AA190" i="4" s="1"/>
  <c r="AE190" i="4" s="1"/>
  <c r="R189" i="4"/>
  <c r="S189" i="4" s="1"/>
  <c r="S190" i="4" s="1"/>
  <c r="N189" i="4"/>
  <c r="O189" i="4" s="1"/>
  <c r="J189" i="4"/>
  <c r="J190" i="4" s="1"/>
  <c r="AD186" i="4"/>
  <c r="M186" i="4"/>
  <c r="I186" i="4"/>
  <c r="E186" i="4"/>
  <c r="AA185" i="4"/>
  <c r="AE185" i="4" s="1"/>
  <c r="R185" i="4"/>
  <c r="S185" i="4" s="1"/>
  <c r="N185" i="4"/>
  <c r="O185" i="4" s="1"/>
  <c r="J185" i="4"/>
  <c r="AA184" i="4"/>
  <c r="AE184" i="4" s="1"/>
  <c r="R184" i="4"/>
  <c r="S184" i="4" s="1"/>
  <c r="N184" i="4"/>
  <c r="O184" i="4" s="1"/>
  <c r="J184" i="4"/>
  <c r="AH184" i="4" s="1"/>
  <c r="AA183" i="4"/>
  <c r="AE183" i="4" s="1"/>
  <c r="R183" i="4"/>
  <c r="S183" i="4" s="1"/>
  <c r="N183" i="4"/>
  <c r="O183" i="4" s="1"/>
  <c r="J183" i="4"/>
  <c r="AA182" i="4"/>
  <c r="AE182" i="4" s="1"/>
  <c r="R182" i="4"/>
  <c r="S182" i="4" s="1"/>
  <c r="N182" i="4"/>
  <c r="O182" i="4" s="1"/>
  <c r="J182" i="4"/>
  <c r="K182" i="4" s="1"/>
  <c r="AA181" i="4"/>
  <c r="AE181" i="4" s="1"/>
  <c r="R181" i="4"/>
  <c r="S181" i="4" s="1"/>
  <c r="N181" i="4"/>
  <c r="O181" i="4" s="1"/>
  <c r="J181" i="4"/>
  <c r="AA180" i="4"/>
  <c r="AE180" i="4" s="1"/>
  <c r="R180" i="4"/>
  <c r="S180" i="4" s="1"/>
  <c r="N180" i="4"/>
  <c r="O180" i="4" s="1"/>
  <c r="J180" i="4"/>
  <c r="AA179" i="4"/>
  <c r="AE179" i="4" s="1"/>
  <c r="R179" i="4"/>
  <c r="S179" i="4" s="1"/>
  <c r="N179" i="4"/>
  <c r="O179" i="4" s="1"/>
  <c r="J179" i="4"/>
  <c r="AA178" i="4"/>
  <c r="AE178" i="4" s="1"/>
  <c r="R178" i="4"/>
  <c r="S178" i="4" s="1"/>
  <c r="N178" i="4"/>
  <c r="O178" i="4" s="1"/>
  <c r="J178" i="4"/>
  <c r="AH178" i="4" s="1"/>
  <c r="AA177" i="4"/>
  <c r="AE177" i="4" s="1"/>
  <c r="R177" i="4"/>
  <c r="S177" i="4" s="1"/>
  <c r="N177" i="4"/>
  <c r="O177" i="4" s="1"/>
  <c r="J177" i="4"/>
  <c r="AA176" i="4"/>
  <c r="AE176" i="4" s="1"/>
  <c r="R176" i="4"/>
  <c r="S176" i="4" s="1"/>
  <c r="N176" i="4"/>
  <c r="O176" i="4" s="1"/>
  <c r="J176" i="4"/>
  <c r="AH176" i="4" s="1"/>
  <c r="AA175" i="4"/>
  <c r="AE175" i="4" s="1"/>
  <c r="R175" i="4"/>
  <c r="S175" i="4" s="1"/>
  <c r="N175" i="4"/>
  <c r="O175" i="4" s="1"/>
  <c r="J175" i="4"/>
  <c r="AA174" i="4"/>
  <c r="AE174" i="4" s="1"/>
  <c r="R174" i="4"/>
  <c r="S174" i="4" s="1"/>
  <c r="N174" i="4"/>
  <c r="O174" i="4" s="1"/>
  <c r="J174" i="4"/>
  <c r="AA173" i="4"/>
  <c r="AE173" i="4" s="1"/>
  <c r="R173" i="4"/>
  <c r="S173" i="4" s="1"/>
  <c r="N173" i="4"/>
  <c r="O173" i="4" s="1"/>
  <c r="J173" i="4"/>
  <c r="AA172" i="4"/>
  <c r="AE172" i="4" s="1"/>
  <c r="R172" i="4"/>
  <c r="S172" i="4" s="1"/>
  <c r="N172" i="4"/>
  <c r="O172" i="4" s="1"/>
  <c r="J172" i="4"/>
  <c r="AA171" i="4"/>
  <c r="AE171" i="4" s="1"/>
  <c r="R171" i="4"/>
  <c r="S171" i="4" s="1"/>
  <c r="N171" i="4"/>
  <c r="O171" i="4" s="1"/>
  <c r="J171" i="4"/>
  <c r="AA170" i="4"/>
  <c r="AE170" i="4" s="1"/>
  <c r="R170" i="4"/>
  <c r="S170" i="4" s="1"/>
  <c r="N170" i="4"/>
  <c r="O170" i="4" s="1"/>
  <c r="J170" i="4"/>
  <c r="AH170" i="4" s="1"/>
  <c r="AA169" i="4"/>
  <c r="AE169" i="4" s="1"/>
  <c r="R169" i="4"/>
  <c r="S169" i="4" s="1"/>
  <c r="N169" i="4"/>
  <c r="O169" i="4" s="1"/>
  <c r="J169" i="4"/>
  <c r="AA168" i="4"/>
  <c r="AE168" i="4" s="1"/>
  <c r="R168" i="4"/>
  <c r="S168" i="4" s="1"/>
  <c r="N168" i="4"/>
  <c r="O168" i="4" s="1"/>
  <c r="J168" i="4"/>
  <c r="K168" i="4" s="1"/>
  <c r="AA167" i="4"/>
  <c r="AE167" i="4" s="1"/>
  <c r="R167" i="4"/>
  <c r="S167" i="4" s="1"/>
  <c r="N167" i="4"/>
  <c r="O167" i="4" s="1"/>
  <c r="J167" i="4"/>
  <c r="AA166" i="4"/>
  <c r="AE166" i="4" s="1"/>
  <c r="R166" i="4"/>
  <c r="S166" i="4" s="1"/>
  <c r="N166" i="4"/>
  <c r="O166" i="4" s="1"/>
  <c r="J166" i="4"/>
  <c r="K166" i="4" s="1"/>
  <c r="AA165" i="4"/>
  <c r="AE165" i="4" s="1"/>
  <c r="R165" i="4"/>
  <c r="S165" i="4" s="1"/>
  <c r="N165" i="4"/>
  <c r="O165" i="4" s="1"/>
  <c r="J165" i="4"/>
  <c r="AA164" i="4"/>
  <c r="AE164" i="4" s="1"/>
  <c r="R164" i="4"/>
  <c r="S164" i="4" s="1"/>
  <c r="N164" i="4"/>
  <c r="O164" i="4" s="1"/>
  <c r="J164" i="4"/>
  <c r="AA163" i="4"/>
  <c r="AE163" i="4" s="1"/>
  <c r="R163" i="4"/>
  <c r="S163" i="4" s="1"/>
  <c r="N163" i="4"/>
  <c r="O163" i="4" s="1"/>
  <c r="J163" i="4"/>
  <c r="AA162" i="4"/>
  <c r="AE162" i="4" s="1"/>
  <c r="R162" i="4"/>
  <c r="S162" i="4" s="1"/>
  <c r="N162" i="4"/>
  <c r="O162" i="4" s="1"/>
  <c r="J162" i="4"/>
  <c r="AH162" i="4" s="1"/>
  <c r="AA161" i="4"/>
  <c r="AE161" i="4" s="1"/>
  <c r="R161" i="4"/>
  <c r="S161" i="4" s="1"/>
  <c r="N161" i="4"/>
  <c r="O161" i="4" s="1"/>
  <c r="J161" i="4"/>
  <c r="AA160" i="4"/>
  <c r="AE160" i="4" s="1"/>
  <c r="R160" i="4"/>
  <c r="S160" i="4" s="1"/>
  <c r="N160" i="4"/>
  <c r="O160" i="4" s="1"/>
  <c r="J160" i="4"/>
  <c r="AH160" i="4" s="1"/>
  <c r="AA159" i="4"/>
  <c r="AE159" i="4" s="1"/>
  <c r="R159" i="4"/>
  <c r="S159" i="4" s="1"/>
  <c r="N159" i="4"/>
  <c r="O159" i="4" s="1"/>
  <c r="J159" i="4"/>
  <c r="AA158" i="4"/>
  <c r="AE158" i="4" s="1"/>
  <c r="R158" i="4"/>
  <c r="S158" i="4" s="1"/>
  <c r="N158" i="4"/>
  <c r="O158" i="4" s="1"/>
  <c r="J158" i="4"/>
  <c r="K158" i="4" s="1"/>
  <c r="AA157" i="4"/>
  <c r="AE157" i="4" s="1"/>
  <c r="R157" i="4"/>
  <c r="S157" i="4" s="1"/>
  <c r="N157" i="4"/>
  <c r="O157" i="4" s="1"/>
  <c r="J157" i="4"/>
  <c r="AA156" i="4"/>
  <c r="AE156" i="4" s="1"/>
  <c r="R156" i="4"/>
  <c r="S156" i="4" s="1"/>
  <c r="N156" i="4"/>
  <c r="O156" i="4" s="1"/>
  <c r="J156" i="4"/>
  <c r="AA155" i="4"/>
  <c r="AE155" i="4" s="1"/>
  <c r="R155" i="4"/>
  <c r="S155" i="4" s="1"/>
  <c r="N155" i="4"/>
  <c r="O155" i="4" s="1"/>
  <c r="J155" i="4"/>
  <c r="AA154" i="4"/>
  <c r="AE154" i="4" s="1"/>
  <c r="R154" i="4"/>
  <c r="S154" i="4" s="1"/>
  <c r="N154" i="4"/>
  <c r="O154" i="4" s="1"/>
  <c r="J154" i="4"/>
  <c r="AH154" i="4" s="1"/>
  <c r="AA153" i="4"/>
  <c r="AE153" i="4" s="1"/>
  <c r="R153" i="4"/>
  <c r="S153" i="4" s="1"/>
  <c r="N153" i="4"/>
  <c r="O153" i="4" s="1"/>
  <c r="J153" i="4"/>
  <c r="AA152" i="4"/>
  <c r="AE152" i="4" s="1"/>
  <c r="R152" i="4"/>
  <c r="S152" i="4" s="1"/>
  <c r="N152" i="4"/>
  <c r="O152" i="4" s="1"/>
  <c r="J152" i="4"/>
  <c r="AH152" i="4" s="1"/>
  <c r="AA151" i="4"/>
  <c r="AE151" i="4" s="1"/>
  <c r="R151" i="4"/>
  <c r="S151" i="4" s="1"/>
  <c r="N151" i="4"/>
  <c r="O151" i="4" s="1"/>
  <c r="J151" i="4"/>
  <c r="AA150" i="4"/>
  <c r="AE150" i="4" s="1"/>
  <c r="R150" i="4"/>
  <c r="S150" i="4" s="1"/>
  <c r="N150" i="4"/>
  <c r="O150" i="4" s="1"/>
  <c r="J150" i="4"/>
  <c r="K150" i="4" s="1"/>
  <c r="AA149" i="4"/>
  <c r="AE149" i="4" s="1"/>
  <c r="R149" i="4"/>
  <c r="S149" i="4" s="1"/>
  <c r="N149" i="4"/>
  <c r="O149" i="4" s="1"/>
  <c r="J149" i="4"/>
  <c r="AA148" i="4"/>
  <c r="AE148" i="4" s="1"/>
  <c r="R148" i="4"/>
  <c r="S148" i="4" s="1"/>
  <c r="N148" i="4"/>
  <c r="O148" i="4" s="1"/>
  <c r="J148" i="4"/>
  <c r="AA147" i="4"/>
  <c r="AE147" i="4" s="1"/>
  <c r="R147" i="4"/>
  <c r="S147" i="4" s="1"/>
  <c r="N147" i="4"/>
  <c r="O147" i="4" s="1"/>
  <c r="J147" i="4"/>
  <c r="AA146" i="4"/>
  <c r="AE146" i="4" s="1"/>
  <c r="R146" i="4"/>
  <c r="S146" i="4" s="1"/>
  <c r="N146" i="4"/>
  <c r="O146" i="4" s="1"/>
  <c r="J146" i="4"/>
  <c r="AA145" i="4"/>
  <c r="AE145" i="4" s="1"/>
  <c r="R145" i="4"/>
  <c r="S145" i="4" s="1"/>
  <c r="N145" i="4"/>
  <c r="O145" i="4" s="1"/>
  <c r="J145" i="4"/>
  <c r="AA144" i="4"/>
  <c r="AE144" i="4" s="1"/>
  <c r="R144" i="4"/>
  <c r="S144" i="4" s="1"/>
  <c r="N144" i="4"/>
  <c r="O144" i="4" s="1"/>
  <c r="J144" i="4"/>
  <c r="K144" i="4" s="1"/>
  <c r="AA143" i="4"/>
  <c r="AE143" i="4" s="1"/>
  <c r="R143" i="4"/>
  <c r="S143" i="4" s="1"/>
  <c r="N143" i="4"/>
  <c r="O143" i="4" s="1"/>
  <c r="J143" i="4"/>
  <c r="AA142" i="4"/>
  <c r="AE142" i="4" s="1"/>
  <c r="R142" i="4"/>
  <c r="S142" i="4" s="1"/>
  <c r="N142" i="4"/>
  <c r="O142" i="4" s="1"/>
  <c r="J142" i="4"/>
  <c r="K142" i="4" s="1"/>
  <c r="AA141" i="4"/>
  <c r="AE141" i="4" s="1"/>
  <c r="R141" i="4"/>
  <c r="S141" i="4" s="1"/>
  <c r="N141" i="4"/>
  <c r="O141" i="4" s="1"/>
  <c r="J141" i="4"/>
  <c r="AA140" i="4"/>
  <c r="AE140" i="4" s="1"/>
  <c r="R140" i="4"/>
  <c r="S140" i="4" s="1"/>
  <c r="N140" i="4"/>
  <c r="O140" i="4" s="1"/>
  <c r="J140" i="4"/>
  <c r="AA139" i="4"/>
  <c r="AE139" i="4" s="1"/>
  <c r="R139" i="4"/>
  <c r="S139" i="4" s="1"/>
  <c r="N139" i="4"/>
  <c r="O139" i="4" s="1"/>
  <c r="J139" i="4"/>
  <c r="AA138" i="4"/>
  <c r="AE138" i="4" s="1"/>
  <c r="R138" i="4"/>
  <c r="S138" i="4" s="1"/>
  <c r="N138" i="4"/>
  <c r="O138" i="4" s="1"/>
  <c r="J138" i="4"/>
  <c r="AH138" i="4" s="1"/>
  <c r="AA137" i="4"/>
  <c r="AE137" i="4" s="1"/>
  <c r="R137" i="4"/>
  <c r="S137" i="4" s="1"/>
  <c r="N137" i="4"/>
  <c r="O137" i="4" s="1"/>
  <c r="J137" i="4"/>
  <c r="AA136" i="4"/>
  <c r="AE136" i="4" s="1"/>
  <c r="R136" i="4"/>
  <c r="S136" i="4" s="1"/>
  <c r="N136" i="4"/>
  <c r="O136" i="4" s="1"/>
  <c r="J136" i="4"/>
  <c r="AA135" i="4"/>
  <c r="AE135" i="4" s="1"/>
  <c r="R135" i="4"/>
  <c r="S135" i="4" s="1"/>
  <c r="N135" i="4"/>
  <c r="O135" i="4" s="1"/>
  <c r="J135" i="4"/>
  <c r="AA134" i="4"/>
  <c r="AE134" i="4" s="1"/>
  <c r="R134" i="4"/>
  <c r="S134" i="4" s="1"/>
  <c r="N134" i="4"/>
  <c r="O134" i="4" s="1"/>
  <c r="J134" i="4"/>
  <c r="K134" i="4" s="1"/>
  <c r="AA133" i="4"/>
  <c r="AE133" i="4" s="1"/>
  <c r="R133" i="4"/>
  <c r="S133" i="4" s="1"/>
  <c r="N133" i="4"/>
  <c r="O133" i="4" s="1"/>
  <c r="J133" i="4"/>
  <c r="AD130" i="4"/>
  <c r="Q130" i="4"/>
  <c r="M130" i="4"/>
  <c r="I130" i="4"/>
  <c r="E130" i="4"/>
  <c r="AA129" i="4"/>
  <c r="AE129" i="4" s="1"/>
  <c r="R129" i="4"/>
  <c r="S129" i="4" s="1"/>
  <c r="N129" i="4"/>
  <c r="O129" i="4" s="1"/>
  <c r="J129" i="4"/>
  <c r="K129" i="4" s="1"/>
  <c r="AA128" i="4"/>
  <c r="AE128" i="4" s="1"/>
  <c r="R128" i="4"/>
  <c r="S128" i="4" s="1"/>
  <c r="N128" i="4"/>
  <c r="O128" i="4" s="1"/>
  <c r="J128" i="4"/>
  <c r="AA127" i="4"/>
  <c r="AE127" i="4" s="1"/>
  <c r="R127" i="4"/>
  <c r="S127" i="4" s="1"/>
  <c r="N127" i="4"/>
  <c r="O127" i="4" s="1"/>
  <c r="J127" i="4"/>
  <c r="AA126" i="4"/>
  <c r="AE126" i="4" s="1"/>
  <c r="R126" i="4"/>
  <c r="S126" i="4" s="1"/>
  <c r="N126" i="4"/>
  <c r="O126" i="4" s="1"/>
  <c r="J126" i="4"/>
  <c r="AA125" i="4"/>
  <c r="AE125" i="4" s="1"/>
  <c r="R125" i="4"/>
  <c r="S125" i="4" s="1"/>
  <c r="N125" i="4"/>
  <c r="O125" i="4" s="1"/>
  <c r="J125" i="4"/>
  <c r="AA124" i="4"/>
  <c r="AE124" i="4" s="1"/>
  <c r="R124" i="4"/>
  <c r="S124" i="4" s="1"/>
  <c r="N124" i="4"/>
  <c r="O124" i="4" s="1"/>
  <c r="J124" i="4"/>
  <c r="AA123" i="4"/>
  <c r="AE123" i="4" s="1"/>
  <c r="R123" i="4"/>
  <c r="S123" i="4" s="1"/>
  <c r="N123" i="4"/>
  <c r="O123" i="4" s="1"/>
  <c r="J123" i="4"/>
  <c r="AA122" i="4"/>
  <c r="AE122" i="4" s="1"/>
  <c r="R122" i="4"/>
  <c r="S122" i="4" s="1"/>
  <c r="N122" i="4"/>
  <c r="O122" i="4" s="1"/>
  <c r="J122" i="4"/>
  <c r="AA121" i="4"/>
  <c r="AE121" i="4" s="1"/>
  <c r="R121" i="4"/>
  <c r="S121" i="4" s="1"/>
  <c r="N121" i="4"/>
  <c r="O121" i="4" s="1"/>
  <c r="J121" i="4"/>
  <c r="K121" i="4" s="1"/>
  <c r="AA120" i="4"/>
  <c r="AE120" i="4" s="1"/>
  <c r="R120" i="4"/>
  <c r="S120" i="4" s="1"/>
  <c r="N120" i="4"/>
  <c r="O120" i="4" s="1"/>
  <c r="J120" i="4"/>
  <c r="AA119" i="4"/>
  <c r="AE119" i="4" s="1"/>
  <c r="R119" i="4"/>
  <c r="S119" i="4" s="1"/>
  <c r="N119" i="4"/>
  <c r="O119" i="4" s="1"/>
  <c r="J119" i="4"/>
  <c r="AH119" i="4" s="1"/>
  <c r="AA118" i="4"/>
  <c r="AE118" i="4" s="1"/>
  <c r="R118" i="4"/>
  <c r="S118" i="4" s="1"/>
  <c r="N118" i="4"/>
  <c r="O118" i="4" s="1"/>
  <c r="J118" i="4"/>
  <c r="AA117" i="4"/>
  <c r="AE117" i="4" s="1"/>
  <c r="R117" i="4"/>
  <c r="S117" i="4" s="1"/>
  <c r="N117" i="4"/>
  <c r="O117" i="4" s="1"/>
  <c r="J117" i="4"/>
  <c r="AA116" i="4"/>
  <c r="AE116" i="4" s="1"/>
  <c r="R116" i="4"/>
  <c r="S116" i="4" s="1"/>
  <c r="N116" i="4"/>
  <c r="O116" i="4" s="1"/>
  <c r="J116" i="4"/>
  <c r="AA115" i="4"/>
  <c r="AE115" i="4" s="1"/>
  <c r="R115" i="4"/>
  <c r="S115" i="4" s="1"/>
  <c r="N115" i="4"/>
  <c r="O115" i="4" s="1"/>
  <c r="J115" i="4"/>
  <c r="AA114" i="4"/>
  <c r="AE114" i="4" s="1"/>
  <c r="R114" i="4"/>
  <c r="S114" i="4" s="1"/>
  <c r="N114" i="4"/>
  <c r="O114" i="4" s="1"/>
  <c r="J114" i="4"/>
  <c r="AA113" i="4"/>
  <c r="AE113" i="4" s="1"/>
  <c r="R113" i="4"/>
  <c r="S113" i="4" s="1"/>
  <c r="N113" i="4"/>
  <c r="O113" i="4" s="1"/>
  <c r="J113" i="4"/>
  <c r="K113" i="4" s="1"/>
  <c r="AA112" i="4"/>
  <c r="AE112" i="4" s="1"/>
  <c r="R112" i="4"/>
  <c r="S112" i="4" s="1"/>
  <c r="N112" i="4"/>
  <c r="O112" i="4" s="1"/>
  <c r="J112" i="4"/>
  <c r="AA111" i="4"/>
  <c r="AE111" i="4" s="1"/>
  <c r="R111" i="4"/>
  <c r="S111" i="4" s="1"/>
  <c r="N111" i="4"/>
  <c r="O111" i="4" s="1"/>
  <c r="J111" i="4"/>
  <c r="K111" i="4" s="1"/>
  <c r="AA110" i="4"/>
  <c r="AE110" i="4" s="1"/>
  <c r="R110" i="4"/>
  <c r="S110" i="4" s="1"/>
  <c r="N110" i="4"/>
  <c r="O110" i="4" s="1"/>
  <c r="J110" i="4"/>
  <c r="AA109" i="4"/>
  <c r="AE109" i="4" s="1"/>
  <c r="R109" i="4"/>
  <c r="S109" i="4" s="1"/>
  <c r="N109" i="4"/>
  <c r="O109" i="4" s="1"/>
  <c r="J109" i="4"/>
  <c r="AH109" i="4" s="1"/>
  <c r="AA108" i="4"/>
  <c r="AE108" i="4" s="1"/>
  <c r="R108" i="4"/>
  <c r="S108" i="4" s="1"/>
  <c r="N108" i="4"/>
  <c r="O108" i="4" s="1"/>
  <c r="J108" i="4"/>
  <c r="AA107" i="4"/>
  <c r="AE107" i="4" s="1"/>
  <c r="R107" i="4"/>
  <c r="S107" i="4" s="1"/>
  <c r="N107" i="4"/>
  <c r="O107" i="4" s="1"/>
  <c r="J107" i="4"/>
  <c r="AA106" i="4"/>
  <c r="AE106" i="4" s="1"/>
  <c r="R106" i="4"/>
  <c r="S106" i="4" s="1"/>
  <c r="N106" i="4"/>
  <c r="O106" i="4" s="1"/>
  <c r="J106" i="4"/>
  <c r="AA105" i="4"/>
  <c r="AE105" i="4" s="1"/>
  <c r="R105" i="4"/>
  <c r="S105" i="4" s="1"/>
  <c r="N105" i="4"/>
  <c r="O105" i="4" s="1"/>
  <c r="J105" i="4"/>
  <c r="K105" i="4" s="1"/>
  <c r="AA104" i="4"/>
  <c r="AE104" i="4" s="1"/>
  <c r="R104" i="4"/>
  <c r="S104" i="4" s="1"/>
  <c r="N104" i="4"/>
  <c r="O104" i="4" s="1"/>
  <c r="J104" i="4"/>
  <c r="AA103" i="4"/>
  <c r="AE103" i="4" s="1"/>
  <c r="R103" i="4"/>
  <c r="S103" i="4" s="1"/>
  <c r="N103" i="4"/>
  <c r="O103" i="4" s="1"/>
  <c r="J103" i="4"/>
  <c r="AH103" i="4" s="1"/>
  <c r="AA102" i="4"/>
  <c r="AE102" i="4" s="1"/>
  <c r="R102" i="4"/>
  <c r="S102" i="4" s="1"/>
  <c r="N102" i="4"/>
  <c r="O102" i="4" s="1"/>
  <c r="J102" i="4"/>
  <c r="AA101" i="4"/>
  <c r="AE101" i="4" s="1"/>
  <c r="R101" i="4"/>
  <c r="S101" i="4" s="1"/>
  <c r="N101" i="4"/>
  <c r="O101" i="4" s="1"/>
  <c r="J101" i="4"/>
  <c r="AH101" i="4" s="1"/>
  <c r="AA100" i="4"/>
  <c r="AE100" i="4" s="1"/>
  <c r="R100" i="4"/>
  <c r="S100" i="4" s="1"/>
  <c r="N100" i="4"/>
  <c r="O100" i="4" s="1"/>
  <c r="J100" i="4"/>
  <c r="AA99" i="4"/>
  <c r="AE99" i="4" s="1"/>
  <c r="R99" i="4"/>
  <c r="S99" i="4" s="1"/>
  <c r="N99" i="4"/>
  <c r="O99" i="4" s="1"/>
  <c r="J99" i="4"/>
  <c r="AA98" i="4"/>
  <c r="AE98" i="4" s="1"/>
  <c r="R98" i="4"/>
  <c r="S98" i="4" s="1"/>
  <c r="N98" i="4"/>
  <c r="O98" i="4" s="1"/>
  <c r="J98" i="4"/>
  <c r="AA97" i="4"/>
  <c r="AE97" i="4" s="1"/>
  <c r="R97" i="4"/>
  <c r="S97" i="4" s="1"/>
  <c r="N97" i="4"/>
  <c r="O97" i="4" s="1"/>
  <c r="J97" i="4"/>
  <c r="AA96" i="4"/>
  <c r="AE96" i="4" s="1"/>
  <c r="R96" i="4"/>
  <c r="S96" i="4" s="1"/>
  <c r="N96" i="4"/>
  <c r="O96" i="4" s="1"/>
  <c r="J96" i="4"/>
  <c r="AA95" i="4"/>
  <c r="AE95" i="4" s="1"/>
  <c r="R95" i="4"/>
  <c r="S95" i="4" s="1"/>
  <c r="N95" i="4"/>
  <c r="O95" i="4" s="1"/>
  <c r="J95" i="4"/>
  <c r="K95" i="4" s="1"/>
  <c r="AA94" i="4"/>
  <c r="AE94" i="4" s="1"/>
  <c r="R94" i="4"/>
  <c r="S94" i="4" s="1"/>
  <c r="N94" i="4"/>
  <c r="O94" i="4" s="1"/>
  <c r="J94" i="4"/>
  <c r="AA93" i="4"/>
  <c r="AE93" i="4" s="1"/>
  <c r="R93" i="4"/>
  <c r="S93" i="4" s="1"/>
  <c r="N93" i="4"/>
  <c r="O93" i="4" s="1"/>
  <c r="J93" i="4"/>
  <c r="K93" i="4" s="1"/>
  <c r="AA92" i="4"/>
  <c r="AE92" i="4" s="1"/>
  <c r="R92" i="4"/>
  <c r="S92" i="4" s="1"/>
  <c r="N92" i="4"/>
  <c r="O92" i="4" s="1"/>
  <c r="J92" i="4"/>
  <c r="AA91" i="4"/>
  <c r="AE91" i="4" s="1"/>
  <c r="R91" i="4"/>
  <c r="S91" i="4" s="1"/>
  <c r="N91" i="4"/>
  <c r="O91" i="4" s="1"/>
  <c r="J91" i="4"/>
  <c r="AH91" i="4" s="1"/>
  <c r="AA90" i="4"/>
  <c r="AE90" i="4" s="1"/>
  <c r="R90" i="4"/>
  <c r="S90" i="4" s="1"/>
  <c r="N90" i="4"/>
  <c r="O90" i="4" s="1"/>
  <c r="J90" i="4"/>
  <c r="AA89" i="4"/>
  <c r="AE89" i="4" s="1"/>
  <c r="R89" i="4"/>
  <c r="S89" i="4" s="1"/>
  <c r="N89" i="4"/>
  <c r="O89" i="4" s="1"/>
  <c r="J89" i="4"/>
  <c r="K89" i="4" s="1"/>
  <c r="AD86" i="4"/>
  <c r="M86" i="4"/>
  <c r="I86" i="4"/>
  <c r="E86" i="4"/>
  <c r="AA85" i="4"/>
  <c r="AE85" i="4" s="1"/>
  <c r="R85" i="4"/>
  <c r="S85" i="4" s="1"/>
  <c r="N85" i="4"/>
  <c r="O85" i="4" s="1"/>
  <c r="J85" i="4"/>
  <c r="K85" i="4" s="1"/>
  <c r="AA84" i="4"/>
  <c r="AE84" i="4" s="1"/>
  <c r="R84" i="4"/>
  <c r="S84" i="4" s="1"/>
  <c r="N84" i="4"/>
  <c r="O84" i="4" s="1"/>
  <c r="J84" i="4"/>
  <c r="AA83" i="4"/>
  <c r="AE83" i="4" s="1"/>
  <c r="R83" i="4"/>
  <c r="S83" i="4" s="1"/>
  <c r="N83" i="4"/>
  <c r="O83" i="4" s="1"/>
  <c r="J83" i="4"/>
  <c r="AH83" i="4" s="1"/>
  <c r="AA82" i="4"/>
  <c r="AE82" i="4" s="1"/>
  <c r="R82" i="4"/>
  <c r="S82" i="4" s="1"/>
  <c r="N82" i="4"/>
  <c r="O82" i="4" s="1"/>
  <c r="J82" i="4"/>
  <c r="AA81" i="4"/>
  <c r="AE81" i="4" s="1"/>
  <c r="R81" i="4"/>
  <c r="S81" i="4" s="1"/>
  <c r="N81" i="4"/>
  <c r="O81" i="4" s="1"/>
  <c r="J81" i="4"/>
  <c r="AA80" i="4"/>
  <c r="AE80" i="4" s="1"/>
  <c r="R80" i="4"/>
  <c r="S80" i="4" s="1"/>
  <c r="N80" i="4"/>
  <c r="O80" i="4" s="1"/>
  <c r="J80" i="4"/>
  <c r="AA79" i="4"/>
  <c r="AE79" i="4" s="1"/>
  <c r="R79" i="4"/>
  <c r="S79" i="4" s="1"/>
  <c r="N79" i="4"/>
  <c r="O79" i="4" s="1"/>
  <c r="J79" i="4"/>
  <c r="K79" i="4" s="1"/>
  <c r="AA78" i="4"/>
  <c r="AE78" i="4" s="1"/>
  <c r="R78" i="4"/>
  <c r="S78" i="4" s="1"/>
  <c r="N78" i="4"/>
  <c r="O78" i="4" s="1"/>
  <c r="J78" i="4"/>
  <c r="AA77" i="4"/>
  <c r="AE77" i="4" s="1"/>
  <c r="R77" i="4"/>
  <c r="S77" i="4" s="1"/>
  <c r="N77" i="4"/>
  <c r="O77" i="4" s="1"/>
  <c r="J77" i="4"/>
  <c r="AH77" i="4" s="1"/>
  <c r="AA76" i="4"/>
  <c r="AE76" i="4" s="1"/>
  <c r="R76" i="4"/>
  <c r="S76" i="4" s="1"/>
  <c r="N76" i="4"/>
  <c r="O76" i="4" s="1"/>
  <c r="J76" i="4"/>
  <c r="AA75" i="4"/>
  <c r="AE75" i="4" s="1"/>
  <c r="R75" i="4"/>
  <c r="S75" i="4" s="1"/>
  <c r="N75" i="4"/>
  <c r="O75" i="4" s="1"/>
  <c r="J75" i="4"/>
  <c r="AH75" i="4" s="1"/>
  <c r="AA74" i="4"/>
  <c r="AE74" i="4" s="1"/>
  <c r="R74" i="4"/>
  <c r="S74" i="4" s="1"/>
  <c r="N74" i="4"/>
  <c r="O74" i="4" s="1"/>
  <c r="J74" i="4"/>
  <c r="AA73" i="4"/>
  <c r="AE73" i="4" s="1"/>
  <c r="R73" i="4"/>
  <c r="S73" i="4" s="1"/>
  <c r="N73" i="4"/>
  <c r="O73" i="4" s="1"/>
  <c r="J73" i="4"/>
  <c r="K73" i="4" s="1"/>
  <c r="AA72" i="4"/>
  <c r="AE72" i="4" s="1"/>
  <c r="R72" i="4"/>
  <c r="S72" i="4" s="1"/>
  <c r="N72" i="4"/>
  <c r="O72" i="4" s="1"/>
  <c r="J72" i="4"/>
  <c r="AA71" i="4"/>
  <c r="AE71" i="4" s="1"/>
  <c r="R71" i="4"/>
  <c r="S71" i="4" s="1"/>
  <c r="N71" i="4"/>
  <c r="O71" i="4" s="1"/>
  <c r="J71" i="4"/>
  <c r="AH71" i="4" s="1"/>
  <c r="AA70" i="4"/>
  <c r="AE70" i="4" s="1"/>
  <c r="R70" i="4"/>
  <c r="S70" i="4" s="1"/>
  <c r="N70" i="4"/>
  <c r="O70" i="4" s="1"/>
  <c r="J70" i="4"/>
  <c r="AA69" i="4"/>
  <c r="AE69" i="4" s="1"/>
  <c r="R69" i="4"/>
  <c r="S69" i="4" s="1"/>
  <c r="N69" i="4"/>
  <c r="O69" i="4" s="1"/>
  <c r="J69" i="4"/>
  <c r="AA68" i="4"/>
  <c r="AE68" i="4" s="1"/>
  <c r="R68" i="4"/>
  <c r="S68" i="4" s="1"/>
  <c r="N68" i="4"/>
  <c r="O68" i="4" s="1"/>
  <c r="J68" i="4"/>
  <c r="AA67" i="4"/>
  <c r="AE67" i="4" s="1"/>
  <c r="R67" i="4"/>
  <c r="S67" i="4" s="1"/>
  <c r="N67" i="4"/>
  <c r="O67" i="4" s="1"/>
  <c r="J67" i="4"/>
  <c r="AH67" i="4" s="1"/>
  <c r="AA66" i="4"/>
  <c r="AE66" i="4" s="1"/>
  <c r="R66" i="4"/>
  <c r="S66" i="4" s="1"/>
  <c r="N66" i="4"/>
  <c r="O66" i="4" s="1"/>
  <c r="J66" i="4"/>
  <c r="AA65" i="4"/>
  <c r="AE65" i="4" s="1"/>
  <c r="R65" i="4"/>
  <c r="S65" i="4" s="1"/>
  <c r="N65" i="4"/>
  <c r="O65" i="4" s="1"/>
  <c r="J65" i="4"/>
  <c r="K65" i="4" s="1"/>
  <c r="AA64" i="4"/>
  <c r="AE64" i="4" s="1"/>
  <c r="R64" i="4"/>
  <c r="S64" i="4" s="1"/>
  <c r="N64" i="4"/>
  <c r="O64" i="4" s="1"/>
  <c r="J64" i="4"/>
  <c r="AA63" i="4"/>
  <c r="AE63" i="4" s="1"/>
  <c r="R63" i="4"/>
  <c r="S63" i="4" s="1"/>
  <c r="N63" i="4"/>
  <c r="O63" i="4" s="1"/>
  <c r="J63" i="4"/>
  <c r="K63" i="4" s="1"/>
  <c r="AA62" i="4"/>
  <c r="AE62" i="4" s="1"/>
  <c r="R62" i="4"/>
  <c r="S62" i="4" s="1"/>
  <c r="N62" i="4"/>
  <c r="O62" i="4" s="1"/>
  <c r="J62" i="4"/>
  <c r="AA61" i="4"/>
  <c r="AE61" i="4" s="1"/>
  <c r="R61" i="4"/>
  <c r="S61" i="4" s="1"/>
  <c r="N61" i="4"/>
  <c r="O61" i="4" s="1"/>
  <c r="J61" i="4"/>
  <c r="AH61" i="4" s="1"/>
  <c r="AA60" i="4"/>
  <c r="AE60" i="4" s="1"/>
  <c r="R60" i="4"/>
  <c r="S60" i="4" s="1"/>
  <c r="N60" i="4"/>
  <c r="O60" i="4" s="1"/>
  <c r="J60" i="4"/>
  <c r="AA59" i="4"/>
  <c r="R59" i="4"/>
  <c r="S59" i="4" s="1"/>
  <c r="N59" i="4"/>
  <c r="O59" i="4" s="1"/>
  <c r="J59" i="4"/>
  <c r="AH59" i="4" s="1"/>
  <c r="AD56" i="4"/>
  <c r="Q56" i="4"/>
  <c r="M56" i="4"/>
  <c r="I56" i="4"/>
  <c r="E56" i="4"/>
  <c r="AA55" i="4"/>
  <c r="AE55" i="4" s="1"/>
  <c r="R55" i="4"/>
  <c r="S55" i="4" s="1"/>
  <c r="N55" i="4"/>
  <c r="O55" i="4" s="1"/>
  <c r="J55" i="4"/>
  <c r="AH55" i="4" s="1"/>
  <c r="AA54" i="4"/>
  <c r="AE54" i="4" s="1"/>
  <c r="R54" i="4"/>
  <c r="S54" i="4" s="1"/>
  <c r="N54" i="4"/>
  <c r="O54" i="4" s="1"/>
  <c r="J54" i="4"/>
  <c r="AA53" i="4"/>
  <c r="AE53" i="4" s="1"/>
  <c r="R53" i="4"/>
  <c r="S53" i="4" s="1"/>
  <c r="N53" i="4"/>
  <c r="O53" i="4" s="1"/>
  <c r="J53" i="4"/>
  <c r="AA52" i="4"/>
  <c r="AE52" i="4" s="1"/>
  <c r="R52" i="4"/>
  <c r="S52" i="4" s="1"/>
  <c r="N52" i="4"/>
  <c r="O52" i="4" s="1"/>
  <c r="J52" i="4"/>
  <c r="AA51" i="4"/>
  <c r="AE51" i="4" s="1"/>
  <c r="R51" i="4"/>
  <c r="S51" i="4" s="1"/>
  <c r="N51" i="4"/>
  <c r="O51" i="4" s="1"/>
  <c r="J51" i="4"/>
  <c r="AH51" i="4" s="1"/>
  <c r="AA50" i="4"/>
  <c r="AE50" i="4" s="1"/>
  <c r="R50" i="4"/>
  <c r="S50" i="4" s="1"/>
  <c r="N50" i="4"/>
  <c r="O50" i="4" s="1"/>
  <c r="J50" i="4"/>
  <c r="AA49" i="4"/>
  <c r="AE49" i="4" s="1"/>
  <c r="R49" i="4"/>
  <c r="S49" i="4" s="1"/>
  <c r="N49" i="4"/>
  <c r="O49" i="4" s="1"/>
  <c r="J49" i="4"/>
  <c r="AH49" i="4" s="1"/>
  <c r="AA48" i="4"/>
  <c r="R48" i="4"/>
  <c r="S48" i="4" s="1"/>
  <c r="N48" i="4"/>
  <c r="O48" i="4" s="1"/>
  <c r="J48" i="4"/>
  <c r="AA47" i="4"/>
  <c r="AE47" i="4" s="1"/>
  <c r="R47" i="4"/>
  <c r="S47" i="4" s="1"/>
  <c r="N47" i="4"/>
  <c r="O47" i="4" s="1"/>
  <c r="J47" i="4"/>
  <c r="K47" i="4" s="1"/>
  <c r="AA46" i="4"/>
  <c r="AE46" i="4" s="1"/>
  <c r="R46" i="4"/>
  <c r="S46" i="4" s="1"/>
  <c r="N46" i="4"/>
  <c r="O46" i="4" s="1"/>
  <c r="J46" i="4"/>
  <c r="AA45" i="4"/>
  <c r="AE45" i="4" s="1"/>
  <c r="R45" i="4"/>
  <c r="S45" i="4" s="1"/>
  <c r="N45" i="4"/>
  <c r="O45" i="4" s="1"/>
  <c r="J45" i="4"/>
  <c r="AH45" i="4" s="1"/>
  <c r="AA44" i="4"/>
  <c r="AE44" i="4" s="1"/>
  <c r="R44" i="4"/>
  <c r="S44" i="4" s="1"/>
  <c r="N44" i="4"/>
  <c r="O44" i="4" s="1"/>
  <c r="J44" i="4"/>
  <c r="AA43" i="4"/>
  <c r="AE43" i="4" s="1"/>
  <c r="R43" i="4"/>
  <c r="S43" i="4" s="1"/>
  <c r="N43" i="4"/>
  <c r="J43" i="4"/>
  <c r="AH43" i="4" s="1"/>
  <c r="AC39" i="4"/>
  <c r="AB39" i="4"/>
  <c r="E39" i="4"/>
  <c r="AD38" i="4"/>
  <c r="AA38" i="4"/>
  <c r="AE38" i="4" s="1"/>
  <c r="S38" i="4"/>
  <c r="Q38" i="4"/>
  <c r="R38" i="4" s="1"/>
  <c r="O38" i="4"/>
  <c r="M38" i="4"/>
  <c r="N38" i="4" s="1"/>
  <c r="I38" i="4"/>
  <c r="J38" i="4" s="1"/>
  <c r="AH38" i="4" s="1"/>
  <c r="AD37" i="4"/>
  <c r="Z37" i="4"/>
  <c r="AA37" i="4" s="1"/>
  <c r="AE37" i="4" s="1"/>
  <c r="S37" i="4"/>
  <c r="Q37" i="4"/>
  <c r="R37" i="4" s="1"/>
  <c r="O37" i="4"/>
  <c r="M37" i="4"/>
  <c r="N37" i="4" s="1"/>
  <c r="I37" i="4"/>
  <c r="J37" i="4" s="1"/>
  <c r="AD36" i="4"/>
  <c r="AA36" i="4"/>
  <c r="AE36" i="4" s="1"/>
  <c r="S36" i="4"/>
  <c r="Q36" i="4"/>
  <c r="R36" i="4" s="1"/>
  <c r="O36" i="4"/>
  <c r="M36" i="4"/>
  <c r="N36" i="4" s="1"/>
  <c r="I36" i="4"/>
  <c r="J36" i="4" s="1"/>
  <c r="K36" i="4" s="1"/>
  <c r="AD35" i="4"/>
  <c r="AA35" i="4"/>
  <c r="AE35" i="4" s="1"/>
  <c r="S35" i="4"/>
  <c r="Q35" i="4"/>
  <c r="R35" i="4" s="1"/>
  <c r="O35" i="4"/>
  <c r="M35" i="4"/>
  <c r="N35" i="4" s="1"/>
  <c r="I35" i="4"/>
  <c r="J35" i="4" s="1"/>
  <c r="AH35" i="4" s="1"/>
  <c r="AD34" i="4"/>
  <c r="AA34" i="4"/>
  <c r="AE34" i="4" s="1"/>
  <c r="S34" i="4"/>
  <c r="Q34" i="4"/>
  <c r="R34" i="4" s="1"/>
  <c r="O34" i="4"/>
  <c r="M34" i="4"/>
  <c r="N34" i="4" s="1"/>
  <c r="I34" i="4"/>
  <c r="J34" i="4" s="1"/>
  <c r="K34" i="4" s="1"/>
  <c r="AD33" i="4"/>
  <c r="D33" i="4"/>
  <c r="I33" i="4" s="1"/>
  <c r="J33" i="4" s="1"/>
  <c r="AH33" i="4" s="1"/>
  <c r="AD32" i="4"/>
  <c r="AA32" i="4"/>
  <c r="AE32" i="4" s="1"/>
  <c r="S32" i="4"/>
  <c r="Q32" i="4"/>
  <c r="R32" i="4" s="1"/>
  <c r="O32" i="4"/>
  <c r="M32" i="4"/>
  <c r="N32" i="4" s="1"/>
  <c r="I32" i="4"/>
  <c r="J32" i="4" s="1"/>
  <c r="AD31" i="4"/>
  <c r="AA31" i="4"/>
  <c r="AE31" i="4" s="1"/>
  <c r="S31" i="4"/>
  <c r="Q31" i="4"/>
  <c r="R31" i="4" s="1"/>
  <c r="O31" i="4"/>
  <c r="M31" i="4"/>
  <c r="I31" i="4"/>
  <c r="J31" i="4" s="1"/>
  <c r="K31" i="4" s="1"/>
  <c r="AH30" i="4"/>
  <c r="AG30" i="4"/>
  <c r="AD30" i="4"/>
  <c r="D30" i="4"/>
  <c r="D29" i="4"/>
  <c r="O29" i="4" s="1"/>
  <c r="AH28" i="4"/>
  <c r="AD28" i="4"/>
  <c r="R28" i="4"/>
  <c r="N28" i="4"/>
  <c r="K28" i="4"/>
  <c r="D28" i="4"/>
  <c r="S28" i="4" s="1"/>
  <c r="AD27" i="4"/>
  <c r="Z27" i="4"/>
  <c r="AA27" i="4" s="1"/>
  <c r="AE27" i="4" s="1"/>
  <c r="S27" i="4"/>
  <c r="R27" i="4"/>
  <c r="O27" i="4"/>
  <c r="N27" i="4"/>
  <c r="J27" i="4"/>
  <c r="F27" i="4"/>
  <c r="AD26" i="4"/>
  <c r="Z26" i="4"/>
  <c r="AA26" i="4" s="1"/>
  <c r="S26" i="4"/>
  <c r="O26" i="4"/>
  <c r="J26" i="4"/>
  <c r="K26" i="4" s="1"/>
  <c r="F26" i="4"/>
  <c r="AD25" i="4"/>
  <c r="Z25" i="4"/>
  <c r="AA25" i="4" s="1"/>
  <c r="S25" i="4"/>
  <c r="O25" i="4"/>
  <c r="J25" i="4"/>
  <c r="K25" i="4" s="1"/>
  <c r="F25" i="4"/>
  <c r="AD24" i="4"/>
  <c r="Z24" i="4"/>
  <c r="S24" i="4"/>
  <c r="O24" i="4"/>
  <c r="F24" i="4"/>
  <c r="K24" i="4" s="1"/>
  <c r="AD23" i="4"/>
  <c r="Z23" i="4"/>
  <c r="AA23" i="4" s="1"/>
  <c r="S23" i="4"/>
  <c r="O23" i="4"/>
  <c r="J23" i="4"/>
  <c r="K23" i="4" s="1"/>
  <c r="F23" i="4"/>
  <c r="AD22" i="4"/>
  <c r="Z22" i="4"/>
  <c r="AA22" i="4" s="1"/>
  <c r="AE22" i="4" s="1"/>
  <c r="S22" i="4"/>
  <c r="R22" i="4"/>
  <c r="O22" i="4"/>
  <c r="N22" i="4"/>
  <c r="J22" i="4"/>
  <c r="F22" i="4"/>
  <c r="AH21" i="4"/>
  <c r="AD21" i="4"/>
  <c r="Z21" i="4"/>
  <c r="R21" i="4"/>
  <c r="N21" i="4"/>
  <c r="K21" i="4"/>
  <c r="D21" i="4"/>
  <c r="O21" i="4" s="1"/>
  <c r="AH20" i="4"/>
  <c r="AD20" i="4"/>
  <c r="Z20" i="4"/>
  <c r="AA20" i="4" s="1"/>
  <c r="AE20" i="4" s="1"/>
  <c r="S20" i="4"/>
  <c r="R20" i="4"/>
  <c r="O20" i="4"/>
  <c r="N20" i="4"/>
  <c r="K20" i="4"/>
  <c r="F20" i="4"/>
  <c r="AD19" i="4"/>
  <c r="Z19" i="4"/>
  <c r="AA19" i="4" s="1"/>
  <c r="AE19" i="4" s="1"/>
  <c r="S19" i="4"/>
  <c r="R19" i="4"/>
  <c r="O19" i="4"/>
  <c r="N19" i="4"/>
  <c r="J19" i="4"/>
  <c r="F19" i="4"/>
  <c r="AD18" i="4"/>
  <c r="Z18" i="4"/>
  <c r="AA18" i="4" s="1"/>
  <c r="AE18" i="4" s="1"/>
  <c r="S18" i="4"/>
  <c r="R18" i="4"/>
  <c r="O18" i="4"/>
  <c r="N18" i="4"/>
  <c r="J18" i="4"/>
  <c r="F18" i="4"/>
  <c r="AD17" i="4"/>
  <c r="Z17" i="4"/>
  <c r="AA17" i="4" s="1"/>
  <c r="AE17" i="4" s="1"/>
  <c r="S17" i="4"/>
  <c r="R17" i="4"/>
  <c r="O17" i="4"/>
  <c r="N17" i="4"/>
  <c r="J17" i="4"/>
  <c r="F17" i="4"/>
  <c r="AD16" i="4"/>
  <c r="Z16" i="4"/>
  <c r="AA16" i="4" s="1"/>
  <c r="AE16" i="4" s="1"/>
  <c r="S16" i="4"/>
  <c r="R16" i="4"/>
  <c r="O16" i="4"/>
  <c r="N16" i="4"/>
  <c r="J16" i="4"/>
  <c r="F16" i="4"/>
  <c r="AD15" i="4"/>
  <c r="Z15" i="4"/>
  <c r="AA15" i="4" s="1"/>
  <c r="AE15" i="4" s="1"/>
  <c r="S15" i="4"/>
  <c r="R15" i="4"/>
  <c r="O15" i="4"/>
  <c r="N15" i="4"/>
  <c r="J15" i="4"/>
  <c r="F15" i="4"/>
  <c r="AD14" i="4"/>
  <c r="Z14" i="4"/>
  <c r="AA14" i="4" s="1"/>
  <c r="AE14" i="4" s="1"/>
  <c r="S14" i="4"/>
  <c r="R14" i="4"/>
  <c r="O14" i="4"/>
  <c r="N14" i="4"/>
  <c r="J14" i="4"/>
  <c r="F14" i="4"/>
  <c r="AD13" i="4"/>
  <c r="Z13" i="4"/>
  <c r="AA13" i="4" s="1"/>
  <c r="AE13" i="4" s="1"/>
  <c r="S13" i="4"/>
  <c r="R13" i="4"/>
  <c r="O13" i="4"/>
  <c r="N13" i="4"/>
  <c r="J13" i="4"/>
  <c r="F13" i="4"/>
  <c r="AD12" i="4"/>
  <c r="AA12" i="4"/>
  <c r="AE12" i="4" s="1"/>
  <c r="S12" i="4"/>
  <c r="R12" i="4"/>
  <c r="O12" i="4"/>
  <c r="N12" i="4"/>
  <c r="J12" i="4"/>
  <c r="AH12" i="4" s="1"/>
  <c r="F12" i="4"/>
  <c r="AD11" i="4"/>
  <c r="R11" i="4"/>
  <c r="N11" i="4"/>
  <c r="D11" i="4"/>
  <c r="AA11" i="4" s="1"/>
  <c r="AE11" i="4" s="1"/>
  <c r="AD10" i="4"/>
  <c r="AA10" i="4"/>
  <c r="S10" i="4"/>
  <c r="R10" i="4"/>
  <c r="O10" i="4"/>
  <c r="N10" i="4"/>
  <c r="J10" i="4"/>
  <c r="Q8" i="4"/>
  <c r="N8" i="4"/>
  <c r="M8" i="4"/>
  <c r="I8" i="4"/>
  <c r="E8" i="4"/>
  <c r="AC7" i="4" s="1"/>
  <c r="AA7" i="4"/>
  <c r="R7" i="4"/>
  <c r="R8" i="4" s="1"/>
  <c r="P7" i="4"/>
  <c r="S7" i="4" s="1"/>
  <c r="S8" i="4" s="1"/>
  <c r="O7" i="4"/>
  <c r="J7" i="4"/>
  <c r="F7" i="4"/>
  <c r="K7" i="4" s="1"/>
  <c r="AG7" i="4" s="1"/>
  <c r="AA6" i="4"/>
  <c r="O6" i="4"/>
  <c r="J6" i="4"/>
  <c r="AH6" i="4" s="1"/>
  <c r="F6" i="4"/>
  <c r="K6" i="4" s="1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D122" i="2"/>
  <c r="A122" i="2"/>
  <c r="D121" i="2"/>
  <c r="A121" i="2"/>
  <c r="A120" i="2"/>
  <c r="D119" i="2"/>
  <c r="A119" i="2"/>
  <c r="D118" i="2"/>
  <c r="F118" i="2" s="1"/>
  <c r="A118" i="2"/>
  <c r="D117" i="2"/>
  <c r="A117" i="2"/>
  <c r="A116" i="2"/>
  <c r="D115" i="2"/>
  <c r="A115" i="2"/>
  <c r="D114" i="2"/>
  <c r="F114" i="2" s="1"/>
  <c r="C114" i="2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A114" i="2"/>
  <c r="D113" i="2"/>
  <c r="A113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D86" i="2"/>
  <c r="A86" i="2"/>
  <c r="A85" i="2"/>
  <c r="D84" i="2"/>
  <c r="F84" i="2" s="1"/>
  <c r="A84" i="2"/>
  <c r="A83" i="2"/>
  <c r="D82" i="2"/>
  <c r="F82" i="2" s="1"/>
  <c r="A82" i="2"/>
  <c r="A81" i="2"/>
  <c r="D80" i="2"/>
  <c r="F80" i="2" s="1"/>
  <c r="A80" i="2"/>
  <c r="A79" i="2"/>
  <c r="D78" i="2"/>
  <c r="C78" i="2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A78" i="2"/>
  <c r="A77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D49" i="2"/>
  <c r="A49" i="2"/>
  <c r="A48" i="2"/>
  <c r="D47" i="2"/>
  <c r="A47" i="2"/>
  <c r="A46" i="2"/>
  <c r="D45" i="2"/>
  <c r="A45" i="2"/>
  <c r="A44" i="2"/>
  <c r="D43" i="2"/>
  <c r="A43" i="2"/>
  <c r="C42" i="2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A42" i="2"/>
  <c r="D41" i="2"/>
  <c r="A41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L7" i="2"/>
  <c r="L43" i="2" s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A7" i="2"/>
  <c r="C6" i="2"/>
  <c r="A6" i="2"/>
  <c r="L5" i="2"/>
  <c r="J5" i="2"/>
  <c r="A5" i="2"/>
  <c r="E72" i="1"/>
  <c r="D72" i="1"/>
  <c r="D71" i="1"/>
  <c r="D50" i="2" s="1"/>
  <c r="D70" i="1"/>
  <c r="D69" i="1"/>
  <c r="D48" i="2" s="1"/>
  <c r="D68" i="1"/>
  <c r="D67" i="1"/>
  <c r="D46" i="2" s="1"/>
  <c r="D66" i="1"/>
  <c r="D65" i="1"/>
  <c r="D44" i="2" s="1"/>
  <c r="C65" i="1"/>
  <c r="C66" i="1" s="1"/>
  <c r="C67" i="1" s="1"/>
  <c r="C68" i="1" s="1"/>
  <c r="C69" i="1" s="1"/>
  <c r="C70" i="1" s="1"/>
  <c r="C71" i="1" s="1"/>
  <c r="D64" i="1"/>
  <c r="D63" i="1"/>
  <c r="D42" i="2" s="1"/>
  <c r="C63" i="1"/>
  <c r="C64" i="1" s="1"/>
  <c r="D62" i="1"/>
  <c r="C62" i="1"/>
  <c r="E56" i="1"/>
  <c r="D56" i="1"/>
  <c r="D55" i="1"/>
  <c r="D54" i="1"/>
  <c r="D53" i="1"/>
  <c r="D120" i="2" s="1"/>
  <c r="D52" i="1"/>
  <c r="D51" i="1"/>
  <c r="D50" i="1"/>
  <c r="C50" i="1"/>
  <c r="C51" i="1" s="1"/>
  <c r="C52" i="1" s="1"/>
  <c r="C53" i="1" s="1"/>
  <c r="C54" i="1" s="1"/>
  <c r="C55" i="1" s="1"/>
  <c r="D49" i="1"/>
  <c r="D116" i="2" s="1"/>
  <c r="D48" i="1"/>
  <c r="C48" i="1"/>
  <c r="C49" i="1" s="1"/>
  <c r="D47" i="1"/>
  <c r="D46" i="1"/>
  <c r="C46" i="1"/>
  <c r="C47" i="1" s="1"/>
  <c r="E40" i="1"/>
  <c r="D39" i="1"/>
  <c r="D38" i="1"/>
  <c r="D85" i="2" s="1"/>
  <c r="D37" i="1"/>
  <c r="D36" i="1"/>
  <c r="D83" i="2" s="1"/>
  <c r="D35" i="1"/>
  <c r="D34" i="1"/>
  <c r="D81" i="2" s="1"/>
  <c r="D33" i="1"/>
  <c r="D32" i="1"/>
  <c r="D79" i="2" s="1"/>
  <c r="D31" i="1"/>
  <c r="C31" i="1"/>
  <c r="C32" i="1" s="1"/>
  <c r="C33" i="1" s="1"/>
  <c r="C34" i="1" s="1"/>
  <c r="C35" i="1" s="1"/>
  <c r="C36" i="1" s="1"/>
  <c r="C37" i="1" s="1"/>
  <c r="C38" i="1" s="1"/>
  <c r="C39" i="1" s="1"/>
  <c r="D30" i="1"/>
  <c r="D77" i="2" s="1"/>
  <c r="C30" i="1"/>
  <c r="E23" i="1"/>
  <c r="D22" i="1"/>
  <c r="D14" i="2" s="1"/>
  <c r="D21" i="1"/>
  <c r="D13" i="2" s="1"/>
  <c r="D20" i="1"/>
  <c r="D12" i="2" s="1"/>
  <c r="D19" i="1"/>
  <c r="D11" i="2" s="1"/>
  <c r="D18" i="1"/>
  <c r="D10" i="2" s="1"/>
  <c r="D17" i="1"/>
  <c r="D9" i="2" s="1"/>
  <c r="D16" i="1"/>
  <c r="D8" i="2" s="1"/>
  <c r="D15" i="1"/>
  <c r="D7" i="2" s="1"/>
  <c r="D14" i="1"/>
  <c r="D6" i="2" s="1"/>
  <c r="D13" i="1"/>
  <c r="D5" i="2" s="1"/>
  <c r="C13" i="1"/>
  <c r="C14" i="1" s="1"/>
  <c r="C15" i="1" s="1"/>
  <c r="C16" i="1" s="1"/>
  <c r="C17" i="1" s="1"/>
  <c r="C18" i="1" s="1"/>
  <c r="C19" i="1" s="1"/>
  <c r="C20" i="1" s="1"/>
  <c r="C21" i="1" s="1"/>
  <c r="C22" i="1" s="1"/>
  <c r="L11" i="1"/>
  <c r="L9" i="1"/>
  <c r="L10" i="1" s="1"/>
  <c r="L8" i="2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L8" i="1"/>
  <c r="L6" i="2" s="1"/>
  <c r="K8" i="1"/>
  <c r="J6" i="2" s="1"/>
  <c r="I8" i="1"/>
  <c r="K480" i="4" l="1"/>
  <c r="K176" i="4"/>
  <c r="K306" i="4"/>
  <c r="K446" i="4"/>
  <c r="AG446" i="4" s="1"/>
  <c r="AH586" i="4"/>
  <c r="AD842" i="4"/>
  <c r="AD968" i="4"/>
  <c r="AH236" i="4"/>
  <c r="K119" i="4"/>
  <c r="AG119" i="4" s="1"/>
  <c r="K338" i="4"/>
  <c r="AH444" i="4"/>
  <c r="K546" i="4"/>
  <c r="AG546" i="4" s="1"/>
  <c r="AH547" i="4"/>
  <c r="AH627" i="4"/>
  <c r="AH563" i="4"/>
  <c r="F28" i="4"/>
  <c r="K600" i="4"/>
  <c r="AG600" i="4" s="1"/>
  <c r="D123" i="2"/>
  <c r="F49" i="2"/>
  <c r="F45" i="2"/>
  <c r="F115" i="2"/>
  <c r="F119" i="2"/>
  <c r="F123" i="2"/>
  <c r="M6" i="2"/>
  <c r="AH485" i="4"/>
  <c r="K485" i="4"/>
  <c r="AG485" i="4" s="1"/>
  <c r="K580" i="4"/>
  <c r="AH580" i="4"/>
  <c r="AH234" i="4"/>
  <c r="K234" i="4"/>
  <c r="AH417" i="4"/>
  <c r="K417" i="4"/>
  <c r="AG417" i="4" s="1"/>
  <c r="AH434" i="4"/>
  <c r="K434" i="4"/>
  <c r="AG434" i="4" s="1"/>
  <c r="K532" i="4"/>
  <c r="AH532" i="4"/>
  <c r="K618" i="4"/>
  <c r="AH618" i="4"/>
  <c r="K955" i="4"/>
  <c r="AG955" i="4" s="1"/>
  <c r="AH955" i="4"/>
  <c r="AH539" i="4"/>
  <c r="K539" i="4"/>
  <c r="AG539" i="4" s="1"/>
  <c r="K420" i="4"/>
  <c r="AH420" i="4"/>
  <c r="AH517" i="4"/>
  <c r="K517" i="4"/>
  <c r="AG517" i="4" s="1"/>
  <c r="K593" i="4"/>
  <c r="AG593" i="4" s="1"/>
  <c r="AH593" i="4"/>
  <c r="AH426" i="4"/>
  <c r="K426" i="4"/>
  <c r="AG426" i="4" s="1"/>
  <c r="K519" i="4"/>
  <c r="AG519" i="4" s="1"/>
  <c r="AH519" i="4"/>
  <c r="AH588" i="4"/>
  <c r="K588" i="4"/>
  <c r="AG588" i="4" s="1"/>
  <c r="K595" i="4"/>
  <c r="AG595" i="4" s="1"/>
  <c r="AH595" i="4"/>
  <c r="K258" i="4"/>
  <c r="AG258" i="4" s="1"/>
  <c r="AH374" i="4"/>
  <c r="K408" i="4"/>
  <c r="AG408" i="4" s="1"/>
  <c r="K416" i="4"/>
  <c r="AG416" i="4" s="1"/>
  <c r="K424" i="4"/>
  <c r="AG424" i="4" s="1"/>
  <c r="K456" i="4"/>
  <c r="AG456" i="4" s="1"/>
  <c r="K476" i="4"/>
  <c r="AG476" i="4" s="1"/>
  <c r="K483" i="4"/>
  <c r="AG483" i="4" s="1"/>
  <c r="K493" i="4"/>
  <c r="AG493" i="4" s="1"/>
  <c r="K509" i="4"/>
  <c r="AG509" i="4" s="1"/>
  <c r="K515" i="4"/>
  <c r="K531" i="4"/>
  <c r="AG531" i="4" s="1"/>
  <c r="K585" i="4"/>
  <c r="AG585" i="4" s="1"/>
  <c r="K587" i="4"/>
  <c r="K616" i="4"/>
  <c r="AG616" i="4" s="1"/>
  <c r="AH631" i="4"/>
  <c r="AH697" i="4"/>
  <c r="E690" i="4"/>
  <c r="AH85" i="4"/>
  <c r="AH308" i="4"/>
  <c r="AH372" i="4"/>
  <c r="AH382" i="4"/>
  <c r="AH414" i="4"/>
  <c r="AH448" i="4"/>
  <c r="K507" i="4"/>
  <c r="AG507" i="4" s="1"/>
  <c r="AH548" i="4"/>
  <c r="AH564" i="4"/>
  <c r="K614" i="4"/>
  <c r="AG614" i="4" s="1"/>
  <c r="E961" i="4"/>
  <c r="AD971" i="4"/>
  <c r="AH497" i="4"/>
  <c r="K497" i="4"/>
  <c r="AG497" i="4" s="1"/>
  <c r="AH513" i="4"/>
  <c r="K513" i="4"/>
  <c r="AG513" i="4" s="1"/>
  <c r="K81" i="4"/>
  <c r="AH81" i="4"/>
  <c r="AH127" i="4"/>
  <c r="K127" i="4"/>
  <c r="AG127" i="4" s="1"/>
  <c r="AH146" i="4"/>
  <c r="K146" i="4"/>
  <c r="AG146" i="4" s="1"/>
  <c r="AH554" i="4"/>
  <c r="K554" i="4"/>
  <c r="AG554" i="4" s="1"/>
  <c r="AH584" i="4"/>
  <c r="K584" i="4"/>
  <c r="AH592" i="4"/>
  <c r="K592" i="4"/>
  <c r="AG592" i="4" s="1"/>
  <c r="AH69" i="4"/>
  <c r="K69" i="4"/>
  <c r="AG69" i="4" s="1"/>
  <c r="AH125" i="4"/>
  <c r="K125" i="4"/>
  <c r="K174" i="4"/>
  <c r="AG174" i="4" s="1"/>
  <c r="AH174" i="4"/>
  <c r="AH336" i="4"/>
  <c r="K336" i="4"/>
  <c r="AG336" i="4" s="1"/>
  <c r="K380" i="4"/>
  <c r="AG380" i="4" s="1"/>
  <c r="AH380" i="4"/>
  <c r="AH582" i="4"/>
  <c r="K582" i="4"/>
  <c r="AG582" i="4" s="1"/>
  <c r="O863" i="4"/>
  <c r="S863" i="4"/>
  <c r="S867" i="4" s="1"/>
  <c r="K863" i="4"/>
  <c r="AG863" i="4" s="1"/>
  <c r="AH117" i="4"/>
  <c r="K117" i="4"/>
  <c r="AH136" i="4"/>
  <c r="K136" i="4"/>
  <c r="AG136" i="4" s="1"/>
  <c r="AH224" i="4"/>
  <c r="K224" i="4"/>
  <c r="K572" i="4"/>
  <c r="AG572" i="4" s="1"/>
  <c r="AH572" i="4"/>
  <c r="AH214" i="4"/>
  <c r="K214" i="4"/>
  <c r="AH290" i="4"/>
  <c r="K290" i="4"/>
  <c r="AG290" i="4" s="1"/>
  <c r="AH409" i="4"/>
  <c r="K409" i="4"/>
  <c r="AG409" i="4" s="1"/>
  <c r="K316" i="4"/>
  <c r="AG316" i="4" s="1"/>
  <c r="AH316" i="4"/>
  <c r="K428" i="4"/>
  <c r="AG428" i="4" s="1"/>
  <c r="AH428" i="4"/>
  <c r="AH452" i="4"/>
  <c r="K452" i="4"/>
  <c r="AG452" i="4" s="1"/>
  <c r="AH491" i="4"/>
  <c r="K491" i="4"/>
  <c r="AH525" i="4"/>
  <c r="K525" i="4"/>
  <c r="AG525" i="4" s="1"/>
  <c r="AH538" i="4"/>
  <c r="K538" i="4"/>
  <c r="K67" i="4"/>
  <c r="AG67" i="4" s="1"/>
  <c r="AH95" i="4"/>
  <c r="AH111" i="4"/>
  <c r="AH144" i="4"/>
  <c r="K152" i="4"/>
  <c r="AG152" i="4" s="1"/>
  <c r="K154" i="4"/>
  <c r="AG154" i="4" s="1"/>
  <c r="K170" i="4"/>
  <c r="AG170" i="4" s="1"/>
  <c r="K200" i="4"/>
  <c r="K206" i="4"/>
  <c r="AG206" i="4" s="1"/>
  <c r="AH288" i="4"/>
  <c r="K314" i="4"/>
  <c r="AG314" i="4" s="1"/>
  <c r="K386" i="4"/>
  <c r="K401" i="4"/>
  <c r="AH404" i="4"/>
  <c r="K406" i="4"/>
  <c r="AG406" i="4" s="1"/>
  <c r="AH406" i="4"/>
  <c r="AH422" i="4"/>
  <c r="K521" i="4"/>
  <c r="AG521" i="4" s="1"/>
  <c r="AH523" i="4"/>
  <c r="K523" i="4"/>
  <c r="AG523" i="4" s="1"/>
  <c r="K540" i="4"/>
  <c r="AH540" i="4"/>
  <c r="K571" i="4"/>
  <c r="AG571" i="4" s="1"/>
  <c r="K577" i="4"/>
  <c r="K608" i="4"/>
  <c r="O687" i="4"/>
  <c r="O688" i="4" s="1"/>
  <c r="K884" i="4"/>
  <c r="AG884" i="4" s="1"/>
  <c r="K886" i="4"/>
  <c r="AG886" i="4" s="1"/>
  <c r="K505" i="4"/>
  <c r="AG505" i="4" s="1"/>
  <c r="AH505" i="4"/>
  <c r="K556" i="4"/>
  <c r="AG556" i="4" s="1"/>
  <c r="AH556" i="4"/>
  <c r="AH590" i="4"/>
  <c r="K590" i="4"/>
  <c r="AG590" i="4" s="1"/>
  <c r="AH610" i="4"/>
  <c r="K610" i="4"/>
  <c r="AG610" i="4" s="1"/>
  <c r="AC6" i="4"/>
  <c r="AE6" i="4" s="1"/>
  <c r="AD39" i="4"/>
  <c r="K55" i="4"/>
  <c r="AH65" i="4"/>
  <c r="AH168" i="4"/>
  <c r="K260" i="4"/>
  <c r="AG260" i="4" s="1"/>
  <c r="K266" i="4"/>
  <c r="AG266" i="4" s="1"/>
  <c r="K268" i="4"/>
  <c r="AG268" i="4" s="1"/>
  <c r="AH312" i="4"/>
  <c r="AH384" i="4"/>
  <c r="K436" i="4"/>
  <c r="AG436" i="4" s="1"/>
  <c r="AH436" i="4"/>
  <c r="AH460" i="4"/>
  <c r="K460" i="4"/>
  <c r="AG460" i="4" s="1"/>
  <c r="AH468" i="4"/>
  <c r="K468" i="4"/>
  <c r="AG468" i="4" s="1"/>
  <c r="K478" i="4"/>
  <c r="AG478" i="4" s="1"/>
  <c r="K499" i="4"/>
  <c r="AG499" i="4" s="1"/>
  <c r="K501" i="4"/>
  <c r="AG501" i="4" s="1"/>
  <c r="K527" i="4"/>
  <c r="AG527" i="4" s="1"/>
  <c r="AH527" i="4"/>
  <c r="K555" i="4"/>
  <c r="AG555" i="4" s="1"/>
  <c r="AH570" i="4"/>
  <c r="K570" i="4"/>
  <c r="AG570" i="4" s="1"/>
  <c r="AH576" i="4"/>
  <c r="K576" i="4"/>
  <c r="AG576" i="4" s="1"/>
  <c r="K602" i="4"/>
  <c r="AG602" i="4" s="1"/>
  <c r="O867" i="4"/>
  <c r="AH579" i="4"/>
  <c r="AH412" i="4"/>
  <c r="AH292" i="4"/>
  <c r="K292" i="4"/>
  <c r="AG292" i="4" s="1"/>
  <c r="K324" i="4"/>
  <c r="AG324" i="4" s="1"/>
  <c r="AH324" i="4"/>
  <c r="K59" i="4"/>
  <c r="AG59" i="4" s="1"/>
  <c r="K103" i="4"/>
  <c r="K138" i="4"/>
  <c r="AG138" i="4" s="1"/>
  <c r="K160" i="4"/>
  <c r="AG160" i="4" s="1"/>
  <c r="K178" i="4"/>
  <c r="AG178" i="4" s="1"/>
  <c r="K184" i="4"/>
  <c r="K304" i="4"/>
  <c r="AG304" i="4" s="1"/>
  <c r="AH304" i="4"/>
  <c r="AH322" i="4"/>
  <c r="K322" i="4"/>
  <c r="AG322" i="4" s="1"/>
  <c r="AH407" i="4"/>
  <c r="K407" i="4"/>
  <c r="AG407" i="4" s="1"/>
  <c r="AH415" i="4"/>
  <c r="K415" i="4"/>
  <c r="K529" i="4"/>
  <c r="K537" i="4"/>
  <c r="AG537" i="4" s="1"/>
  <c r="K545" i="4"/>
  <c r="AG545" i="4" s="1"/>
  <c r="K553" i="4"/>
  <c r="AG553" i="4" s="1"/>
  <c r="K569" i="4"/>
  <c r="AG569" i="4" s="1"/>
  <c r="AH606" i="4"/>
  <c r="K606" i="4"/>
  <c r="AG606" i="4" s="1"/>
  <c r="AB7" i="4"/>
  <c r="AD7" i="4" s="1"/>
  <c r="F8" i="4"/>
  <c r="K49" i="4"/>
  <c r="AG49" i="4" s="1"/>
  <c r="K51" i="4"/>
  <c r="AG51" i="4" s="1"/>
  <c r="K71" i="4"/>
  <c r="AG71" i="4" s="1"/>
  <c r="AH73" i="4"/>
  <c r="K109" i="4"/>
  <c r="AG109" i="4" s="1"/>
  <c r="AH158" i="4"/>
  <c r="K162" i="4"/>
  <c r="K198" i="4"/>
  <c r="AG198" i="4" s="1"/>
  <c r="K216" i="4"/>
  <c r="AG216" i="4" s="1"/>
  <c r="AH252" i="4"/>
  <c r="AH337" i="4"/>
  <c r="K337" i="4"/>
  <c r="AG337" i="4" s="1"/>
  <c r="K376" i="4"/>
  <c r="AG376" i="4" s="1"/>
  <c r="AH376" i="4"/>
  <c r="K432" i="4"/>
  <c r="AG432" i="4" s="1"/>
  <c r="AH438" i="4"/>
  <c r="K440" i="4"/>
  <c r="AG440" i="4" s="1"/>
  <c r="AH487" i="4"/>
  <c r="K487" i="4"/>
  <c r="AH503" i="4"/>
  <c r="AH534" i="4"/>
  <c r="K536" i="4"/>
  <c r="AG536" i="4" s="1"/>
  <c r="AH542" i="4"/>
  <c r="K544" i="4"/>
  <c r="AG544" i="4" s="1"/>
  <c r="AH550" i="4"/>
  <c r="K552" i="4"/>
  <c r="AG552" i="4" s="1"/>
  <c r="AH558" i="4"/>
  <c r="K560" i="4"/>
  <c r="AG560" i="4" s="1"/>
  <c r="AH566" i="4"/>
  <c r="K568" i="4"/>
  <c r="AG568" i="4" s="1"/>
  <c r="AH574" i="4"/>
  <c r="K594" i="4"/>
  <c r="AG594" i="4" s="1"/>
  <c r="AH594" i="4"/>
  <c r="K604" i="4"/>
  <c r="AG604" i="4" s="1"/>
  <c r="AH604" i="4"/>
  <c r="O130" i="4"/>
  <c r="S186" i="4"/>
  <c r="AH222" i="4"/>
  <c r="K300" i="4"/>
  <c r="AH300" i="4"/>
  <c r="AH378" i="4"/>
  <c r="R397" i="4"/>
  <c r="AH598" i="4"/>
  <c r="K598" i="4"/>
  <c r="K75" i="4"/>
  <c r="AG75" i="4" s="1"/>
  <c r="K208" i="4"/>
  <c r="AG208" i="4" s="1"/>
  <c r="K242" i="4"/>
  <c r="AG242" i="4" s="1"/>
  <c r="K244" i="4"/>
  <c r="AG244" i="4" s="1"/>
  <c r="AH250" i="4"/>
  <c r="K250" i="4"/>
  <c r="AG250" i="4" s="1"/>
  <c r="K298" i="4"/>
  <c r="AG298" i="4" s="1"/>
  <c r="AH454" i="4"/>
  <c r="K454" i="4"/>
  <c r="AG454" i="4" s="1"/>
  <c r="K489" i="4"/>
  <c r="AG489" i="4" s="1"/>
  <c r="AH495" i="4"/>
  <c r="K495" i="4"/>
  <c r="AG495" i="4" s="1"/>
  <c r="K561" i="4"/>
  <c r="K596" i="4"/>
  <c r="AG596" i="4" s="1"/>
  <c r="K888" i="4"/>
  <c r="AH888" i="4"/>
  <c r="O8" i="4"/>
  <c r="K43" i="4"/>
  <c r="AG43" i="4" s="1"/>
  <c r="K83" i="4"/>
  <c r="AG83" i="4" s="1"/>
  <c r="AH142" i="4"/>
  <c r="AH282" i="4"/>
  <c r="K335" i="4"/>
  <c r="AG335" i="4" s="1"/>
  <c r="AH335" i="4"/>
  <c r="Z394" i="4"/>
  <c r="AH430" i="4"/>
  <c r="AH511" i="4"/>
  <c r="K578" i="4"/>
  <c r="AH578" i="4"/>
  <c r="K612" i="4"/>
  <c r="AG612" i="4" s="1"/>
  <c r="AH612" i="4"/>
  <c r="K882" i="4"/>
  <c r="AG882" i="4" s="1"/>
  <c r="AH882" i="4"/>
  <c r="AH402" i="4"/>
  <c r="AH410" i="4"/>
  <c r="AH418" i="4"/>
  <c r="K633" i="4"/>
  <c r="AG633" i="4" s="1"/>
  <c r="AH633" i="4"/>
  <c r="K873" i="4"/>
  <c r="AG873" i="4" s="1"/>
  <c r="AH873" i="4"/>
  <c r="K284" i="4"/>
  <c r="AG284" i="4" s="1"/>
  <c r="AH695" i="4"/>
  <c r="K695" i="4"/>
  <c r="AG695" i="4" s="1"/>
  <c r="AH629" i="4"/>
  <c r="E852" i="4"/>
  <c r="AE867" i="4"/>
  <c r="AC976" i="4"/>
  <c r="AC852" i="4"/>
  <c r="O30" i="4"/>
  <c r="AA30" i="4"/>
  <c r="AE30" i="4" s="1"/>
  <c r="AF30" i="4" s="1"/>
  <c r="AH47" i="4"/>
  <c r="AA56" i="4"/>
  <c r="AE56" i="4" s="1"/>
  <c r="AE48" i="4"/>
  <c r="AH99" i="4"/>
  <c r="K99" i="4"/>
  <c r="AG99" i="4" s="1"/>
  <c r="AH405" i="4"/>
  <c r="K405" i="4"/>
  <c r="AG405" i="4" s="1"/>
  <c r="M33" i="4"/>
  <c r="N33" i="4" s="1"/>
  <c r="AA33" i="4"/>
  <c r="AE33" i="4" s="1"/>
  <c r="S33" i="4"/>
  <c r="O86" i="4"/>
  <c r="AH93" i="4"/>
  <c r="AH123" i="4"/>
  <c r="K123" i="4"/>
  <c r="AG123" i="4" s="1"/>
  <c r="AH148" i="4"/>
  <c r="K148" i="4"/>
  <c r="AG148" i="4" s="1"/>
  <c r="AH164" i="4"/>
  <c r="K164" i="4"/>
  <c r="AH180" i="4"/>
  <c r="K180" i="4"/>
  <c r="AG180" i="4" s="1"/>
  <c r="AH232" i="4"/>
  <c r="K232" i="4"/>
  <c r="AG232" i="4" s="1"/>
  <c r="AH264" i="4"/>
  <c r="K264" i="4"/>
  <c r="AG264" i="4" s="1"/>
  <c r="AH280" i="4"/>
  <c r="AH296" i="4"/>
  <c r="K97" i="4"/>
  <c r="AG97" i="4" s="1"/>
  <c r="AH97" i="4"/>
  <c r="AH413" i="4"/>
  <c r="K413" i="4"/>
  <c r="AG413" i="4" s="1"/>
  <c r="N56" i="4"/>
  <c r="K45" i="4"/>
  <c r="AG45" i="4" s="1"/>
  <c r="AH63" i="4"/>
  <c r="AH79" i="4"/>
  <c r="K101" i="4"/>
  <c r="AG101" i="4" s="1"/>
  <c r="AH107" i="4"/>
  <c r="K107" i="4"/>
  <c r="AG107" i="4" s="1"/>
  <c r="AA186" i="4"/>
  <c r="AE186" i="4" s="1"/>
  <c r="AH140" i="4"/>
  <c r="K140" i="4"/>
  <c r="AG140" i="4" s="1"/>
  <c r="AH156" i="4"/>
  <c r="K156" i="4"/>
  <c r="AG156" i="4" s="1"/>
  <c r="AH172" i="4"/>
  <c r="K172" i="4"/>
  <c r="AG172" i="4" s="1"/>
  <c r="AH248" i="4"/>
  <c r="K248" i="4"/>
  <c r="AG248" i="4" s="1"/>
  <c r="AH294" i="4"/>
  <c r="K294" i="4"/>
  <c r="AG294" i="4" s="1"/>
  <c r="S332" i="4"/>
  <c r="S339" i="4" s="1"/>
  <c r="R339" i="4"/>
  <c r="AH458" i="4"/>
  <c r="K458" i="4"/>
  <c r="AG458" i="4" s="1"/>
  <c r="K462" i="4"/>
  <c r="AG462" i="4" s="1"/>
  <c r="AH462" i="4"/>
  <c r="K37" i="4"/>
  <c r="AG37" i="4" s="1"/>
  <c r="AH37" i="4"/>
  <c r="AH240" i="4"/>
  <c r="K240" i="4"/>
  <c r="AG240" i="4" s="1"/>
  <c r="AH272" i="4"/>
  <c r="K272" i="4"/>
  <c r="AG272" i="4" s="1"/>
  <c r="AH278" i="4"/>
  <c r="K278" i="4"/>
  <c r="AG278" i="4" s="1"/>
  <c r="I30" i="4"/>
  <c r="J30" i="4" s="1"/>
  <c r="K30" i="4" s="1"/>
  <c r="N31" i="4"/>
  <c r="AH32" i="4"/>
  <c r="K32" i="4"/>
  <c r="AG32" i="4" s="1"/>
  <c r="O33" i="4"/>
  <c r="AB6" i="4"/>
  <c r="AB8" i="4" s="1"/>
  <c r="K12" i="4"/>
  <c r="AG12" i="4" s="1"/>
  <c r="O28" i="4"/>
  <c r="AA28" i="4"/>
  <c r="AE28" i="4" s="1"/>
  <c r="S30" i="4"/>
  <c r="Q33" i="4"/>
  <c r="R33" i="4" s="1"/>
  <c r="R39" i="4" s="1"/>
  <c r="O43" i="4"/>
  <c r="O56" i="4" s="1"/>
  <c r="AH53" i="4"/>
  <c r="K53" i="4"/>
  <c r="AG53" i="4" s="1"/>
  <c r="K61" i="4"/>
  <c r="AG61" i="4" s="1"/>
  <c r="K77" i="4"/>
  <c r="AG77" i="4" s="1"/>
  <c r="AH89" i="4"/>
  <c r="AA130" i="4"/>
  <c r="AE130" i="4" s="1"/>
  <c r="K91" i="4"/>
  <c r="AG91" i="4" s="1"/>
  <c r="AH115" i="4"/>
  <c r="K115" i="4"/>
  <c r="AG115" i="4" s="1"/>
  <c r="AH134" i="4"/>
  <c r="AH150" i="4"/>
  <c r="AH166" i="4"/>
  <c r="AH182" i="4"/>
  <c r="AH256" i="4"/>
  <c r="K256" i="4"/>
  <c r="AG256" i="4" s="1"/>
  <c r="AH286" i="4"/>
  <c r="K286" i="4"/>
  <c r="AG286" i="4" s="1"/>
  <c r="AH425" i="4"/>
  <c r="K425" i="4"/>
  <c r="AG425" i="4" s="1"/>
  <c r="AH433" i="4"/>
  <c r="K433" i="4"/>
  <c r="AG433" i="4" s="1"/>
  <c r="AH441" i="4"/>
  <c r="K441" i="4"/>
  <c r="AG441" i="4" s="1"/>
  <c r="AA226" i="4"/>
  <c r="AE226" i="4" s="1"/>
  <c r="AA274" i="4"/>
  <c r="AE274" i="4" s="1"/>
  <c r="AA388" i="4"/>
  <c r="AE388" i="4" s="1"/>
  <c r="AH427" i="4"/>
  <c r="K427" i="4"/>
  <c r="AG427" i="4" s="1"/>
  <c r="AH435" i="4"/>
  <c r="K435" i="4"/>
  <c r="AG435" i="4" s="1"/>
  <c r="AH464" i="4"/>
  <c r="K464" i="4"/>
  <c r="AG464" i="4" s="1"/>
  <c r="AH105" i="4"/>
  <c r="AH113" i="4"/>
  <c r="AH121" i="4"/>
  <c r="AH129" i="4"/>
  <c r="N186" i="4"/>
  <c r="AE189" i="4"/>
  <c r="N190" i="4"/>
  <c r="AH196" i="4"/>
  <c r="AH204" i="4"/>
  <c r="AH212" i="4"/>
  <c r="AH220" i="4"/>
  <c r="AH230" i="4"/>
  <c r="AH238" i="4"/>
  <c r="AH246" i="4"/>
  <c r="AH254" i="4"/>
  <c r="AH262" i="4"/>
  <c r="AH270" i="4"/>
  <c r="AH320" i="4"/>
  <c r="AH328" i="4"/>
  <c r="J339" i="4"/>
  <c r="AH332" i="4"/>
  <c r="K332" i="4"/>
  <c r="AG332" i="4" s="1"/>
  <c r="AA368" i="4"/>
  <c r="AE368" i="4" s="1"/>
  <c r="AH423" i="4"/>
  <c r="K423" i="4"/>
  <c r="AG423" i="4" s="1"/>
  <c r="AH431" i="4"/>
  <c r="K431" i="4"/>
  <c r="AG431" i="4" s="1"/>
  <c r="AH439" i="4"/>
  <c r="K439" i="4"/>
  <c r="AG439" i="4" s="1"/>
  <c r="J8" i="4"/>
  <c r="AE7" i="4"/>
  <c r="AA21" i="4"/>
  <c r="AE21" i="4" s="1"/>
  <c r="R86" i="4"/>
  <c r="J130" i="4"/>
  <c r="K194" i="4"/>
  <c r="AG194" i="4" s="1"/>
  <c r="K202" i="4"/>
  <c r="AG202" i="4" s="1"/>
  <c r="K210" i="4"/>
  <c r="K218" i="4"/>
  <c r="AG218" i="4" s="1"/>
  <c r="R274" i="4"/>
  <c r="AA329" i="4"/>
  <c r="AE329" i="4" s="1"/>
  <c r="AH302" i="4"/>
  <c r="K302" i="4"/>
  <c r="AG302" i="4" s="1"/>
  <c r="AH310" i="4"/>
  <c r="K310" i="4"/>
  <c r="AG310" i="4" s="1"/>
  <c r="AH318" i="4"/>
  <c r="K318" i="4"/>
  <c r="AG318" i="4" s="1"/>
  <c r="AH326" i="4"/>
  <c r="K326" i="4"/>
  <c r="AH334" i="4"/>
  <c r="K334" i="4"/>
  <c r="AG334" i="4" s="1"/>
  <c r="K394" i="4"/>
  <c r="K395" i="4" s="1"/>
  <c r="K397" i="4" s="1"/>
  <c r="AA395" i="4"/>
  <c r="K403" i="4"/>
  <c r="AG403" i="4" s="1"/>
  <c r="K411" i="4"/>
  <c r="AG411" i="4" s="1"/>
  <c r="K419" i="4"/>
  <c r="AG419" i="4" s="1"/>
  <c r="AH421" i="4"/>
  <c r="K421" i="4"/>
  <c r="AH429" i="4"/>
  <c r="K429" i="4"/>
  <c r="AG429" i="4" s="1"/>
  <c r="AH437" i="4"/>
  <c r="K437" i="4"/>
  <c r="AG437" i="4" s="1"/>
  <c r="AH442" i="4"/>
  <c r="AH450" i="4"/>
  <c r="K450" i="4"/>
  <c r="AG450" i="4" s="1"/>
  <c r="AH482" i="4"/>
  <c r="K482" i="4"/>
  <c r="AG482" i="4" s="1"/>
  <c r="AH484" i="4"/>
  <c r="K484" i="4"/>
  <c r="AH486" i="4"/>
  <c r="K486" i="4"/>
  <c r="AG486" i="4" s="1"/>
  <c r="AH488" i="4"/>
  <c r="K488" i="4"/>
  <c r="AG488" i="4" s="1"/>
  <c r="AH490" i="4"/>
  <c r="K490" i="4"/>
  <c r="AG490" i="4" s="1"/>
  <c r="AH492" i="4"/>
  <c r="K492" i="4"/>
  <c r="AG492" i="4" s="1"/>
  <c r="AH494" i="4"/>
  <c r="K494" i="4"/>
  <c r="AG494" i="4" s="1"/>
  <c r="AH496" i="4"/>
  <c r="K496" i="4"/>
  <c r="AG496" i="4" s="1"/>
  <c r="AH535" i="4"/>
  <c r="K535" i="4"/>
  <c r="AG535" i="4" s="1"/>
  <c r="AH543" i="4"/>
  <c r="K543" i="4"/>
  <c r="AG543" i="4" s="1"/>
  <c r="AH551" i="4"/>
  <c r="K551" i="4"/>
  <c r="AG551" i="4" s="1"/>
  <c r="AH559" i="4"/>
  <c r="K559" i="4"/>
  <c r="AH567" i="4"/>
  <c r="K567" i="4"/>
  <c r="AG567" i="4" s="1"/>
  <c r="AH575" i="4"/>
  <c r="K575" i="4"/>
  <c r="AG575" i="4" s="1"/>
  <c r="AH583" i="4"/>
  <c r="K583" i="4"/>
  <c r="AG583" i="4" s="1"/>
  <c r="AH591" i="4"/>
  <c r="K591" i="4"/>
  <c r="AG591" i="4" s="1"/>
  <c r="AH599" i="4"/>
  <c r="K599" i="4"/>
  <c r="AG599" i="4" s="1"/>
  <c r="AH607" i="4"/>
  <c r="K607" i="4"/>
  <c r="AG607" i="4" s="1"/>
  <c r="AH615" i="4"/>
  <c r="K615" i="4"/>
  <c r="AG615" i="4" s="1"/>
  <c r="AH443" i="4"/>
  <c r="K443" i="4"/>
  <c r="AG443" i="4" s="1"/>
  <c r="AH466" i="4"/>
  <c r="K466" i="4"/>
  <c r="AG466" i="4" s="1"/>
  <c r="AH470" i="4"/>
  <c r="K623" i="4"/>
  <c r="AH623" i="4"/>
  <c r="K625" i="4"/>
  <c r="AG625" i="4" s="1"/>
  <c r="AH625" i="4"/>
  <c r="S368" i="4"/>
  <c r="Q391" i="4"/>
  <c r="K472" i="4"/>
  <c r="AG472" i="4" s="1"/>
  <c r="AH474" i="4"/>
  <c r="K474" i="4"/>
  <c r="AG474" i="4" s="1"/>
  <c r="AH601" i="4"/>
  <c r="K601" i="4"/>
  <c r="AG601" i="4" s="1"/>
  <c r="AH609" i="4"/>
  <c r="K609" i="4"/>
  <c r="AH617" i="4"/>
  <c r="K617" i="4"/>
  <c r="AG617" i="4" s="1"/>
  <c r="AD690" i="4"/>
  <c r="AH530" i="4"/>
  <c r="AH597" i="4"/>
  <c r="K597" i="4"/>
  <c r="AG597" i="4" s="1"/>
  <c r="AH605" i="4"/>
  <c r="K605" i="4"/>
  <c r="AG605" i="4" s="1"/>
  <c r="AH613" i="4"/>
  <c r="K613" i="4"/>
  <c r="AG613" i="4" s="1"/>
  <c r="AE687" i="4"/>
  <c r="AE688" i="4" s="1"/>
  <c r="AA688" i="4"/>
  <c r="K498" i="4"/>
  <c r="K500" i="4"/>
  <c r="AG500" i="4" s="1"/>
  <c r="K502" i="4"/>
  <c r="AG502" i="4" s="1"/>
  <c r="K504" i="4"/>
  <c r="AG504" i="4" s="1"/>
  <c r="K506" i="4"/>
  <c r="K508" i="4"/>
  <c r="AG508" i="4" s="1"/>
  <c r="K510" i="4"/>
  <c r="AG510" i="4" s="1"/>
  <c r="K512" i="4"/>
  <c r="K514" i="4"/>
  <c r="AG514" i="4" s="1"/>
  <c r="K516" i="4"/>
  <c r="AG516" i="4" s="1"/>
  <c r="K518" i="4"/>
  <c r="AG518" i="4" s="1"/>
  <c r="K520" i="4"/>
  <c r="AG520" i="4" s="1"/>
  <c r="K522" i="4"/>
  <c r="K524" i="4"/>
  <c r="AG524" i="4" s="1"/>
  <c r="K526" i="4"/>
  <c r="AG526" i="4" s="1"/>
  <c r="K528" i="4"/>
  <c r="AG528" i="4" s="1"/>
  <c r="K533" i="4"/>
  <c r="K541" i="4"/>
  <c r="AG541" i="4" s="1"/>
  <c r="K549" i="4"/>
  <c r="AG549" i="4" s="1"/>
  <c r="K557" i="4"/>
  <c r="AG557" i="4" s="1"/>
  <c r="K565" i="4"/>
  <c r="K573" i="4"/>
  <c r="AG573" i="4" s="1"/>
  <c r="K581" i="4"/>
  <c r="AG581" i="4" s="1"/>
  <c r="K589" i="4"/>
  <c r="AG589" i="4" s="1"/>
  <c r="AH603" i="4"/>
  <c r="K603" i="4"/>
  <c r="AG603" i="4" s="1"/>
  <c r="AH611" i="4"/>
  <c r="K611" i="4"/>
  <c r="AG611" i="4" s="1"/>
  <c r="K619" i="4"/>
  <c r="AG619" i="4" s="1"/>
  <c r="AH619" i="4"/>
  <c r="AH621" i="4"/>
  <c r="M850" i="4"/>
  <c r="M852" i="4" s="1"/>
  <c r="AH889" i="4"/>
  <c r="K889" i="4"/>
  <c r="AG889" i="4" s="1"/>
  <c r="K687" i="4"/>
  <c r="R687" i="4"/>
  <c r="R688" i="4" s="1"/>
  <c r="I690" i="4"/>
  <c r="AH693" i="4"/>
  <c r="AA703" i="4"/>
  <c r="AE703" i="4" s="1"/>
  <c r="AH701" i="4"/>
  <c r="AH871" i="4"/>
  <c r="AH887" i="4"/>
  <c r="K887" i="4"/>
  <c r="AG887" i="4" s="1"/>
  <c r="K699" i="4"/>
  <c r="AD867" i="4"/>
  <c r="AD961" i="4" s="1"/>
  <c r="AH872" i="4"/>
  <c r="AH935" i="4"/>
  <c r="AD973" i="4"/>
  <c r="M867" i="4"/>
  <c r="M961" i="4" s="1"/>
  <c r="K883" i="4"/>
  <c r="AG883" i="4" s="1"/>
  <c r="K885" i="4"/>
  <c r="AG885" i="4" s="1"/>
  <c r="N867" i="4"/>
  <c r="AB976" i="4"/>
  <c r="AD975" i="4"/>
  <c r="L12" i="1"/>
  <c r="L9" i="2"/>
  <c r="D15" i="2"/>
  <c r="F46" i="2"/>
  <c r="F120" i="2"/>
  <c r="F44" i="2"/>
  <c r="X640" i="4"/>
  <c r="AG6" i="4"/>
  <c r="AG8" i="4" s="1"/>
  <c r="K8" i="4"/>
  <c r="L44" i="2"/>
  <c r="E12" i="2"/>
  <c r="E8" i="2"/>
  <c r="E14" i="2"/>
  <c r="E10" i="2"/>
  <c r="E6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E13" i="2"/>
  <c r="E9" i="2"/>
  <c r="E5" i="2"/>
  <c r="E11" i="2"/>
  <c r="E86" i="2"/>
  <c r="E82" i="2"/>
  <c r="E78" i="2"/>
  <c r="E77" i="2"/>
  <c r="E84" i="2"/>
  <c r="E80" i="2"/>
  <c r="E83" i="2"/>
  <c r="E79" i="2"/>
  <c r="E85" i="2"/>
  <c r="E81" i="2"/>
  <c r="F85" i="2"/>
  <c r="F42" i="2"/>
  <c r="E50" i="2"/>
  <c r="E46" i="2"/>
  <c r="E42" i="2"/>
  <c r="F50" i="2"/>
  <c r="D51" i="2"/>
  <c r="E51" i="2" s="1"/>
  <c r="J41" i="2"/>
  <c r="K5" i="2"/>
  <c r="J113" i="2"/>
  <c r="J77" i="2"/>
  <c r="K6" i="2"/>
  <c r="E7" i="2"/>
  <c r="J78" i="2"/>
  <c r="J42" i="2"/>
  <c r="J114" i="2"/>
  <c r="F79" i="2"/>
  <c r="F81" i="2"/>
  <c r="F83" i="2"/>
  <c r="F116" i="2"/>
  <c r="F48" i="2"/>
  <c r="L79" i="2"/>
  <c r="L42" i="2"/>
  <c r="E120" i="2"/>
  <c r="K10" i="4"/>
  <c r="F10" i="4"/>
  <c r="AH13" i="4"/>
  <c r="K13" i="4"/>
  <c r="K44" i="4"/>
  <c r="AH44" i="4"/>
  <c r="AG55" i="4"/>
  <c r="S130" i="4"/>
  <c r="AG93" i="4"/>
  <c r="AG117" i="4"/>
  <c r="AG125" i="4"/>
  <c r="AG129" i="4"/>
  <c r="K135" i="4"/>
  <c r="AH135" i="4"/>
  <c r="K139" i="4"/>
  <c r="AH139" i="4"/>
  <c r="K143" i="4"/>
  <c r="AH143" i="4"/>
  <c r="K147" i="4"/>
  <c r="AH147" i="4"/>
  <c r="K159" i="4"/>
  <c r="AH159" i="4"/>
  <c r="K163" i="4"/>
  <c r="AH163" i="4"/>
  <c r="AG164" i="4"/>
  <c r="K167" i="4"/>
  <c r="AH167" i="4"/>
  <c r="AG168" i="4"/>
  <c r="AG176" i="4"/>
  <c r="K179" i="4"/>
  <c r="AH179" i="4"/>
  <c r="AG184" i="4"/>
  <c r="K193" i="4"/>
  <c r="J226" i="4"/>
  <c r="AH193" i="4"/>
  <c r="K213" i="4"/>
  <c r="AH213" i="4"/>
  <c r="K217" i="4"/>
  <c r="AH217" i="4"/>
  <c r="AG222" i="4"/>
  <c r="R226" i="4"/>
  <c r="O274" i="4"/>
  <c r="AG238" i="4"/>
  <c r="AG262" i="4"/>
  <c r="AG372" i="4"/>
  <c r="AD391" i="4"/>
  <c r="D23" i="1"/>
  <c r="D40" i="1"/>
  <c r="M8" i="2"/>
  <c r="F43" i="2"/>
  <c r="E44" i="2"/>
  <c r="F47" i="2"/>
  <c r="E48" i="2"/>
  <c r="F78" i="2"/>
  <c r="F86" i="2"/>
  <c r="E114" i="2"/>
  <c r="F117" i="2"/>
  <c r="E118" i="2"/>
  <c r="F121" i="2"/>
  <c r="E122" i="2"/>
  <c r="AH15" i="4"/>
  <c r="K15" i="4"/>
  <c r="AH19" i="4"/>
  <c r="K19" i="4"/>
  <c r="AG21" i="4"/>
  <c r="AH22" i="4"/>
  <c r="K22" i="4"/>
  <c r="AG34" i="4"/>
  <c r="AH34" i="4"/>
  <c r="AG36" i="4"/>
  <c r="AH36" i="4"/>
  <c r="AH46" i="4"/>
  <c r="K46" i="4"/>
  <c r="AG63" i="4"/>
  <c r="AG79" i="4"/>
  <c r="S86" i="4"/>
  <c r="J186" i="4"/>
  <c r="AH133" i="4"/>
  <c r="K133" i="4"/>
  <c r="AH137" i="4"/>
  <c r="K137" i="4"/>
  <c r="AH141" i="4"/>
  <c r="K141" i="4"/>
  <c r="AH145" i="4"/>
  <c r="K145" i="4"/>
  <c r="AH149" i="4"/>
  <c r="K149" i="4"/>
  <c r="AH153" i="4"/>
  <c r="K153" i="4"/>
  <c r="AH157" i="4"/>
  <c r="K157" i="4"/>
  <c r="AH161" i="4"/>
  <c r="K161" i="4"/>
  <c r="AH165" i="4"/>
  <c r="K165" i="4"/>
  <c r="AH169" i="4"/>
  <c r="K169" i="4"/>
  <c r="AH173" i="4"/>
  <c r="K173" i="4"/>
  <c r="AH177" i="4"/>
  <c r="K177" i="4"/>
  <c r="AH181" i="4"/>
  <c r="K181" i="4"/>
  <c r="AH185" i="4"/>
  <c r="K185" i="4"/>
  <c r="K189" i="4"/>
  <c r="AH189" i="4"/>
  <c r="AH190" i="4" s="1"/>
  <c r="R190" i="4"/>
  <c r="S226" i="4"/>
  <c r="AH195" i="4"/>
  <c r="K195" i="4"/>
  <c r="AH199" i="4"/>
  <c r="K199" i="4"/>
  <c r="AH203" i="4"/>
  <c r="K203" i="4"/>
  <c r="AH207" i="4"/>
  <c r="K207" i="4"/>
  <c r="AH211" i="4"/>
  <c r="K211" i="4"/>
  <c r="AH215" i="4"/>
  <c r="K215" i="4"/>
  <c r="AH219" i="4"/>
  <c r="K219" i="4"/>
  <c r="AH223" i="4"/>
  <c r="K223" i="4"/>
  <c r="AE229" i="4"/>
  <c r="AE277" i="4"/>
  <c r="AG280" i="4"/>
  <c r="AG288" i="4"/>
  <c r="AG296" i="4"/>
  <c r="AG300" i="4"/>
  <c r="AG308" i="4"/>
  <c r="AG312" i="4"/>
  <c r="AG320" i="4"/>
  <c r="AG328" i="4"/>
  <c r="AA339" i="4"/>
  <c r="AE339" i="4" s="1"/>
  <c r="E391" i="4"/>
  <c r="O339" i="4"/>
  <c r="AE371" i="4"/>
  <c r="AG415" i="4"/>
  <c r="X543" i="4"/>
  <c r="AG559" i="4"/>
  <c r="M5" i="2"/>
  <c r="M9" i="2"/>
  <c r="E41" i="2"/>
  <c r="L41" i="2"/>
  <c r="E45" i="2"/>
  <c r="E49" i="2"/>
  <c r="E115" i="2"/>
  <c r="E119" i="2"/>
  <c r="F122" i="2"/>
  <c r="E123" i="2"/>
  <c r="D124" i="2"/>
  <c r="E124" i="2" s="1"/>
  <c r="AE10" i="4"/>
  <c r="AH10" i="4"/>
  <c r="O11" i="4"/>
  <c r="I11" i="4"/>
  <c r="D39" i="4"/>
  <c r="D705" i="4" s="1"/>
  <c r="D854" i="4" s="1"/>
  <c r="S11" i="4"/>
  <c r="AH16" i="4"/>
  <c r="K16" i="4"/>
  <c r="AG20" i="4"/>
  <c r="P21" i="4"/>
  <c r="S21" i="4" s="1"/>
  <c r="F21" i="4"/>
  <c r="K35" i="4"/>
  <c r="S56" i="4"/>
  <c r="AG47" i="4"/>
  <c r="AH50" i="4"/>
  <c r="K50" i="4"/>
  <c r="AH54" i="4"/>
  <c r="K54" i="4"/>
  <c r="J56" i="4"/>
  <c r="R56" i="4"/>
  <c r="N86" i="4"/>
  <c r="K60" i="4"/>
  <c r="AH60" i="4"/>
  <c r="K64" i="4"/>
  <c r="AH64" i="4"/>
  <c r="AG65" i="4"/>
  <c r="K68" i="4"/>
  <c r="AH68" i="4"/>
  <c r="K72" i="4"/>
  <c r="AH72" i="4"/>
  <c r="AG73" i="4"/>
  <c r="K76" i="4"/>
  <c r="AH76" i="4"/>
  <c r="K80" i="4"/>
  <c r="AH80" i="4"/>
  <c r="AG81" i="4"/>
  <c r="K84" i="4"/>
  <c r="AH84" i="4"/>
  <c r="AG85" i="4"/>
  <c r="J86" i="4"/>
  <c r="AH92" i="4"/>
  <c r="K92" i="4"/>
  <c r="AH96" i="4"/>
  <c r="K96" i="4"/>
  <c r="AH100" i="4"/>
  <c r="K100" i="4"/>
  <c r="AH104" i="4"/>
  <c r="K104" i="4"/>
  <c r="AH108" i="4"/>
  <c r="K108" i="4"/>
  <c r="AH112" i="4"/>
  <c r="K112" i="4"/>
  <c r="AH116" i="4"/>
  <c r="K116" i="4"/>
  <c r="AH120" i="4"/>
  <c r="K120" i="4"/>
  <c r="AH124" i="4"/>
  <c r="K124" i="4"/>
  <c r="AH128" i="4"/>
  <c r="K128" i="4"/>
  <c r="R130" i="4"/>
  <c r="O186" i="4"/>
  <c r="AG134" i="4"/>
  <c r="AG142" i="4"/>
  <c r="AG150" i="4"/>
  <c r="AG158" i="4"/>
  <c r="AG162" i="4"/>
  <c r="AG166" i="4"/>
  <c r="AG182" i="4"/>
  <c r="R186" i="4"/>
  <c r="O190" i="4"/>
  <c r="AE193" i="4"/>
  <c r="AG196" i="4"/>
  <c r="AG200" i="4"/>
  <c r="AG204" i="4"/>
  <c r="AG212" i="4"/>
  <c r="AG220" i="4"/>
  <c r="AG224" i="4"/>
  <c r="N226" i="4"/>
  <c r="J274" i="4"/>
  <c r="AH229" i="4"/>
  <c r="K229" i="4"/>
  <c r="AH233" i="4"/>
  <c r="K233" i="4"/>
  <c r="AH237" i="4"/>
  <c r="K237" i="4"/>
  <c r="AH241" i="4"/>
  <c r="K241" i="4"/>
  <c r="AH245" i="4"/>
  <c r="K245" i="4"/>
  <c r="AH249" i="4"/>
  <c r="K249" i="4"/>
  <c r="AH253" i="4"/>
  <c r="K253" i="4"/>
  <c r="AH257" i="4"/>
  <c r="K257" i="4"/>
  <c r="AH261" i="4"/>
  <c r="K261" i="4"/>
  <c r="AH265" i="4"/>
  <c r="K265" i="4"/>
  <c r="AH269" i="4"/>
  <c r="K269" i="4"/>
  <c r="AH273" i="4"/>
  <c r="K273" i="4"/>
  <c r="N274" i="4"/>
  <c r="K277" i="4"/>
  <c r="AH277" i="4"/>
  <c r="K281" i="4"/>
  <c r="AH281" i="4"/>
  <c r="AG282" i="4"/>
  <c r="K285" i="4"/>
  <c r="AH285" i="4"/>
  <c r="K289" i="4"/>
  <c r="AH289" i="4"/>
  <c r="K293" i="4"/>
  <c r="AH293" i="4"/>
  <c r="K297" i="4"/>
  <c r="AH297" i="4"/>
  <c r="K301" i="4"/>
  <c r="AH301" i="4"/>
  <c r="K305" i="4"/>
  <c r="AH305" i="4"/>
  <c r="AG306" i="4"/>
  <c r="K309" i="4"/>
  <c r="AH309" i="4"/>
  <c r="K313" i="4"/>
  <c r="AH313" i="4"/>
  <c r="K317" i="4"/>
  <c r="AH317" i="4"/>
  <c r="K321" i="4"/>
  <c r="AH321" i="4"/>
  <c r="K325" i="4"/>
  <c r="AH325" i="4"/>
  <c r="AG326" i="4"/>
  <c r="AH342" i="4"/>
  <c r="J368" i="4"/>
  <c r="K342" i="4"/>
  <c r="K343" i="4"/>
  <c r="AH343" i="4"/>
  <c r="AH344" i="4"/>
  <c r="K344" i="4"/>
  <c r="K345" i="4"/>
  <c r="AH345" i="4"/>
  <c r="AH346" i="4"/>
  <c r="K346" i="4"/>
  <c r="K347" i="4"/>
  <c r="AH347" i="4"/>
  <c r="AH348" i="4"/>
  <c r="K348" i="4"/>
  <c r="K349" i="4"/>
  <c r="AH349" i="4"/>
  <c r="AH350" i="4"/>
  <c r="K350" i="4"/>
  <c r="K351" i="4"/>
  <c r="AH351" i="4"/>
  <c r="AH352" i="4"/>
  <c r="K352" i="4"/>
  <c r="K353" i="4"/>
  <c r="AH353" i="4"/>
  <c r="AH354" i="4"/>
  <c r="K354" i="4"/>
  <c r="K355" i="4"/>
  <c r="AH355" i="4"/>
  <c r="AH356" i="4"/>
  <c r="K356" i="4"/>
  <c r="K357" i="4"/>
  <c r="AH357" i="4"/>
  <c r="AH358" i="4"/>
  <c r="K358" i="4"/>
  <c r="K359" i="4"/>
  <c r="AH359" i="4"/>
  <c r="AH360" i="4"/>
  <c r="K360" i="4"/>
  <c r="K361" i="4"/>
  <c r="AH361" i="4"/>
  <c r="AH362" i="4"/>
  <c r="K362" i="4"/>
  <c r="K363" i="4"/>
  <c r="AH363" i="4"/>
  <c r="AH364" i="4"/>
  <c r="K364" i="4"/>
  <c r="K365" i="4"/>
  <c r="AH365" i="4"/>
  <c r="AH366" i="4"/>
  <c r="K366" i="4"/>
  <c r="K367" i="4"/>
  <c r="AH367" i="4"/>
  <c r="O395" i="4"/>
  <c r="N397" i="4"/>
  <c r="O684" i="4"/>
  <c r="AG421" i="4"/>
  <c r="AG587" i="4"/>
  <c r="K681" i="4"/>
  <c r="AH681" i="4"/>
  <c r="E116" i="2"/>
  <c r="AH17" i="4"/>
  <c r="K17" i="4"/>
  <c r="AG89" i="4"/>
  <c r="AG105" i="4"/>
  <c r="AG113" i="4"/>
  <c r="AG121" i="4"/>
  <c r="AG144" i="4"/>
  <c r="K151" i="4"/>
  <c r="AH151" i="4"/>
  <c r="K155" i="4"/>
  <c r="AH155" i="4"/>
  <c r="K171" i="4"/>
  <c r="AH171" i="4"/>
  <c r="K175" i="4"/>
  <c r="AH175" i="4"/>
  <c r="K183" i="4"/>
  <c r="AH183" i="4"/>
  <c r="K197" i="4"/>
  <c r="AH197" i="4"/>
  <c r="K201" i="4"/>
  <c r="AH201" i="4"/>
  <c r="K205" i="4"/>
  <c r="AH205" i="4"/>
  <c r="K209" i="4"/>
  <c r="AH209" i="4"/>
  <c r="AG210" i="4"/>
  <c r="AG214" i="4"/>
  <c r="K221" i="4"/>
  <c r="AH221" i="4"/>
  <c r="K225" i="4"/>
  <c r="AH225" i="4"/>
  <c r="AG230" i="4"/>
  <c r="AG234" i="4"/>
  <c r="AG246" i="4"/>
  <c r="V246" i="4"/>
  <c r="AG254" i="4"/>
  <c r="AG270" i="4"/>
  <c r="N329" i="4"/>
  <c r="O277" i="4"/>
  <c r="AG338" i="4"/>
  <c r="AG384" i="4"/>
  <c r="I391" i="4"/>
  <c r="W543" i="4"/>
  <c r="AG701" i="4"/>
  <c r="K9" i="1"/>
  <c r="M7" i="2"/>
  <c r="E43" i="2"/>
  <c r="E47" i="2"/>
  <c r="D87" i="2"/>
  <c r="E113" i="2"/>
  <c r="E117" i="2"/>
  <c r="E121" i="2"/>
  <c r="AH7" i="4"/>
  <c r="AH8" i="4" s="1"/>
  <c r="AA8" i="4"/>
  <c r="AH14" i="4"/>
  <c r="K14" i="4"/>
  <c r="AH18" i="4"/>
  <c r="K18" i="4"/>
  <c r="AH27" i="4"/>
  <c r="K27" i="4"/>
  <c r="AA29" i="4"/>
  <c r="AE29" i="4" s="1"/>
  <c r="S29" i="4"/>
  <c r="I29" i="4"/>
  <c r="J29" i="4" s="1"/>
  <c r="K29" i="4" s="1"/>
  <c r="AG31" i="4"/>
  <c r="AH31" i="4"/>
  <c r="K33" i="4"/>
  <c r="K38" i="4"/>
  <c r="Z39" i="4"/>
  <c r="K48" i="4"/>
  <c r="AH48" i="4"/>
  <c r="K52" i="4"/>
  <c r="AH52" i="4"/>
  <c r="AA86" i="4"/>
  <c r="AE86" i="4" s="1"/>
  <c r="AH62" i="4"/>
  <c r="K62" i="4"/>
  <c r="AH66" i="4"/>
  <c r="K66" i="4"/>
  <c r="AH70" i="4"/>
  <c r="K70" i="4"/>
  <c r="AH74" i="4"/>
  <c r="K74" i="4"/>
  <c r="AH78" i="4"/>
  <c r="K78" i="4"/>
  <c r="AH82" i="4"/>
  <c r="K82" i="4"/>
  <c r="N130" i="4"/>
  <c r="K90" i="4"/>
  <c r="AH90" i="4"/>
  <c r="K94" i="4"/>
  <c r="AH94" i="4"/>
  <c r="AG95" i="4"/>
  <c r="K98" i="4"/>
  <c r="AH98" i="4"/>
  <c r="K102" i="4"/>
  <c r="AH102" i="4"/>
  <c r="AG103" i="4"/>
  <c r="K106" i="4"/>
  <c r="AH106" i="4"/>
  <c r="K110" i="4"/>
  <c r="AH110" i="4"/>
  <c r="AG111" i="4"/>
  <c r="K114" i="4"/>
  <c r="AH114" i="4"/>
  <c r="K118" i="4"/>
  <c r="AH118" i="4"/>
  <c r="K122" i="4"/>
  <c r="AH122" i="4"/>
  <c r="K126" i="4"/>
  <c r="AH126" i="4"/>
  <c r="O226" i="4"/>
  <c r="S274" i="4"/>
  <c r="K231" i="4"/>
  <c r="AH231" i="4"/>
  <c r="K235" i="4"/>
  <c r="AH235" i="4"/>
  <c r="AG236" i="4"/>
  <c r="K239" i="4"/>
  <c r="AH239" i="4"/>
  <c r="K243" i="4"/>
  <c r="AH243" i="4"/>
  <c r="K247" i="4"/>
  <c r="AH247" i="4"/>
  <c r="K251" i="4"/>
  <c r="AH251" i="4"/>
  <c r="AG252" i="4"/>
  <c r="K255" i="4"/>
  <c r="AH255" i="4"/>
  <c r="K259" i="4"/>
  <c r="AH259" i="4"/>
  <c r="K263" i="4"/>
  <c r="AH263" i="4"/>
  <c r="K267" i="4"/>
  <c r="AH267" i="4"/>
  <c r="K271" i="4"/>
  <c r="AH271" i="4"/>
  <c r="S277" i="4"/>
  <c r="R329" i="4"/>
  <c r="AH279" i="4"/>
  <c r="K279" i="4"/>
  <c r="AH283" i="4"/>
  <c r="K283" i="4"/>
  <c r="AH287" i="4"/>
  <c r="K287" i="4"/>
  <c r="AH291" i="4"/>
  <c r="K291" i="4"/>
  <c r="AH295" i="4"/>
  <c r="K295" i="4"/>
  <c r="AH299" i="4"/>
  <c r="K299" i="4"/>
  <c r="AH303" i="4"/>
  <c r="K303" i="4"/>
  <c r="AH307" i="4"/>
  <c r="K307" i="4"/>
  <c r="AH311" i="4"/>
  <c r="K311" i="4"/>
  <c r="AH315" i="4"/>
  <c r="K315" i="4"/>
  <c r="AH319" i="4"/>
  <c r="K319" i="4"/>
  <c r="AH323" i="4"/>
  <c r="K323" i="4"/>
  <c r="AH327" i="4"/>
  <c r="K327" i="4"/>
  <c r="J329" i="4"/>
  <c r="AH333" i="4"/>
  <c r="K333" i="4"/>
  <c r="M391" i="4"/>
  <c r="R368" i="4"/>
  <c r="O371" i="4"/>
  <c r="N388" i="4"/>
  <c r="AG401" i="4"/>
  <c r="S684" i="4"/>
  <c r="S690" i="4" s="1"/>
  <c r="AG547" i="4"/>
  <c r="AG563" i="4"/>
  <c r="AG579" i="4"/>
  <c r="K649" i="4"/>
  <c r="AH649" i="4"/>
  <c r="K665" i="4"/>
  <c r="AH665" i="4"/>
  <c r="S842" i="4"/>
  <c r="AG871" i="4"/>
  <c r="AG28" i="4"/>
  <c r="AE59" i="4"/>
  <c r="N339" i="4"/>
  <c r="AE342" i="4"/>
  <c r="N368" i="4"/>
  <c r="J388" i="4"/>
  <c r="AH371" i="4"/>
  <c r="K371" i="4"/>
  <c r="AH375" i="4"/>
  <c r="K375" i="4"/>
  <c r="AH379" i="4"/>
  <c r="K379" i="4"/>
  <c r="AH383" i="4"/>
  <c r="K383" i="4"/>
  <c r="AH387" i="4"/>
  <c r="K387" i="4"/>
  <c r="X395" i="4"/>
  <c r="X397" i="4" s="1"/>
  <c r="AG395" i="4"/>
  <c r="AG397" i="4" s="1"/>
  <c r="AG402" i="4"/>
  <c r="AG410" i="4"/>
  <c r="AG414" i="4"/>
  <c r="AG418" i="4"/>
  <c r="AG422" i="4"/>
  <c r="AG430" i="4"/>
  <c r="AG438" i="4"/>
  <c r="AG442" i="4"/>
  <c r="AG444" i="4"/>
  <c r="AH445" i="4"/>
  <c r="K445" i="4"/>
  <c r="AG448" i="4"/>
  <c r="AH449" i="4"/>
  <c r="K449" i="4"/>
  <c r="AH453" i="4"/>
  <c r="K453" i="4"/>
  <c r="AH457" i="4"/>
  <c r="K457" i="4"/>
  <c r="AH461" i="4"/>
  <c r="K461" i="4"/>
  <c r="AH465" i="4"/>
  <c r="K465" i="4"/>
  <c r="AH469" i="4"/>
  <c r="K469" i="4"/>
  <c r="AH473" i="4"/>
  <c r="K473" i="4"/>
  <c r="AH477" i="4"/>
  <c r="K477" i="4"/>
  <c r="AG480" i="4"/>
  <c r="AH481" i="4"/>
  <c r="K481" i="4"/>
  <c r="AG487" i="4"/>
  <c r="AG503" i="4"/>
  <c r="AG511" i="4"/>
  <c r="AG529" i="4"/>
  <c r="AG561" i="4"/>
  <c r="AG577" i="4"/>
  <c r="AG609" i="4"/>
  <c r="K626" i="4"/>
  <c r="AH626" i="4"/>
  <c r="K639" i="4"/>
  <c r="AH639" i="4"/>
  <c r="W640" i="4"/>
  <c r="K641" i="4"/>
  <c r="AH641" i="4"/>
  <c r="K663" i="4"/>
  <c r="AH663" i="4"/>
  <c r="K671" i="4"/>
  <c r="AH671" i="4"/>
  <c r="K673" i="4"/>
  <c r="AH673" i="4"/>
  <c r="O694" i="4"/>
  <c r="O703" i="4" s="1"/>
  <c r="N703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0" i="4"/>
  <c r="J786" i="4"/>
  <c r="J787" i="4"/>
  <c r="J784" i="4"/>
  <c r="J785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83" i="4"/>
  <c r="J719" i="4"/>
  <c r="J788" i="4"/>
  <c r="J782" i="4"/>
  <c r="J781" i="4"/>
  <c r="J780" i="4"/>
  <c r="J717" i="4"/>
  <c r="J716" i="4"/>
  <c r="J715" i="4"/>
  <c r="J789" i="4"/>
  <c r="J712" i="4"/>
  <c r="J710" i="4"/>
  <c r="J708" i="4"/>
  <c r="J791" i="4"/>
  <c r="J713" i="4"/>
  <c r="J711" i="4"/>
  <c r="J709" i="4"/>
  <c r="J714" i="4"/>
  <c r="J718" i="4"/>
  <c r="O368" i="4"/>
  <c r="R388" i="4"/>
  <c r="S371" i="4"/>
  <c r="K373" i="4"/>
  <c r="AH373" i="4"/>
  <c r="AG374" i="4"/>
  <c r="K377" i="4"/>
  <c r="AH377" i="4"/>
  <c r="AG378" i="4"/>
  <c r="K381" i="4"/>
  <c r="AH381" i="4"/>
  <c r="AG382" i="4"/>
  <c r="K385" i="4"/>
  <c r="AH385" i="4"/>
  <c r="AG386" i="4"/>
  <c r="AG404" i="4"/>
  <c r="AG412" i="4"/>
  <c r="AG420" i="4"/>
  <c r="AH447" i="4"/>
  <c r="K447" i="4"/>
  <c r="AH451" i="4"/>
  <c r="K451" i="4"/>
  <c r="AH455" i="4"/>
  <c r="K455" i="4"/>
  <c r="AH459" i="4"/>
  <c r="K459" i="4"/>
  <c r="AH463" i="4"/>
  <c r="K463" i="4"/>
  <c r="AH467" i="4"/>
  <c r="K467" i="4"/>
  <c r="AG470" i="4"/>
  <c r="AH471" i="4"/>
  <c r="K471" i="4"/>
  <c r="AH475" i="4"/>
  <c r="K475" i="4"/>
  <c r="AH479" i="4"/>
  <c r="K479" i="4"/>
  <c r="AG491" i="4"/>
  <c r="AG533" i="4"/>
  <c r="AG565" i="4"/>
  <c r="K622" i="4"/>
  <c r="AH622" i="4"/>
  <c r="K630" i="4"/>
  <c r="AH630" i="4"/>
  <c r="K647" i="4"/>
  <c r="AH647" i="4"/>
  <c r="K655" i="4"/>
  <c r="AH655" i="4"/>
  <c r="K657" i="4"/>
  <c r="AH657" i="4"/>
  <c r="K679" i="4"/>
  <c r="AH679" i="4"/>
  <c r="AG693" i="4"/>
  <c r="S703" i="4"/>
  <c r="N720" i="4"/>
  <c r="O708" i="4"/>
  <c r="N684" i="4"/>
  <c r="N690" i="4" s="1"/>
  <c r="AA684" i="4"/>
  <c r="AE684" i="4" s="1"/>
  <c r="AG498" i="4"/>
  <c r="AG506" i="4"/>
  <c r="AG532" i="4"/>
  <c r="AG540" i="4"/>
  <c r="AG548" i="4"/>
  <c r="AG564" i="4"/>
  <c r="AG580" i="4"/>
  <c r="AG584" i="4"/>
  <c r="AG608" i="4"/>
  <c r="K620" i="4"/>
  <c r="AH620" i="4"/>
  <c r="K628" i="4"/>
  <c r="AH628" i="4"/>
  <c r="K637" i="4"/>
  <c r="AH637" i="4"/>
  <c r="K643" i="4"/>
  <c r="AH643" i="4"/>
  <c r="K653" i="4"/>
  <c r="AH653" i="4"/>
  <c r="K659" i="4"/>
  <c r="AH659" i="4"/>
  <c r="K669" i="4"/>
  <c r="AH669" i="4"/>
  <c r="K675" i="4"/>
  <c r="AH675" i="4"/>
  <c r="K698" i="4"/>
  <c r="AH698" i="4"/>
  <c r="AG699" i="4"/>
  <c r="AA720" i="4"/>
  <c r="AE720" i="4" s="1"/>
  <c r="J684" i="4"/>
  <c r="R684" i="4"/>
  <c r="AG484" i="4"/>
  <c r="AG512" i="4"/>
  <c r="AG515" i="4"/>
  <c r="AG522" i="4"/>
  <c r="AG530" i="4"/>
  <c r="AG534" i="4"/>
  <c r="AG538" i="4"/>
  <c r="AG542" i="4"/>
  <c r="AG550" i="4"/>
  <c r="AG558" i="4"/>
  <c r="AG562" i="4"/>
  <c r="AG566" i="4"/>
  <c r="AG574" i="4"/>
  <c r="AG578" i="4"/>
  <c r="AG586" i="4"/>
  <c r="AG598" i="4"/>
  <c r="AG618" i="4"/>
  <c r="K624" i="4"/>
  <c r="AH624" i="4"/>
  <c r="K632" i="4"/>
  <c r="AH632" i="4"/>
  <c r="K635" i="4"/>
  <c r="AH635" i="4"/>
  <c r="K645" i="4"/>
  <c r="AH645" i="4"/>
  <c r="K651" i="4"/>
  <c r="AH651" i="4"/>
  <c r="K661" i="4"/>
  <c r="AH661" i="4"/>
  <c r="K667" i="4"/>
  <c r="AH667" i="4"/>
  <c r="K677" i="4"/>
  <c r="AH677" i="4"/>
  <c r="K683" i="4"/>
  <c r="AH683" i="4"/>
  <c r="AB705" i="4"/>
  <c r="AH700" i="4"/>
  <c r="K700" i="4"/>
  <c r="AG623" i="4"/>
  <c r="AG627" i="4"/>
  <c r="AG631" i="4"/>
  <c r="K634" i="4"/>
  <c r="AH634" i="4"/>
  <c r="K638" i="4"/>
  <c r="AH638" i="4"/>
  <c r="K642" i="4"/>
  <c r="AH642" i="4"/>
  <c r="K646" i="4"/>
  <c r="AH646" i="4"/>
  <c r="K650" i="4"/>
  <c r="AH650" i="4"/>
  <c r="K654" i="4"/>
  <c r="AH654" i="4"/>
  <c r="K658" i="4"/>
  <c r="AH658" i="4"/>
  <c r="K662" i="4"/>
  <c r="AH662" i="4"/>
  <c r="K666" i="4"/>
  <c r="AH666" i="4"/>
  <c r="K670" i="4"/>
  <c r="AH670" i="4"/>
  <c r="K674" i="4"/>
  <c r="AH674" i="4"/>
  <c r="K678" i="4"/>
  <c r="AH678" i="4"/>
  <c r="K682" i="4"/>
  <c r="AH682" i="4"/>
  <c r="J703" i="4"/>
  <c r="AH696" i="4"/>
  <c r="K696" i="4"/>
  <c r="AG697" i="4"/>
  <c r="K702" i="4"/>
  <c r="AH702" i="4"/>
  <c r="R703" i="4"/>
  <c r="R720" i="4"/>
  <c r="S708" i="4"/>
  <c r="N842" i="4"/>
  <c r="O723" i="4"/>
  <c r="AA842" i="4"/>
  <c r="AE723" i="4"/>
  <c r="K848" i="4"/>
  <c r="AH848" i="4"/>
  <c r="K849" i="4"/>
  <c r="AH849" i="4"/>
  <c r="K636" i="4"/>
  <c r="AH636" i="4"/>
  <c r="K640" i="4"/>
  <c r="AH640" i="4"/>
  <c r="K644" i="4"/>
  <c r="AH644" i="4"/>
  <c r="K648" i="4"/>
  <c r="AH648" i="4"/>
  <c r="K652" i="4"/>
  <c r="AH652" i="4"/>
  <c r="K656" i="4"/>
  <c r="AH656" i="4"/>
  <c r="K660" i="4"/>
  <c r="AH660" i="4"/>
  <c r="K664" i="4"/>
  <c r="AH664" i="4"/>
  <c r="K668" i="4"/>
  <c r="AH668" i="4"/>
  <c r="K672" i="4"/>
  <c r="AH672" i="4"/>
  <c r="K676" i="4"/>
  <c r="AH676" i="4"/>
  <c r="K680" i="4"/>
  <c r="AH680" i="4"/>
  <c r="AC705" i="4"/>
  <c r="AC854" i="4" s="1"/>
  <c r="K694" i="4"/>
  <c r="AH694" i="4"/>
  <c r="I850" i="4"/>
  <c r="I852" i="4" s="1"/>
  <c r="J688" i="4"/>
  <c r="AD720" i="4"/>
  <c r="AH846" i="4"/>
  <c r="K846" i="4"/>
  <c r="AH909" i="4"/>
  <c r="K909" i="4"/>
  <c r="R842" i="4"/>
  <c r="S845" i="4"/>
  <c r="R850" i="4"/>
  <c r="AH847" i="4"/>
  <c r="K847" i="4"/>
  <c r="AG865" i="4"/>
  <c r="AG872" i="4"/>
  <c r="AH912" i="4"/>
  <c r="K912" i="4"/>
  <c r="K926" i="4"/>
  <c r="AH926" i="4"/>
  <c r="K862" i="4"/>
  <c r="J867" i="4"/>
  <c r="AH862" i="4"/>
  <c r="AH867" i="4" s="1"/>
  <c r="N958" i="4"/>
  <c r="O870" i="4"/>
  <c r="K880" i="4"/>
  <c r="AH880" i="4"/>
  <c r="AH893" i="4"/>
  <c r="K893" i="4"/>
  <c r="K899" i="4"/>
  <c r="AH899" i="4"/>
  <c r="K924" i="4"/>
  <c r="AH924" i="4"/>
  <c r="AG845" i="4"/>
  <c r="AH845" i="4"/>
  <c r="J850" i="4"/>
  <c r="AG866" i="4"/>
  <c r="R866" i="4"/>
  <c r="R867" i="4" s="1"/>
  <c r="Q867" i="4"/>
  <c r="Q961" i="4" s="1"/>
  <c r="R958" i="4"/>
  <c r="S870" i="4"/>
  <c r="K879" i="4"/>
  <c r="AH879" i="4"/>
  <c r="AH891" i="4"/>
  <c r="K891" i="4"/>
  <c r="AH894" i="4"/>
  <c r="K894" i="4"/>
  <c r="K900" i="4"/>
  <c r="AH900" i="4"/>
  <c r="AH911" i="4"/>
  <c r="K911" i="4"/>
  <c r="Q852" i="4"/>
  <c r="AB852" i="4"/>
  <c r="N850" i="4"/>
  <c r="O845" i="4"/>
  <c r="AE845" i="4"/>
  <c r="AA850" i="4"/>
  <c r="AE850" i="4" s="1"/>
  <c r="AG861" i="4"/>
  <c r="AA958" i="4"/>
  <c r="AE870" i="4"/>
  <c r="K875" i="4"/>
  <c r="AH875" i="4"/>
  <c r="AH895" i="4"/>
  <c r="K895" i="4"/>
  <c r="AH904" i="4"/>
  <c r="K904" i="4"/>
  <c r="AH910" i="4"/>
  <c r="K910" i="4"/>
  <c r="AG864" i="4"/>
  <c r="K878" i="4"/>
  <c r="AH878" i="4"/>
  <c r="AH906" i="4"/>
  <c r="K906" i="4"/>
  <c r="AH907" i="4"/>
  <c r="K907" i="4"/>
  <c r="AH914" i="4"/>
  <c r="K914" i="4"/>
  <c r="J958" i="4"/>
  <c r="K870" i="4"/>
  <c r="AH870" i="4"/>
  <c r="K877" i="4"/>
  <c r="AH877" i="4"/>
  <c r="K881" i="4"/>
  <c r="AH881" i="4"/>
  <c r="AH897" i="4"/>
  <c r="K897" i="4"/>
  <c r="K876" i="4"/>
  <c r="AH876" i="4"/>
  <c r="AG888" i="4"/>
  <c r="AH890" i="4"/>
  <c r="K890" i="4"/>
  <c r="AH896" i="4"/>
  <c r="K896" i="4"/>
  <c r="AH902" i="4"/>
  <c r="K902" i="4"/>
  <c r="AH916" i="4"/>
  <c r="K916" i="4"/>
  <c r="K874" i="4"/>
  <c r="AH874" i="4"/>
  <c r="AH892" i="4"/>
  <c r="K892" i="4"/>
  <c r="AH898" i="4"/>
  <c r="K898" i="4"/>
  <c r="K901" i="4"/>
  <c r="AH901" i="4"/>
  <c r="K944" i="4"/>
  <c r="AH944" i="4"/>
  <c r="AH903" i="4"/>
  <c r="K903" i="4"/>
  <c r="AH908" i="4"/>
  <c r="K908" i="4"/>
  <c r="AH915" i="4"/>
  <c r="K915" i="4"/>
  <c r="K927" i="4"/>
  <c r="AH927" i="4"/>
  <c r="K943" i="4"/>
  <c r="AH943" i="4"/>
  <c r="D958" i="4"/>
  <c r="AH905" i="4"/>
  <c r="K905" i="4"/>
  <c r="AH913" i="4"/>
  <c r="K913" i="4"/>
  <c r="AH917" i="4"/>
  <c r="K917" i="4"/>
  <c r="AH918" i="4"/>
  <c r="K918" i="4"/>
  <c r="K925" i="4"/>
  <c r="AH925" i="4"/>
  <c r="K945" i="4"/>
  <c r="AH945" i="4"/>
  <c r="K929" i="4"/>
  <c r="AH929" i="4"/>
  <c r="K947" i="4"/>
  <c r="AH947" i="4"/>
  <c r="AH919" i="4"/>
  <c r="K919" i="4"/>
  <c r="AH920" i="4"/>
  <c r="K920" i="4"/>
  <c r="AH921" i="4"/>
  <c r="K921" i="4"/>
  <c r="AH922" i="4"/>
  <c r="K922" i="4"/>
  <c r="AH923" i="4"/>
  <c r="K923" i="4"/>
  <c r="K931" i="4"/>
  <c r="AH931" i="4"/>
  <c r="K940" i="4"/>
  <c r="AH940" i="4"/>
  <c r="K928" i="4"/>
  <c r="AH928" i="4"/>
  <c r="K932" i="4"/>
  <c r="AH932" i="4"/>
  <c r="K933" i="4"/>
  <c r="AH933" i="4"/>
  <c r="K934" i="4"/>
  <c r="AH934" i="4"/>
  <c r="K936" i="4"/>
  <c r="AH936" i="4"/>
  <c r="K941" i="4"/>
  <c r="AH941" i="4"/>
  <c r="AH951" i="4"/>
  <c r="K951" i="4"/>
  <c r="K930" i="4"/>
  <c r="AH930" i="4"/>
  <c r="K953" i="4"/>
  <c r="AH953" i="4"/>
  <c r="K942" i="4"/>
  <c r="AH942" i="4"/>
  <c r="AH948" i="4"/>
  <c r="K948" i="4"/>
  <c r="K950" i="4"/>
  <c r="AH950" i="4"/>
  <c r="I961" i="4"/>
  <c r="K937" i="4"/>
  <c r="AH937" i="4"/>
  <c r="K938" i="4"/>
  <c r="AH938" i="4"/>
  <c r="K939" i="4"/>
  <c r="AH939" i="4"/>
  <c r="K946" i="4"/>
  <c r="AH946" i="4"/>
  <c r="K949" i="4"/>
  <c r="AH949" i="4"/>
  <c r="K952" i="4"/>
  <c r="AH952" i="4"/>
  <c r="K954" i="4"/>
  <c r="AH954" i="4"/>
  <c r="AH956" i="4"/>
  <c r="K956" i="4"/>
  <c r="AG957" i="4"/>
  <c r="E705" i="4" l="1"/>
  <c r="K867" i="4"/>
  <c r="AD976" i="4"/>
  <c r="V51" i="4"/>
  <c r="AD705" i="4"/>
  <c r="N39" i="4"/>
  <c r="V138" i="4"/>
  <c r="AC8" i="4"/>
  <c r="AC857" i="4" s="1"/>
  <c r="AC978" i="4" s="1"/>
  <c r="AB854" i="4"/>
  <c r="AB857" i="4" s="1"/>
  <c r="AB978" i="4" s="1"/>
  <c r="AE8" i="4"/>
  <c r="N961" i="4"/>
  <c r="O690" i="4"/>
  <c r="V543" i="4"/>
  <c r="Y543" i="4" s="1"/>
  <c r="AF543" i="4" s="1"/>
  <c r="J961" i="4"/>
  <c r="R690" i="4"/>
  <c r="AH339" i="4"/>
  <c r="AA39" i="4"/>
  <c r="AD6" i="4"/>
  <c r="AD8" i="4" s="1"/>
  <c r="AE391" i="4"/>
  <c r="J394" i="4"/>
  <c r="J395" i="4" s="1"/>
  <c r="J397" i="4" s="1"/>
  <c r="E854" i="4"/>
  <c r="E857" i="4" s="1"/>
  <c r="E978" i="4" s="1"/>
  <c r="AH86" i="4"/>
  <c r="AE690" i="4"/>
  <c r="K56" i="4"/>
  <c r="AH130" i="4"/>
  <c r="K130" i="4"/>
  <c r="K688" i="4"/>
  <c r="AG687" i="4"/>
  <c r="AG688" i="4" s="1"/>
  <c r="AH368" i="4"/>
  <c r="M39" i="4"/>
  <c r="M705" i="4" s="1"/>
  <c r="M854" i="4" s="1"/>
  <c r="M857" i="4" s="1"/>
  <c r="M978" i="4" s="1"/>
  <c r="Q39" i="4"/>
  <c r="Q705" i="4" s="1"/>
  <c r="Q854" i="4" s="1"/>
  <c r="Q857" i="4" s="1"/>
  <c r="Q978" i="4" s="1"/>
  <c r="R852" i="4"/>
  <c r="AA397" i="4"/>
  <c r="AE395" i="4"/>
  <c r="AE397" i="4" s="1"/>
  <c r="AG931" i="4"/>
  <c r="AG919" i="4"/>
  <c r="AG901" i="4"/>
  <c r="AG880" i="4"/>
  <c r="AG909" i="4"/>
  <c r="AD852" i="4"/>
  <c r="AD854" i="4" s="1"/>
  <c r="AG664" i="4"/>
  <c r="AG648" i="4"/>
  <c r="AE842" i="4"/>
  <c r="AA852" i="4"/>
  <c r="AG700" i="4"/>
  <c r="K714" i="4"/>
  <c r="AH714" i="4"/>
  <c r="AH789" i="4"/>
  <c r="K789" i="4"/>
  <c r="K719" i="4"/>
  <c r="AH719" i="4"/>
  <c r="K725" i="4"/>
  <c r="AH725" i="4"/>
  <c r="K733" i="4"/>
  <c r="AH733" i="4"/>
  <c r="K737" i="4"/>
  <c r="AH737" i="4"/>
  <c r="K745" i="4"/>
  <c r="AH745" i="4"/>
  <c r="K753" i="4"/>
  <c r="AH753" i="4"/>
  <c r="K761" i="4"/>
  <c r="AH761" i="4"/>
  <c r="K769" i="4"/>
  <c r="AH769" i="4"/>
  <c r="AH796" i="4"/>
  <c r="K796" i="4"/>
  <c r="AG387" i="4"/>
  <c r="AG323" i="4"/>
  <c r="AG315" i="4"/>
  <c r="AG307" i="4"/>
  <c r="AG299" i="4"/>
  <c r="AG291" i="4"/>
  <c r="AG283" i="4"/>
  <c r="AG106" i="4"/>
  <c r="AG124" i="4"/>
  <c r="AG108" i="4"/>
  <c r="AG92" i="4"/>
  <c r="AG219" i="4"/>
  <c r="AG211" i="4"/>
  <c r="AG203" i="4"/>
  <c r="AG195" i="4"/>
  <c r="AG939" i="4"/>
  <c r="AG906" i="4"/>
  <c r="AG652" i="4"/>
  <c r="AG636" i="4"/>
  <c r="AG848" i="4"/>
  <c r="O842" i="4"/>
  <c r="AG670" i="4"/>
  <c r="AG662" i="4"/>
  <c r="AG654" i="4"/>
  <c r="AG646" i="4"/>
  <c r="AG638" i="4"/>
  <c r="AG467" i="4"/>
  <c r="AG451" i="4"/>
  <c r="K715" i="4"/>
  <c r="AH715" i="4"/>
  <c r="AH783" i="4"/>
  <c r="K783" i="4"/>
  <c r="K730" i="4"/>
  <c r="AH730" i="4"/>
  <c r="K738" i="4"/>
  <c r="AH738" i="4"/>
  <c r="K746" i="4"/>
  <c r="AH746" i="4"/>
  <c r="K754" i="4"/>
  <c r="AH754" i="4"/>
  <c r="K758" i="4"/>
  <c r="AH758" i="4"/>
  <c r="K766" i="4"/>
  <c r="AH766" i="4"/>
  <c r="K774" i="4"/>
  <c r="AH774" i="4"/>
  <c r="AH787" i="4"/>
  <c r="K787" i="4"/>
  <c r="AH797" i="4"/>
  <c r="K797" i="4"/>
  <c r="AH805" i="4"/>
  <c r="K805" i="4"/>
  <c r="AH813" i="4"/>
  <c r="K813" i="4"/>
  <c r="AH817" i="4"/>
  <c r="K817" i="4"/>
  <c r="AH825" i="4"/>
  <c r="K825" i="4"/>
  <c r="AH829" i="4"/>
  <c r="K829" i="4"/>
  <c r="AH833" i="4"/>
  <c r="K833" i="4"/>
  <c r="AH837" i="4"/>
  <c r="K837" i="4"/>
  <c r="AG639" i="4"/>
  <c r="AG626" i="4"/>
  <c r="AH684" i="4"/>
  <c r="AH690" i="4" s="1"/>
  <c r="V248" i="4"/>
  <c r="AG247" i="4"/>
  <c r="V247" i="4"/>
  <c r="AG122" i="4"/>
  <c r="AG297" i="4"/>
  <c r="AG173" i="4"/>
  <c r="AG165" i="4"/>
  <c r="V46" i="4"/>
  <c r="AG46" i="4"/>
  <c r="AH226" i="4"/>
  <c r="AG10" i="4"/>
  <c r="K78" i="2"/>
  <c r="K77" i="2"/>
  <c r="AG949" i="4"/>
  <c r="AG940" i="4"/>
  <c r="AG923" i="4"/>
  <c r="AG947" i="4"/>
  <c r="AG905" i="4"/>
  <c r="AG944" i="4"/>
  <c r="AG875" i="4"/>
  <c r="AG911" i="4"/>
  <c r="AG891" i="4"/>
  <c r="AG924" i="4"/>
  <c r="AH703" i="4"/>
  <c r="AG672" i="4"/>
  <c r="AG656" i="4"/>
  <c r="AG640" i="4"/>
  <c r="V640" i="4"/>
  <c r="Y640" i="4" s="1"/>
  <c r="AG632" i="4"/>
  <c r="AG659" i="4"/>
  <c r="AG637" i="4"/>
  <c r="R391" i="4"/>
  <c r="AG673" i="4"/>
  <c r="AG383" i="4"/>
  <c r="AG375" i="4"/>
  <c r="AG649" i="4"/>
  <c r="AG327" i="4"/>
  <c r="AG319" i="4"/>
  <c r="AG311" i="4"/>
  <c r="V311" i="4"/>
  <c r="AG303" i="4"/>
  <c r="V303" i="4"/>
  <c r="AG295" i="4"/>
  <c r="AG287" i="4"/>
  <c r="AG279" i="4"/>
  <c r="AG235" i="4"/>
  <c r="V235" i="4"/>
  <c r="AG367" i="4"/>
  <c r="AG365" i="4"/>
  <c r="AG363" i="4"/>
  <c r="AG361" i="4"/>
  <c r="AG359" i="4"/>
  <c r="AG357" i="4"/>
  <c r="AG355" i="4"/>
  <c r="AG353" i="4"/>
  <c r="AG351" i="4"/>
  <c r="AG349" i="4"/>
  <c r="AG347" i="4"/>
  <c r="AG345" i="4"/>
  <c r="AG343" i="4"/>
  <c r="AG313" i="4"/>
  <c r="V313" i="4"/>
  <c r="AG128" i="4"/>
  <c r="AG120" i="4"/>
  <c r="AG112" i="4"/>
  <c r="AG104" i="4"/>
  <c r="AG96" i="4"/>
  <c r="AG223" i="4"/>
  <c r="AG215" i="4"/>
  <c r="AG207" i="4"/>
  <c r="AG199" i="4"/>
  <c r="AH56" i="4"/>
  <c r="AG948" i="4"/>
  <c r="AG922" i="4"/>
  <c r="AG896" i="4"/>
  <c r="AG878" i="4"/>
  <c r="AG894" i="4"/>
  <c r="AG680" i="4"/>
  <c r="AG653" i="4"/>
  <c r="AG622" i="4"/>
  <c r="AG479" i="4"/>
  <c r="AG463" i="4"/>
  <c r="AG447" i="4"/>
  <c r="AH791" i="4"/>
  <c r="K791" i="4"/>
  <c r="K780" i="4"/>
  <c r="AH780" i="4"/>
  <c r="K729" i="4"/>
  <c r="AH729" i="4"/>
  <c r="K741" i="4"/>
  <c r="AH741" i="4"/>
  <c r="K749" i="4"/>
  <c r="AH749" i="4"/>
  <c r="K757" i="4"/>
  <c r="AH757" i="4"/>
  <c r="K765" i="4"/>
  <c r="AH765" i="4"/>
  <c r="K773" i="4"/>
  <c r="AH773" i="4"/>
  <c r="K777" i="4"/>
  <c r="AH777" i="4"/>
  <c r="AH784" i="4"/>
  <c r="K784" i="4"/>
  <c r="AH792" i="4"/>
  <c r="K792" i="4"/>
  <c r="K800" i="4"/>
  <c r="AH800" i="4"/>
  <c r="AH804" i="4"/>
  <c r="K804" i="4"/>
  <c r="AH808" i="4"/>
  <c r="K808" i="4"/>
  <c r="AH812" i="4"/>
  <c r="K812" i="4"/>
  <c r="AH816" i="4"/>
  <c r="K816" i="4"/>
  <c r="AH820" i="4"/>
  <c r="K820" i="4"/>
  <c r="AH824" i="4"/>
  <c r="K824" i="4"/>
  <c r="AH828" i="4"/>
  <c r="K828" i="4"/>
  <c r="AH832" i="4"/>
  <c r="K832" i="4"/>
  <c r="AH836" i="4"/>
  <c r="K836" i="4"/>
  <c r="AH840" i="4"/>
  <c r="K840" i="4"/>
  <c r="AG379" i="4"/>
  <c r="AG665" i="4"/>
  <c r="AG78" i="4"/>
  <c r="AG201" i="4"/>
  <c r="AG281" i="4"/>
  <c r="AG257" i="4"/>
  <c r="V257" i="4"/>
  <c r="AG116" i="4"/>
  <c r="AG100" i="4"/>
  <c r="V394" i="4"/>
  <c r="V284" i="4"/>
  <c r="V230" i="4"/>
  <c r="V232" i="4"/>
  <c r="V256" i="4"/>
  <c r="V136" i="4"/>
  <c r="V250" i="4"/>
  <c r="V65" i="4"/>
  <c r="V234" i="4"/>
  <c r="V244" i="4"/>
  <c r="V374" i="4"/>
  <c r="V238" i="4"/>
  <c r="AG952" i="4"/>
  <c r="AG934" i="4"/>
  <c r="AG929" i="4"/>
  <c r="AG925" i="4"/>
  <c r="AG916" i="4"/>
  <c r="AG902" i="4"/>
  <c r="R961" i="4"/>
  <c r="AG899" i="4"/>
  <c r="AG926" i="4"/>
  <c r="AG668" i="4"/>
  <c r="AG678" i="4"/>
  <c r="AG651" i="4"/>
  <c r="V386" i="4"/>
  <c r="AG385" i="4"/>
  <c r="V385" i="4"/>
  <c r="AH709" i="4"/>
  <c r="K709" i="4"/>
  <c r="J720" i="4"/>
  <c r="AH708" i="4"/>
  <c r="K708" i="4"/>
  <c r="K781" i="4"/>
  <c r="AH781" i="4"/>
  <c r="K726" i="4"/>
  <c r="AH726" i="4"/>
  <c r="K734" i="4"/>
  <c r="AH734" i="4"/>
  <c r="K742" i="4"/>
  <c r="AH742" i="4"/>
  <c r="K750" i="4"/>
  <c r="AH750" i="4"/>
  <c r="K762" i="4"/>
  <c r="AH762" i="4"/>
  <c r="K770" i="4"/>
  <c r="AH770" i="4"/>
  <c r="K778" i="4"/>
  <c r="AH778" i="4"/>
  <c r="K793" i="4"/>
  <c r="AH793" i="4"/>
  <c r="AH801" i="4"/>
  <c r="K801" i="4"/>
  <c r="AH809" i="4"/>
  <c r="K809" i="4"/>
  <c r="AH821" i="4"/>
  <c r="K821" i="4"/>
  <c r="AH841" i="4"/>
  <c r="K841" i="4"/>
  <c r="AG473" i="4"/>
  <c r="AG457" i="4"/>
  <c r="AG62" i="4"/>
  <c r="V62" i="4"/>
  <c r="F113" i="2"/>
  <c r="S39" i="4"/>
  <c r="AG233" i="4"/>
  <c r="V233" i="4"/>
  <c r="I394" i="4"/>
  <c r="AG181" i="4"/>
  <c r="AG157" i="4"/>
  <c r="AG149" i="4"/>
  <c r="AG141" i="4"/>
  <c r="AG950" i="4"/>
  <c r="AG953" i="4"/>
  <c r="AG951" i="4"/>
  <c r="AG927" i="4"/>
  <c r="AG915" i="4"/>
  <c r="AG898" i="4"/>
  <c r="AG874" i="4"/>
  <c r="AG890" i="4"/>
  <c r="K958" i="4"/>
  <c r="AG870" i="4"/>
  <c r="AG914" i="4"/>
  <c r="AG900" i="4"/>
  <c r="AG879" i="4"/>
  <c r="K850" i="4"/>
  <c r="AG694" i="4"/>
  <c r="AG676" i="4"/>
  <c r="AG660" i="4"/>
  <c r="AG644" i="4"/>
  <c r="AG682" i="4"/>
  <c r="AG674" i="4"/>
  <c r="AG666" i="4"/>
  <c r="AG658" i="4"/>
  <c r="AG650" i="4"/>
  <c r="AG642" i="4"/>
  <c r="AG634" i="4"/>
  <c r="AG645" i="4"/>
  <c r="AG635" i="4"/>
  <c r="AG624" i="4"/>
  <c r="AG675" i="4"/>
  <c r="K703" i="4"/>
  <c r="AG657" i="4"/>
  <c r="AG377" i="4"/>
  <c r="AG267" i="4"/>
  <c r="V236" i="4"/>
  <c r="AG90" i="4"/>
  <c r="AG209" i="4"/>
  <c r="AG171" i="4"/>
  <c r="AG155" i="4"/>
  <c r="AG16" i="4"/>
  <c r="AG185" i="4"/>
  <c r="AG177" i="4"/>
  <c r="V169" i="4"/>
  <c r="AG169" i="4"/>
  <c r="AG161" i="4"/>
  <c r="AG153" i="4"/>
  <c r="AG145" i="4"/>
  <c r="V137" i="4"/>
  <c r="AG137" i="4"/>
  <c r="V380" i="4"/>
  <c r="AG179" i="4"/>
  <c r="AG139" i="4"/>
  <c r="K114" i="2"/>
  <c r="K113" i="2"/>
  <c r="K42" i="2"/>
  <c r="K41" i="2"/>
  <c r="AG167" i="4"/>
  <c r="AG159" i="4"/>
  <c r="AG13" i="4"/>
  <c r="L78" i="2"/>
  <c r="D52" i="2"/>
  <c r="F51" i="2"/>
  <c r="V31" i="4"/>
  <c r="AG937" i="4"/>
  <c r="AG936" i="4"/>
  <c r="AG932" i="4"/>
  <c r="AG928" i="4"/>
  <c r="AG920" i="4"/>
  <c r="AG917" i="4"/>
  <c r="AG907" i="4"/>
  <c r="AE958" i="4"/>
  <c r="AA961" i="4"/>
  <c r="O850" i="4"/>
  <c r="AH850" i="4"/>
  <c r="AG893" i="4"/>
  <c r="AG912" i="4"/>
  <c r="S850" i="4"/>
  <c r="J690" i="4"/>
  <c r="AG849" i="4"/>
  <c r="N852" i="4"/>
  <c r="S720" i="4"/>
  <c r="S852" i="4" s="1"/>
  <c r="AG702" i="4"/>
  <c r="AG696" i="4"/>
  <c r="AG667" i="4"/>
  <c r="AG661" i="4"/>
  <c r="AG698" i="4"/>
  <c r="AG643" i="4"/>
  <c r="AG628" i="4"/>
  <c r="AG620" i="4"/>
  <c r="AG630" i="4"/>
  <c r="AG475" i="4"/>
  <c r="AG459" i="4"/>
  <c r="AG381" i="4"/>
  <c r="AG373" i="4"/>
  <c r="AH711" i="4"/>
  <c r="K711" i="4"/>
  <c r="AH710" i="4"/>
  <c r="K710" i="4"/>
  <c r="K716" i="4"/>
  <c r="AH716" i="4"/>
  <c r="K782" i="4"/>
  <c r="AH782" i="4"/>
  <c r="J842" i="4"/>
  <c r="K723" i="4"/>
  <c r="AH723" i="4"/>
  <c r="K727" i="4"/>
  <c r="AH727" i="4"/>
  <c r="K731" i="4"/>
  <c r="AH731" i="4"/>
  <c r="K735" i="4"/>
  <c r="AH735" i="4"/>
  <c r="K739" i="4"/>
  <c r="AH739" i="4"/>
  <c r="K743" i="4"/>
  <c r="AH743" i="4"/>
  <c r="K747" i="4"/>
  <c r="AH747" i="4"/>
  <c r="K751" i="4"/>
  <c r="AH751" i="4"/>
  <c r="K755" i="4"/>
  <c r="AH755" i="4"/>
  <c r="K759" i="4"/>
  <c r="AH759" i="4"/>
  <c r="K763" i="4"/>
  <c r="AH763" i="4"/>
  <c r="K767" i="4"/>
  <c r="AH767" i="4"/>
  <c r="K771" i="4"/>
  <c r="AH771" i="4"/>
  <c r="K775" i="4"/>
  <c r="AH775" i="4"/>
  <c r="AH779" i="4"/>
  <c r="K779" i="4"/>
  <c r="AH786" i="4"/>
  <c r="K786" i="4"/>
  <c r="K794" i="4"/>
  <c r="AH794" i="4"/>
  <c r="K798" i="4"/>
  <c r="AH798" i="4"/>
  <c r="K802" i="4"/>
  <c r="AH802" i="4"/>
  <c r="K806" i="4"/>
  <c r="AH806" i="4"/>
  <c r="K810" i="4"/>
  <c r="AH810" i="4"/>
  <c r="K814" i="4"/>
  <c r="AH814" i="4"/>
  <c r="K818" i="4"/>
  <c r="AH818" i="4"/>
  <c r="K822" i="4"/>
  <c r="AH822" i="4"/>
  <c r="K826" i="4"/>
  <c r="AH826" i="4"/>
  <c r="K830" i="4"/>
  <c r="AH830" i="4"/>
  <c r="K834" i="4"/>
  <c r="AH834" i="4"/>
  <c r="K838" i="4"/>
  <c r="AH838" i="4"/>
  <c r="AG641" i="4"/>
  <c r="AG481" i="4"/>
  <c r="AG465" i="4"/>
  <c r="AG449" i="4"/>
  <c r="AH388" i="4"/>
  <c r="N391" i="4"/>
  <c r="AG271" i="4"/>
  <c r="AG251" i="4"/>
  <c r="AG239" i="4"/>
  <c r="V239" i="4"/>
  <c r="AG114" i="4"/>
  <c r="AG98" i="4"/>
  <c r="AG70" i="4"/>
  <c r="AG48" i="4"/>
  <c r="AG18" i="4"/>
  <c r="AG14" i="4"/>
  <c r="J7" i="2"/>
  <c r="K10" i="1"/>
  <c r="O329" i="4"/>
  <c r="AG225" i="4"/>
  <c r="AG205" i="4"/>
  <c r="W395" i="4"/>
  <c r="W397" i="4" s="1"/>
  <c r="O397" i="4"/>
  <c r="K368" i="4"/>
  <c r="AG342" i="4"/>
  <c r="AG321" i="4"/>
  <c r="AG305" i="4"/>
  <c r="AG289" i="4"/>
  <c r="AH329" i="4"/>
  <c r="AG273" i="4"/>
  <c r="V273" i="4"/>
  <c r="AG269" i="4"/>
  <c r="AG245" i="4"/>
  <c r="AG241" i="4"/>
  <c r="AH274" i="4"/>
  <c r="O39" i="4"/>
  <c r="F41" i="2"/>
  <c r="AA391" i="4"/>
  <c r="K190" i="4"/>
  <c r="AG189" i="4"/>
  <c r="AH186" i="4"/>
  <c r="AG213" i="4"/>
  <c r="K226" i="4"/>
  <c r="AG193" i="4"/>
  <c r="AG163" i="4"/>
  <c r="AG147" i="4"/>
  <c r="AG44" i="4"/>
  <c r="L80" i="2"/>
  <c r="V687" i="4"/>
  <c r="L45" i="2"/>
  <c r="M45" i="2" s="1"/>
  <c r="AG469" i="4"/>
  <c r="AG453" i="4"/>
  <c r="K388" i="4"/>
  <c r="AG371" i="4"/>
  <c r="AG259" i="4"/>
  <c r="V259" i="4"/>
  <c r="AG126" i="4"/>
  <c r="AG110" i="4"/>
  <c r="AG94" i="4"/>
  <c r="AG74" i="4"/>
  <c r="AG38" i="4"/>
  <c r="F87" i="2"/>
  <c r="D88" i="2"/>
  <c r="AG221" i="4"/>
  <c r="V197" i="4"/>
  <c r="AG197" i="4"/>
  <c r="AG183" i="4"/>
  <c r="AG17" i="4"/>
  <c r="AG366" i="4"/>
  <c r="AG364" i="4"/>
  <c r="AG362" i="4"/>
  <c r="AG360" i="4"/>
  <c r="AG358" i="4"/>
  <c r="AG356" i="4"/>
  <c r="AG354" i="4"/>
  <c r="AG352" i="4"/>
  <c r="AG350" i="4"/>
  <c r="AG348" i="4"/>
  <c r="AG346" i="4"/>
  <c r="AG344" i="4"/>
  <c r="AG317" i="4"/>
  <c r="AG301" i="4"/>
  <c r="AG285" i="4"/>
  <c r="AG253" i="4"/>
  <c r="AG249" i="4"/>
  <c r="K274" i="4"/>
  <c r="AG229" i="4"/>
  <c r="AG35" i="4"/>
  <c r="I39" i="4"/>
  <c r="J11" i="4"/>
  <c r="AE39" i="4"/>
  <c r="F124" i="2"/>
  <c r="D125" i="2"/>
  <c r="M42" i="2"/>
  <c r="L77" i="2"/>
  <c r="M44" i="2"/>
  <c r="M43" i="2"/>
  <c r="M41" i="2"/>
  <c r="AG133" i="4"/>
  <c r="K186" i="4"/>
  <c r="AG143" i="4"/>
  <c r="L115" i="2"/>
  <c r="E87" i="2"/>
  <c r="F77" i="2"/>
  <c r="V864" i="4"/>
  <c r="D16" i="2"/>
  <c r="V957" i="4"/>
  <c r="AG956" i="4"/>
  <c r="AG954" i="4"/>
  <c r="AG946" i="4"/>
  <c r="AG938" i="4"/>
  <c r="AG942" i="4"/>
  <c r="AG930" i="4"/>
  <c r="AG941" i="4"/>
  <c r="AG933" i="4"/>
  <c r="AG921" i="4"/>
  <c r="AG945" i="4"/>
  <c r="AG918" i="4"/>
  <c r="AG913" i="4"/>
  <c r="AG943" i="4"/>
  <c r="AG908" i="4"/>
  <c r="AG903" i="4"/>
  <c r="AG892" i="4"/>
  <c r="AG876" i="4"/>
  <c r="AG897" i="4"/>
  <c r="AG881" i="4"/>
  <c r="AG877" i="4"/>
  <c r="AH958" i="4"/>
  <c r="AH961" i="4" s="1"/>
  <c r="AG910" i="4"/>
  <c r="AG904" i="4"/>
  <c r="AG895" i="4"/>
  <c r="S958" i="4"/>
  <c r="S961" i="4" s="1"/>
  <c r="V866" i="4"/>
  <c r="O958" i="4"/>
  <c r="O961" i="4" s="1"/>
  <c r="AG862" i="4"/>
  <c r="AG867" i="4" s="1"/>
  <c r="V865" i="4"/>
  <c r="AG847" i="4"/>
  <c r="AG846" i="4"/>
  <c r="AG683" i="4"/>
  <c r="AG677" i="4"/>
  <c r="AG669" i="4"/>
  <c r="O720" i="4"/>
  <c r="AG679" i="4"/>
  <c r="AG655" i="4"/>
  <c r="AG647" i="4"/>
  <c r="AG471" i="4"/>
  <c r="AG455" i="4"/>
  <c r="S388" i="4"/>
  <c r="K718" i="4"/>
  <c r="AH718" i="4"/>
  <c r="AH713" i="4"/>
  <c r="K713" i="4"/>
  <c r="AH712" i="4"/>
  <c r="K712" i="4"/>
  <c r="K717" i="4"/>
  <c r="AH717" i="4"/>
  <c r="K788" i="4"/>
  <c r="AH788" i="4"/>
  <c r="K724" i="4"/>
  <c r="AH724" i="4"/>
  <c r="K728" i="4"/>
  <c r="AH728" i="4"/>
  <c r="K732" i="4"/>
  <c r="AH732" i="4"/>
  <c r="K736" i="4"/>
  <c r="AH736" i="4"/>
  <c r="K740" i="4"/>
  <c r="AH740" i="4"/>
  <c r="K744" i="4"/>
  <c r="AH744" i="4"/>
  <c r="K748" i="4"/>
  <c r="AH748" i="4"/>
  <c r="K752" i="4"/>
  <c r="AH752" i="4"/>
  <c r="K756" i="4"/>
  <c r="AH756" i="4"/>
  <c r="K760" i="4"/>
  <c r="AH760" i="4"/>
  <c r="K764" i="4"/>
  <c r="AH764" i="4"/>
  <c r="K768" i="4"/>
  <c r="AH768" i="4"/>
  <c r="K772" i="4"/>
  <c r="AH772" i="4"/>
  <c r="K776" i="4"/>
  <c r="AH776" i="4"/>
  <c r="K785" i="4"/>
  <c r="AH785" i="4"/>
  <c r="K790" i="4"/>
  <c r="AH790" i="4"/>
  <c r="AH795" i="4"/>
  <c r="K795" i="4"/>
  <c r="AH799" i="4"/>
  <c r="K799" i="4"/>
  <c r="AH803" i="4"/>
  <c r="K803" i="4"/>
  <c r="K807" i="4"/>
  <c r="AH807" i="4"/>
  <c r="K811" i="4"/>
  <c r="AH811" i="4"/>
  <c r="K815" i="4"/>
  <c r="AH815" i="4"/>
  <c r="K819" i="4"/>
  <c r="AH819" i="4"/>
  <c r="K823" i="4"/>
  <c r="AH823" i="4"/>
  <c r="K827" i="4"/>
  <c r="AH827" i="4"/>
  <c r="K831" i="4"/>
  <c r="AH831" i="4"/>
  <c r="K835" i="4"/>
  <c r="AH835" i="4"/>
  <c r="K839" i="4"/>
  <c r="AH839" i="4"/>
  <c r="AG671" i="4"/>
  <c r="AG663" i="4"/>
  <c r="AG477" i="4"/>
  <c r="AG461" i="4"/>
  <c r="AG445" i="4"/>
  <c r="J391" i="4"/>
  <c r="AA690" i="4"/>
  <c r="K684" i="4"/>
  <c r="O388" i="4"/>
  <c r="AG333" i="4"/>
  <c r="AG339" i="4" s="1"/>
  <c r="S329" i="4"/>
  <c r="AG263" i="4"/>
  <c r="AG255" i="4"/>
  <c r="AG243" i="4"/>
  <c r="V243" i="4"/>
  <c r="AG231" i="4"/>
  <c r="V231" i="4"/>
  <c r="AG118" i="4"/>
  <c r="AG102" i="4"/>
  <c r="AG82" i="4"/>
  <c r="AG66" i="4"/>
  <c r="AG52" i="4"/>
  <c r="V52" i="4"/>
  <c r="AG33" i="4"/>
  <c r="AF29" i="4"/>
  <c r="AG27" i="4"/>
  <c r="AG175" i="4"/>
  <c r="AG151" i="4"/>
  <c r="AG681" i="4"/>
  <c r="K339" i="4"/>
  <c r="AG325" i="4"/>
  <c r="AG309" i="4"/>
  <c r="AG293" i="4"/>
  <c r="K329" i="4"/>
  <c r="AG277" i="4"/>
  <c r="AG265" i="4"/>
  <c r="AG261" i="4"/>
  <c r="AG237" i="4"/>
  <c r="V237" i="4"/>
  <c r="AG84" i="4"/>
  <c r="V84" i="4"/>
  <c r="AG80" i="4"/>
  <c r="AG76" i="4"/>
  <c r="AG72" i="4"/>
  <c r="AG68" i="4"/>
  <c r="AG64" i="4"/>
  <c r="V64" i="4"/>
  <c r="AG60" i="4"/>
  <c r="AG54" i="4"/>
  <c r="AG50" i="4"/>
  <c r="K86" i="4"/>
  <c r="AG22" i="4"/>
  <c r="AG19" i="4"/>
  <c r="AG15" i="4"/>
  <c r="E52" i="2"/>
  <c r="V38" i="4" s="1"/>
  <c r="AG217" i="4"/>
  <c r="AG135" i="4"/>
  <c r="E15" i="2"/>
  <c r="L10" i="2"/>
  <c r="L13" i="1"/>
  <c r="N705" i="4" l="1"/>
  <c r="K961" i="4"/>
  <c r="AH394" i="4"/>
  <c r="AH395" i="4" s="1"/>
  <c r="AH397" i="4" s="1"/>
  <c r="R705" i="4"/>
  <c r="R854" i="4" s="1"/>
  <c r="R857" i="4" s="1"/>
  <c r="R978" i="4" s="1"/>
  <c r="AD857" i="4"/>
  <c r="AD978" i="4" s="1"/>
  <c r="J852" i="4"/>
  <c r="AG703" i="4"/>
  <c r="K690" i="4"/>
  <c r="AG130" i="4"/>
  <c r="AA705" i="4"/>
  <c r="AA854" i="4" s="1"/>
  <c r="AA857" i="4" s="1"/>
  <c r="AA978" i="4" s="1"/>
  <c r="AG56" i="4"/>
  <c r="AG799" i="4"/>
  <c r="AG712" i="4"/>
  <c r="V712" i="4"/>
  <c r="X247" i="4"/>
  <c r="X231" i="4"/>
  <c r="X62" i="4"/>
  <c r="X197" i="4"/>
  <c r="X233" i="4"/>
  <c r="X137" i="4"/>
  <c r="X169" i="4"/>
  <c r="X236" i="4"/>
  <c r="X248" i="4"/>
  <c r="X386" i="4"/>
  <c r="X239" i="4"/>
  <c r="X64" i="4"/>
  <c r="X313" i="4"/>
  <c r="X284" i="4"/>
  <c r="X65" i="4"/>
  <c r="X380" i="4"/>
  <c r="X244" i="4"/>
  <c r="X311" i="4"/>
  <c r="X259" i="4"/>
  <c r="X257" i="4"/>
  <c r="X230" i="4"/>
  <c r="X394" i="4"/>
  <c r="X138" i="4"/>
  <c r="X250" i="4"/>
  <c r="X232" i="4"/>
  <c r="X256" i="4"/>
  <c r="X136" i="4"/>
  <c r="X385" i="4"/>
  <c r="X273" i="4"/>
  <c r="X238" i="4"/>
  <c r="X84" i="4"/>
  <c r="X303" i="4"/>
  <c r="X237" i="4"/>
  <c r="X234" i="4"/>
  <c r="X374" i="4"/>
  <c r="K11" i="4"/>
  <c r="AH11" i="4"/>
  <c r="AH39" i="4" s="1"/>
  <c r="AH40" i="4" s="1"/>
  <c r="J39" i="4"/>
  <c r="J705" i="4" s="1"/>
  <c r="AG274" i="4"/>
  <c r="V688" i="4"/>
  <c r="AG779" i="4"/>
  <c r="AH842" i="4"/>
  <c r="AG782" i="4"/>
  <c r="L114" i="2"/>
  <c r="AG958" i="4"/>
  <c r="AG961" i="4" s="1"/>
  <c r="AG821" i="4"/>
  <c r="AG801" i="4"/>
  <c r="AG708" i="4"/>
  <c r="K720" i="4"/>
  <c r="AG840" i="4"/>
  <c r="AG832" i="4"/>
  <c r="V832" i="4"/>
  <c r="AG824" i="4"/>
  <c r="V824" i="4"/>
  <c r="AG816" i="4"/>
  <c r="AG808" i="4"/>
  <c r="AG784" i="4"/>
  <c r="V774" i="4"/>
  <c r="AG774" i="4"/>
  <c r="AG758" i="4"/>
  <c r="AG746" i="4"/>
  <c r="AG730" i="4"/>
  <c r="V730" i="4"/>
  <c r="AG715" i="4"/>
  <c r="O852" i="4"/>
  <c r="AG769" i="4"/>
  <c r="AG753" i="4"/>
  <c r="AG737" i="4"/>
  <c r="AG725" i="4"/>
  <c r="V37" i="4"/>
  <c r="V33" i="4"/>
  <c r="AG839" i="4"/>
  <c r="AG831" i="4"/>
  <c r="AG823" i="4"/>
  <c r="AG815" i="4"/>
  <c r="AG807" i="4"/>
  <c r="V807" i="4"/>
  <c r="AG790" i="4"/>
  <c r="V790" i="4"/>
  <c r="AG776" i="4"/>
  <c r="AG768" i="4"/>
  <c r="AG760" i="4"/>
  <c r="AG752" i="4"/>
  <c r="AG744" i="4"/>
  <c r="AG736" i="4"/>
  <c r="AG728" i="4"/>
  <c r="AG788" i="4"/>
  <c r="AG718" i="4"/>
  <c r="V718" i="4"/>
  <c r="AG186" i="4"/>
  <c r="D89" i="2"/>
  <c r="F88" i="2"/>
  <c r="E88" i="2"/>
  <c r="AG684" i="4"/>
  <c r="AG690" i="4" s="1"/>
  <c r="K391" i="4"/>
  <c r="AG226" i="4"/>
  <c r="J8" i="2"/>
  <c r="K11" i="1"/>
  <c r="AG834" i="4"/>
  <c r="AG826" i="4"/>
  <c r="AG818" i="4"/>
  <c r="AG810" i="4"/>
  <c r="V810" i="4"/>
  <c r="AG802" i="4"/>
  <c r="V802" i="4"/>
  <c r="AG794" i="4"/>
  <c r="AG771" i="4"/>
  <c r="AG763" i="4"/>
  <c r="AG755" i="4"/>
  <c r="AG747" i="4"/>
  <c r="AG739" i="4"/>
  <c r="V739" i="4"/>
  <c r="AG731" i="4"/>
  <c r="V731" i="4"/>
  <c r="K842" i="4"/>
  <c r="AG723" i="4"/>
  <c r="AG711" i="4"/>
  <c r="V711" i="4"/>
  <c r="F52" i="2"/>
  <c r="D53" i="2"/>
  <c r="AG778" i="4"/>
  <c r="AG762" i="4"/>
  <c r="AG742" i="4"/>
  <c r="AG726" i="4"/>
  <c r="AH720" i="4"/>
  <c r="V395" i="4"/>
  <c r="AG800" i="4"/>
  <c r="AG773" i="4"/>
  <c r="AG757" i="4"/>
  <c r="V757" i="4"/>
  <c r="AG741" i="4"/>
  <c r="AG780" i="4"/>
  <c r="AF640" i="4"/>
  <c r="AG837" i="4"/>
  <c r="AG829" i="4"/>
  <c r="AG817" i="4"/>
  <c r="V817" i="4"/>
  <c r="AG805" i="4"/>
  <c r="V805" i="4"/>
  <c r="AG787" i="4"/>
  <c r="AG783" i="4"/>
  <c r="AG796" i="4"/>
  <c r="AG329" i="4"/>
  <c r="L14" i="1"/>
  <c r="L11" i="2"/>
  <c r="AG803" i="4"/>
  <c r="AG795" i="4"/>
  <c r="AG713" i="4"/>
  <c r="L113" i="2"/>
  <c r="M77" i="2"/>
  <c r="M80" i="2"/>
  <c r="M79" i="2"/>
  <c r="M78" i="2"/>
  <c r="L116" i="2"/>
  <c r="AG86" i="4"/>
  <c r="AG190" i="4"/>
  <c r="AG368" i="4"/>
  <c r="J115" i="2"/>
  <c r="J43" i="2"/>
  <c r="J79" i="2"/>
  <c r="K8" i="2"/>
  <c r="K7" i="2"/>
  <c r="AH391" i="4"/>
  <c r="AG786" i="4"/>
  <c r="AG716" i="4"/>
  <c r="V716" i="4"/>
  <c r="V953" i="4"/>
  <c r="I395" i="4"/>
  <c r="I397" i="4" s="1"/>
  <c r="I705" i="4" s="1"/>
  <c r="I854" i="4" s="1"/>
  <c r="I857" i="4" s="1"/>
  <c r="I978" i="4" s="1"/>
  <c r="F394" i="4"/>
  <c r="F395" i="4" s="1"/>
  <c r="AG841" i="4"/>
  <c r="AG809" i="4"/>
  <c r="AG836" i="4"/>
  <c r="AG828" i="4"/>
  <c r="AG820" i="4"/>
  <c r="AG812" i="4"/>
  <c r="V812" i="4"/>
  <c r="AG804" i="4"/>
  <c r="AG792" i="4"/>
  <c r="AG791" i="4"/>
  <c r="V791" i="4"/>
  <c r="AG766" i="4"/>
  <c r="AG754" i="4"/>
  <c r="AG738" i="4"/>
  <c r="AG761" i="4"/>
  <c r="AG745" i="4"/>
  <c r="AG733" i="4"/>
  <c r="AG719" i="4"/>
  <c r="V719" i="4"/>
  <c r="AG714" i="4"/>
  <c r="L46" i="2"/>
  <c r="M10" i="2"/>
  <c r="O391" i="4"/>
  <c r="O705" i="4" s="1"/>
  <c r="AG835" i="4"/>
  <c r="AG827" i="4"/>
  <c r="AG819" i="4"/>
  <c r="AG811" i="4"/>
  <c r="AG785" i="4"/>
  <c r="AG772" i="4"/>
  <c r="AG764" i="4"/>
  <c r="AG756" i="4"/>
  <c r="AG748" i="4"/>
  <c r="V748" i="4"/>
  <c r="AG740" i="4"/>
  <c r="AG732" i="4"/>
  <c r="AG724" i="4"/>
  <c r="AG717" i="4"/>
  <c r="V717" i="4"/>
  <c r="S391" i="4"/>
  <c r="S705" i="4" s="1"/>
  <c r="S854" i="4" s="1"/>
  <c r="S857" i="4" s="1"/>
  <c r="S978" i="4" s="1"/>
  <c r="D17" i="2"/>
  <c r="E17" i="2" s="1"/>
  <c r="E16" i="2"/>
  <c r="D126" i="2"/>
  <c r="F125" i="2"/>
  <c r="E125" i="2"/>
  <c r="AE705" i="4"/>
  <c r="AG388" i="4"/>
  <c r="L81" i="2"/>
  <c r="AG838" i="4"/>
  <c r="V838" i="4"/>
  <c r="AG830" i="4"/>
  <c r="AG822" i="4"/>
  <c r="AG814" i="4"/>
  <c r="V814" i="4"/>
  <c r="AG806" i="4"/>
  <c r="AG798" i="4"/>
  <c r="V798" i="4"/>
  <c r="AG775" i="4"/>
  <c r="AG767" i="4"/>
  <c r="AG759" i="4"/>
  <c r="AG751" i="4"/>
  <c r="V751" i="4"/>
  <c r="AG743" i="4"/>
  <c r="V743" i="4"/>
  <c r="AG735" i="4"/>
  <c r="AG727" i="4"/>
  <c r="V727" i="4"/>
  <c r="AG710" i="4"/>
  <c r="V710" i="4"/>
  <c r="N854" i="4"/>
  <c r="N857" i="4" s="1"/>
  <c r="N978" i="4" s="1"/>
  <c r="AE961" i="4"/>
  <c r="AG793" i="4"/>
  <c r="V793" i="4"/>
  <c r="AG770" i="4"/>
  <c r="AG750" i="4"/>
  <c r="AG734" i="4"/>
  <c r="AG781" i="4"/>
  <c r="AG709" i="4"/>
  <c r="V709" i="4"/>
  <c r="AG777" i="4"/>
  <c r="AG765" i="4"/>
  <c r="AG749" i="4"/>
  <c r="AG729" i="4"/>
  <c r="V729" i="4"/>
  <c r="AG833" i="4"/>
  <c r="V833" i="4"/>
  <c r="AG825" i="4"/>
  <c r="AG813" i="4"/>
  <c r="AG797" i="4"/>
  <c r="V797" i="4"/>
  <c r="AG789" i="4"/>
  <c r="V789" i="4"/>
  <c r="AE852" i="4"/>
  <c r="AG850" i="4"/>
  <c r="J854" i="4" l="1"/>
  <c r="J857" i="4" s="1"/>
  <c r="J978" i="4" s="1"/>
  <c r="AE854" i="4"/>
  <c r="AE857" i="4" s="1"/>
  <c r="AE978" i="4" s="1"/>
  <c r="M116" i="2"/>
  <c r="M115" i="2"/>
  <c r="M114" i="2"/>
  <c r="M113" i="2"/>
  <c r="Y395" i="4"/>
  <c r="V397" i="4"/>
  <c r="K12" i="1"/>
  <c r="J9" i="2"/>
  <c r="O854" i="4"/>
  <c r="O857" i="4" s="1"/>
  <c r="O978" i="4" s="1"/>
  <c r="L117" i="2"/>
  <c r="AG391" i="4"/>
  <c r="M81" i="2"/>
  <c r="L12" i="2"/>
  <c r="L15" i="1"/>
  <c r="D54" i="2"/>
  <c r="E54" i="2" s="1"/>
  <c r="F53" i="2"/>
  <c r="E53" i="2"/>
  <c r="J80" i="2"/>
  <c r="J44" i="2"/>
  <c r="J116" i="2"/>
  <c r="F89" i="2"/>
  <c r="D90" i="2"/>
  <c r="E90" i="2" s="1"/>
  <c r="E89" i="2"/>
  <c r="AH852" i="4"/>
  <c r="AG11" i="4"/>
  <c r="K39" i="4"/>
  <c r="K705" i="4" s="1"/>
  <c r="K79" i="2"/>
  <c r="L47" i="2"/>
  <c r="M47" i="2" s="1"/>
  <c r="D18" i="2"/>
  <c r="E18" i="2" s="1"/>
  <c r="L82" i="2"/>
  <c r="M82" i="2" s="1"/>
  <c r="M46" i="2"/>
  <c r="AH705" i="4"/>
  <c r="K43" i="2"/>
  <c r="AG842" i="4"/>
  <c r="F126" i="2"/>
  <c r="D127" i="2"/>
  <c r="E126" i="2"/>
  <c r="M11" i="2"/>
  <c r="K115" i="2"/>
  <c r="K852" i="4"/>
  <c r="AG720" i="4"/>
  <c r="K44" i="2" l="1"/>
  <c r="K80" i="2"/>
  <c r="AH854" i="4"/>
  <c r="AH857" i="4" s="1"/>
  <c r="AH978" i="4" s="1"/>
  <c r="K854" i="4"/>
  <c r="K857" i="4" s="1"/>
  <c r="K978" i="4" s="1"/>
  <c r="L118" i="2"/>
  <c r="L83" i="2"/>
  <c r="M83" i="2" s="1"/>
  <c r="L48" i="2"/>
  <c r="J45" i="2"/>
  <c r="J117" i="2"/>
  <c r="J81" i="2"/>
  <c r="K9" i="2"/>
  <c r="Y397" i="4"/>
  <c r="AF395" i="4"/>
  <c r="AF397" i="4" s="1"/>
  <c r="K116" i="2"/>
  <c r="V638" i="4"/>
  <c r="M12" i="2"/>
  <c r="J10" i="2"/>
  <c r="K10" i="2" s="1"/>
  <c r="K13" i="1"/>
  <c r="M117" i="2"/>
  <c r="V20" i="4"/>
  <c r="V27" i="4"/>
  <c r="F127" i="2"/>
  <c r="D128" i="2"/>
  <c r="E127" i="2"/>
  <c r="AG852" i="4"/>
  <c r="D19" i="2"/>
  <c r="AG39" i="4"/>
  <c r="D91" i="2"/>
  <c r="F90" i="2"/>
  <c r="F54" i="2"/>
  <c r="D55" i="2"/>
  <c r="E55" i="2" s="1"/>
  <c r="L16" i="1"/>
  <c r="L13" i="2"/>
  <c r="M13" i="2" s="1"/>
  <c r="L14" i="2" l="1"/>
  <c r="L17" i="1"/>
  <c r="F128" i="2"/>
  <c r="D129" i="2"/>
  <c r="E129" i="2" s="1"/>
  <c r="E128" i="2"/>
  <c r="J11" i="2"/>
  <c r="K14" i="1"/>
  <c r="F91" i="2"/>
  <c r="D92" i="2"/>
  <c r="E91" i="2"/>
  <c r="E92" i="2"/>
  <c r="D20" i="2"/>
  <c r="E19" i="2"/>
  <c r="M118" i="2"/>
  <c r="J82" i="2"/>
  <c r="J46" i="2"/>
  <c r="J118" i="2"/>
  <c r="K45" i="2"/>
  <c r="L84" i="2"/>
  <c r="M48" i="2"/>
  <c r="L119" i="2"/>
  <c r="AG40" i="4"/>
  <c r="V845" i="4"/>
  <c r="V846" i="4"/>
  <c r="V848" i="4"/>
  <c r="V847" i="4"/>
  <c r="V808" i="4"/>
  <c r="V725" i="4"/>
  <c r="V752" i="4"/>
  <c r="V783" i="4"/>
  <c r="V733" i="4"/>
  <c r="V781" i="4"/>
  <c r="V816" i="4"/>
  <c r="V728" i="4"/>
  <c r="V726" i="4"/>
  <c r="V800" i="4"/>
  <c r="V829" i="4"/>
  <c r="V809" i="4"/>
  <c r="V754" i="4"/>
  <c r="V714" i="4"/>
  <c r="V806" i="4"/>
  <c r="V813" i="4"/>
  <c r="V804" i="4"/>
  <c r="V801" i="4"/>
  <c r="V708" i="4"/>
  <c r="V784" i="4"/>
  <c r="V753" i="4"/>
  <c r="V839" i="4"/>
  <c r="V792" i="4"/>
  <c r="V769" i="4"/>
  <c r="V815" i="4"/>
  <c r="V819" i="4"/>
  <c r="V822" i="4"/>
  <c r="AG705" i="4"/>
  <c r="AG854" i="4" s="1"/>
  <c r="AG857" i="4" s="1"/>
  <c r="AG978" i="4" s="1"/>
  <c r="V125" i="4"/>
  <c r="V184" i="4"/>
  <c r="V372" i="4"/>
  <c r="V300" i="4"/>
  <c r="V316" i="4"/>
  <c r="V415" i="4"/>
  <c r="V431" i="4"/>
  <c r="V282" i="4"/>
  <c r="V298" i="4"/>
  <c r="V314" i="4"/>
  <c r="V437" i="4"/>
  <c r="V144" i="4"/>
  <c r="V160" i="4"/>
  <c r="V270" i="4"/>
  <c r="V403" i="4"/>
  <c r="V427" i="4"/>
  <c r="V599" i="4"/>
  <c r="V91" i="4"/>
  <c r="V107" i="4"/>
  <c r="V123" i="4"/>
  <c r="V487" i="4"/>
  <c r="V511" i="4"/>
  <c r="V593" i="4"/>
  <c r="V601" i="4"/>
  <c r="V609" i="4"/>
  <c r="V617" i="4"/>
  <c r="V454" i="4"/>
  <c r="V483" i="4"/>
  <c r="V491" i="4"/>
  <c r="V588" i="4"/>
  <c r="V612" i="4"/>
  <c r="V522" i="4"/>
  <c r="V530" i="4"/>
  <c r="V538" i="4"/>
  <c r="V570" i="4"/>
  <c r="V887" i="4"/>
  <c r="V93" i="4"/>
  <c r="V152" i="4"/>
  <c r="V59" i="4"/>
  <c r="V79" i="4"/>
  <c r="V292" i="4"/>
  <c r="V308" i="4"/>
  <c r="V324" i="4"/>
  <c r="V43" i="4"/>
  <c r="V200" i="4"/>
  <c r="V208" i="4"/>
  <c r="V220" i="4"/>
  <c r="V224" i="4"/>
  <c r="V290" i="4"/>
  <c r="V322" i="4"/>
  <c r="V413" i="4"/>
  <c r="V571" i="4"/>
  <c r="V89" i="4"/>
  <c r="V113" i="4"/>
  <c r="V242" i="4"/>
  <c r="V338" i="4"/>
  <c r="V384" i="4"/>
  <c r="V583" i="4"/>
  <c r="V615" i="4"/>
  <c r="V115" i="4"/>
  <c r="V260" i="4"/>
  <c r="V425" i="4"/>
  <c r="V547" i="4"/>
  <c r="V442" i="4"/>
  <c r="V452" i="4"/>
  <c r="V337" i="4"/>
  <c r="V117" i="4"/>
  <c r="V129" i="4"/>
  <c r="V156" i="4"/>
  <c r="V164" i="4"/>
  <c r="V222" i="4"/>
  <c r="V83" i="4"/>
  <c r="V280" i="4"/>
  <c r="V296" i="4"/>
  <c r="V312" i="4"/>
  <c r="V328" i="4"/>
  <c r="V591" i="4"/>
  <c r="V12" i="4"/>
  <c r="V61" i="4"/>
  <c r="V69" i="4"/>
  <c r="V77" i="4"/>
  <c r="V85" i="4"/>
  <c r="V278" i="4"/>
  <c r="V294" i="4"/>
  <c r="V310" i="4"/>
  <c r="V326" i="4"/>
  <c r="V497" i="4"/>
  <c r="V105" i="4"/>
  <c r="V109" i="4"/>
  <c r="V121" i="4"/>
  <c r="V140" i="4"/>
  <c r="V180" i="4"/>
  <c r="V206" i="4"/>
  <c r="V254" i="4"/>
  <c r="V258" i="4"/>
  <c r="V509" i="4"/>
  <c r="V119" i="4"/>
  <c r="V264" i="4"/>
  <c r="V464" i="4"/>
  <c r="V382" i="4"/>
  <c r="V404" i="4"/>
  <c r="V420" i="4"/>
  <c r="V482" i="4"/>
  <c r="V490" i="4"/>
  <c r="V506" i="4"/>
  <c r="V514" i="4"/>
  <c r="V516" i="4"/>
  <c r="V582" i="4"/>
  <c r="V606" i="4"/>
  <c r="V885" i="4"/>
  <c r="V97" i="4"/>
  <c r="V168" i="4"/>
  <c r="V176" i="4"/>
  <c r="V194" i="4"/>
  <c r="V288" i="4"/>
  <c r="V320" i="4"/>
  <c r="V172" i="4"/>
  <c r="V95" i="4"/>
  <c r="V525" i="4"/>
  <c r="V541" i="4"/>
  <c r="V589" i="4"/>
  <c r="V605" i="4"/>
  <c r="V568" i="4"/>
  <c r="V883" i="4"/>
  <c r="V935" i="4"/>
  <c r="V75" i="4"/>
  <c r="V408" i="4"/>
  <c r="V597" i="4"/>
  <c r="V610" i="4"/>
  <c r="V863" i="4"/>
  <c r="V607" i="4"/>
  <c r="V111" i="4"/>
  <c r="V486" i="4"/>
  <c r="V586" i="4"/>
  <c r="V872" i="4"/>
  <c r="V134" i="4"/>
  <c r="V142" i="4"/>
  <c r="V146" i="4"/>
  <c r="V150" i="4"/>
  <c r="V154" i="4"/>
  <c r="V162" i="4"/>
  <c r="V166" i="4"/>
  <c r="V170" i="4"/>
  <c r="V182" i="4"/>
  <c r="V318" i="4"/>
  <c r="V148" i="4"/>
  <c r="V602" i="4"/>
  <c r="V619" i="4"/>
  <c r="V7" i="4"/>
  <c r="V304" i="4"/>
  <c r="V302" i="4"/>
  <c r="V127" i="4"/>
  <c r="V549" i="4"/>
  <c r="V613" i="4"/>
  <c r="V510" i="4"/>
  <c r="V584" i="4"/>
  <c r="V566" i="4"/>
  <c r="V286" i="4"/>
  <c r="V456" i="4"/>
  <c r="V462" i="4"/>
  <c r="V931" i="4"/>
  <c r="V919" i="4"/>
  <c r="V315" i="4"/>
  <c r="V283" i="4"/>
  <c r="V124" i="4"/>
  <c r="V639" i="4"/>
  <c r="V10" i="4"/>
  <c r="V672" i="4"/>
  <c r="V279" i="4"/>
  <c r="V112" i="4"/>
  <c r="V878" i="4"/>
  <c r="V100" i="4"/>
  <c r="V934" i="4"/>
  <c r="V149" i="4"/>
  <c r="V874" i="4"/>
  <c r="V870" i="4"/>
  <c r="V900" i="4"/>
  <c r="V676" i="4"/>
  <c r="V674" i="4"/>
  <c r="V642" i="4"/>
  <c r="V267" i="4"/>
  <c r="V177" i="4"/>
  <c r="V145" i="4"/>
  <c r="V920" i="4"/>
  <c r="V893" i="4"/>
  <c r="V912" i="4"/>
  <c r="V628" i="4"/>
  <c r="V271" i="4"/>
  <c r="V70" i="4"/>
  <c r="V305" i="4"/>
  <c r="V163" i="4"/>
  <c r="V110" i="4"/>
  <c r="V74" i="4"/>
  <c r="V221" i="4"/>
  <c r="V317" i="4"/>
  <c r="V249" i="4"/>
  <c r="V133" i="4"/>
  <c r="V938" i="4"/>
  <c r="V943" i="4"/>
  <c r="V671" i="4"/>
  <c r="V445" i="4"/>
  <c r="V102" i="4"/>
  <c r="V325" i="4"/>
  <c r="V135" i="4"/>
  <c r="V387" i="4"/>
  <c r="V323" i="4"/>
  <c r="V291" i="4"/>
  <c r="V106" i="4"/>
  <c r="V219" i="4"/>
  <c r="V670" i="4"/>
  <c r="V626" i="4"/>
  <c r="V949" i="4"/>
  <c r="V891" i="4"/>
  <c r="V319" i="4"/>
  <c r="V287" i="4"/>
  <c r="V120" i="4"/>
  <c r="V922" i="4"/>
  <c r="V894" i="4"/>
  <c r="V116" i="4"/>
  <c r="V952" i="4"/>
  <c r="V678" i="4"/>
  <c r="V157" i="4"/>
  <c r="V879" i="4"/>
  <c r="V682" i="4"/>
  <c r="V155" i="4"/>
  <c r="V16" i="4"/>
  <c r="V185" i="4"/>
  <c r="V153" i="4"/>
  <c r="V937" i="4"/>
  <c r="V373" i="4"/>
  <c r="V289" i="4"/>
  <c r="V371" i="4"/>
  <c r="V94" i="4"/>
  <c r="V301" i="4"/>
  <c r="V954" i="4"/>
  <c r="V933" i="4"/>
  <c r="V876" i="4"/>
  <c r="V897" i="4"/>
  <c r="V877" i="4"/>
  <c r="V910" i="4"/>
  <c r="V679" i="4"/>
  <c r="V461" i="4"/>
  <c r="V66" i="4"/>
  <c r="V681" i="4"/>
  <c r="V309" i="4"/>
  <c r="V82" i="4"/>
  <c r="V909" i="4"/>
  <c r="V299" i="4"/>
  <c r="V92" i="4"/>
  <c r="V195" i="4"/>
  <c r="V939" i="4"/>
  <c r="V906" i="4"/>
  <c r="V165" i="4"/>
  <c r="V923" i="4"/>
  <c r="V944" i="4"/>
  <c r="V911" i="4"/>
  <c r="V924" i="4"/>
  <c r="V327" i="4"/>
  <c r="V295" i="4"/>
  <c r="V128" i="4"/>
  <c r="V96" i="4"/>
  <c r="V78" i="4"/>
  <c r="V925" i="4"/>
  <c r="V181" i="4"/>
  <c r="V658" i="4"/>
  <c r="V139" i="4"/>
  <c r="V907" i="4"/>
  <c r="V381" i="4"/>
  <c r="V114" i="4"/>
  <c r="V18" i="4"/>
  <c r="V241" i="4"/>
  <c r="V147" i="4"/>
  <c r="V183" i="4"/>
  <c r="V285" i="4"/>
  <c r="V143" i="4"/>
  <c r="V918" i="4"/>
  <c r="V455" i="4"/>
  <c r="V151" i="4"/>
  <c r="V293" i="4"/>
  <c r="V261" i="4"/>
  <c r="V15" i="4"/>
  <c r="V880" i="4"/>
  <c r="V307" i="4"/>
  <c r="V108" i="4"/>
  <c r="V203" i="4"/>
  <c r="V122" i="4"/>
  <c r="V297" i="4"/>
  <c r="V173" i="4"/>
  <c r="V940" i="4"/>
  <c r="V656" i="4"/>
  <c r="V632" i="4"/>
  <c r="V673" i="4"/>
  <c r="V199" i="4"/>
  <c r="V447" i="4"/>
  <c r="V379" i="4"/>
  <c r="V281" i="4"/>
  <c r="V926" i="4"/>
  <c r="V141" i="4"/>
  <c r="V666" i="4"/>
  <c r="V675" i="4"/>
  <c r="V171" i="4"/>
  <c r="V179" i="4"/>
  <c r="V936" i="4"/>
  <c r="V932" i="4"/>
  <c r="V917" i="4"/>
  <c r="V661" i="4"/>
  <c r="V620" i="4"/>
  <c r="V630" i="4"/>
  <c r="V449" i="4"/>
  <c r="V251" i="4"/>
  <c r="V321" i="4"/>
  <c r="V213" i="4"/>
  <c r="V126" i="4"/>
  <c r="V17" i="4"/>
  <c r="V362" i="4"/>
  <c r="V921" i="4"/>
  <c r="V945" i="4"/>
  <c r="V913" i="4"/>
  <c r="V677" i="4"/>
  <c r="V669" i="4"/>
  <c r="V471" i="4"/>
  <c r="V663" i="4"/>
  <c r="V118" i="4"/>
  <c r="V60" i="4"/>
  <c r="V19" i="4"/>
  <c r="V11" i="4"/>
  <c r="L49" i="2"/>
  <c r="D56" i="2"/>
  <c r="E56" i="2" s="1"/>
  <c r="F55" i="2"/>
  <c r="X791" i="4"/>
  <c r="X748" i="4"/>
  <c r="X727" i="4"/>
  <c r="X810" i="4"/>
  <c r="X824" i="4"/>
  <c r="X789" i="4"/>
  <c r="X832" i="4"/>
  <c r="X751" i="4"/>
  <c r="X805" i="4"/>
  <c r="X807" i="4"/>
  <c r="X790" i="4"/>
  <c r="X729" i="4"/>
  <c r="X833" i="4"/>
  <c r="X812" i="4"/>
  <c r="X793" i="4"/>
  <c r="X798" i="4"/>
  <c r="X797" i="4"/>
  <c r="X814" i="4"/>
  <c r="X739" i="4"/>
  <c r="X743" i="4"/>
  <c r="X802" i="4"/>
  <c r="X730" i="4"/>
  <c r="K117" i="2"/>
  <c r="K81" i="2"/>
  <c r="K46" i="2" l="1"/>
  <c r="K82" i="2"/>
  <c r="M119" i="2"/>
  <c r="L120" i="2"/>
  <c r="M84" i="2"/>
  <c r="W386" i="4"/>
  <c r="Y386" i="4" s="1"/>
  <c r="W244" i="4"/>
  <c r="Y244" i="4" s="1"/>
  <c r="W230" i="4"/>
  <c r="Y230" i="4" s="1"/>
  <c r="W238" i="4"/>
  <c r="Y238" i="4" s="1"/>
  <c r="W237" i="4"/>
  <c r="Y237" i="4" s="1"/>
  <c r="W62" i="4"/>
  <c r="Y62" i="4" s="1"/>
  <c r="W231" i="4"/>
  <c r="Y231" i="4" s="1"/>
  <c r="W259" i="4"/>
  <c r="Y259" i="4" s="1"/>
  <c r="AF259" i="4" s="1"/>
  <c r="W137" i="4"/>
  <c r="Y137" i="4" s="1"/>
  <c r="W169" i="4"/>
  <c r="Y169" i="4" s="1"/>
  <c r="W385" i="4"/>
  <c r="Y385" i="4" s="1"/>
  <c r="W394" i="4"/>
  <c r="Y394" i="4" s="1"/>
  <c r="W65" i="4"/>
  <c r="Y65" i="4" s="1"/>
  <c r="W64" i="4"/>
  <c r="Y64" i="4" s="1"/>
  <c r="W256" i="4"/>
  <c r="Y256" i="4" s="1"/>
  <c r="W284" i="4"/>
  <c r="Y284" i="4" s="1"/>
  <c r="W313" i="4"/>
  <c r="Y313" i="4" s="1"/>
  <c r="W247" i="4"/>
  <c r="Y247" i="4" s="1"/>
  <c r="W303" i="4"/>
  <c r="Y303" i="4" s="1"/>
  <c r="W380" i="4"/>
  <c r="Y380" i="4" s="1"/>
  <c r="W197" i="4"/>
  <c r="Y197" i="4" s="1"/>
  <c r="W138" i="4"/>
  <c r="Y138" i="4" s="1"/>
  <c r="W236" i="4"/>
  <c r="Y236" i="4" s="1"/>
  <c r="W234" i="4"/>
  <c r="Y234" i="4" s="1"/>
  <c r="W248" i="4"/>
  <c r="Y248" i="4" s="1"/>
  <c r="W311" i="4"/>
  <c r="Y311" i="4" s="1"/>
  <c r="W257" i="4"/>
  <c r="Y257" i="4" s="1"/>
  <c r="W374" i="4"/>
  <c r="Y374" i="4" s="1"/>
  <c r="W232" i="4"/>
  <c r="Y232" i="4" s="1"/>
  <c r="W250" i="4"/>
  <c r="Y250" i="4" s="1"/>
  <c r="W136" i="4"/>
  <c r="Y136" i="4" s="1"/>
  <c r="W239" i="4"/>
  <c r="Y239" i="4" s="1"/>
  <c r="W273" i="4"/>
  <c r="Y273" i="4" s="1"/>
  <c r="W84" i="4"/>
  <c r="Y84" i="4" s="1"/>
  <c r="W233" i="4"/>
  <c r="Y233" i="4" s="1"/>
  <c r="F92" i="2"/>
  <c r="D93" i="2"/>
  <c r="D21" i="2"/>
  <c r="E20" i="2"/>
  <c r="D130" i="2"/>
  <c r="F129" i="2"/>
  <c r="J119" i="2"/>
  <c r="J47" i="2"/>
  <c r="J83" i="2"/>
  <c r="L50" i="2"/>
  <c r="M14" i="2"/>
  <c r="W748" i="4"/>
  <c r="Y748" i="4" s="1"/>
  <c r="W790" i="4"/>
  <c r="Y790" i="4" s="1"/>
  <c r="W833" i="4"/>
  <c r="Y833" i="4" s="1"/>
  <c r="W791" i="4"/>
  <c r="Y791" i="4" s="1"/>
  <c r="W789" i="4"/>
  <c r="Y789" i="4" s="1"/>
  <c r="W832" i="4"/>
  <c r="Y832" i="4" s="1"/>
  <c r="W810" i="4"/>
  <c r="Y810" i="4" s="1"/>
  <c r="W727" i="4"/>
  <c r="Y727" i="4" s="1"/>
  <c r="W729" i="4"/>
  <c r="Y729" i="4" s="1"/>
  <c r="W793" i="4"/>
  <c r="Y793" i="4" s="1"/>
  <c r="W812" i="4"/>
  <c r="Y812" i="4" s="1"/>
  <c r="W824" i="4"/>
  <c r="Y824" i="4" s="1"/>
  <c r="W802" i="4"/>
  <c r="Y802" i="4" s="1"/>
  <c r="W807" i="4"/>
  <c r="Y807" i="4" s="1"/>
  <c r="W805" i="4"/>
  <c r="Y805" i="4" s="1"/>
  <c r="W730" i="4"/>
  <c r="Y730" i="4" s="1"/>
  <c r="W743" i="4"/>
  <c r="Y743" i="4" s="1"/>
  <c r="W751" i="4"/>
  <c r="Y751" i="4" s="1"/>
  <c r="W798" i="4"/>
  <c r="Y798" i="4" s="1"/>
  <c r="W797" i="4"/>
  <c r="Y797" i="4" s="1"/>
  <c r="W814" i="4"/>
  <c r="Y814" i="4" s="1"/>
  <c r="W739" i="4"/>
  <c r="Y739" i="4" s="1"/>
  <c r="F56" i="2"/>
  <c r="D57" i="2"/>
  <c r="E57" i="2" s="1"/>
  <c r="L85" i="2"/>
  <c r="M49" i="2"/>
  <c r="K11" i="2"/>
  <c r="K118" i="2"/>
  <c r="V587" i="4"/>
  <c r="V567" i="4"/>
  <c r="V414" i="4"/>
  <c r="V460" i="4"/>
  <c r="V470" i="4"/>
  <c r="V623" i="4"/>
  <c r="V631" i="4"/>
  <c r="V884" i="4"/>
  <c r="V306" i="4"/>
  <c r="V603" i="4"/>
  <c r="V611" i="4"/>
  <c r="V426" i="4"/>
  <c r="V34" i="4"/>
  <c r="V53" i="4"/>
  <c r="V448" i="4"/>
  <c r="V515" i="4"/>
  <c r="V625" i="4"/>
  <c r="V21" i="4"/>
  <c r="V581" i="4"/>
  <c r="V629" i="4"/>
  <c r="V618" i="4"/>
  <c r="V608" i="4"/>
  <c r="V627" i="4"/>
  <c r="V332" i="4"/>
  <c r="V592" i="4"/>
  <c r="V453" i="4"/>
  <c r="V263" i="4"/>
  <c r="V680" i="4"/>
  <c r="V35" i="4"/>
  <c r="V481" i="4"/>
  <c r="V948" i="4"/>
  <c r="V657" i="4"/>
  <c r="K15" i="1"/>
  <c r="J12" i="2"/>
  <c r="L18" i="1"/>
  <c r="L15" i="2"/>
  <c r="L16" i="2" l="1"/>
  <c r="L19" i="1"/>
  <c r="AF807" i="4"/>
  <c r="AF832" i="4"/>
  <c r="X687" i="4"/>
  <c r="X688" i="4" s="1"/>
  <c r="X31" i="4"/>
  <c r="X865" i="4"/>
  <c r="X864" i="4"/>
  <c r="X957" i="4"/>
  <c r="X866" i="4"/>
  <c r="K119" i="2"/>
  <c r="AF311" i="4"/>
  <c r="AF64" i="4"/>
  <c r="AF62" i="4"/>
  <c r="AF814" i="4"/>
  <c r="AF802" i="4"/>
  <c r="AF729" i="4"/>
  <c r="AF789" i="4"/>
  <c r="AF748" i="4"/>
  <c r="K83" i="2"/>
  <c r="AF273" i="4"/>
  <c r="AF232" i="4"/>
  <c r="AF248" i="4"/>
  <c r="AF197" i="4"/>
  <c r="AF313" i="4"/>
  <c r="AF65" i="4"/>
  <c r="AF137" i="4"/>
  <c r="AF237" i="4"/>
  <c r="AF386" i="4"/>
  <c r="M120" i="2"/>
  <c r="AF739" i="4"/>
  <c r="AF751" i="4"/>
  <c r="AF793" i="4"/>
  <c r="AF790" i="4"/>
  <c r="L86" i="2"/>
  <c r="M86" i="2" s="1"/>
  <c r="D22" i="2"/>
  <c r="E21" i="2"/>
  <c r="AF84" i="4"/>
  <c r="AF250" i="4"/>
  <c r="AF138" i="4"/>
  <c r="AF247" i="4"/>
  <c r="AF169" i="4"/>
  <c r="AF244" i="4"/>
  <c r="M15" i="2"/>
  <c r="J84" i="2"/>
  <c r="J120" i="2"/>
  <c r="J48" i="2"/>
  <c r="F57" i="2"/>
  <c r="D58" i="2"/>
  <c r="AF743" i="4"/>
  <c r="J13" i="2"/>
  <c r="K13" i="2" s="1"/>
  <c r="K16" i="1"/>
  <c r="AF797" i="4"/>
  <c r="AF730" i="4"/>
  <c r="AF824" i="4"/>
  <c r="AF727" i="4"/>
  <c r="AF791" i="4"/>
  <c r="F93" i="2"/>
  <c r="D94" i="2"/>
  <c r="E94" i="2" s="1"/>
  <c r="E93" i="2"/>
  <c r="AF239" i="4"/>
  <c r="AF374" i="4"/>
  <c r="AF234" i="4"/>
  <c r="AF380" i="4"/>
  <c r="AF284" i="4"/>
  <c r="AF394" i="4"/>
  <c r="AF238" i="4"/>
  <c r="L51" i="2"/>
  <c r="M50" i="2"/>
  <c r="L121" i="2"/>
  <c r="M121" i="2" s="1"/>
  <c r="M85" i="2"/>
  <c r="AF798" i="4"/>
  <c r="AF805" i="4"/>
  <c r="AF812" i="4"/>
  <c r="AF810" i="4"/>
  <c r="AF833" i="4"/>
  <c r="K12" i="2"/>
  <c r="K47" i="2"/>
  <c r="F130" i="2"/>
  <c r="D131" i="2"/>
  <c r="E131" i="2" s="1"/>
  <c r="E130" i="2"/>
  <c r="AF233" i="4"/>
  <c r="AF136" i="4"/>
  <c r="AF257" i="4"/>
  <c r="AF236" i="4"/>
  <c r="AF303" i="4"/>
  <c r="AF256" i="4"/>
  <c r="AF385" i="4"/>
  <c r="AF231" i="4"/>
  <c r="AF230" i="4"/>
  <c r="K48" i="2" l="1"/>
  <c r="K120" i="2"/>
  <c r="X51" i="4"/>
  <c r="X243" i="4"/>
  <c r="X52" i="4"/>
  <c r="X46" i="4"/>
  <c r="X235" i="4"/>
  <c r="X246" i="4"/>
  <c r="K84" i="2"/>
  <c r="V577" i="4"/>
  <c r="V825" i="4"/>
  <c r="V732" i="4"/>
  <c r="V794" i="4"/>
  <c r="V803" i="4"/>
  <c r="X953" i="4"/>
  <c r="D23" i="2"/>
  <c r="L122" i="2"/>
  <c r="M122" i="2" s="1"/>
  <c r="D132" i="2"/>
  <c r="E132" i="2" s="1"/>
  <c r="F131" i="2"/>
  <c r="J14" i="2"/>
  <c r="K14" i="2" s="1"/>
  <c r="K17" i="1"/>
  <c r="F58" i="2"/>
  <c r="D59" i="2"/>
  <c r="E58" i="2"/>
  <c r="L20" i="1"/>
  <c r="L17" i="2"/>
  <c r="L87" i="2"/>
  <c r="M87" i="2" s="1"/>
  <c r="D95" i="2"/>
  <c r="F94" i="2"/>
  <c r="J49" i="2"/>
  <c r="J121" i="2"/>
  <c r="J85" i="2"/>
  <c r="M51" i="2"/>
  <c r="E22" i="2"/>
  <c r="L52" i="2"/>
  <c r="M16" i="2"/>
  <c r="L88" i="2" l="1"/>
  <c r="M52" i="2"/>
  <c r="K121" i="2"/>
  <c r="L18" i="2"/>
  <c r="L21" i="1"/>
  <c r="W957" i="4"/>
  <c r="Y957" i="4" s="1"/>
  <c r="W866" i="4"/>
  <c r="Y866" i="4" s="1"/>
  <c r="W864" i="4"/>
  <c r="Y864" i="4" s="1"/>
  <c r="W687" i="4"/>
  <c r="W31" i="4"/>
  <c r="Y31" i="4" s="1"/>
  <c r="W865" i="4"/>
  <c r="Y865" i="4" s="1"/>
  <c r="K49" i="2"/>
  <c r="L123" i="2"/>
  <c r="D60" i="2"/>
  <c r="F59" i="2"/>
  <c r="E59" i="2"/>
  <c r="J86" i="2"/>
  <c r="J50" i="2"/>
  <c r="J122" i="2"/>
  <c r="X718" i="4"/>
  <c r="X774" i="4"/>
  <c r="X838" i="4"/>
  <c r="X712" i="4"/>
  <c r="X709" i="4"/>
  <c r="X716" i="4"/>
  <c r="X710" i="4"/>
  <c r="X719" i="4"/>
  <c r="X757" i="4"/>
  <c r="X711" i="4"/>
  <c r="X717" i="4"/>
  <c r="X817" i="4"/>
  <c r="X731" i="4"/>
  <c r="F132" i="2"/>
  <c r="D133" i="2"/>
  <c r="V553" i="4"/>
  <c r="V501" i="4"/>
  <c r="V862" i="4"/>
  <c r="J15" i="2"/>
  <c r="K18" i="1"/>
  <c r="V266" i="4"/>
  <c r="V500" i="4"/>
  <c r="K85" i="2"/>
  <c r="F95" i="2"/>
  <c r="D96" i="2"/>
  <c r="E95" i="2"/>
  <c r="L53" i="2"/>
  <c r="M17" i="2"/>
  <c r="V849" i="4"/>
  <c r="V840" i="4"/>
  <c r="V823" i="4"/>
  <c r="V744" i="4"/>
  <c r="V788" i="4"/>
  <c r="V826" i="4"/>
  <c r="V747" i="4"/>
  <c r="V773" i="4"/>
  <c r="V786" i="4"/>
  <c r="V827" i="4"/>
  <c r="V830" i="4"/>
  <c r="V749" i="4"/>
  <c r="V779" i="4"/>
  <c r="V782" i="4"/>
  <c r="V737" i="4"/>
  <c r="V831" i="4"/>
  <c r="V760" i="4"/>
  <c r="V834" i="4"/>
  <c r="V755" i="4"/>
  <c r="V780" i="4"/>
  <c r="V787" i="4"/>
  <c r="V841" i="4"/>
  <c r="V820" i="4"/>
  <c r="V738" i="4"/>
  <c r="V745" i="4"/>
  <c r="V835" i="4"/>
  <c r="V756" i="4"/>
  <c r="V734" i="4"/>
  <c r="V762" i="4"/>
  <c r="V836" i="4"/>
  <c r="V772" i="4"/>
  <c r="V775" i="4"/>
  <c r="V768" i="4"/>
  <c r="V763" i="4"/>
  <c r="V723" i="4"/>
  <c r="V837" i="4"/>
  <c r="V795" i="4"/>
  <c r="V828" i="4"/>
  <c r="V766" i="4"/>
  <c r="V761" i="4"/>
  <c r="V735" i="4"/>
  <c r="V799" i="4"/>
  <c r="V758" i="4"/>
  <c r="V746" i="4"/>
  <c r="V776" i="4"/>
  <c r="V736" i="4"/>
  <c r="V818" i="4"/>
  <c r="D24" i="2"/>
  <c r="E23" i="2"/>
  <c r="K50" i="2" l="1"/>
  <c r="W51" i="4" s="1"/>
  <c r="Y51" i="4" s="1"/>
  <c r="L89" i="2"/>
  <c r="M53" i="2"/>
  <c r="AF865" i="4"/>
  <c r="V850" i="4"/>
  <c r="J123" i="2"/>
  <c r="J51" i="2"/>
  <c r="J87" i="2"/>
  <c r="K15" i="2"/>
  <c r="D134" i="2"/>
  <c r="F133" i="2"/>
  <c r="E133" i="2"/>
  <c r="M123" i="2"/>
  <c r="AF31" i="4"/>
  <c r="AF957" i="4"/>
  <c r="L54" i="2"/>
  <c r="M18" i="2"/>
  <c r="X38" i="4"/>
  <c r="X37" i="4"/>
  <c r="X33" i="4"/>
  <c r="K122" i="2"/>
  <c r="V562" i="4"/>
  <c r="V578" i="4"/>
  <c r="V579" i="4"/>
  <c r="V904" i="4"/>
  <c r="W688" i="4"/>
  <c r="Y687" i="4"/>
  <c r="L124" i="2"/>
  <c r="M88" i="2"/>
  <c r="V595" i="4"/>
  <c r="V561" i="4"/>
  <c r="V905" i="4"/>
  <c r="K19" i="1"/>
  <c r="J16" i="2"/>
  <c r="K86" i="2"/>
  <c r="F60" i="2"/>
  <c r="D61" i="2"/>
  <c r="E60" i="2"/>
  <c r="AF866" i="4"/>
  <c r="L22" i="1"/>
  <c r="L19" i="2"/>
  <c r="D25" i="2"/>
  <c r="E24" i="2"/>
  <c r="D97" i="2"/>
  <c r="F96" i="2"/>
  <c r="E96" i="2"/>
  <c r="AF864" i="4"/>
  <c r="W246" i="4" l="1"/>
  <c r="Y246" i="4" s="1"/>
  <c r="AF246" i="4" s="1"/>
  <c r="W243" i="4"/>
  <c r="Y243" i="4" s="1"/>
  <c r="W46" i="4"/>
  <c r="Y46" i="4" s="1"/>
  <c r="AF46" i="4" s="1"/>
  <c r="W235" i="4"/>
  <c r="Y235" i="4" s="1"/>
  <c r="AF235" i="4" s="1"/>
  <c r="W52" i="4"/>
  <c r="Y52" i="4" s="1"/>
  <c r="M124" i="2"/>
  <c r="AF51" i="4"/>
  <c r="W953" i="4"/>
  <c r="Y953" i="4" s="1"/>
  <c r="K123" i="2"/>
  <c r="F97" i="2"/>
  <c r="D98" i="2"/>
  <c r="E97" i="2"/>
  <c r="L55" i="2"/>
  <c r="M19" i="2"/>
  <c r="V28" i="4"/>
  <c r="V383" i="4"/>
  <c r="AF243" i="4"/>
  <c r="K87" i="2"/>
  <c r="X638" i="4"/>
  <c r="J17" i="2"/>
  <c r="K20" i="1"/>
  <c r="V36" i="4"/>
  <c r="V32" i="4"/>
  <c r="V575" i="4"/>
  <c r="L20" i="2"/>
  <c r="L23" i="1"/>
  <c r="D62" i="2"/>
  <c r="F61" i="2"/>
  <c r="E61" i="2"/>
  <c r="W711" i="4"/>
  <c r="Y711" i="4" s="1"/>
  <c r="W757" i="4"/>
  <c r="Y757" i="4" s="1"/>
  <c r="W719" i="4"/>
  <c r="Y719" i="4" s="1"/>
  <c r="W712" i="4"/>
  <c r="Y712" i="4" s="1"/>
  <c r="W718" i="4"/>
  <c r="Y718" i="4" s="1"/>
  <c r="W774" i="4"/>
  <c r="Y774" i="4" s="1"/>
  <c r="W817" i="4"/>
  <c r="Y817" i="4" s="1"/>
  <c r="W838" i="4"/>
  <c r="Y838" i="4" s="1"/>
  <c r="W717" i="4"/>
  <c r="Y717" i="4" s="1"/>
  <c r="W716" i="4"/>
  <c r="Y716" i="4" s="1"/>
  <c r="W731" i="4"/>
  <c r="Y731" i="4" s="1"/>
  <c r="W710" i="4"/>
  <c r="Y710" i="4" s="1"/>
  <c r="W709" i="4"/>
  <c r="Y709" i="4" s="1"/>
  <c r="F134" i="2"/>
  <c r="D135" i="2"/>
  <c r="E134" i="2"/>
  <c r="L125" i="2"/>
  <c r="M89" i="2"/>
  <c r="D26" i="2"/>
  <c r="E25" i="2"/>
  <c r="J88" i="2"/>
  <c r="J124" i="2"/>
  <c r="J52" i="2"/>
  <c r="K16" i="2"/>
  <c r="Y688" i="4"/>
  <c r="AF687" i="4"/>
  <c r="AF688" i="4" s="1"/>
  <c r="L90" i="2"/>
  <c r="M54" i="2"/>
  <c r="AF52" i="4"/>
  <c r="K51" i="2"/>
  <c r="AF709" i="4" l="1"/>
  <c r="AF718" i="4"/>
  <c r="AF711" i="4"/>
  <c r="L56" i="2"/>
  <c r="M20" i="2"/>
  <c r="X263" i="4"/>
  <c r="X481" i="4"/>
  <c r="X35" i="4"/>
  <c r="X627" i="4"/>
  <c r="X618" i="4"/>
  <c r="X948" i="4"/>
  <c r="X34" i="4"/>
  <c r="X53" i="4"/>
  <c r="X448" i="4"/>
  <c r="X453" i="4"/>
  <c r="X332" i="4"/>
  <c r="X587" i="4"/>
  <c r="X567" i="4"/>
  <c r="X414" i="4"/>
  <c r="X629" i="4"/>
  <c r="X884" i="4"/>
  <c r="X680" i="4"/>
  <c r="X460" i="4"/>
  <c r="X306" i="4"/>
  <c r="X657" i="4"/>
  <c r="X592" i="4"/>
  <c r="X515" i="4"/>
  <c r="X631" i="4"/>
  <c r="X608" i="4"/>
  <c r="X581" i="4"/>
  <c r="X623" i="4"/>
  <c r="X611" i="4"/>
  <c r="X426" i="4"/>
  <c r="X470" i="4"/>
  <c r="X603" i="4"/>
  <c r="X625" i="4"/>
  <c r="X21" i="4"/>
  <c r="D99" i="2"/>
  <c r="F98" i="2"/>
  <c r="E98" i="2"/>
  <c r="X27" i="4"/>
  <c r="X20" i="4"/>
  <c r="D136" i="2"/>
  <c r="F135" i="2"/>
  <c r="E135" i="2"/>
  <c r="AF710" i="4"/>
  <c r="AF838" i="4"/>
  <c r="AF712" i="4"/>
  <c r="F62" i="2"/>
  <c r="D63" i="2"/>
  <c r="E62" i="2"/>
  <c r="J18" i="2"/>
  <c r="K21" i="1"/>
  <c r="L91" i="2"/>
  <c r="M55" i="2"/>
  <c r="AF953" i="4"/>
  <c r="K88" i="2"/>
  <c r="K52" i="2"/>
  <c r="M125" i="2"/>
  <c r="AF731" i="4"/>
  <c r="AF817" i="4"/>
  <c r="AF719" i="4"/>
  <c r="J53" i="2"/>
  <c r="J125" i="2"/>
  <c r="J89" i="2"/>
  <c r="K17" i="2"/>
  <c r="AF717" i="4"/>
  <c r="L126" i="2"/>
  <c r="M90" i="2"/>
  <c r="K124" i="2"/>
  <c r="D27" i="2"/>
  <c r="E26" i="2"/>
  <c r="AF716" i="4"/>
  <c r="AF774" i="4"/>
  <c r="AF757" i="4"/>
  <c r="V443" i="4"/>
  <c r="V596" i="4"/>
  <c r="L24" i="1"/>
  <c r="L21" i="2"/>
  <c r="V245" i="4" l="1"/>
  <c r="M126" i="2"/>
  <c r="K53" i="2"/>
  <c r="F99" i="2"/>
  <c r="D100" i="2"/>
  <c r="E99" i="2"/>
  <c r="L92" i="2"/>
  <c r="M56" i="2"/>
  <c r="L57" i="2"/>
  <c r="M21" i="2"/>
  <c r="D28" i="2"/>
  <c r="E27" i="2"/>
  <c r="F136" i="2"/>
  <c r="D137" i="2"/>
  <c r="E136" i="2"/>
  <c r="L22" i="2"/>
  <c r="L25" i="1"/>
  <c r="K89" i="2"/>
  <c r="X939" i="4"/>
  <c r="X949" i="4"/>
  <c r="X933" i="4"/>
  <c r="X918" i="4"/>
  <c r="X917" i="4"/>
  <c r="X672" i="4"/>
  <c r="X656" i="4"/>
  <c r="X381" i="4"/>
  <c r="X675" i="4"/>
  <c r="X452" i="4"/>
  <c r="X315" i="4"/>
  <c r="X299" i="4"/>
  <c r="X283" i="4"/>
  <c r="X114" i="4"/>
  <c r="X78" i="4"/>
  <c r="X16" i="4"/>
  <c r="X143" i="4"/>
  <c r="X18" i="4"/>
  <c r="X620" i="4"/>
  <c r="X17" i="4"/>
  <c r="X171" i="4"/>
  <c r="X151" i="4"/>
  <c r="X60" i="4"/>
  <c r="X153" i="4"/>
  <c r="X185" i="4"/>
  <c r="X241" i="4"/>
  <c r="X261" i="4"/>
  <c r="X309" i="4"/>
  <c r="X317" i="4"/>
  <c r="X325" i="4"/>
  <c r="X96" i="4"/>
  <c r="X112" i="4"/>
  <c r="X128" i="4"/>
  <c r="X109" i="4"/>
  <c r="X144" i="4"/>
  <c r="X160" i="4"/>
  <c r="X338" i="4"/>
  <c r="X403" i="4"/>
  <c r="X427" i="4"/>
  <c r="X59" i="4"/>
  <c r="X79" i="4"/>
  <c r="X292" i="4"/>
  <c r="X308" i="4"/>
  <c r="X324" i="4"/>
  <c r="X379" i="4"/>
  <c r="X387" i="4"/>
  <c r="X449" i="4"/>
  <c r="X607" i="4"/>
  <c r="X200" i="4"/>
  <c r="X208" i="4"/>
  <c r="X220" i="4"/>
  <c r="X224" i="4"/>
  <c r="X286" i="4"/>
  <c r="X302" i="4"/>
  <c r="X318" i="4"/>
  <c r="X184" i="4"/>
  <c r="X222" i="4"/>
  <c r="X95" i="4"/>
  <c r="X111" i="4"/>
  <c r="X127" i="4"/>
  <c r="X408" i="4"/>
  <c r="X673" i="4"/>
  <c r="X486" i="4"/>
  <c r="X510" i="4"/>
  <c r="X619" i="4"/>
  <c r="X586" i="4"/>
  <c r="X602" i="4"/>
  <c r="X610" i="4"/>
  <c r="X670" i="4"/>
  <c r="X872" i="4"/>
  <c r="X911" i="4"/>
  <c r="X922" i="4"/>
  <c r="X923" i="4"/>
  <c r="X944" i="4"/>
  <c r="X935" i="4"/>
  <c r="X937" i="4"/>
  <c r="X900" i="4"/>
  <c r="X893" i="4"/>
  <c r="X879" i="4"/>
  <c r="X307" i="4"/>
  <c r="X271" i="4"/>
  <c r="X106" i="4"/>
  <c r="X70" i="4"/>
  <c r="X147" i="4"/>
  <c r="X10" i="4"/>
  <c r="X145" i="4"/>
  <c r="X177" i="4"/>
  <c r="X120" i="4"/>
  <c r="X384" i="4"/>
  <c r="X300" i="4"/>
  <c r="X316" i="4"/>
  <c r="X591" i="4"/>
  <c r="X12" i="4"/>
  <c r="X43" i="4"/>
  <c r="X61" i="4"/>
  <c r="X69" i="4"/>
  <c r="X77" i="4"/>
  <c r="X85" i="4"/>
  <c r="X278" i="4"/>
  <c r="X294" i="4"/>
  <c r="X310" i="4"/>
  <c r="X326" i="4"/>
  <c r="X337" i="4"/>
  <c r="X497" i="4"/>
  <c r="X97" i="4"/>
  <c r="X117" i="4"/>
  <c r="X152" i="4"/>
  <c r="X168" i="4"/>
  <c r="X176" i="4"/>
  <c r="X206" i="4"/>
  <c r="X455" i="4"/>
  <c r="X509" i="4"/>
  <c r="X119" i="4"/>
  <c r="X264" i="4"/>
  <c r="X658" i="4"/>
  <c r="X674" i="4"/>
  <c r="X938" i="4"/>
  <c r="X954" i="4"/>
  <c r="X932" i="4"/>
  <c r="X913" i="4"/>
  <c r="X876" i="4"/>
  <c r="X894" i="4"/>
  <c r="X632" i="4"/>
  <c r="X628" i="4"/>
  <c r="X464" i="4"/>
  <c r="X327" i="4"/>
  <c r="X295" i="4"/>
  <c r="X279" i="4"/>
  <c r="X126" i="4"/>
  <c r="X110" i="4"/>
  <c r="X94" i="4"/>
  <c r="X74" i="4"/>
  <c r="X179" i="4"/>
  <c r="X139" i="4"/>
  <c r="X15" i="4"/>
  <c r="X462" i="4"/>
  <c r="X221" i="4"/>
  <c r="X183" i="4"/>
  <c r="X141" i="4"/>
  <c r="X157" i="4"/>
  <c r="X173" i="4"/>
  <c r="X195" i="4"/>
  <c r="X285" i="4"/>
  <c r="X293" i="4"/>
  <c r="X301" i="4"/>
  <c r="X100" i="4"/>
  <c r="X116" i="4"/>
  <c r="X105" i="4"/>
  <c r="X121" i="4"/>
  <c r="X140" i="4"/>
  <c r="X180" i="4"/>
  <c r="X242" i="4"/>
  <c r="X254" i="4"/>
  <c r="X270" i="4"/>
  <c r="X75" i="4"/>
  <c r="X288" i="4"/>
  <c r="X304" i="4"/>
  <c r="X320" i="4"/>
  <c r="X415" i="4"/>
  <c r="X431" i="4"/>
  <c r="X7" i="4"/>
  <c r="X134" i="4"/>
  <c r="X142" i="4"/>
  <c r="X146" i="4"/>
  <c r="X150" i="4"/>
  <c r="X154" i="4"/>
  <c r="X162" i="4"/>
  <c r="X166" i="4"/>
  <c r="X170" i="4"/>
  <c r="X182" i="4"/>
  <c r="X282" i="4"/>
  <c r="X298" i="4"/>
  <c r="X314" i="4"/>
  <c r="X437" i="4"/>
  <c r="X642" i="4"/>
  <c r="X125" i="4"/>
  <c r="X156" i="4"/>
  <c r="X164" i="4"/>
  <c r="X194" i="4"/>
  <c r="X447" i="4"/>
  <c r="X471" i="4"/>
  <c r="X599" i="4"/>
  <c r="X91" i="4"/>
  <c r="X107" i="4"/>
  <c r="X123" i="4"/>
  <c r="X487" i="4"/>
  <c r="X511" i="4"/>
  <c r="X593" i="4"/>
  <c r="X601" i="4"/>
  <c r="X609" i="4"/>
  <c r="X617" i="4"/>
  <c r="X679" i="4"/>
  <c r="X483" i="4"/>
  <c r="X491" i="4"/>
  <c r="X663" i="4"/>
  <c r="X588" i="4"/>
  <c r="X612" i="4"/>
  <c r="X878" i="4"/>
  <c r="X522" i="4"/>
  <c r="X530" i="4"/>
  <c r="X538" i="4"/>
  <c r="X570" i="4"/>
  <c r="X863" i="4"/>
  <c r="X906" i="4"/>
  <c r="X912" i="4"/>
  <c r="X924" i="4"/>
  <c r="X887" i="4"/>
  <c r="X919" i="4"/>
  <c r="X925" i="4"/>
  <c r="X945" i="4"/>
  <c r="X891" i="4"/>
  <c r="X630" i="4"/>
  <c r="X373" i="4"/>
  <c r="X323" i="4"/>
  <c r="X291" i="4"/>
  <c r="X122" i="4"/>
  <c r="X163" i="4"/>
  <c r="X249" i="4"/>
  <c r="X321" i="4"/>
  <c r="X113" i="4"/>
  <c r="X934" i="4"/>
  <c r="X880" i="4"/>
  <c r="X287" i="4"/>
  <c r="X118" i="4"/>
  <c r="X454" i="4"/>
  <c r="X677" i="4"/>
  <c r="X165" i="4"/>
  <c r="X305" i="4"/>
  <c r="X124" i="4"/>
  <c r="X89" i="4"/>
  <c r="X445" i="4"/>
  <c r="X93" i="4"/>
  <c r="X129" i="4"/>
  <c r="X615" i="4"/>
  <c r="X420" i="4"/>
  <c r="X490" i="4"/>
  <c r="X877" i="4"/>
  <c r="X907" i="4"/>
  <c r="X943" i="4"/>
  <c r="X571" i="4"/>
  <c r="X639" i="4"/>
  <c r="X506" i="4"/>
  <c r="X516" i="4"/>
  <c r="X940" i="4"/>
  <c r="X213" i="4"/>
  <c r="X149" i="4"/>
  <c r="X297" i="4"/>
  <c r="X280" i="4"/>
  <c r="X322" i="4"/>
  <c r="X413" i="4"/>
  <c r="X372" i="4"/>
  <c r="X583" i="4"/>
  <c r="X549" i="4"/>
  <c r="X597" i="4"/>
  <c r="X584" i="4"/>
  <c r="X920" i="4"/>
  <c r="X952" i="4"/>
  <c r="X936" i="4"/>
  <c r="X676" i="4"/>
  <c r="X669" i="4"/>
  <c r="X267" i="4"/>
  <c r="X102" i="4"/>
  <c r="X135" i="4"/>
  <c r="X362" i="4"/>
  <c r="X19" i="4"/>
  <c r="X181" i="4"/>
  <c r="X199" i="4"/>
  <c r="X281" i="4"/>
  <c r="X172" i="4"/>
  <c r="X296" i="4"/>
  <c r="X328" i="4"/>
  <c r="X461" i="4"/>
  <c r="X290" i="4"/>
  <c r="X115" i="4"/>
  <c r="X425" i="4"/>
  <c r="X681" i="4"/>
  <c r="X442" i="4"/>
  <c r="X666" i="4"/>
  <c r="X382" i="4"/>
  <c r="X525" i="4"/>
  <c r="X541" i="4"/>
  <c r="X589" i="4"/>
  <c r="X605" i="4"/>
  <c r="X682" i="4"/>
  <c r="X568" i="4"/>
  <c r="X897" i="4"/>
  <c r="X909" i="4"/>
  <c r="X883" i="4"/>
  <c r="X931" i="4"/>
  <c r="X921" i="4"/>
  <c r="X626" i="4"/>
  <c r="X456" i="4"/>
  <c r="X319" i="4"/>
  <c r="X251" i="4"/>
  <c r="X82" i="4"/>
  <c r="X661" i="4"/>
  <c r="X155" i="4"/>
  <c r="X203" i="4"/>
  <c r="X289" i="4"/>
  <c r="X92" i="4"/>
  <c r="X148" i="4"/>
  <c r="X258" i="4"/>
  <c r="X133" i="4"/>
  <c r="X404" i="4"/>
  <c r="X678" i="4"/>
  <c r="X606" i="4"/>
  <c r="X885" i="4"/>
  <c r="X874" i="4"/>
  <c r="X910" i="4"/>
  <c r="X926" i="4"/>
  <c r="X66" i="4"/>
  <c r="X219" i="4"/>
  <c r="X108" i="4"/>
  <c r="X83" i="4"/>
  <c r="X312" i="4"/>
  <c r="X260" i="4"/>
  <c r="X547" i="4"/>
  <c r="X613" i="4"/>
  <c r="X671" i="4"/>
  <c r="X482" i="4"/>
  <c r="X514" i="4"/>
  <c r="X566" i="4"/>
  <c r="X582" i="4"/>
  <c r="X870" i="4"/>
  <c r="X371" i="4"/>
  <c r="X11" i="4"/>
  <c r="J19" i="2"/>
  <c r="K22" i="1"/>
  <c r="D64" i="2"/>
  <c r="F63" i="2"/>
  <c r="E63" i="2"/>
  <c r="K125" i="2"/>
  <c r="W33" i="4"/>
  <c r="Y33" i="4" s="1"/>
  <c r="W37" i="4"/>
  <c r="Y37" i="4" s="1"/>
  <c r="W38" i="4"/>
  <c r="Y38" i="4" s="1"/>
  <c r="L127" i="2"/>
  <c r="M91" i="2"/>
  <c r="J126" i="2"/>
  <c r="J90" i="2"/>
  <c r="J54" i="2"/>
  <c r="K18" i="2"/>
  <c r="L93" i="2" l="1"/>
  <c r="M57" i="2"/>
  <c r="K54" i="2"/>
  <c r="AF37" i="4"/>
  <c r="F64" i="2"/>
  <c r="D65" i="2"/>
  <c r="E64" i="2"/>
  <c r="D138" i="2"/>
  <c r="F137" i="2"/>
  <c r="E137" i="2"/>
  <c r="D29" i="2"/>
  <c r="E28" i="2"/>
  <c r="W638" i="4"/>
  <c r="Y638" i="4" s="1"/>
  <c r="AF38" i="4"/>
  <c r="J127" i="2"/>
  <c r="J91" i="2"/>
  <c r="J55" i="2"/>
  <c r="K19" i="2"/>
  <c r="K90" i="2"/>
  <c r="M127" i="2"/>
  <c r="L23" i="2"/>
  <c r="L26" i="1"/>
  <c r="D101" i="2"/>
  <c r="F100" i="2"/>
  <c r="E100" i="2"/>
  <c r="AF33" i="4"/>
  <c r="K126" i="2"/>
  <c r="V594" i="4"/>
  <c r="V576" i="4"/>
  <c r="V902" i="4"/>
  <c r="K23" i="1"/>
  <c r="J20" i="2"/>
  <c r="L58" i="2"/>
  <c r="M22" i="2"/>
  <c r="X577" i="4"/>
  <c r="L128" i="2"/>
  <c r="M92" i="2"/>
  <c r="J21" i="2" l="1"/>
  <c r="K24" i="1"/>
  <c r="F101" i="2"/>
  <c r="D102" i="2"/>
  <c r="E101" i="2"/>
  <c r="K91" i="2"/>
  <c r="K127" i="2"/>
  <c r="D30" i="2"/>
  <c r="E29" i="2"/>
  <c r="F138" i="2"/>
  <c r="D139" i="2"/>
  <c r="E138" i="2"/>
  <c r="V604" i="4"/>
  <c r="V903" i="4"/>
  <c r="M128" i="2"/>
  <c r="X266" i="4"/>
  <c r="X500" i="4"/>
  <c r="X714" i="4"/>
  <c r="X808" i="4"/>
  <c r="X754" i="4"/>
  <c r="X733" i="4"/>
  <c r="X816" i="4"/>
  <c r="X728" i="4"/>
  <c r="X846" i="4"/>
  <c r="X813" i="4"/>
  <c r="X829" i="4"/>
  <c r="X800" i="4"/>
  <c r="X806" i="4"/>
  <c r="X822" i="4"/>
  <c r="X781" i="4"/>
  <c r="X804" i="4"/>
  <c r="X819" i="4"/>
  <c r="X839" i="4"/>
  <c r="X792" i="4"/>
  <c r="X752" i="4"/>
  <c r="X726" i="4"/>
  <c r="X848" i="4"/>
  <c r="X847" i="4"/>
  <c r="X809" i="4"/>
  <c r="X801" i="4"/>
  <c r="X783" i="4"/>
  <c r="X725" i="4"/>
  <c r="X753" i="4"/>
  <c r="X769" i="4"/>
  <c r="X784" i="4"/>
  <c r="X815" i="4"/>
  <c r="X845" i="4"/>
  <c r="X708" i="4"/>
  <c r="W608" i="4"/>
  <c r="Y608" i="4" s="1"/>
  <c r="W515" i="4"/>
  <c r="Y515" i="4" s="1"/>
  <c r="W453" i="4"/>
  <c r="Y453" i="4" s="1"/>
  <c r="W627" i="4"/>
  <c r="Y627" i="4" s="1"/>
  <c r="W426" i="4"/>
  <c r="Y426" i="4" s="1"/>
  <c r="W414" i="4"/>
  <c r="Y414" i="4" s="1"/>
  <c r="W623" i="4"/>
  <c r="Y623" i="4" s="1"/>
  <c r="W263" i="4"/>
  <c r="Y263" i="4" s="1"/>
  <c r="W611" i="4"/>
  <c r="Y611" i="4" s="1"/>
  <c r="W587" i="4"/>
  <c r="Y587" i="4" s="1"/>
  <c r="W948" i="4"/>
  <c r="Y948" i="4" s="1"/>
  <c r="W625" i="4"/>
  <c r="Y625" i="4" s="1"/>
  <c r="W631" i="4"/>
  <c r="Y631" i="4" s="1"/>
  <c r="W332" i="4"/>
  <c r="W53" i="4"/>
  <c r="Y53" i="4" s="1"/>
  <c r="W603" i="4"/>
  <c r="Y603" i="4" s="1"/>
  <c r="W481" i="4"/>
  <c r="Y481" i="4" s="1"/>
  <c r="W35" i="4"/>
  <c r="Y35" i="4" s="1"/>
  <c r="AF35" i="4" s="1"/>
  <c r="W618" i="4"/>
  <c r="Y618" i="4" s="1"/>
  <c r="W21" i="4"/>
  <c r="Y21" i="4" s="1"/>
  <c r="W657" i="4"/>
  <c r="Y657" i="4" s="1"/>
  <c r="W884" i="4"/>
  <c r="Y884" i="4" s="1"/>
  <c r="W592" i="4"/>
  <c r="Y592" i="4" s="1"/>
  <c r="W470" i="4"/>
  <c r="Y470" i="4" s="1"/>
  <c r="W581" i="4"/>
  <c r="Y581" i="4" s="1"/>
  <c r="AF581" i="4" s="1"/>
  <c r="W448" i="4"/>
  <c r="Y448" i="4" s="1"/>
  <c r="W460" i="4"/>
  <c r="Y460" i="4" s="1"/>
  <c r="W680" i="4"/>
  <c r="Y680" i="4" s="1"/>
  <c r="W567" i="4"/>
  <c r="Y567" i="4" s="1"/>
  <c r="AF567" i="4" s="1"/>
  <c r="W34" i="4"/>
  <c r="Y34" i="4" s="1"/>
  <c r="W629" i="4"/>
  <c r="Y629" i="4" s="1"/>
  <c r="W306" i="4"/>
  <c r="Y306" i="4" s="1"/>
  <c r="AF306" i="4" s="1"/>
  <c r="AF638" i="4"/>
  <c r="F65" i="2"/>
  <c r="D66" i="2"/>
  <c r="E65" i="2"/>
  <c r="L129" i="2"/>
  <c r="M93" i="2"/>
  <c r="L24" i="2"/>
  <c r="L27" i="1"/>
  <c r="L94" i="2"/>
  <c r="M58" i="2"/>
  <c r="J92" i="2"/>
  <c r="J56" i="2"/>
  <c r="J128" i="2"/>
  <c r="K20" i="2"/>
  <c r="L59" i="2"/>
  <c r="M23" i="2"/>
  <c r="K55" i="2"/>
  <c r="V715" i="4"/>
  <c r="V778" i="4"/>
  <c r="V796" i="4"/>
  <c r="V785" i="4"/>
  <c r="V740" i="4"/>
  <c r="V713" i="4"/>
  <c r="V724" i="4"/>
  <c r="V759" i="4"/>
  <c r="V750" i="4"/>
  <c r="V765" i="4"/>
  <c r="V741" i="4"/>
  <c r="V811" i="4"/>
  <c r="V764" i="4"/>
  <c r="V767" i="4"/>
  <c r="V770" i="4"/>
  <c r="V777" i="4"/>
  <c r="V821" i="4"/>
  <c r="V771" i="4"/>
  <c r="V742" i="4"/>
  <c r="W20" i="4"/>
  <c r="Y20" i="4" s="1"/>
  <c r="W27" i="4"/>
  <c r="Y27" i="4" s="1"/>
  <c r="K92" i="2" l="1"/>
  <c r="F66" i="2"/>
  <c r="D67" i="2"/>
  <c r="E66" i="2"/>
  <c r="AF657" i="4"/>
  <c r="AF481" i="4"/>
  <c r="AF631" i="4"/>
  <c r="AF611" i="4"/>
  <c r="AF426" i="4"/>
  <c r="AF608" i="4"/>
  <c r="AF20" i="4"/>
  <c r="X595" i="4"/>
  <c r="X905" i="4"/>
  <c r="X561" i="4"/>
  <c r="L28" i="1"/>
  <c r="L25" i="2"/>
  <c r="M129" i="2"/>
  <c r="AF680" i="4"/>
  <c r="AF470" i="4"/>
  <c r="AF21" i="4"/>
  <c r="AF603" i="4"/>
  <c r="AF625" i="4"/>
  <c r="AF263" i="4"/>
  <c r="AF627" i="4"/>
  <c r="W792" i="4"/>
  <c r="Y792" i="4" s="1"/>
  <c r="W808" i="4"/>
  <c r="Y808" i="4" s="1"/>
  <c r="W800" i="4"/>
  <c r="Y800" i="4" s="1"/>
  <c r="W815" i="4"/>
  <c r="Y815" i="4" s="1"/>
  <c r="W726" i="4"/>
  <c r="Y726" i="4" s="1"/>
  <c r="W725" i="4"/>
  <c r="Y725" i="4" s="1"/>
  <c r="W816" i="4"/>
  <c r="Y816" i="4" s="1"/>
  <c r="W783" i="4"/>
  <c r="Y783" i="4" s="1"/>
  <c r="W714" i="4"/>
  <c r="Y714" i="4" s="1"/>
  <c r="W728" i="4"/>
  <c r="Y728" i="4" s="1"/>
  <c r="W733" i="4"/>
  <c r="Y733" i="4" s="1"/>
  <c r="W781" i="4"/>
  <c r="Y781" i="4" s="1"/>
  <c r="W813" i="4"/>
  <c r="Y813" i="4" s="1"/>
  <c r="W809" i="4"/>
  <c r="Y809" i="4" s="1"/>
  <c r="W848" i="4"/>
  <c r="Y848" i="4" s="1"/>
  <c r="W752" i="4"/>
  <c r="Y752" i="4" s="1"/>
  <c r="W769" i="4"/>
  <c r="Y769" i="4" s="1"/>
  <c r="W801" i="4"/>
  <c r="Y801" i="4" s="1"/>
  <c r="W839" i="4"/>
  <c r="Y839" i="4" s="1"/>
  <c r="W754" i="4"/>
  <c r="Y754" i="4" s="1"/>
  <c r="W819" i="4"/>
  <c r="Y819" i="4" s="1"/>
  <c r="W784" i="4"/>
  <c r="Y784" i="4" s="1"/>
  <c r="W806" i="4"/>
  <c r="Y806" i="4" s="1"/>
  <c r="W822" i="4"/>
  <c r="Y822" i="4" s="1"/>
  <c r="W846" i="4"/>
  <c r="Y846" i="4" s="1"/>
  <c r="W804" i="4"/>
  <c r="Y804" i="4" s="1"/>
  <c r="W753" i="4"/>
  <c r="Y753" i="4" s="1"/>
  <c r="W829" i="4"/>
  <c r="Y829" i="4" s="1"/>
  <c r="W847" i="4"/>
  <c r="Y847" i="4" s="1"/>
  <c r="W845" i="4"/>
  <c r="W708" i="4"/>
  <c r="AF27" i="4"/>
  <c r="V720" i="4"/>
  <c r="L95" i="2"/>
  <c r="M59" i="2"/>
  <c r="K128" i="2"/>
  <c r="X501" i="4"/>
  <c r="X862" i="4"/>
  <c r="X553" i="4"/>
  <c r="L60" i="2"/>
  <c r="M24" i="2"/>
  <c r="AF629" i="4"/>
  <c r="AF460" i="4"/>
  <c r="AF592" i="4"/>
  <c r="AF618" i="4"/>
  <c r="AF53" i="4"/>
  <c r="AF948" i="4"/>
  <c r="AF623" i="4"/>
  <c r="AF453" i="4"/>
  <c r="V47" i="4"/>
  <c r="V405" i="4"/>
  <c r="V523" i="4"/>
  <c r="V555" i="4"/>
  <c r="V406" i="4"/>
  <c r="V438" i="4"/>
  <c r="V444" i="4"/>
  <c r="V476" i="4"/>
  <c r="V585" i="4"/>
  <c r="V499" i="4"/>
  <c r="V572" i="4"/>
  <c r="V496" i="4"/>
  <c r="V24" i="4"/>
  <c r="V196" i="4"/>
  <c r="V519" i="4"/>
  <c r="V49" i="4"/>
  <c r="V252" i="4"/>
  <c r="V402" i="4"/>
  <c r="V434" i="4"/>
  <c r="V521" i="4"/>
  <c r="V26" i="4"/>
  <c r="V45" i="4"/>
  <c r="V55" i="4"/>
  <c r="V67" i="4"/>
  <c r="V559" i="4"/>
  <c r="V240" i="4"/>
  <c r="V480" i="4"/>
  <c r="V458" i="4"/>
  <c r="V474" i="4"/>
  <c r="V548" i="4"/>
  <c r="V556" i="4"/>
  <c r="V614" i="4"/>
  <c r="V633" i="4"/>
  <c r="V888" i="4"/>
  <c r="V889" i="4"/>
  <c r="V440" i="4"/>
  <c r="V517" i="4"/>
  <c r="V492" i="4"/>
  <c r="V472" i="4"/>
  <c r="V450" i="4"/>
  <c r="V873" i="4"/>
  <c r="V158" i="4"/>
  <c r="V502" i="4"/>
  <c r="V621" i="4"/>
  <c r="V484" i="4"/>
  <c r="V526" i="4"/>
  <c r="V534" i="4"/>
  <c r="V446" i="4"/>
  <c r="V528" i="4"/>
  <c r="V947" i="4"/>
  <c r="V359" i="4"/>
  <c r="V463" i="4"/>
  <c r="V950" i="4"/>
  <c r="V465" i="4"/>
  <c r="V229" i="4"/>
  <c r="V941" i="4"/>
  <c r="V277" i="4"/>
  <c r="V896" i="4"/>
  <c r="V927" i="4"/>
  <c r="V898" i="4"/>
  <c r="V14" i="4"/>
  <c r="V469" i="4"/>
  <c r="V908" i="4"/>
  <c r="V68" i="4"/>
  <c r="V646" i="4"/>
  <c r="V451" i="4"/>
  <c r="V355" i="4"/>
  <c r="V914" i="4"/>
  <c r="V644" i="4"/>
  <c r="V377" i="4"/>
  <c r="V44" i="4"/>
  <c r="V946" i="4"/>
  <c r="V54" i="4"/>
  <c r="V654" i="4"/>
  <c r="V467" i="4"/>
  <c r="V875" i="4"/>
  <c r="V349" i="4"/>
  <c r="V635" i="4"/>
  <c r="V641" i="4"/>
  <c r="V701" i="4"/>
  <c r="V693" i="4"/>
  <c r="V699" i="4"/>
  <c r="V697" i="4"/>
  <c r="V695" i="4"/>
  <c r="V696" i="4"/>
  <c r="V698" i="4"/>
  <c r="V694" i="4"/>
  <c r="V702" i="4"/>
  <c r="V700" i="4"/>
  <c r="J22" i="2"/>
  <c r="K25" i="1"/>
  <c r="V842" i="4"/>
  <c r="W883" i="4"/>
  <c r="Y883" i="4" s="1"/>
  <c r="W887" i="4"/>
  <c r="Y887" i="4" s="1"/>
  <c r="W612" i="4"/>
  <c r="Y612" i="4" s="1"/>
  <c r="W516" i="4"/>
  <c r="Y516" i="4" s="1"/>
  <c r="W490" i="4"/>
  <c r="Y490" i="4" s="1"/>
  <c r="W471" i="4"/>
  <c r="Y471" i="4" s="1"/>
  <c r="W455" i="4"/>
  <c r="Y455" i="4" s="1"/>
  <c r="W486" i="4"/>
  <c r="Y486" i="4" s="1"/>
  <c r="W570" i="4"/>
  <c r="Y570" i="4" s="1"/>
  <c r="W314" i="4"/>
  <c r="Y314" i="4" s="1"/>
  <c r="W290" i="4"/>
  <c r="Y290" i="4" s="1"/>
  <c r="W224" i="4"/>
  <c r="Y224" i="4" s="1"/>
  <c r="W182" i="4"/>
  <c r="Y182" i="4" s="1"/>
  <c r="W154" i="4"/>
  <c r="Y154" i="4" s="1"/>
  <c r="W77" i="4"/>
  <c r="Y77" i="4" s="1"/>
  <c r="W420" i="4"/>
  <c r="Y420" i="4" s="1"/>
  <c r="W260" i="4"/>
  <c r="Y260" i="4" s="1"/>
  <c r="W127" i="4"/>
  <c r="Y127" i="4" s="1"/>
  <c r="W111" i="4"/>
  <c r="Y111" i="4" s="1"/>
  <c r="W95" i="4"/>
  <c r="Y95" i="4" s="1"/>
  <c r="W326" i="4"/>
  <c r="Y326" i="4" s="1"/>
  <c r="AF326" i="4" s="1"/>
  <c r="W140" i="4"/>
  <c r="Y140" i="4" s="1"/>
  <c r="W156" i="4"/>
  <c r="Y156" i="4" s="1"/>
  <c r="W172" i="4"/>
  <c r="Y172" i="4" s="1"/>
  <c r="W194" i="4"/>
  <c r="Y194" i="4" s="1"/>
  <c r="W254" i="4"/>
  <c r="Y254" i="4" s="1"/>
  <c r="W105" i="4"/>
  <c r="Y105" i="4" s="1"/>
  <c r="W121" i="4"/>
  <c r="Y121" i="4" s="1"/>
  <c r="W206" i="4"/>
  <c r="Y206" i="4" s="1"/>
  <c r="W222" i="4"/>
  <c r="Y222" i="4" s="1"/>
  <c r="W270" i="4"/>
  <c r="Y270" i="4" s="1"/>
  <c r="W288" i="4"/>
  <c r="Y288" i="4" s="1"/>
  <c r="W304" i="4"/>
  <c r="Y304" i="4" s="1"/>
  <c r="W320" i="4"/>
  <c r="Y320" i="4" s="1"/>
  <c r="W60" i="4"/>
  <c r="Y60" i="4" s="1"/>
  <c r="W92" i="4"/>
  <c r="Y92" i="4" s="1"/>
  <c r="W96" i="4"/>
  <c r="Y96" i="4" s="1"/>
  <c r="W100" i="4"/>
  <c r="Y100" i="4" s="1"/>
  <c r="W293" i="4"/>
  <c r="Y293" i="4" s="1"/>
  <c r="W317" i="4"/>
  <c r="Y317" i="4" s="1"/>
  <c r="W10" i="4"/>
  <c r="W78" i="4"/>
  <c r="Y78" i="4" s="1"/>
  <c r="W106" i="4"/>
  <c r="Y106" i="4" s="1"/>
  <c r="W110" i="4"/>
  <c r="Y110" i="4" s="1"/>
  <c r="W291" i="4"/>
  <c r="Y291" i="4" s="1"/>
  <c r="W307" i="4"/>
  <c r="Y307" i="4" s="1"/>
  <c r="AF307" i="4" s="1"/>
  <c r="W323" i="4"/>
  <c r="Y323" i="4" s="1"/>
  <c r="W7" i="4"/>
  <c r="Y7" i="4" s="1"/>
  <c r="W18" i="4"/>
  <c r="Y18" i="4" s="1"/>
  <c r="W133" i="4"/>
  <c r="W141" i="4"/>
  <c r="Y141" i="4" s="1"/>
  <c r="W145" i="4"/>
  <c r="Y145" i="4" s="1"/>
  <c r="W149" i="4"/>
  <c r="Y149" i="4" s="1"/>
  <c r="W153" i="4"/>
  <c r="Y153" i="4" s="1"/>
  <c r="W157" i="4"/>
  <c r="Y157" i="4" s="1"/>
  <c r="W165" i="4"/>
  <c r="Y165" i="4" s="1"/>
  <c r="W173" i="4"/>
  <c r="Y173" i="4" s="1"/>
  <c r="W177" i="4"/>
  <c r="Y177" i="4" s="1"/>
  <c r="W181" i="4"/>
  <c r="Y181" i="4" s="1"/>
  <c r="W185" i="4"/>
  <c r="Y185" i="4" s="1"/>
  <c r="W547" i="4"/>
  <c r="Y547" i="4" s="1"/>
  <c r="W112" i="4"/>
  <c r="Y112" i="4" s="1"/>
  <c r="W241" i="4"/>
  <c r="Y241" i="4" s="1"/>
  <c r="W249" i="4"/>
  <c r="Y249" i="4" s="1"/>
  <c r="W591" i="4"/>
  <c r="Y591" i="4" s="1"/>
  <c r="W143" i="4"/>
  <c r="Y143" i="4" s="1"/>
  <c r="W497" i="4"/>
  <c r="Y497" i="4" s="1"/>
  <c r="W525" i="4"/>
  <c r="Y525" i="4" s="1"/>
  <c r="W541" i="4"/>
  <c r="Y541" i="4" s="1"/>
  <c r="W549" i="4"/>
  <c r="Y549" i="4" s="1"/>
  <c r="W630" i="4"/>
  <c r="Y630" i="4" s="1"/>
  <c r="W452" i="4"/>
  <c r="Y452" i="4" s="1"/>
  <c r="W593" i="4"/>
  <c r="Y593" i="4" s="1"/>
  <c r="W601" i="4"/>
  <c r="Y601" i="4" s="1"/>
  <c r="W609" i="4"/>
  <c r="Y609" i="4" s="1"/>
  <c r="W617" i="4"/>
  <c r="Y617" i="4" s="1"/>
  <c r="W626" i="4"/>
  <c r="Y626" i="4" s="1"/>
  <c r="W642" i="4"/>
  <c r="Y642" i="4" s="1"/>
  <c r="W921" i="4"/>
  <c r="Y921" i="4" s="1"/>
  <c r="W874" i="4"/>
  <c r="Y874" i="4" s="1"/>
  <c r="W879" i="4"/>
  <c r="Y879" i="4" s="1"/>
  <c r="W918" i="4"/>
  <c r="Y918" i="4" s="1"/>
  <c r="W923" i="4"/>
  <c r="Y923" i="4" s="1"/>
  <c r="W912" i="4"/>
  <c r="Y912" i="4" s="1"/>
  <c r="W906" i="4"/>
  <c r="Y906" i="4" s="1"/>
  <c r="W925" i="4"/>
  <c r="Y925" i="4" s="1"/>
  <c r="W937" i="4"/>
  <c r="Y937" i="4" s="1"/>
  <c r="W945" i="4"/>
  <c r="Y945" i="4" s="1"/>
  <c r="W949" i="4"/>
  <c r="Y949" i="4" s="1"/>
  <c r="W938" i="4"/>
  <c r="Y938" i="4" s="1"/>
  <c r="W926" i="4"/>
  <c r="Y926" i="4" s="1"/>
  <c r="W952" i="4"/>
  <c r="Y952" i="4" s="1"/>
  <c r="W447" i="4"/>
  <c r="Y447" i="4" s="1"/>
  <c r="W445" i="4"/>
  <c r="Y445" i="4" s="1"/>
  <c r="W582" i="4"/>
  <c r="Y582" i="4" s="1"/>
  <c r="AF582" i="4" s="1"/>
  <c r="W602" i="4"/>
  <c r="Y602" i="4" s="1"/>
  <c r="W442" i="4"/>
  <c r="Y442" i="4" s="1"/>
  <c r="W282" i="4"/>
  <c r="Y282" i="4" s="1"/>
  <c r="W61" i="4"/>
  <c r="Y61" i="4" s="1"/>
  <c r="W12" i="4"/>
  <c r="Y12" i="4" s="1"/>
  <c r="W119" i="4"/>
  <c r="Y119" i="4" s="1"/>
  <c r="W310" i="4"/>
  <c r="Y310" i="4" s="1"/>
  <c r="W148" i="4"/>
  <c r="Y148" i="4" s="1"/>
  <c r="W180" i="4"/>
  <c r="Y180" i="4" s="1"/>
  <c r="W113" i="4"/>
  <c r="Y113" i="4" s="1"/>
  <c r="W79" i="4"/>
  <c r="Y79" i="4" s="1"/>
  <c r="W258" i="4"/>
  <c r="Y258" i="4" s="1"/>
  <c r="W296" i="4"/>
  <c r="Y296" i="4" s="1"/>
  <c r="W328" i="4"/>
  <c r="Y328" i="4" s="1"/>
  <c r="W124" i="4"/>
  <c r="Y124" i="4" s="1"/>
  <c r="W289" i="4"/>
  <c r="Y289" i="4" s="1"/>
  <c r="W373" i="4"/>
  <c r="Y373" i="4" s="1"/>
  <c r="W70" i="4"/>
  <c r="Y70" i="4" s="1"/>
  <c r="W118" i="4"/>
  <c r="Y118" i="4" s="1"/>
  <c r="W122" i="4"/>
  <c r="Y122" i="4" s="1"/>
  <c r="W283" i="4"/>
  <c r="Y283" i="4" s="1"/>
  <c r="W299" i="4"/>
  <c r="Y299" i="4" s="1"/>
  <c r="W315" i="4"/>
  <c r="Y315" i="4" s="1"/>
  <c r="W403" i="4"/>
  <c r="Y403" i="4" s="1"/>
  <c r="W427" i="4"/>
  <c r="Y427" i="4" s="1"/>
  <c r="W59" i="4"/>
  <c r="W305" i="4"/>
  <c r="Y305" i="4" s="1"/>
  <c r="W321" i="4"/>
  <c r="Y321" i="4" s="1"/>
  <c r="W607" i="4"/>
  <c r="Y607" i="4" s="1"/>
  <c r="W16" i="4"/>
  <c r="Y16" i="4" s="1"/>
  <c r="W89" i="4"/>
  <c r="W135" i="4"/>
  <c r="Y135" i="4" s="1"/>
  <c r="W151" i="4"/>
  <c r="Y151" i="4" s="1"/>
  <c r="W183" i="4"/>
  <c r="Y183" i="4" s="1"/>
  <c r="W571" i="4"/>
  <c r="Y571" i="4" s="1"/>
  <c r="W483" i="4"/>
  <c r="Y483" i="4" s="1"/>
  <c r="W491" i="4"/>
  <c r="Y491" i="4" s="1"/>
  <c r="W589" i="4"/>
  <c r="Y589" i="4" s="1"/>
  <c r="W597" i="4"/>
  <c r="Y597" i="4" s="1"/>
  <c r="W605" i="4"/>
  <c r="Y605" i="4" s="1"/>
  <c r="W863" i="4"/>
  <c r="Y863" i="4" s="1"/>
  <c r="W514" i="4"/>
  <c r="Y514" i="4" s="1"/>
  <c r="W482" i="4"/>
  <c r="Y482" i="4" s="1"/>
  <c r="W568" i="4"/>
  <c r="Y568" i="4" s="1"/>
  <c r="W510" i="4"/>
  <c r="Y510" i="4" s="1"/>
  <c r="W449" i="4"/>
  <c r="Y449" i="4" s="1"/>
  <c r="W382" i="4"/>
  <c r="Y382" i="4" s="1"/>
  <c r="W302" i="4"/>
  <c r="Y302" i="4" s="1"/>
  <c r="W286" i="4"/>
  <c r="Y286" i="4" s="1"/>
  <c r="W220" i="4"/>
  <c r="Y220" i="4" s="1"/>
  <c r="W208" i="4"/>
  <c r="Y208" i="4" s="1"/>
  <c r="W200" i="4"/>
  <c r="Y200" i="4" s="1"/>
  <c r="W166" i="4"/>
  <c r="Y166" i="4" s="1"/>
  <c r="W150" i="4"/>
  <c r="Y150" i="4" s="1"/>
  <c r="W69" i="4"/>
  <c r="Y69" i="4" s="1"/>
  <c r="W606" i="4"/>
  <c r="Y606" i="4" s="1"/>
  <c r="W610" i="4"/>
  <c r="Y610" i="4" s="1"/>
  <c r="W123" i="4"/>
  <c r="Y123" i="4" s="1"/>
  <c r="W107" i="4"/>
  <c r="Y107" i="4" s="1"/>
  <c r="W91" i="4"/>
  <c r="Y91" i="4" s="1"/>
  <c r="W322" i="4"/>
  <c r="Y322" i="4" s="1"/>
  <c r="W162" i="4"/>
  <c r="Y162" i="4" s="1"/>
  <c r="W142" i="4"/>
  <c r="Y142" i="4" s="1"/>
  <c r="W242" i="4"/>
  <c r="Y242" i="4" s="1"/>
  <c r="W93" i="4"/>
  <c r="Y93" i="4" s="1"/>
  <c r="W109" i="4"/>
  <c r="Y109" i="4" s="1"/>
  <c r="W125" i="4"/>
  <c r="Y125" i="4" s="1"/>
  <c r="W144" i="4"/>
  <c r="Y144" i="4" s="1"/>
  <c r="W160" i="4"/>
  <c r="Y160" i="4" s="1"/>
  <c r="W176" i="4"/>
  <c r="Y176" i="4" s="1"/>
  <c r="W83" i="4"/>
  <c r="Y83" i="4" s="1"/>
  <c r="W300" i="4"/>
  <c r="Y300" i="4" s="1"/>
  <c r="W316" i="4"/>
  <c r="Y316" i="4" s="1"/>
  <c r="W261" i="4"/>
  <c r="Y261" i="4" s="1"/>
  <c r="W281" i="4"/>
  <c r="Y281" i="4" s="1"/>
  <c r="W301" i="4"/>
  <c r="Y301" i="4" s="1"/>
  <c r="W381" i="4"/>
  <c r="Y381" i="4" s="1"/>
  <c r="W431" i="4"/>
  <c r="Y431" i="4" s="1"/>
  <c r="W17" i="4"/>
  <c r="Y17" i="4" s="1"/>
  <c r="W74" i="4"/>
  <c r="Y74" i="4" s="1"/>
  <c r="W102" i="4"/>
  <c r="Y102" i="4" s="1"/>
  <c r="W126" i="4"/>
  <c r="Y126" i="4" s="1"/>
  <c r="W251" i="4"/>
  <c r="Y251" i="4" s="1"/>
  <c r="W287" i="4"/>
  <c r="Y287" i="4" s="1"/>
  <c r="W319" i="4"/>
  <c r="Y319" i="4" s="1"/>
  <c r="W338" i="4"/>
  <c r="Y338" i="4" s="1"/>
  <c r="W372" i="4"/>
  <c r="Y372" i="4" s="1"/>
  <c r="W384" i="4"/>
  <c r="Y384" i="4" s="1"/>
  <c r="W583" i="4"/>
  <c r="Y583" i="4" s="1"/>
  <c r="W615" i="4"/>
  <c r="Y615" i="4" s="1"/>
  <c r="AF615" i="4" s="1"/>
  <c r="W670" i="4"/>
  <c r="Y670" i="4" s="1"/>
  <c r="W415" i="4"/>
  <c r="Y415" i="4" s="1"/>
  <c r="W139" i="4"/>
  <c r="Y139" i="4" s="1"/>
  <c r="W155" i="4"/>
  <c r="Y155" i="4" s="1"/>
  <c r="W171" i="4"/>
  <c r="Y171" i="4" s="1"/>
  <c r="W213" i="4"/>
  <c r="Y213" i="4" s="1"/>
  <c r="W387" i="4"/>
  <c r="Y387" i="4" s="1"/>
  <c r="W413" i="4"/>
  <c r="Y413" i="4" s="1"/>
  <c r="W462" i="4"/>
  <c r="Y462" i="4" s="1"/>
  <c r="W337" i="4"/>
  <c r="Y337" i="4" s="1"/>
  <c r="W362" i="4"/>
  <c r="Y362" i="4" s="1"/>
  <c r="W456" i="4"/>
  <c r="Y456" i="4" s="1"/>
  <c r="W632" i="4"/>
  <c r="Y632" i="4" s="1"/>
  <c r="W676" i="4"/>
  <c r="Y676" i="4" s="1"/>
  <c r="W661" i="4"/>
  <c r="Y661" i="4" s="1"/>
  <c r="W669" i="4"/>
  <c r="Y669" i="4" s="1"/>
  <c r="W673" i="4"/>
  <c r="Y673" i="4" s="1"/>
  <c r="W677" i="4"/>
  <c r="Y677" i="4" s="1"/>
  <c r="W681" i="4"/>
  <c r="Y681" i="4" s="1"/>
  <c r="W932" i="4"/>
  <c r="Y932" i="4" s="1"/>
  <c r="W933" i="4"/>
  <c r="Y933" i="4" s="1"/>
  <c r="W876" i="4"/>
  <c r="Y876" i="4" s="1"/>
  <c r="W917" i="4"/>
  <c r="Y917" i="4" s="1"/>
  <c r="W880" i="4"/>
  <c r="Y880" i="4" s="1"/>
  <c r="W919" i="4"/>
  <c r="Y919" i="4" s="1"/>
  <c r="W893" i="4"/>
  <c r="Y893" i="4" s="1"/>
  <c r="W909" i="4"/>
  <c r="Y909" i="4" s="1"/>
  <c r="W907" i="4"/>
  <c r="Y907" i="4" s="1"/>
  <c r="W934" i="4"/>
  <c r="Y934" i="4" s="1"/>
  <c r="W940" i="4"/>
  <c r="Y940" i="4" s="1"/>
  <c r="W935" i="4"/>
  <c r="Y935" i="4" s="1"/>
  <c r="W506" i="4"/>
  <c r="Y506" i="4" s="1"/>
  <c r="W461" i="4"/>
  <c r="Y461" i="4" s="1"/>
  <c r="W538" i="4"/>
  <c r="Y538" i="4" s="1"/>
  <c r="W298" i="4"/>
  <c r="Y298" i="4" s="1"/>
  <c r="W404" i="4"/>
  <c r="Y404" i="4" s="1"/>
  <c r="W530" i="4"/>
  <c r="Y530" i="4" s="1"/>
  <c r="W134" i="4"/>
  <c r="Y134" i="4" s="1"/>
  <c r="W164" i="4"/>
  <c r="Y164" i="4" s="1"/>
  <c r="W97" i="4"/>
  <c r="Y97" i="4" s="1"/>
  <c r="W129" i="4"/>
  <c r="Y129" i="4" s="1"/>
  <c r="W280" i="4"/>
  <c r="Y280" i="4" s="1"/>
  <c r="W312" i="4"/>
  <c r="Y312" i="4" s="1"/>
  <c r="W872" i="4"/>
  <c r="Y872" i="4" s="1"/>
  <c r="W408" i="4"/>
  <c r="Y408" i="4" s="1"/>
  <c r="W586" i="4"/>
  <c r="Y586" i="4" s="1"/>
  <c r="W318" i="4"/>
  <c r="Y318" i="4" s="1"/>
  <c r="W146" i="4"/>
  <c r="Y146" i="4" s="1"/>
  <c r="W43" i="4"/>
  <c r="W117" i="4"/>
  <c r="Y117" i="4" s="1"/>
  <c r="W184" i="4"/>
  <c r="Y184" i="4" s="1"/>
  <c r="W75" i="4"/>
  <c r="Y75" i="4" s="1"/>
  <c r="W116" i="4"/>
  <c r="Y116" i="4" s="1"/>
  <c r="W285" i="4"/>
  <c r="Y285" i="4" s="1"/>
  <c r="W66" i="4"/>
  <c r="Y66" i="4" s="1"/>
  <c r="W82" i="4"/>
  <c r="Y82" i="4" s="1"/>
  <c r="AF82" i="4" s="1"/>
  <c r="W271" i="4"/>
  <c r="Y271" i="4" s="1"/>
  <c r="W279" i="4"/>
  <c r="Y279" i="4" s="1"/>
  <c r="W509" i="4"/>
  <c r="Y509" i="4" s="1"/>
  <c r="W599" i="4"/>
  <c r="Y599" i="4" s="1"/>
  <c r="W195" i="4"/>
  <c r="Y195" i="4" s="1"/>
  <c r="W199" i="4"/>
  <c r="Y199" i="4" s="1"/>
  <c r="W203" i="4"/>
  <c r="Y203" i="4" s="1"/>
  <c r="W219" i="4"/>
  <c r="Y219" i="4" s="1"/>
  <c r="W179" i="4"/>
  <c r="Y179" i="4" s="1"/>
  <c r="W221" i="4"/>
  <c r="Y221" i="4" s="1"/>
  <c r="W379" i="4"/>
  <c r="Y379" i="4" s="1"/>
  <c r="W454" i="4"/>
  <c r="Y454" i="4" s="1"/>
  <c r="W613" i="4"/>
  <c r="Y613" i="4" s="1"/>
  <c r="W672" i="4"/>
  <c r="Y672" i="4" s="1"/>
  <c r="W464" i="4"/>
  <c r="Y464" i="4" s="1"/>
  <c r="W487" i="4"/>
  <c r="Y487" i="4" s="1"/>
  <c r="W674" i="4"/>
  <c r="Y674" i="4" s="1"/>
  <c r="W639" i="4"/>
  <c r="Y639" i="4" s="1"/>
  <c r="W671" i="4"/>
  <c r="Y671" i="4" s="1"/>
  <c r="W885" i="4"/>
  <c r="Y885" i="4" s="1"/>
  <c r="W900" i="4"/>
  <c r="Y900" i="4" s="1"/>
  <c r="W878" i="4"/>
  <c r="Y878" i="4" s="1"/>
  <c r="W897" i="4"/>
  <c r="Y897" i="4" s="1"/>
  <c r="W920" i="4"/>
  <c r="Y920" i="4" s="1"/>
  <c r="W936" i="4"/>
  <c r="Y936" i="4" s="1"/>
  <c r="W943" i="4"/>
  <c r="Y943" i="4" s="1"/>
  <c r="W295" i="4"/>
  <c r="Y295" i="4" s="1"/>
  <c r="W309" i="4"/>
  <c r="Y309" i="4" s="1"/>
  <c r="W147" i="4"/>
  <c r="Y147" i="4" s="1"/>
  <c r="W620" i="4"/>
  <c r="Y620" i="4" s="1"/>
  <c r="W911" i="4"/>
  <c r="Y911" i="4" s="1"/>
  <c r="W939" i="4"/>
  <c r="Y939" i="4" s="1"/>
  <c r="W566" i="4"/>
  <c r="Y566" i="4" s="1"/>
  <c r="AF566" i="4" s="1"/>
  <c r="W168" i="4"/>
  <c r="Y168" i="4" s="1"/>
  <c r="W292" i="4"/>
  <c r="Y292" i="4" s="1"/>
  <c r="W511" i="4"/>
  <c r="Y511" i="4" s="1"/>
  <c r="W666" i="4"/>
  <c r="Y666" i="4" s="1"/>
  <c r="W931" i="4"/>
  <c r="Y931" i="4" s="1"/>
  <c r="W522" i="4"/>
  <c r="Y522" i="4" s="1"/>
  <c r="W294" i="4"/>
  <c r="Y294" i="4" s="1"/>
  <c r="W324" i="4"/>
  <c r="Y324" i="4" s="1"/>
  <c r="W325" i="4"/>
  <c r="Y325" i="4" s="1"/>
  <c r="W19" i="4"/>
  <c r="Y19" i="4" s="1"/>
  <c r="W108" i="4"/>
  <c r="Y108" i="4" s="1"/>
  <c r="W163" i="4"/>
  <c r="Y163" i="4" s="1"/>
  <c r="W437" i="4"/>
  <c r="Y437" i="4" s="1"/>
  <c r="W678" i="4"/>
  <c r="Y678" i="4" s="1"/>
  <c r="W658" i="4"/>
  <c r="Y658" i="4" s="1"/>
  <c r="W891" i="4"/>
  <c r="Y891" i="4" s="1"/>
  <c r="W894" i="4"/>
  <c r="Y894" i="4" s="1"/>
  <c r="W910" i="4"/>
  <c r="Y910" i="4" s="1"/>
  <c r="W944" i="4"/>
  <c r="Y944" i="4" s="1"/>
  <c r="W588" i="4"/>
  <c r="Y588" i="4" s="1"/>
  <c r="W619" i="4"/>
  <c r="Y619" i="4" s="1"/>
  <c r="W278" i="4"/>
  <c r="Y278" i="4" s="1"/>
  <c r="W170" i="4"/>
  <c r="Y170" i="4" s="1"/>
  <c r="W115" i="4"/>
  <c r="Y115" i="4" s="1"/>
  <c r="W152" i="4"/>
  <c r="Y152" i="4" s="1"/>
  <c r="W308" i="4"/>
  <c r="Y308" i="4" s="1"/>
  <c r="W15" i="4"/>
  <c r="Y15" i="4" s="1"/>
  <c r="W128" i="4"/>
  <c r="Y128" i="4" s="1"/>
  <c r="W297" i="4"/>
  <c r="Y297" i="4" s="1"/>
  <c r="W327" i="4"/>
  <c r="Y327" i="4" s="1"/>
  <c r="W663" i="4"/>
  <c r="Y663" i="4" s="1"/>
  <c r="W679" i="4"/>
  <c r="Y679" i="4" s="1"/>
  <c r="W922" i="4"/>
  <c r="Y922" i="4" s="1"/>
  <c r="W924" i="4"/>
  <c r="Y924" i="4" s="1"/>
  <c r="W954" i="4"/>
  <c r="Y954" i="4" s="1"/>
  <c r="W584" i="4"/>
  <c r="Y584" i="4" s="1"/>
  <c r="W264" i="4"/>
  <c r="Y264" i="4" s="1"/>
  <c r="W85" i="4"/>
  <c r="Y85" i="4" s="1"/>
  <c r="W94" i="4"/>
  <c r="Y94" i="4" s="1"/>
  <c r="W114" i="4"/>
  <c r="Y114" i="4" s="1"/>
  <c r="W267" i="4"/>
  <c r="Y267" i="4" s="1"/>
  <c r="W425" i="4"/>
  <c r="Y425" i="4" s="1"/>
  <c r="W120" i="4"/>
  <c r="Y120" i="4" s="1"/>
  <c r="W656" i="4"/>
  <c r="Y656" i="4" s="1"/>
  <c r="W682" i="4"/>
  <c r="Y682" i="4" s="1"/>
  <c r="W628" i="4"/>
  <c r="Y628" i="4" s="1"/>
  <c r="W675" i="4"/>
  <c r="Y675" i="4" s="1"/>
  <c r="W877" i="4"/>
  <c r="Y877" i="4" s="1"/>
  <c r="W913" i="4"/>
  <c r="Y913" i="4" s="1"/>
  <c r="W11" i="4"/>
  <c r="Y11" i="4" s="1"/>
  <c r="W371" i="4"/>
  <c r="W870" i="4"/>
  <c r="K56" i="2"/>
  <c r="L130" i="2"/>
  <c r="M94" i="2"/>
  <c r="V336" i="4"/>
  <c r="V6" i="4"/>
  <c r="V71" i="4"/>
  <c r="V407" i="4"/>
  <c r="V423" i="4"/>
  <c r="V439" i="4"/>
  <c r="V421" i="4"/>
  <c r="V411" i="4"/>
  <c r="V419" i="4"/>
  <c r="V435" i="4"/>
  <c r="V535" i="4"/>
  <c r="V417" i="4"/>
  <c r="V433" i="4"/>
  <c r="V505" i="4"/>
  <c r="V531" i="4"/>
  <c r="V563" i="4"/>
  <c r="V422" i="4"/>
  <c r="V430" i="4"/>
  <c r="V495" i="4"/>
  <c r="V503" i="4"/>
  <c r="V507" i="4"/>
  <c r="V580" i="4"/>
  <c r="V488" i="4"/>
  <c r="V504" i="4"/>
  <c r="V512" i="4"/>
  <c r="V546" i="4"/>
  <c r="V554" i="4"/>
  <c r="V861" i="4"/>
  <c r="V30" i="4"/>
  <c r="V101" i="4"/>
  <c r="V63" i="4"/>
  <c r="V204" i="4"/>
  <c r="V212" i="4"/>
  <c r="V216" i="4"/>
  <c r="V429" i="4"/>
  <c r="V539" i="4"/>
  <c r="V198" i="4"/>
  <c r="V214" i="4"/>
  <c r="V376" i="4"/>
  <c r="V551" i="4"/>
  <c r="V99" i="4"/>
  <c r="V272" i="4"/>
  <c r="V409" i="4"/>
  <c r="V441" i="4"/>
  <c r="V489" i="4"/>
  <c r="V871" i="4"/>
  <c r="V410" i="4"/>
  <c r="V418" i="4"/>
  <c r="V468" i="4"/>
  <c r="V529" i="4"/>
  <c r="V537" i="4"/>
  <c r="V545" i="4"/>
  <c r="V334" i="4"/>
  <c r="V527" i="4"/>
  <c r="V73" i="4"/>
  <c r="V81" i="4"/>
  <c r="V218" i="4"/>
  <c r="V103" i="4"/>
  <c r="V569" i="4"/>
  <c r="V412" i="4"/>
  <c r="V428" i="4"/>
  <c r="V436" i="4"/>
  <c r="V498" i="4"/>
  <c r="V524" i="4"/>
  <c r="V532" i="4"/>
  <c r="V540" i="4"/>
  <c r="V564" i="4"/>
  <c r="V616" i="4"/>
  <c r="V590" i="4"/>
  <c r="V598" i="4"/>
  <c r="V886" i="4"/>
  <c r="V882" i="4"/>
  <c r="V25" i="4"/>
  <c r="V262" i="4"/>
  <c r="V210" i="4"/>
  <c r="V335" i="4"/>
  <c r="V493" i="4"/>
  <c r="V378" i="4"/>
  <c r="V424" i="4"/>
  <c r="V557" i="4"/>
  <c r="V573" i="4"/>
  <c r="V494" i="4"/>
  <c r="V536" i="4"/>
  <c r="V600" i="4"/>
  <c r="V508" i="4"/>
  <c r="V518" i="4"/>
  <c r="V955" i="4"/>
  <c r="V533" i="4"/>
  <c r="V202" i="4"/>
  <c r="V268" i="4"/>
  <c r="V466" i="4"/>
  <c r="V542" i="4"/>
  <c r="V574" i="4"/>
  <c r="V23" i="4"/>
  <c r="V485" i="4"/>
  <c r="V174" i="4"/>
  <c r="V178" i="4"/>
  <c r="V401" i="4"/>
  <c r="V432" i="4"/>
  <c r="V558" i="4"/>
  <c r="V513" i="4"/>
  <c r="V565" i="4"/>
  <c r="V520" i="4"/>
  <c r="V552" i="4"/>
  <c r="V416" i="4"/>
  <c r="V478" i="4"/>
  <c r="V560" i="4"/>
  <c r="V901" i="4"/>
  <c r="V664" i="4"/>
  <c r="V211" i="4"/>
  <c r="V662" i="4"/>
  <c r="V659" i="4"/>
  <c r="V367" i="4"/>
  <c r="V351" i="4"/>
  <c r="V343" i="4"/>
  <c r="V207" i="4"/>
  <c r="V622" i="4"/>
  <c r="V951" i="4"/>
  <c r="V645" i="4"/>
  <c r="V624" i="4"/>
  <c r="V667" i="4"/>
  <c r="V459" i="4"/>
  <c r="V205" i="4"/>
  <c r="V342" i="4"/>
  <c r="V269" i="4"/>
  <c r="V364" i="4"/>
  <c r="V356" i="4"/>
  <c r="V348" i="4"/>
  <c r="V942" i="4"/>
  <c r="V892" i="4"/>
  <c r="V895" i="4"/>
  <c r="V683" i="4"/>
  <c r="V655" i="4"/>
  <c r="V333" i="4"/>
  <c r="V72" i="4"/>
  <c r="V22" i="4"/>
  <c r="V375" i="4"/>
  <c r="V361" i="4"/>
  <c r="V353" i="4"/>
  <c r="V345" i="4"/>
  <c r="V215" i="4"/>
  <c r="V479" i="4"/>
  <c r="V665" i="4"/>
  <c r="V201" i="4"/>
  <c r="V916" i="4"/>
  <c r="V899" i="4"/>
  <c r="V668" i="4"/>
  <c r="V915" i="4"/>
  <c r="V650" i="4"/>
  <c r="V209" i="4"/>
  <c r="V475" i="4"/>
  <c r="V193" i="4"/>
  <c r="V366" i="4"/>
  <c r="V358" i="4"/>
  <c r="V350" i="4"/>
  <c r="V253" i="4"/>
  <c r="V50" i="4"/>
  <c r="V217" i="4"/>
  <c r="V255" i="4"/>
  <c r="V76" i="4"/>
  <c r="V363" i="4"/>
  <c r="V347" i="4"/>
  <c r="V223" i="4"/>
  <c r="V653" i="4"/>
  <c r="V929" i="4"/>
  <c r="V651" i="4"/>
  <c r="V457" i="4"/>
  <c r="V90" i="4"/>
  <c r="V161" i="4"/>
  <c r="V167" i="4"/>
  <c r="V159" i="4"/>
  <c r="V928" i="4"/>
  <c r="V225" i="4"/>
  <c r="V360" i="4"/>
  <c r="V352" i="4"/>
  <c r="V344" i="4"/>
  <c r="V956" i="4"/>
  <c r="V881" i="4"/>
  <c r="V477" i="4"/>
  <c r="V175" i="4"/>
  <c r="V80" i="4"/>
  <c r="V648" i="4"/>
  <c r="V636" i="4"/>
  <c r="V637" i="4"/>
  <c r="V649" i="4"/>
  <c r="V365" i="4"/>
  <c r="V357" i="4"/>
  <c r="V104" i="4"/>
  <c r="V473" i="4"/>
  <c r="V890" i="4"/>
  <c r="V660" i="4"/>
  <c r="V634" i="4"/>
  <c r="V13" i="4"/>
  <c r="V643" i="4"/>
  <c r="V98" i="4"/>
  <c r="V48" i="4"/>
  <c r="V189" i="4"/>
  <c r="V29" i="4"/>
  <c r="V354" i="4"/>
  <c r="V346" i="4"/>
  <c r="V930" i="4"/>
  <c r="V647" i="4"/>
  <c r="V265" i="4"/>
  <c r="AF34" i="4"/>
  <c r="AF448" i="4"/>
  <c r="AF884" i="4"/>
  <c r="Y332" i="4"/>
  <c r="AF587" i="4"/>
  <c r="AF414" i="4"/>
  <c r="AF515" i="4"/>
  <c r="F139" i="2"/>
  <c r="D140" i="2"/>
  <c r="E139" i="2"/>
  <c r="D31" i="2"/>
  <c r="E30" i="2"/>
  <c r="D103" i="2"/>
  <c r="F102" i="2"/>
  <c r="E102" i="2"/>
  <c r="J57" i="2"/>
  <c r="J129" i="2"/>
  <c r="J93" i="2"/>
  <c r="K21" i="2"/>
  <c r="V852" i="4" l="1"/>
  <c r="W577" i="4"/>
  <c r="Y577" i="4" s="1"/>
  <c r="AF332" i="4"/>
  <c r="V86" i="4"/>
  <c r="AF913" i="4"/>
  <c r="AF264" i="4"/>
  <c r="AF922" i="4"/>
  <c r="AF619" i="4"/>
  <c r="AF325" i="4"/>
  <c r="AF931" i="4"/>
  <c r="AF943" i="4"/>
  <c r="AF878" i="4"/>
  <c r="AF221" i="4"/>
  <c r="AF285" i="4"/>
  <c r="AF117" i="4"/>
  <c r="AF134" i="4"/>
  <c r="AF538" i="4"/>
  <c r="AF940" i="4"/>
  <c r="AF677" i="4"/>
  <c r="AF676" i="4"/>
  <c r="AF337" i="4"/>
  <c r="AF213" i="4"/>
  <c r="AF415" i="4"/>
  <c r="AF384" i="4"/>
  <c r="AF287" i="4"/>
  <c r="AF74" i="4"/>
  <c r="AF301" i="4"/>
  <c r="AF300" i="4"/>
  <c r="AF144" i="4"/>
  <c r="AF242" i="4"/>
  <c r="AF91" i="4"/>
  <c r="AF606" i="4"/>
  <c r="AF200" i="4"/>
  <c r="AF302" i="4"/>
  <c r="AF568" i="4"/>
  <c r="AF605" i="4"/>
  <c r="AF483" i="4"/>
  <c r="AF135" i="4"/>
  <c r="AF321" i="4"/>
  <c r="AF403" i="4"/>
  <c r="AF122" i="4"/>
  <c r="AF289" i="4"/>
  <c r="AF258" i="4"/>
  <c r="AF148" i="4"/>
  <c r="AF61" i="4"/>
  <c r="AF926" i="4"/>
  <c r="AF937" i="4"/>
  <c r="AF923" i="4"/>
  <c r="AF921" i="4"/>
  <c r="AF609" i="4"/>
  <c r="AF630" i="4"/>
  <c r="AF497" i="4"/>
  <c r="AF241" i="4"/>
  <c r="AF181" i="4"/>
  <c r="AF157" i="4"/>
  <c r="AF141" i="4"/>
  <c r="AF323" i="4"/>
  <c r="AF106" i="4"/>
  <c r="AF293" i="4"/>
  <c r="AF60" i="4"/>
  <c r="AF270" i="4"/>
  <c r="AF105" i="4"/>
  <c r="AF156" i="4"/>
  <c r="AF111" i="4"/>
  <c r="AF77" i="4"/>
  <c r="AF290" i="4"/>
  <c r="AF455" i="4"/>
  <c r="AF612" i="4"/>
  <c r="J94" i="2"/>
  <c r="J58" i="2"/>
  <c r="J130" i="2"/>
  <c r="K22" i="2"/>
  <c r="V56" i="4"/>
  <c r="V274" i="4"/>
  <c r="AF829" i="4"/>
  <c r="AF822" i="4"/>
  <c r="AF754" i="4"/>
  <c r="AF752" i="4"/>
  <c r="AF781" i="4"/>
  <c r="AF783" i="4"/>
  <c r="AF815" i="4"/>
  <c r="D68" i="2"/>
  <c r="F67" i="2"/>
  <c r="E67" i="2"/>
  <c r="K93" i="2"/>
  <c r="F140" i="2"/>
  <c r="D141" i="2"/>
  <c r="E140" i="2"/>
  <c r="V339" i="4"/>
  <c r="V958" i="4"/>
  <c r="V8" i="4"/>
  <c r="M130" i="2"/>
  <c r="Y870" i="4"/>
  <c r="AF877" i="4"/>
  <c r="AF656" i="4"/>
  <c r="AF114" i="4"/>
  <c r="AF584" i="4"/>
  <c r="AF679" i="4"/>
  <c r="AF128" i="4"/>
  <c r="AF115" i="4"/>
  <c r="AF588" i="4"/>
  <c r="AF891" i="4"/>
  <c r="AF163" i="4"/>
  <c r="AF324" i="4"/>
  <c r="AF666" i="4"/>
  <c r="AF147" i="4"/>
  <c r="AF936" i="4"/>
  <c r="AF900" i="4"/>
  <c r="AF674" i="4"/>
  <c r="AF613" i="4"/>
  <c r="AF179" i="4"/>
  <c r="AF195" i="4"/>
  <c r="AF271" i="4"/>
  <c r="AF116" i="4"/>
  <c r="Y43" i="4"/>
  <c r="AF408" i="4"/>
  <c r="AF129" i="4"/>
  <c r="AF530" i="4"/>
  <c r="AF461" i="4"/>
  <c r="AF934" i="4"/>
  <c r="AF919" i="4"/>
  <c r="AF933" i="4"/>
  <c r="AF673" i="4"/>
  <c r="AF632" i="4"/>
  <c r="AF462" i="4"/>
  <c r="AF171" i="4"/>
  <c r="AF670" i="4"/>
  <c r="AF372" i="4"/>
  <c r="AF251" i="4"/>
  <c r="AF17" i="4"/>
  <c r="AF281" i="4"/>
  <c r="AF83" i="4"/>
  <c r="AF125" i="4"/>
  <c r="AF142" i="4"/>
  <c r="AF107" i="4"/>
  <c r="AF69" i="4"/>
  <c r="AF208" i="4"/>
  <c r="AF382" i="4"/>
  <c r="AF482" i="4"/>
  <c r="AF597" i="4"/>
  <c r="AF571" i="4"/>
  <c r="Y89" i="4"/>
  <c r="AF305" i="4"/>
  <c r="AF315" i="4"/>
  <c r="AF118" i="4"/>
  <c r="AF124" i="4"/>
  <c r="AF79" i="4"/>
  <c r="AF310" i="4"/>
  <c r="AF282" i="4"/>
  <c r="AF445" i="4"/>
  <c r="AF938" i="4"/>
  <c r="AF925" i="4"/>
  <c r="AF918" i="4"/>
  <c r="AF642" i="4"/>
  <c r="AF601" i="4"/>
  <c r="AF549" i="4"/>
  <c r="AF143" i="4"/>
  <c r="AF112" i="4"/>
  <c r="AF177" i="4"/>
  <c r="AF153" i="4"/>
  <c r="Y133" i="4"/>
  <c r="AF78" i="4"/>
  <c r="AF100" i="4"/>
  <c r="AF320" i="4"/>
  <c r="AF222" i="4"/>
  <c r="AF254" i="4"/>
  <c r="AF140" i="4"/>
  <c r="AF127" i="4"/>
  <c r="AF154" i="4"/>
  <c r="AF314" i="4"/>
  <c r="AF471" i="4"/>
  <c r="AF887" i="4"/>
  <c r="V703" i="4"/>
  <c r="V186" i="4"/>
  <c r="X36" i="4"/>
  <c r="X575" i="4"/>
  <c r="X32" i="4"/>
  <c r="Y708" i="4"/>
  <c r="AF753" i="4"/>
  <c r="AF806" i="4"/>
  <c r="AF839" i="4"/>
  <c r="AF848" i="4"/>
  <c r="AF733" i="4"/>
  <c r="AF816" i="4"/>
  <c r="AF800" i="4"/>
  <c r="L61" i="2"/>
  <c r="M25" i="2"/>
  <c r="AF267" i="4"/>
  <c r="AF152" i="4"/>
  <c r="AF437" i="4"/>
  <c r="AF620" i="4"/>
  <c r="AF639" i="4"/>
  <c r="AF279" i="4"/>
  <c r="AF586" i="4"/>
  <c r="AF876" i="4"/>
  <c r="K129" i="2"/>
  <c r="D32" i="2"/>
  <c r="E31" i="2"/>
  <c r="V190" i="4"/>
  <c r="V388" i="4"/>
  <c r="Y371" i="4"/>
  <c r="AF675" i="4"/>
  <c r="AF120" i="4"/>
  <c r="AF94" i="4"/>
  <c r="AF954" i="4"/>
  <c r="AF663" i="4"/>
  <c r="AF15" i="4"/>
  <c r="AF170" i="4"/>
  <c r="AF944" i="4"/>
  <c r="AF658" i="4"/>
  <c r="AF108" i="4"/>
  <c r="AF294" i="4"/>
  <c r="AF511" i="4"/>
  <c r="AF939" i="4"/>
  <c r="AF309" i="4"/>
  <c r="AF920" i="4"/>
  <c r="AF885" i="4"/>
  <c r="AF487" i="4"/>
  <c r="AF454" i="4"/>
  <c r="AF219" i="4"/>
  <c r="AF599" i="4"/>
  <c r="AF75" i="4"/>
  <c r="AF146" i="4"/>
  <c r="AF872" i="4"/>
  <c r="AF97" i="4"/>
  <c r="AF404" i="4"/>
  <c r="AF506" i="4"/>
  <c r="AF907" i="4"/>
  <c r="AF880" i="4"/>
  <c r="AF932" i="4"/>
  <c r="AF669" i="4"/>
  <c r="AF456" i="4"/>
  <c r="AF413" i="4"/>
  <c r="AF155" i="4"/>
  <c r="AF338" i="4"/>
  <c r="AF126" i="4"/>
  <c r="AF431" i="4"/>
  <c r="AF261" i="4"/>
  <c r="AF176" i="4"/>
  <c r="AF109" i="4"/>
  <c r="AF162" i="4"/>
  <c r="AF123" i="4"/>
  <c r="AF150" i="4"/>
  <c r="AF220" i="4"/>
  <c r="AF449" i="4"/>
  <c r="AF514" i="4"/>
  <c r="AF589" i="4"/>
  <c r="AF183" i="4"/>
  <c r="AF16" i="4"/>
  <c r="Y59" i="4"/>
  <c r="AF299" i="4"/>
  <c r="AF70" i="4"/>
  <c r="AF328" i="4"/>
  <c r="AF113" i="4"/>
  <c r="AF119" i="4"/>
  <c r="AF442" i="4"/>
  <c r="AF447" i="4"/>
  <c r="AF949" i="4"/>
  <c r="AF906" i="4"/>
  <c r="AF879" i="4"/>
  <c r="AF626" i="4"/>
  <c r="AF593" i="4"/>
  <c r="AF541" i="4"/>
  <c r="AF591" i="4"/>
  <c r="AF547" i="4"/>
  <c r="AF173" i="4"/>
  <c r="AF149" i="4"/>
  <c r="AF18" i="4"/>
  <c r="AF291" i="4"/>
  <c r="Y10" i="4"/>
  <c r="AF96" i="4"/>
  <c r="AF304" i="4"/>
  <c r="AF206" i="4"/>
  <c r="AF194" i="4"/>
  <c r="AF260" i="4"/>
  <c r="AF182" i="4"/>
  <c r="AF570" i="4"/>
  <c r="AF490" i="4"/>
  <c r="AF883" i="4"/>
  <c r="V329" i="4"/>
  <c r="L96" i="2"/>
  <c r="M60" i="2"/>
  <c r="X562" i="4"/>
  <c r="X578" i="4"/>
  <c r="X904" i="4"/>
  <c r="X579" i="4"/>
  <c r="Y845" i="4"/>
  <c r="AF804" i="4"/>
  <c r="AF784" i="4"/>
  <c r="AF801" i="4"/>
  <c r="AF809" i="4"/>
  <c r="AF728" i="4"/>
  <c r="AF725" i="4"/>
  <c r="AF808" i="4"/>
  <c r="L26" i="2"/>
  <c r="L29" i="1"/>
  <c r="AF682" i="4"/>
  <c r="AF297" i="4"/>
  <c r="AF894" i="4"/>
  <c r="AF168" i="4"/>
  <c r="AF672" i="4"/>
  <c r="AF199" i="4"/>
  <c r="AF280" i="4"/>
  <c r="AF893" i="4"/>
  <c r="V39" i="4"/>
  <c r="K57" i="2"/>
  <c r="F103" i="2"/>
  <c r="D104" i="2"/>
  <c r="E103" i="2"/>
  <c r="V130" i="4"/>
  <c r="V226" i="4"/>
  <c r="V368" i="4"/>
  <c r="V867" i="4"/>
  <c r="AF11" i="4"/>
  <c r="AF628" i="4"/>
  <c r="AF425" i="4"/>
  <c r="AF85" i="4"/>
  <c r="AF924" i="4"/>
  <c r="AF327" i="4"/>
  <c r="AF308" i="4"/>
  <c r="AF278" i="4"/>
  <c r="AF910" i="4"/>
  <c r="AF678" i="4"/>
  <c r="AF19" i="4"/>
  <c r="AF522" i="4"/>
  <c r="AF292" i="4"/>
  <c r="AF911" i="4"/>
  <c r="AF295" i="4"/>
  <c r="AF897" i="4"/>
  <c r="AF671" i="4"/>
  <c r="AF464" i="4"/>
  <c r="AF379" i="4"/>
  <c r="AF203" i="4"/>
  <c r="AF509" i="4"/>
  <c r="AF66" i="4"/>
  <c r="AF184" i="4"/>
  <c r="AF318" i="4"/>
  <c r="AF312" i="4"/>
  <c r="AF164" i="4"/>
  <c r="AF298" i="4"/>
  <c r="AF935" i="4"/>
  <c r="AF909" i="4"/>
  <c r="AF917" i="4"/>
  <c r="AF681" i="4"/>
  <c r="AF661" i="4"/>
  <c r="AF362" i="4"/>
  <c r="AF387" i="4"/>
  <c r="AF139" i="4"/>
  <c r="AF583" i="4"/>
  <c r="AF319" i="4"/>
  <c r="AF102" i="4"/>
  <c r="AF381" i="4"/>
  <c r="AF316" i="4"/>
  <c r="AF160" i="4"/>
  <c r="AF93" i="4"/>
  <c r="AF322" i="4"/>
  <c r="AF610" i="4"/>
  <c r="AF166" i="4"/>
  <c r="AF286" i="4"/>
  <c r="AF510" i="4"/>
  <c r="AF863" i="4"/>
  <c r="AF491" i="4"/>
  <c r="AF151" i="4"/>
  <c r="AF607" i="4"/>
  <c r="AF427" i="4"/>
  <c r="AF283" i="4"/>
  <c r="AF373" i="4"/>
  <c r="AF296" i="4"/>
  <c r="AF180" i="4"/>
  <c r="AF12" i="4"/>
  <c r="AF602" i="4"/>
  <c r="AF952" i="4"/>
  <c r="AF945" i="4"/>
  <c r="AF912" i="4"/>
  <c r="AF874" i="4"/>
  <c r="AF617" i="4"/>
  <c r="AF452" i="4"/>
  <c r="AF525" i="4"/>
  <c r="AF249" i="4"/>
  <c r="AF185" i="4"/>
  <c r="AF165" i="4"/>
  <c r="AF145" i="4"/>
  <c r="AF7" i="4"/>
  <c r="AF110" i="4"/>
  <c r="AF317" i="4"/>
  <c r="AF92" i="4"/>
  <c r="AF288" i="4"/>
  <c r="AF121" i="4"/>
  <c r="AF172" i="4"/>
  <c r="AF95" i="4"/>
  <c r="AF420" i="4"/>
  <c r="AF224" i="4"/>
  <c r="AF486" i="4"/>
  <c r="AF516" i="4"/>
  <c r="J23" i="2"/>
  <c r="K26" i="1"/>
  <c r="L131" i="2"/>
  <c r="M95" i="2"/>
  <c r="AF847" i="4"/>
  <c r="AF846" i="4"/>
  <c r="AF819" i="4"/>
  <c r="AF769" i="4"/>
  <c r="AF813" i="4"/>
  <c r="AF714" i="4"/>
  <c r="AF726" i="4"/>
  <c r="AF792" i="4"/>
  <c r="L62" i="2" l="1"/>
  <c r="M26" i="2"/>
  <c r="AF133" i="4"/>
  <c r="AF43" i="4"/>
  <c r="AF870" i="4"/>
  <c r="V961" i="4"/>
  <c r="K94" i="2"/>
  <c r="M131" i="2"/>
  <c r="L132" i="2"/>
  <c r="M96" i="2"/>
  <c r="AF371" i="4"/>
  <c r="D33" i="2"/>
  <c r="E32" i="2"/>
  <c r="K58" i="2"/>
  <c r="D105" i="2"/>
  <c r="F104" i="2"/>
  <c r="E104" i="2"/>
  <c r="AF10" i="4"/>
  <c r="V391" i="4"/>
  <c r="F68" i="2"/>
  <c r="D69" i="2"/>
  <c r="E68" i="2"/>
  <c r="W500" i="4"/>
  <c r="Y500" i="4" s="1"/>
  <c r="W266" i="4"/>
  <c r="Y266" i="4" s="1"/>
  <c r="AF577" i="4"/>
  <c r="J131" i="2"/>
  <c r="J59" i="2"/>
  <c r="J95" i="2"/>
  <c r="K23" i="2"/>
  <c r="L30" i="1"/>
  <c r="L27" i="2"/>
  <c r="AF845" i="4"/>
  <c r="V544" i="4"/>
  <c r="AF59" i="4"/>
  <c r="K27" i="1"/>
  <c r="J24" i="2"/>
  <c r="X383" i="4"/>
  <c r="X28" i="4"/>
  <c r="L97" i="2"/>
  <c r="M61" i="2"/>
  <c r="AF708" i="4"/>
  <c r="AF89" i="4"/>
  <c r="X732" i="4"/>
  <c r="X825" i="4"/>
  <c r="X794" i="4"/>
  <c r="X803" i="4"/>
  <c r="D142" i="2"/>
  <c r="F141" i="2"/>
  <c r="E141" i="2"/>
  <c r="K130" i="2"/>
  <c r="L28" i="2" l="1"/>
  <c r="L31" i="1"/>
  <c r="K131" i="2"/>
  <c r="F69" i="2"/>
  <c r="D70" i="2"/>
  <c r="E69" i="2"/>
  <c r="W553" i="4"/>
  <c r="Y553" i="4" s="1"/>
  <c r="W501" i="4"/>
  <c r="Y501" i="4" s="1"/>
  <c r="W862" i="4"/>
  <c r="Y862" i="4" s="1"/>
  <c r="J96" i="2"/>
  <c r="J132" i="2"/>
  <c r="J60" i="2"/>
  <c r="K24" i="2"/>
  <c r="W561" i="4"/>
  <c r="Y561" i="4" s="1"/>
  <c r="W595" i="4"/>
  <c r="Y595" i="4" s="1"/>
  <c r="W905" i="4"/>
  <c r="Y905" i="4" s="1"/>
  <c r="AF500" i="4"/>
  <c r="M132" i="2"/>
  <c r="X245" i="4"/>
  <c r="L133" i="2"/>
  <c r="M97" i="2"/>
  <c r="W732" i="4"/>
  <c r="Y732" i="4" s="1"/>
  <c r="W825" i="4"/>
  <c r="Y825" i="4" s="1"/>
  <c r="W803" i="4"/>
  <c r="Y803" i="4" s="1"/>
  <c r="W794" i="4"/>
  <c r="Y794" i="4" s="1"/>
  <c r="J25" i="2"/>
  <c r="K28" i="1"/>
  <c r="K95" i="2"/>
  <c r="F105" i="2"/>
  <c r="D106" i="2"/>
  <c r="E105" i="2"/>
  <c r="L98" i="2"/>
  <c r="M62" i="2"/>
  <c r="AF266" i="4"/>
  <c r="F142" i="2"/>
  <c r="E142" i="2"/>
  <c r="X443" i="4"/>
  <c r="X596" i="4"/>
  <c r="L63" i="2"/>
  <c r="M27" i="2"/>
  <c r="K59" i="2"/>
  <c r="D34" i="2"/>
  <c r="E33" i="2"/>
  <c r="L134" i="2" l="1"/>
  <c r="M98" i="2"/>
  <c r="J61" i="2"/>
  <c r="J133" i="2"/>
  <c r="J97" i="2"/>
  <c r="K25" i="2"/>
  <c r="AF732" i="4"/>
  <c r="AF862" i="4"/>
  <c r="L99" i="2"/>
  <c r="M63" i="2"/>
  <c r="AF794" i="4"/>
  <c r="AF561" i="4"/>
  <c r="K132" i="2"/>
  <c r="AF501" i="4"/>
  <c r="F70" i="2"/>
  <c r="E70" i="2"/>
  <c r="E34" i="2"/>
  <c r="AF595" i="4"/>
  <c r="K60" i="2"/>
  <c r="W562" i="4"/>
  <c r="Y562" i="4" s="1"/>
  <c r="W579" i="4"/>
  <c r="Y579" i="4" s="1"/>
  <c r="W904" i="4"/>
  <c r="Y904" i="4" s="1"/>
  <c r="W578" i="4"/>
  <c r="Y578" i="4" s="1"/>
  <c r="AF803" i="4"/>
  <c r="K96" i="2"/>
  <c r="AF553" i="4"/>
  <c r="L32" i="1"/>
  <c r="L29" i="2"/>
  <c r="V550" i="4"/>
  <c r="F106" i="2"/>
  <c r="E106" i="2"/>
  <c r="J26" i="2"/>
  <c r="K29" i="1"/>
  <c r="AF825" i="4"/>
  <c r="M133" i="2"/>
  <c r="X849" i="4"/>
  <c r="X850" i="4" s="1"/>
  <c r="X787" i="4"/>
  <c r="X786" i="4"/>
  <c r="X736" i="4"/>
  <c r="X744" i="4"/>
  <c r="X758" i="4"/>
  <c r="X762" i="4"/>
  <c r="X766" i="4"/>
  <c r="X799" i="4"/>
  <c r="X782" i="4"/>
  <c r="X837" i="4"/>
  <c r="X831" i="4"/>
  <c r="X835" i="4"/>
  <c r="X737" i="4"/>
  <c r="X745" i="4"/>
  <c r="X723" i="4"/>
  <c r="X841" i="4"/>
  <c r="X755" i="4"/>
  <c r="X763" i="4"/>
  <c r="X775" i="4"/>
  <c r="X779" i="4"/>
  <c r="X834" i="4"/>
  <c r="X823" i="4"/>
  <c r="X827" i="4"/>
  <c r="X734" i="4"/>
  <c r="X756" i="4"/>
  <c r="X772" i="4"/>
  <c r="X749" i="4"/>
  <c r="X773" i="4"/>
  <c r="X820" i="4"/>
  <c r="X828" i="4"/>
  <c r="X738" i="4"/>
  <c r="X768" i="4"/>
  <c r="X761" i="4"/>
  <c r="X830" i="4"/>
  <c r="X735" i="4"/>
  <c r="X788" i="4"/>
  <c r="X840" i="4"/>
  <c r="X795" i="4"/>
  <c r="X746" i="4"/>
  <c r="X760" i="4"/>
  <c r="X776" i="4"/>
  <c r="X826" i="4"/>
  <c r="X747" i="4"/>
  <c r="X780" i="4"/>
  <c r="X836" i="4"/>
  <c r="X818" i="4"/>
  <c r="AF905" i="4"/>
  <c r="W575" i="4"/>
  <c r="Y575" i="4" s="1"/>
  <c r="W32" i="4"/>
  <c r="Y32" i="4" s="1"/>
  <c r="W36" i="4"/>
  <c r="Y36" i="4" s="1"/>
  <c r="L64" i="2"/>
  <c r="M28" i="2"/>
  <c r="L100" i="2" l="1"/>
  <c r="M64" i="2"/>
  <c r="J27" i="2"/>
  <c r="K30" i="1"/>
  <c r="L30" i="2"/>
  <c r="L33" i="1"/>
  <c r="AF904" i="4"/>
  <c r="W383" i="4"/>
  <c r="Y383" i="4" s="1"/>
  <c r="W28" i="4"/>
  <c r="Y28" i="4" s="1"/>
  <c r="V652" i="4"/>
  <c r="J98" i="2"/>
  <c r="J62" i="2"/>
  <c r="J134" i="2"/>
  <c r="K26" i="2"/>
  <c r="AF579" i="4"/>
  <c r="X902" i="4"/>
  <c r="X594" i="4"/>
  <c r="X576" i="4"/>
  <c r="K97" i="2"/>
  <c r="AF36" i="4"/>
  <c r="AF562" i="4"/>
  <c r="L135" i="2"/>
  <c r="M99" i="2"/>
  <c r="K133" i="2"/>
  <c r="M134" i="2"/>
  <c r="AF575" i="4"/>
  <c r="AF32" i="4"/>
  <c r="L65" i="2"/>
  <c r="M29" i="2"/>
  <c r="AF578" i="4"/>
  <c r="W828" i="4"/>
  <c r="Y828" i="4" s="1"/>
  <c r="W736" i="4"/>
  <c r="Y736" i="4" s="1"/>
  <c r="W744" i="4"/>
  <c r="Y744" i="4" s="1"/>
  <c r="W756" i="4"/>
  <c r="Y756" i="4" s="1"/>
  <c r="W772" i="4"/>
  <c r="Y772" i="4" s="1"/>
  <c r="W831" i="4"/>
  <c r="Y831" i="4" s="1"/>
  <c r="W773" i="4"/>
  <c r="Y773" i="4" s="1"/>
  <c r="W775" i="4"/>
  <c r="Y775" i="4" s="1"/>
  <c r="W835" i="4"/>
  <c r="Y835" i="4" s="1"/>
  <c r="W841" i="4"/>
  <c r="Y841" i="4" s="1"/>
  <c r="W820" i="4"/>
  <c r="Y820" i="4" s="1"/>
  <c r="W795" i="4"/>
  <c r="Y795" i="4" s="1"/>
  <c r="W780" i="4"/>
  <c r="Y780" i="4" s="1"/>
  <c r="W737" i="4"/>
  <c r="Y737" i="4" s="1"/>
  <c r="W745" i="4"/>
  <c r="Y745" i="4" s="1"/>
  <c r="W758" i="4"/>
  <c r="Y758" i="4" s="1"/>
  <c r="W766" i="4"/>
  <c r="Y766" i="4" s="1"/>
  <c r="W761" i="4"/>
  <c r="Y761" i="4" s="1"/>
  <c r="W763" i="4"/>
  <c r="Y763" i="4" s="1"/>
  <c r="W779" i="4"/>
  <c r="Y779" i="4" s="1"/>
  <c r="W837" i="4"/>
  <c r="Y837" i="4" s="1"/>
  <c r="W840" i="4"/>
  <c r="Y840" i="4" s="1"/>
  <c r="W786" i="4"/>
  <c r="Y786" i="4" s="1"/>
  <c r="W826" i="4"/>
  <c r="Y826" i="4" s="1"/>
  <c r="W734" i="4"/>
  <c r="Y734" i="4" s="1"/>
  <c r="W768" i="4"/>
  <c r="Y768" i="4" s="1"/>
  <c r="W823" i="4"/>
  <c r="Y823" i="4" s="1"/>
  <c r="W849" i="4"/>
  <c r="W746" i="4"/>
  <c r="Y746" i="4" s="1"/>
  <c r="W776" i="4"/>
  <c r="Y776" i="4" s="1"/>
  <c r="W755" i="4"/>
  <c r="Y755" i="4" s="1"/>
  <c r="W834" i="4"/>
  <c r="Y834" i="4" s="1"/>
  <c r="W747" i="4"/>
  <c r="Y747" i="4" s="1"/>
  <c r="W762" i="4"/>
  <c r="Y762" i="4" s="1"/>
  <c r="W827" i="4"/>
  <c r="Y827" i="4" s="1"/>
  <c r="W836" i="4"/>
  <c r="Y836" i="4" s="1"/>
  <c r="W799" i="4"/>
  <c r="Y799" i="4" s="1"/>
  <c r="W782" i="4"/>
  <c r="Y782" i="4" s="1"/>
  <c r="W735" i="4"/>
  <c r="Y735" i="4" s="1"/>
  <c r="W749" i="4"/>
  <c r="Y749" i="4" s="1"/>
  <c r="W818" i="4"/>
  <c r="Y818" i="4" s="1"/>
  <c r="W787" i="4"/>
  <c r="Y787" i="4" s="1"/>
  <c r="W830" i="4"/>
  <c r="Y830" i="4" s="1"/>
  <c r="W738" i="4"/>
  <c r="Y738" i="4" s="1"/>
  <c r="W760" i="4"/>
  <c r="Y760" i="4" s="1"/>
  <c r="W788" i="4"/>
  <c r="Y788" i="4" s="1"/>
  <c r="W723" i="4"/>
  <c r="K61" i="2"/>
  <c r="W596" i="4" l="1"/>
  <c r="Y596" i="4" s="1"/>
  <c r="W443" i="4"/>
  <c r="Y443" i="4" s="1"/>
  <c r="AF799" i="4"/>
  <c r="AF734" i="4"/>
  <c r="AF837" i="4"/>
  <c r="AF835" i="4"/>
  <c r="AF772" i="4"/>
  <c r="X941" i="4"/>
  <c r="X44" i="4"/>
  <c r="X450" i="4"/>
  <c r="X349" i="4"/>
  <c r="X68" i="4"/>
  <c r="X465" i="4"/>
  <c r="X196" i="4"/>
  <c r="X45" i="4"/>
  <c r="X467" i="4"/>
  <c r="X440" i="4"/>
  <c r="X641" i="4"/>
  <c r="X502" i="4"/>
  <c r="X528" i="4"/>
  <c r="X646" i="4"/>
  <c r="X927" i="4"/>
  <c r="X635" i="4"/>
  <c r="X476" i="4"/>
  <c r="X444" i="4"/>
  <c r="X474" i="4"/>
  <c r="X559" i="4"/>
  <c r="X47" i="4"/>
  <c r="X240" i="4"/>
  <c r="X377" i="4"/>
  <c r="X480" i="4"/>
  <c r="X446" i="4"/>
  <c r="X14" i="4"/>
  <c r="X26" i="4"/>
  <c r="X451" i="4"/>
  <c r="X469" i="4"/>
  <c r="X158" i="4"/>
  <c r="X405" i="4"/>
  <c r="X523" i="4"/>
  <c r="X555" i="4"/>
  <c r="X24" i="4"/>
  <c r="X55" i="4"/>
  <c r="X406" i="4"/>
  <c r="X438" i="4"/>
  <c r="X585" i="4"/>
  <c r="X499" i="4"/>
  <c r="X572" i="4"/>
  <c r="X496" i="4"/>
  <c r="X621" i="4"/>
  <c r="X654" i="4"/>
  <c r="X875" i="4"/>
  <c r="X458" i="4"/>
  <c r="X359" i="4"/>
  <c r="X355" i="4"/>
  <c r="X229" i="4"/>
  <c r="X54" i="4"/>
  <c r="X519" i="4"/>
  <c r="X252" i="4"/>
  <c r="X633" i="4"/>
  <c r="X888" i="4"/>
  <c r="X947" i="4"/>
  <c r="X548" i="4"/>
  <c r="X526" i="4"/>
  <c r="X896" i="4"/>
  <c r="X644" i="4"/>
  <c r="X521" i="4"/>
  <c r="X556" i="4"/>
  <c r="X492" i="4"/>
  <c r="X873" i="4"/>
  <c r="X472" i="4"/>
  <c r="X49" i="4"/>
  <c r="X402" i="4"/>
  <c r="X434" i="4"/>
  <c r="X914" i="4"/>
  <c r="X889" i="4"/>
  <c r="X946" i="4"/>
  <c r="X908" i="4"/>
  <c r="X463" i="4"/>
  <c r="X484" i="4"/>
  <c r="X898" i="4"/>
  <c r="X950" i="4"/>
  <c r="X67" i="4"/>
  <c r="X517" i="4"/>
  <c r="X534" i="4"/>
  <c r="X614" i="4"/>
  <c r="X277" i="4"/>
  <c r="X329" i="4" s="1"/>
  <c r="J135" i="2"/>
  <c r="J63" i="2"/>
  <c r="J99" i="2"/>
  <c r="K27" i="2"/>
  <c r="AF738" i="4"/>
  <c r="AF749" i="4"/>
  <c r="AF836" i="4"/>
  <c r="AF834" i="4"/>
  <c r="Y849" i="4"/>
  <c r="W850" i="4"/>
  <c r="AF826" i="4"/>
  <c r="AF779" i="4"/>
  <c r="AF758" i="4"/>
  <c r="AF795" i="4"/>
  <c r="AF775" i="4"/>
  <c r="AF756" i="4"/>
  <c r="L101" i="2"/>
  <c r="M65" i="2"/>
  <c r="M135" i="2"/>
  <c r="W245" i="4"/>
  <c r="Y245" i="4" s="1"/>
  <c r="AF383" i="4"/>
  <c r="L34" i="1"/>
  <c r="L31" i="2"/>
  <c r="X604" i="4"/>
  <c r="X903" i="4"/>
  <c r="AF818" i="4"/>
  <c r="AF746" i="4"/>
  <c r="AF780" i="4"/>
  <c r="AF828" i="4"/>
  <c r="K98" i="2"/>
  <c r="Y723" i="4"/>
  <c r="AF830" i="4"/>
  <c r="AF735" i="4"/>
  <c r="AF827" i="4"/>
  <c r="AF755" i="4"/>
  <c r="AF823" i="4"/>
  <c r="AF786" i="4"/>
  <c r="AF763" i="4"/>
  <c r="AF745" i="4"/>
  <c r="AF820" i="4"/>
  <c r="AF773" i="4"/>
  <c r="AF744" i="4"/>
  <c r="K134" i="2"/>
  <c r="L66" i="2"/>
  <c r="M30" i="2"/>
  <c r="L136" i="2"/>
  <c r="M100" i="2"/>
  <c r="AF760" i="4"/>
  <c r="AF747" i="4"/>
  <c r="AF766" i="4"/>
  <c r="AF28" i="4"/>
  <c r="AF788" i="4"/>
  <c r="AF787" i="4"/>
  <c r="AF782" i="4"/>
  <c r="AF762" i="4"/>
  <c r="AF776" i="4"/>
  <c r="AF768" i="4"/>
  <c r="AF840" i="4"/>
  <c r="AF761" i="4"/>
  <c r="AF737" i="4"/>
  <c r="AF841" i="4"/>
  <c r="AF831" i="4"/>
  <c r="AF736" i="4"/>
  <c r="V684" i="4"/>
  <c r="V690" i="4" s="1"/>
  <c r="V705" i="4" s="1"/>
  <c r="V854" i="4" s="1"/>
  <c r="V857" i="4" s="1"/>
  <c r="V978" i="4" s="1"/>
  <c r="K62" i="2"/>
  <c r="K31" i="1"/>
  <c r="J28" i="2"/>
  <c r="L67" i="2" l="1"/>
  <c r="M31" i="2"/>
  <c r="AF245" i="4"/>
  <c r="X890" i="4"/>
  <c r="X667" i="4"/>
  <c r="X468" i="4"/>
  <c r="X333" i="4"/>
  <c r="X98" i="4"/>
  <c r="X659" i="4"/>
  <c r="X209" i="4"/>
  <c r="X201" i="4"/>
  <c r="X167" i="4"/>
  <c r="X643" i="4"/>
  <c r="X466" i="4"/>
  <c r="X365" i="4"/>
  <c r="X361" i="4"/>
  <c r="X357" i="4"/>
  <c r="X353" i="4"/>
  <c r="X345" i="4"/>
  <c r="X225" i="4"/>
  <c r="X76" i="4"/>
  <c r="X210" i="4"/>
  <c r="X376" i="4"/>
  <c r="X411" i="4"/>
  <c r="X419" i="4"/>
  <c r="X435" i="4"/>
  <c r="X63" i="4"/>
  <c r="X335" i="4"/>
  <c r="X375" i="4"/>
  <c r="X485" i="4"/>
  <c r="X204" i="4"/>
  <c r="X212" i="4"/>
  <c r="X216" i="4"/>
  <c r="X513" i="4"/>
  <c r="X202" i="4"/>
  <c r="X262" i="4"/>
  <c r="X493" i="4"/>
  <c r="X268" i="4"/>
  <c r="X401" i="4"/>
  <c r="X336" i="4"/>
  <c r="X378" i="4"/>
  <c r="X416" i="4"/>
  <c r="X424" i="4"/>
  <c r="X432" i="4"/>
  <c r="X494" i="4"/>
  <c r="X520" i="4"/>
  <c r="X536" i="4"/>
  <c r="X552" i="4"/>
  <c r="X560" i="4"/>
  <c r="X892" i="4"/>
  <c r="X951" i="4"/>
  <c r="X928" i="4"/>
  <c r="X901" i="4"/>
  <c r="X648" i="4"/>
  <c r="X205" i="4"/>
  <c r="X363" i="4"/>
  <c r="X351" i="4"/>
  <c r="X343" i="4"/>
  <c r="X80" i="4"/>
  <c r="X334" i="4"/>
  <c r="X459" i="4"/>
  <c r="X71" i="4"/>
  <c r="X457" i="4"/>
  <c r="X473" i="4"/>
  <c r="X527" i="4"/>
  <c r="X73" i="4"/>
  <c r="X81" i="4"/>
  <c r="X649" i="4"/>
  <c r="X30" i="4"/>
  <c r="X475" i="4"/>
  <c r="X103" i="4"/>
  <c r="X569" i="4"/>
  <c r="X899" i="4"/>
  <c r="X916" i="4"/>
  <c r="X668" i="4"/>
  <c r="X636" i="4"/>
  <c r="X683" i="4"/>
  <c r="X637" i="4"/>
  <c r="X6" i="4"/>
  <c r="X8" i="4" s="1"/>
  <c r="X645" i="4"/>
  <c r="X478" i="4"/>
  <c r="X364" i="4"/>
  <c r="X360" i="4"/>
  <c r="X356" i="4"/>
  <c r="X352" i="4"/>
  <c r="X348" i="4"/>
  <c r="X344" i="4"/>
  <c r="X13" i="4"/>
  <c r="X211" i="4"/>
  <c r="X207" i="4"/>
  <c r="X223" i="4"/>
  <c r="X265" i="4"/>
  <c r="X407" i="4"/>
  <c r="X423" i="4"/>
  <c r="X439" i="4"/>
  <c r="X174" i="4"/>
  <c r="X178" i="4"/>
  <c r="X421" i="4"/>
  <c r="X101" i="4"/>
  <c r="X535" i="4"/>
  <c r="X417" i="4"/>
  <c r="X433" i="4"/>
  <c r="X505" i="4"/>
  <c r="X531" i="4"/>
  <c r="X563" i="4"/>
  <c r="X422" i="4"/>
  <c r="X430" i="4"/>
  <c r="X495" i="4"/>
  <c r="X503" i="4"/>
  <c r="X634" i="4"/>
  <c r="X655" i="4"/>
  <c r="X507" i="4"/>
  <c r="X580" i="4"/>
  <c r="X662" i="4"/>
  <c r="X488" i="4"/>
  <c r="X504" i="4"/>
  <c r="X512" i="4"/>
  <c r="X546" i="4"/>
  <c r="X554" i="4"/>
  <c r="X881" i="4"/>
  <c r="X861" i="4"/>
  <c r="X867" i="4" s="1"/>
  <c r="X915" i="4"/>
  <c r="X930" i="4"/>
  <c r="X956" i="4"/>
  <c r="X664" i="4"/>
  <c r="X653" i="4"/>
  <c r="X255" i="4"/>
  <c r="X90" i="4"/>
  <c r="X48" i="4"/>
  <c r="X217" i="4"/>
  <c r="X25" i="4"/>
  <c r="X367" i="4"/>
  <c r="X347" i="4"/>
  <c r="X269" i="4"/>
  <c r="X50" i="4"/>
  <c r="X72" i="4"/>
  <c r="X161" i="4"/>
  <c r="X104" i="4"/>
  <c r="X218" i="4"/>
  <c r="X651" i="4"/>
  <c r="X366" i="4"/>
  <c r="X350" i="4"/>
  <c r="X253" i="4"/>
  <c r="X214" i="4"/>
  <c r="X429" i="4"/>
  <c r="X409" i="4"/>
  <c r="X489" i="4"/>
  <c r="X529" i="4"/>
  <c r="X650" i="4"/>
  <c r="X532" i="4"/>
  <c r="X564" i="4"/>
  <c r="X542" i="4"/>
  <c r="X574" i="4"/>
  <c r="X590" i="4"/>
  <c r="X929" i="4"/>
  <c r="X882" i="4"/>
  <c r="X477" i="4"/>
  <c r="X99" i="4"/>
  <c r="X441" i="4"/>
  <c r="X545" i="4"/>
  <c r="X558" i="4"/>
  <c r="X622" i="4"/>
  <c r="X22" i="4"/>
  <c r="X23" i="4"/>
  <c r="X354" i="4"/>
  <c r="X189" i="4"/>
  <c r="X190" i="4" s="1"/>
  <c r="X665" i="4"/>
  <c r="X412" i="4"/>
  <c r="X524" i="4"/>
  <c r="X624" i="4"/>
  <c r="X193" i="4"/>
  <c r="X346" i="4"/>
  <c r="X175" i="4"/>
  <c r="X198" i="4"/>
  <c r="X539" i="4"/>
  <c r="X272" i="4"/>
  <c r="X274" i="4" s="1"/>
  <c r="X871" i="4"/>
  <c r="X410" i="4"/>
  <c r="X418" i="4"/>
  <c r="X537" i="4"/>
  <c r="X428" i="4"/>
  <c r="X557" i="4"/>
  <c r="X573" i="4"/>
  <c r="X498" i="4"/>
  <c r="X540" i="4"/>
  <c r="X600" i="4"/>
  <c r="X616" i="4"/>
  <c r="X508" i="4"/>
  <c r="X518" i="4"/>
  <c r="X598" i="4"/>
  <c r="X942" i="4"/>
  <c r="X955" i="4"/>
  <c r="X660" i="4"/>
  <c r="X358" i="4"/>
  <c r="X342" i="4"/>
  <c r="X215" i="4"/>
  <c r="X551" i="4"/>
  <c r="X436" i="4"/>
  <c r="X895" i="4"/>
  <c r="X159" i="4"/>
  <c r="X479" i="4"/>
  <c r="X647" i="4"/>
  <c r="X533" i="4"/>
  <c r="X565" i="4"/>
  <c r="X886" i="4"/>
  <c r="X29" i="4"/>
  <c r="AF849" i="4"/>
  <c r="Y850" i="4"/>
  <c r="K135" i="2"/>
  <c r="AF443" i="4"/>
  <c r="M136" i="2"/>
  <c r="K63" i="2"/>
  <c r="AF723" i="4"/>
  <c r="L32" i="2"/>
  <c r="L35" i="1"/>
  <c r="L137" i="2"/>
  <c r="M101" i="2"/>
  <c r="AF596" i="4"/>
  <c r="J100" i="2"/>
  <c r="J64" i="2"/>
  <c r="J136" i="2"/>
  <c r="K28" i="2"/>
  <c r="K32" i="1"/>
  <c r="J29" i="2"/>
  <c r="L102" i="2"/>
  <c r="M66" i="2"/>
  <c r="K99" i="2"/>
  <c r="X56" i="4" l="1"/>
  <c r="X186" i="4"/>
  <c r="X694" i="4"/>
  <c r="X700" i="4"/>
  <c r="X696" i="4"/>
  <c r="X701" i="4"/>
  <c r="X693" i="4"/>
  <c r="X697" i="4"/>
  <c r="X698" i="4"/>
  <c r="X702" i="4"/>
  <c r="X695" i="4"/>
  <c r="X699" i="4"/>
  <c r="L68" i="2"/>
  <c r="M32" i="2"/>
  <c r="W576" i="4"/>
  <c r="Y576" i="4" s="1"/>
  <c r="W902" i="4"/>
  <c r="Y902" i="4" s="1"/>
  <c r="W594" i="4"/>
  <c r="Y594" i="4" s="1"/>
  <c r="AF850" i="4"/>
  <c r="X958" i="4"/>
  <c r="X961" i="4" s="1"/>
  <c r="X388" i="4"/>
  <c r="J30" i="2"/>
  <c r="K33" i="1"/>
  <c r="K100" i="2"/>
  <c r="M137" i="2"/>
  <c r="X130" i="4"/>
  <c r="X39" i="4"/>
  <c r="J65" i="2"/>
  <c r="J137" i="2"/>
  <c r="J101" i="2"/>
  <c r="K29" i="2"/>
  <c r="L138" i="2"/>
  <c r="M102" i="2"/>
  <c r="X368" i="4"/>
  <c r="X226" i="4"/>
  <c r="X86" i="4"/>
  <c r="X339" i="4"/>
  <c r="L103" i="2"/>
  <c r="M67" i="2"/>
  <c r="K64" i="2"/>
  <c r="K136" i="2"/>
  <c r="L36" i="1"/>
  <c r="L34" i="2" s="1"/>
  <c r="L33" i="2"/>
  <c r="L70" i="2" l="1"/>
  <c r="M34" i="2"/>
  <c r="W633" i="4"/>
  <c r="Y633" i="4" s="1"/>
  <c r="W548" i="4"/>
  <c r="Y548" i="4" s="1"/>
  <c r="W469" i="4"/>
  <c r="Y469" i="4" s="1"/>
  <c r="W614" i="4"/>
  <c r="Y614" i="4" s="1"/>
  <c r="W492" i="4"/>
  <c r="Y492" i="4" s="1"/>
  <c r="W484" i="4"/>
  <c r="Y484" i="4" s="1"/>
  <c r="W45" i="4"/>
  <c r="Y45" i="4" s="1"/>
  <c r="W229" i="4"/>
  <c r="W14" i="4"/>
  <c r="Y14" i="4" s="1"/>
  <c r="W26" i="4"/>
  <c r="W377" i="4"/>
  <c r="Y377" i="4" s="1"/>
  <c r="W559" i="4"/>
  <c r="Y559" i="4" s="1"/>
  <c r="W523" i="4"/>
  <c r="Y523" i="4" s="1"/>
  <c r="W555" i="4"/>
  <c r="Y555" i="4" s="1"/>
  <c r="W458" i="4"/>
  <c r="Y458" i="4" s="1"/>
  <c r="W474" i="4"/>
  <c r="Y474" i="4" s="1"/>
  <c r="W517" i="4"/>
  <c r="Y517" i="4" s="1"/>
  <c r="W349" i="4"/>
  <c r="Y349" i="4" s="1"/>
  <c r="W521" i="4"/>
  <c r="Y521" i="4" s="1"/>
  <c r="W585" i="4"/>
  <c r="Y585" i="4" s="1"/>
  <c r="W463" i="4"/>
  <c r="Y463" i="4" s="1"/>
  <c r="W526" i="4"/>
  <c r="Y526" i="4" s="1"/>
  <c r="W252" i="4"/>
  <c r="Y252" i="4" s="1"/>
  <c r="W55" i="4"/>
  <c r="Y55" i="4" s="1"/>
  <c r="W44" i="4"/>
  <c r="W450" i="4"/>
  <c r="Y450" i="4" s="1"/>
  <c r="W499" i="4"/>
  <c r="Y499" i="4" s="1"/>
  <c r="W67" i="4"/>
  <c r="Y67" i="4" s="1"/>
  <c r="W873" i="4"/>
  <c r="Y873" i="4" s="1"/>
  <c r="W572" i="4"/>
  <c r="Y572" i="4" s="1"/>
  <c r="W467" i="4"/>
  <c r="Y467" i="4" s="1"/>
  <c r="W451" i="4"/>
  <c r="Y451" i="4" s="1"/>
  <c r="W465" i="4"/>
  <c r="Y465" i="4" s="1"/>
  <c r="W534" i="4"/>
  <c r="Y534" i="4" s="1"/>
  <c r="W496" i="4"/>
  <c r="Y496" i="4" s="1"/>
  <c r="W438" i="4"/>
  <c r="Y438" i="4" s="1"/>
  <c r="W406" i="4"/>
  <c r="Y406" i="4" s="1"/>
  <c r="W240" i="4"/>
  <c r="Y240" i="4" s="1"/>
  <c r="W519" i="4"/>
  <c r="Y519" i="4" s="1"/>
  <c r="W446" i="4"/>
  <c r="Y446" i="4" s="1"/>
  <c r="W472" i="4"/>
  <c r="Y472" i="4" s="1"/>
  <c r="W641" i="4"/>
  <c r="Y641" i="4" s="1"/>
  <c r="W898" i="4"/>
  <c r="Y898" i="4" s="1"/>
  <c r="W875" i="4"/>
  <c r="Y875" i="4" s="1"/>
  <c r="W914" i="4"/>
  <c r="Y914" i="4" s="1"/>
  <c r="W946" i="4"/>
  <c r="Y946" i="4" s="1"/>
  <c r="W950" i="4"/>
  <c r="Y950" i="4" s="1"/>
  <c r="W888" i="4"/>
  <c r="Y888" i="4" s="1"/>
  <c r="W528" i="4"/>
  <c r="Y528" i="4" s="1"/>
  <c r="W502" i="4"/>
  <c r="Y502" i="4" s="1"/>
  <c r="W621" i="4"/>
  <c r="Y621" i="4" s="1"/>
  <c r="W196" i="4"/>
  <c r="Y196" i="4" s="1"/>
  <c r="W158" i="4"/>
  <c r="W49" i="4"/>
  <c r="Y49" i="4" s="1"/>
  <c r="W54" i="4"/>
  <c r="Y54" i="4" s="1"/>
  <c r="W359" i="4"/>
  <c r="Y359" i="4" s="1"/>
  <c r="W444" i="4"/>
  <c r="Y444" i="4" s="1"/>
  <c r="W476" i="4"/>
  <c r="Y476" i="4" s="1"/>
  <c r="W480" i="4"/>
  <c r="Y480" i="4" s="1"/>
  <c r="W646" i="4"/>
  <c r="Y646" i="4" s="1"/>
  <c r="W896" i="4"/>
  <c r="Y896" i="4" s="1"/>
  <c r="W908" i="4"/>
  <c r="Y908" i="4" s="1"/>
  <c r="W941" i="4"/>
  <c r="Y941" i="4" s="1"/>
  <c r="W947" i="4"/>
  <c r="Y947" i="4" s="1"/>
  <c r="W355" i="4"/>
  <c r="Y355" i="4" s="1"/>
  <c r="W440" i="4"/>
  <c r="Y440" i="4" s="1"/>
  <c r="W927" i="4"/>
  <c r="Y927" i="4" s="1"/>
  <c r="W889" i="4"/>
  <c r="Y889" i="4" s="1"/>
  <c r="W24" i="4"/>
  <c r="W68" i="4"/>
  <c r="Y68" i="4" s="1"/>
  <c r="W654" i="4"/>
  <c r="Y654" i="4" s="1"/>
  <c r="W644" i="4"/>
  <c r="Y644" i="4" s="1"/>
  <c r="W635" i="4"/>
  <c r="Y635" i="4" s="1"/>
  <c r="W434" i="4"/>
  <c r="Y434" i="4" s="1"/>
  <c r="W47" i="4"/>
  <c r="Y47" i="4" s="1"/>
  <c r="W556" i="4"/>
  <c r="Y556" i="4" s="1"/>
  <c r="W402" i="4"/>
  <c r="Y402" i="4" s="1"/>
  <c r="W405" i="4"/>
  <c r="Y405" i="4" s="1"/>
  <c r="W277" i="4"/>
  <c r="J138" i="2"/>
  <c r="J102" i="2"/>
  <c r="J66" i="2"/>
  <c r="K30" i="2"/>
  <c r="AF576" i="4"/>
  <c r="AF594" i="4"/>
  <c r="X703" i="4"/>
  <c r="L69" i="2"/>
  <c r="M33" i="2"/>
  <c r="W903" i="4"/>
  <c r="Y903" i="4" s="1"/>
  <c r="W604" i="4"/>
  <c r="Y604" i="4" s="1"/>
  <c r="K65" i="2"/>
  <c r="X740" i="4"/>
  <c r="X750" i="4"/>
  <c r="X770" i="4"/>
  <c r="X778" i="4"/>
  <c r="X796" i="4"/>
  <c r="X811" i="4"/>
  <c r="X741" i="4"/>
  <c r="X724" i="4"/>
  <c r="X759" i="4"/>
  <c r="X767" i="4"/>
  <c r="X771" i="4"/>
  <c r="X821" i="4"/>
  <c r="X742" i="4"/>
  <c r="X764" i="4"/>
  <c r="X765" i="4"/>
  <c r="X785" i="4"/>
  <c r="X777" i="4"/>
  <c r="X713" i="4"/>
  <c r="X715" i="4"/>
  <c r="J31" i="2"/>
  <c r="K34" i="1"/>
  <c r="X544" i="4"/>
  <c r="K101" i="2"/>
  <c r="X391" i="4"/>
  <c r="L139" i="2"/>
  <c r="M103" i="2"/>
  <c r="M138" i="2"/>
  <c r="K137" i="2"/>
  <c r="AF902" i="4"/>
  <c r="L104" i="2"/>
  <c r="M68" i="2"/>
  <c r="X720" i="4" l="1"/>
  <c r="AF947" i="4"/>
  <c r="AF359" i="4"/>
  <c r="AF438" i="4"/>
  <c r="AF55" i="4"/>
  <c r="AF614" i="4"/>
  <c r="W796" i="4"/>
  <c r="Y796" i="4" s="1"/>
  <c r="W785" i="4"/>
  <c r="Y785" i="4" s="1"/>
  <c r="W740" i="4"/>
  <c r="Y740" i="4" s="1"/>
  <c r="W764" i="4"/>
  <c r="Y764" i="4" s="1"/>
  <c r="W759" i="4"/>
  <c r="Y759" i="4" s="1"/>
  <c r="W821" i="4"/>
  <c r="Y821" i="4" s="1"/>
  <c r="W713" i="4"/>
  <c r="W741" i="4"/>
  <c r="Y741" i="4" s="1"/>
  <c r="W750" i="4"/>
  <c r="Y750" i="4" s="1"/>
  <c r="W777" i="4"/>
  <c r="Y777" i="4" s="1"/>
  <c r="W811" i="4"/>
  <c r="Y811" i="4" s="1"/>
  <c r="W742" i="4"/>
  <c r="Y742" i="4" s="1"/>
  <c r="W771" i="4"/>
  <c r="Y771" i="4" s="1"/>
  <c r="W765" i="4"/>
  <c r="Y765" i="4" s="1"/>
  <c r="W767" i="4"/>
  <c r="Y767" i="4" s="1"/>
  <c r="W715" i="4"/>
  <c r="Y715" i="4" s="1"/>
  <c r="W724" i="4"/>
  <c r="W770" i="4"/>
  <c r="Y770" i="4" s="1"/>
  <c r="W778" i="4"/>
  <c r="Y778" i="4" s="1"/>
  <c r="W693" i="4"/>
  <c r="W700" i="4"/>
  <c r="Y700" i="4" s="1"/>
  <c r="W698" i="4"/>
  <c r="Y698" i="4" s="1"/>
  <c r="W695" i="4"/>
  <c r="Y695" i="4" s="1"/>
  <c r="W701" i="4"/>
  <c r="Y701" i="4" s="1"/>
  <c r="W696" i="4"/>
  <c r="Y696" i="4" s="1"/>
  <c r="W697" i="4"/>
  <c r="Y697" i="4" s="1"/>
  <c r="W699" i="4"/>
  <c r="Y699" i="4" s="1"/>
  <c r="W702" i="4"/>
  <c r="Y702" i="4" s="1"/>
  <c r="W694" i="4"/>
  <c r="Y694" i="4" s="1"/>
  <c r="K35" i="1"/>
  <c r="J32" i="2"/>
  <c r="W329" i="4"/>
  <c r="Y277" i="4"/>
  <c r="AF47" i="4"/>
  <c r="AF654" i="4"/>
  <c r="AF927" i="4"/>
  <c r="AF941" i="4"/>
  <c r="AF480" i="4"/>
  <c r="AF54" i="4"/>
  <c r="AF621" i="4"/>
  <c r="AF950" i="4"/>
  <c r="AF898" i="4"/>
  <c r="AF519" i="4"/>
  <c r="AF496" i="4"/>
  <c r="AF467" i="4"/>
  <c r="AF499" i="4"/>
  <c r="AF252" i="4"/>
  <c r="AF521" i="4"/>
  <c r="AF458" i="4"/>
  <c r="AF377" i="4"/>
  <c r="AF45" i="4"/>
  <c r="AF469" i="4"/>
  <c r="X652" i="4"/>
  <c r="L140" i="2"/>
  <c r="M104" i="2"/>
  <c r="X550" i="4"/>
  <c r="AF889" i="4"/>
  <c r="AF196" i="4"/>
  <c r="AF446" i="4"/>
  <c r="AF585" i="4"/>
  <c r="Y229" i="4"/>
  <c r="J139" i="2"/>
  <c r="J67" i="2"/>
  <c r="J103" i="2"/>
  <c r="K31" i="2"/>
  <c r="AF903" i="4"/>
  <c r="K102" i="2"/>
  <c r="AF68" i="4"/>
  <c r="AF908" i="4"/>
  <c r="AF476" i="4"/>
  <c r="AF49" i="4"/>
  <c r="AF502" i="4"/>
  <c r="AF946" i="4"/>
  <c r="AF641" i="4"/>
  <c r="AF240" i="4"/>
  <c r="AF534" i="4"/>
  <c r="AF572" i="4"/>
  <c r="AF450" i="4"/>
  <c r="AF526" i="4"/>
  <c r="AF349" i="4"/>
  <c r="AF555" i="4"/>
  <c r="AF484" i="4"/>
  <c r="AF548" i="4"/>
  <c r="L106" i="2"/>
  <c r="M70" i="2"/>
  <c r="AF556" i="4"/>
  <c r="AF644" i="4"/>
  <c r="AF646" i="4"/>
  <c r="AF888" i="4"/>
  <c r="AF875" i="4"/>
  <c r="AF451" i="4"/>
  <c r="AF67" i="4"/>
  <c r="AF474" i="4"/>
  <c r="AF559" i="4"/>
  <c r="AF604" i="4"/>
  <c r="L105" i="2"/>
  <c r="M69" i="2"/>
  <c r="K66" i="2"/>
  <c r="M139" i="2"/>
  <c r="X842" i="4"/>
  <c r="AF405" i="4"/>
  <c r="AF434" i="4"/>
  <c r="AF440" i="4"/>
  <c r="W580" i="4"/>
  <c r="Y580" i="4" s="1"/>
  <c r="W432" i="4"/>
  <c r="Y432" i="4" s="1"/>
  <c r="W512" i="4"/>
  <c r="Y512" i="4" s="1"/>
  <c r="W558" i="4"/>
  <c r="Y558" i="4" s="1"/>
  <c r="W488" i="4"/>
  <c r="Y488" i="4" s="1"/>
  <c r="W81" i="4"/>
  <c r="Y81" i="4" s="1"/>
  <c r="W210" i="4"/>
  <c r="Y210" i="4" s="1"/>
  <c r="W71" i="4"/>
  <c r="Y71" i="4" s="1"/>
  <c r="W335" i="4"/>
  <c r="Y335" i="4" s="1"/>
  <c r="W104" i="4"/>
  <c r="Y104" i="4" s="1"/>
  <c r="W90" i="4"/>
  <c r="W161" i="4"/>
  <c r="Y161" i="4" s="1"/>
  <c r="W189" i="4"/>
  <c r="W527" i="4"/>
  <c r="Y527" i="4" s="1"/>
  <c r="W159" i="4"/>
  <c r="Y159" i="4" s="1"/>
  <c r="W175" i="4"/>
  <c r="Y175" i="4" s="1"/>
  <c r="W201" i="4"/>
  <c r="Y201" i="4" s="1"/>
  <c r="W217" i="4"/>
  <c r="Y217" i="4" s="1"/>
  <c r="W375" i="4"/>
  <c r="W533" i="4"/>
  <c r="Y533" i="4" s="1"/>
  <c r="W557" i="4"/>
  <c r="Y557" i="4" s="1"/>
  <c r="W565" i="4"/>
  <c r="Y565" i="4" s="1"/>
  <c r="W342" i="4"/>
  <c r="W345" i="4"/>
  <c r="Y345" i="4" s="1"/>
  <c r="W353" i="4"/>
  <c r="Y353" i="4" s="1"/>
  <c r="W357" i="4"/>
  <c r="Y357" i="4" s="1"/>
  <c r="W361" i="4"/>
  <c r="Y361" i="4" s="1"/>
  <c r="W365" i="4"/>
  <c r="Y365" i="4" s="1"/>
  <c r="W468" i="4"/>
  <c r="Y468" i="4" s="1"/>
  <c r="W529" i="4"/>
  <c r="Y529" i="4" s="1"/>
  <c r="W537" i="4"/>
  <c r="Y537" i="4" s="1"/>
  <c r="W545" i="4"/>
  <c r="Y545" i="4" s="1"/>
  <c r="W569" i="4"/>
  <c r="Y569" i="4" s="1"/>
  <c r="W634" i="4"/>
  <c r="Y634" i="4" s="1"/>
  <c r="W660" i="4"/>
  <c r="Y660" i="4" s="1"/>
  <c r="W899" i="4"/>
  <c r="Y899" i="4" s="1"/>
  <c r="W890" i="4"/>
  <c r="Y890" i="4" s="1"/>
  <c r="W901" i="4"/>
  <c r="Y901" i="4" s="1"/>
  <c r="W916" i="4"/>
  <c r="Y916" i="4" s="1"/>
  <c r="W930" i="4"/>
  <c r="Y930" i="4" s="1"/>
  <c r="W63" i="4"/>
  <c r="W532" i="4"/>
  <c r="Y532" i="4" s="1"/>
  <c r="W560" i="4"/>
  <c r="Y560" i="4" s="1"/>
  <c r="W477" i="4"/>
  <c r="Y477" i="4" s="1"/>
  <c r="W378" i="4"/>
  <c r="Y378" i="4" s="1"/>
  <c r="W174" i="4"/>
  <c r="Y174" i="4" s="1"/>
  <c r="W436" i="4"/>
  <c r="Y436" i="4" s="1"/>
  <c r="W430" i="4"/>
  <c r="Y430" i="4" s="1"/>
  <c r="W178" i="4"/>
  <c r="Y178" i="4" s="1"/>
  <c r="W218" i="4"/>
  <c r="Y218" i="4" s="1"/>
  <c r="W262" i="4"/>
  <c r="Y262" i="4" s="1"/>
  <c r="W214" i="4"/>
  <c r="Y214" i="4" s="1"/>
  <c r="W48" i="4"/>
  <c r="Y48" i="4" s="1"/>
  <c r="W98" i="4"/>
  <c r="Y98" i="4" s="1"/>
  <c r="W411" i="4"/>
  <c r="Y411" i="4" s="1"/>
  <c r="W419" i="4"/>
  <c r="Y419" i="4" s="1"/>
  <c r="W435" i="4"/>
  <c r="Y435" i="4" s="1"/>
  <c r="W531" i="4"/>
  <c r="Y531" i="4" s="1"/>
  <c r="W563" i="4"/>
  <c r="Y563" i="4" s="1"/>
  <c r="W253" i="4"/>
  <c r="Y253" i="4" s="1"/>
  <c r="W269" i="4"/>
  <c r="Y269" i="4" s="1"/>
  <c r="W167" i="4"/>
  <c r="Y167" i="4" s="1"/>
  <c r="W193" i="4"/>
  <c r="W209" i="4"/>
  <c r="Y209" i="4" s="1"/>
  <c r="W225" i="4"/>
  <c r="Y225" i="4" s="1"/>
  <c r="W513" i="4"/>
  <c r="Y513" i="4" s="1"/>
  <c r="W539" i="4"/>
  <c r="Y539" i="4" s="1"/>
  <c r="W466" i="4"/>
  <c r="Y466" i="4" s="1"/>
  <c r="W507" i="4"/>
  <c r="Y507" i="4" s="1"/>
  <c r="W882" i="4"/>
  <c r="Y882" i="4" s="1"/>
  <c r="W540" i="4"/>
  <c r="Y540" i="4" s="1"/>
  <c r="W600" i="4"/>
  <c r="Y600" i="4" s="1"/>
  <c r="W536" i="4"/>
  <c r="Y536" i="4" s="1"/>
  <c r="W598" i="4"/>
  <c r="Y598" i="4" s="1"/>
  <c r="W424" i="4"/>
  <c r="Y424" i="4" s="1"/>
  <c r="W554" i="4"/>
  <c r="Y554" i="4" s="1"/>
  <c r="W418" i="4"/>
  <c r="Y418" i="4" s="1"/>
  <c r="W542" i="4"/>
  <c r="Y542" i="4" s="1"/>
  <c r="W412" i="4"/>
  <c r="Y412" i="4" s="1"/>
  <c r="W546" i="4"/>
  <c r="Y546" i="4" s="1"/>
  <c r="W272" i="4"/>
  <c r="Y272" i="4" s="1"/>
  <c r="W73" i="4"/>
  <c r="Y73" i="4" s="1"/>
  <c r="W29" i="4"/>
  <c r="W22" i="4"/>
  <c r="Y22" i="4" s="1"/>
  <c r="W265" i="4"/>
  <c r="Y265" i="4" s="1"/>
  <c r="W334" i="4"/>
  <c r="Y334" i="4" s="1"/>
  <c r="W13" i="4"/>
  <c r="W255" i="4"/>
  <c r="Y255" i="4" s="1"/>
  <c r="W376" i="4"/>
  <c r="Y376" i="4" s="1"/>
  <c r="W493" i="4"/>
  <c r="Y493" i="4" s="1"/>
  <c r="W551" i="4"/>
  <c r="Y551" i="4" s="1"/>
  <c r="W336" i="4"/>
  <c r="Y336" i="4" s="1"/>
  <c r="W401" i="4"/>
  <c r="W417" i="4"/>
  <c r="Y417" i="4" s="1"/>
  <c r="W433" i="4"/>
  <c r="Y433" i="4" s="1"/>
  <c r="W489" i="4"/>
  <c r="Y489" i="4" s="1"/>
  <c r="W72" i="4"/>
  <c r="Y72" i="4" s="1"/>
  <c r="W80" i="4"/>
  <c r="Y80" i="4" s="1"/>
  <c r="W407" i="4"/>
  <c r="Y407" i="4" s="1"/>
  <c r="W423" i="4"/>
  <c r="Y423" i="4" s="1"/>
  <c r="W439" i="4"/>
  <c r="Y439" i="4" s="1"/>
  <c r="W429" i="4"/>
  <c r="Y429" i="4" s="1"/>
  <c r="W478" i="4"/>
  <c r="Y478" i="4" s="1"/>
  <c r="W346" i="4"/>
  <c r="Y346" i="4" s="1"/>
  <c r="W350" i="4"/>
  <c r="Y350" i="4" s="1"/>
  <c r="W354" i="4"/>
  <c r="Y354" i="4" s="1"/>
  <c r="W358" i="4"/>
  <c r="Y358" i="4" s="1"/>
  <c r="W366" i="4"/>
  <c r="Y366" i="4" s="1"/>
  <c r="W624" i="4"/>
  <c r="Y624" i="4" s="1"/>
  <c r="W650" i="4"/>
  <c r="Y650" i="4" s="1"/>
  <c r="W636" i="4"/>
  <c r="Y636" i="4" s="1"/>
  <c r="W637" i="4"/>
  <c r="Y637" i="4" s="1"/>
  <c r="W645" i="4"/>
  <c r="Y645" i="4" s="1"/>
  <c r="W649" i="4"/>
  <c r="Y649" i="4" s="1"/>
  <c r="W653" i="4"/>
  <c r="Y653" i="4" s="1"/>
  <c r="W665" i="4"/>
  <c r="Y665" i="4" s="1"/>
  <c r="W928" i="4"/>
  <c r="Y928" i="4" s="1"/>
  <c r="W564" i="4"/>
  <c r="Y564" i="4" s="1"/>
  <c r="W479" i="4"/>
  <c r="Y479" i="4" s="1"/>
  <c r="W518" i="4"/>
  <c r="Y518" i="4" s="1"/>
  <c r="W416" i="4"/>
  <c r="Y416" i="4" s="1"/>
  <c r="W410" i="4"/>
  <c r="Y410" i="4" s="1"/>
  <c r="W590" i="4"/>
  <c r="Y590" i="4" s="1"/>
  <c r="W268" i="4"/>
  <c r="Y268" i="4" s="1"/>
  <c r="W103" i="4"/>
  <c r="Y103" i="4" s="1"/>
  <c r="W216" i="4"/>
  <c r="Y216" i="4" s="1"/>
  <c r="W202" i="4"/>
  <c r="Y202" i="4" s="1"/>
  <c r="W198" i="4"/>
  <c r="Y198" i="4" s="1"/>
  <c r="W23" i="4"/>
  <c r="W76" i="4"/>
  <c r="Y76" i="4" s="1"/>
  <c r="W524" i="4"/>
  <c r="Y524" i="4" s="1"/>
  <c r="W552" i="4"/>
  <c r="Y552" i="4" s="1"/>
  <c r="W457" i="4"/>
  <c r="Y457" i="4" s="1"/>
  <c r="W508" i="4"/>
  <c r="Y508" i="4" s="1"/>
  <c r="W204" i="4"/>
  <c r="Y204" i="4" s="1"/>
  <c r="W212" i="4"/>
  <c r="Y212" i="4" s="1"/>
  <c r="W6" i="4"/>
  <c r="W207" i="4"/>
  <c r="Y207" i="4" s="1"/>
  <c r="W211" i="4"/>
  <c r="Y211" i="4" s="1"/>
  <c r="W215" i="4"/>
  <c r="Y215" i="4" s="1"/>
  <c r="W223" i="4"/>
  <c r="Y223" i="4" s="1"/>
  <c r="W441" i="4"/>
  <c r="Y441" i="4" s="1"/>
  <c r="W50" i="4"/>
  <c r="Y50" i="4" s="1"/>
  <c r="W421" i="4"/>
  <c r="Y421" i="4" s="1"/>
  <c r="W573" i="4"/>
  <c r="Y573" i="4" s="1"/>
  <c r="W664" i="4"/>
  <c r="Y664" i="4" s="1"/>
  <c r="W343" i="4"/>
  <c r="Y343" i="4" s="1"/>
  <c r="W351" i="4"/>
  <c r="Y351" i="4" s="1"/>
  <c r="W367" i="4"/>
  <c r="Y367" i="4" s="1"/>
  <c r="W892" i="4"/>
  <c r="Y892" i="4" s="1"/>
  <c r="W655" i="4"/>
  <c r="Y655" i="4" s="1"/>
  <c r="W871" i="4"/>
  <c r="W409" i="4"/>
  <c r="Y409" i="4" s="1"/>
  <c r="W347" i="4"/>
  <c r="Y347" i="4" s="1"/>
  <c r="W647" i="4"/>
  <c r="Y647" i="4" s="1"/>
  <c r="W955" i="4"/>
  <c r="Y955" i="4" s="1"/>
  <c r="W459" i="4"/>
  <c r="Y459" i="4" s="1"/>
  <c r="W99" i="4"/>
  <c r="Y99" i="4" s="1"/>
  <c r="W333" i="4"/>
  <c r="W505" i="4"/>
  <c r="Y505" i="4" s="1"/>
  <c r="W364" i="4"/>
  <c r="Y364" i="4" s="1"/>
  <c r="W648" i="4"/>
  <c r="Y648" i="4" s="1"/>
  <c r="W668" i="4"/>
  <c r="Y668" i="4" s="1"/>
  <c r="W659" i="4"/>
  <c r="Y659" i="4" s="1"/>
  <c r="W861" i="4"/>
  <c r="W498" i="4"/>
  <c r="Y498" i="4" s="1"/>
  <c r="W520" i="4"/>
  <c r="Y520" i="4" s="1"/>
  <c r="W574" i="4"/>
  <c r="Y574" i="4" s="1"/>
  <c r="W428" i="4"/>
  <c r="Y428" i="4" s="1"/>
  <c r="W30" i="4"/>
  <c r="W485" i="4"/>
  <c r="Y485" i="4" s="1"/>
  <c r="W205" i="4"/>
  <c r="Y205" i="4" s="1"/>
  <c r="W622" i="4"/>
  <c r="Y622" i="4" s="1"/>
  <c r="W662" i="4"/>
  <c r="Y662" i="4" s="1"/>
  <c r="W344" i="4"/>
  <c r="Y344" i="4" s="1"/>
  <c r="W352" i="4"/>
  <c r="Y352" i="4" s="1"/>
  <c r="W360" i="4"/>
  <c r="Y360" i="4" s="1"/>
  <c r="W495" i="4"/>
  <c r="Y495" i="4" s="1"/>
  <c r="W651" i="4"/>
  <c r="Y651" i="4" s="1"/>
  <c r="W667" i="4"/>
  <c r="Y667" i="4" s="1"/>
  <c r="W683" i="4"/>
  <c r="Y683" i="4" s="1"/>
  <c r="W886" i="4"/>
  <c r="Y886" i="4" s="1"/>
  <c r="W881" i="4"/>
  <c r="Y881" i="4" s="1"/>
  <c r="W915" i="4"/>
  <c r="Y915" i="4" s="1"/>
  <c r="W942" i="4"/>
  <c r="Y942" i="4" s="1"/>
  <c r="W956" i="4"/>
  <c r="Y956" i="4" s="1"/>
  <c r="W475" i="4"/>
  <c r="Y475" i="4" s="1"/>
  <c r="W616" i="4"/>
  <c r="Y616" i="4" s="1"/>
  <c r="W494" i="4"/>
  <c r="Y494" i="4" s="1"/>
  <c r="W504" i="4"/>
  <c r="Y504" i="4" s="1"/>
  <c r="W363" i="4"/>
  <c r="Y363" i="4" s="1"/>
  <c r="W503" i="4"/>
  <c r="Y503" i="4" s="1"/>
  <c r="W895" i="4"/>
  <c r="Y895" i="4" s="1"/>
  <c r="W473" i="4"/>
  <c r="Y473" i="4" s="1"/>
  <c r="W422" i="4"/>
  <c r="Y422" i="4" s="1"/>
  <c r="W101" i="4"/>
  <c r="Y101" i="4" s="1"/>
  <c r="W25" i="4"/>
  <c r="W535" i="4"/>
  <c r="Y535" i="4" s="1"/>
  <c r="W348" i="4"/>
  <c r="Y348" i="4" s="1"/>
  <c r="W356" i="4"/>
  <c r="Y356" i="4" s="1"/>
  <c r="W643" i="4"/>
  <c r="Y643" i="4" s="1"/>
  <c r="W929" i="4"/>
  <c r="Y929" i="4" s="1"/>
  <c r="W951" i="4"/>
  <c r="Y951" i="4" s="1"/>
  <c r="K138" i="2"/>
  <c r="AF402" i="4"/>
  <c r="AF635" i="4"/>
  <c r="AF355" i="4"/>
  <c r="AF896" i="4"/>
  <c r="AF444" i="4"/>
  <c r="Y158" i="4"/>
  <c r="AF528" i="4"/>
  <c r="AF914" i="4"/>
  <c r="AF472" i="4"/>
  <c r="AF406" i="4"/>
  <c r="AF465" i="4"/>
  <c r="AF873" i="4"/>
  <c r="Y44" i="4"/>
  <c r="AF463" i="4"/>
  <c r="AF517" i="4"/>
  <c r="AF523" i="4"/>
  <c r="AF14" i="4"/>
  <c r="AF492" i="4"/>
  <c r="AF633" i="4"/>
  <c r="X852" i="4" l="1"/>
  <c r="X684" i="4"/>
  <c r="X690" i="4" s="1"/>
  <c r="X705" i="4" s="1"/>
  <c r="W56" i="4"/>
  <c r="W186" i="4"/>
  <c r="AF356" i="4"/>
  <c r="AF503" i="4"/>
  <c r="AF915" i="4"/>
  <c r="AF352" i="4"/>
  <c r="AF574" i="4"/>
  <c r="AF955" i="4"/>
  <c r="AF351" i="4"/>
  <c r="AF215" i="4"/>
  <c r="AF552" i="4"/>
  <c r="AF198" i="4"/>
  <c r="AF268" i="4"/>
  <c r="AF518" i="4"/>
  <c r="AF665" i="4"/>
  <c r="AF637" i="4"/>
  <c r="AF366" i="4"/>
  <c r="AF346" i="4"/>
  <c r="AF423" i="4"/>
  <c r="AF489" i="4"/>
  <c r="AF336" i="4"/>
  <c r="AF255" i="4"/>
  <c r="AF22" i="4"/>
  <c r="AF546" i="4"/>
  <c r="AF554" i="4"/>
  <c r="AF600" i="4"/>
  <c r="AF466" i="4"/>
  <c r="AF209" i="4"/>
  <c r="AF253" i="4"/>
  <c r="AF419" i="4"/>
  <c r="AF214" i="4"/>
  <c r="AF430" i="4"/>
  <c r="AF477" i="4"/>
  <c r="AF930" i="4"/>
  <c r="AF899" i="4"/>
  <c r="AF545" i="4"/>
  <c r="AF365" i="4"/>
  <c r="AF345" i="4"/>
  <c r="AF533" i="4"/>
  <c r="AF175" i="4"/>
  <c r="AF161" i="4"/>
  <c r="AF71" i="4"/>
  <c r="AF558" i="4"/>
  <c r="K103" i="2"/>
  <c r="Y274" i="4"/>
  <c r="AF229" i="4"/>
  <c r="AF702" i="4"/>
  <c r="AF701" i="4"/>
  <c r="W703" i="4"/>
  <c r="Y693" i="4"/>
  <c r="Y724" i="4"/>
  <c r="W842" i="4"/>
  <c r="AF771" i="4"/>
  <c r="AF750" i="4"/>
  <c r="AF759" i="4"/>
  <c r="AF796" i="4"/>
  <c r="AF951" i="4"/>
  <c r="AF348" i="4"/>
  <c r="AF422" i="4"/>
  <c r="AF363" i="4"/>
  <c r="AF475" i="4"/>
  <c r="AF881" i="4"/>
  <c r="AF651" i="4"/>
  <c r="AF344" i="4"/>
  <c r="AF485" i="4"/>
  <c r="AF520" i="4"/>
  <c r="AF668" i="4"/>
  <c r="W339" i="4"/>
  <c r="Y333" i="4"/>
  <c r="AF647" i="4"/>
  <c r="AF655" i="4"/>
  <c r="AF343" i="4"/>
  <c r="AF50" i="4"/>
  <c r="AF211" i="4"/>
  <c r="AF204" i="4"/>
  <c r="AF524" i="4"/>
  <c r="AF202" i="4"/>
  <c r="AF590" i="4"/>
  <c r="AF479" i="4"/>
  <c r="AF653" i="4"/>
  <c r="AF636" i="4"/>
  <c r="AF358" i="4"/>
  <c r="AF478" i="4"/>
  <c r="AF407" i="4"/>
  <c r="AF433" i="4"/>
  <c r="AF551" i="4"/>
  <c r="W39" i="4"/>
  <c r="Y13" i="4"/>
  <c r="AF412" i="4"/>
  <c r="AF424" i="4"/>
  <c r="AF540" i="4"/>
  <c r="AF539" i="4"/>
  <c r="W226" i="4"/>
  <c r="Y193" i="4"/>
  <c r="AF563" i="4"/>
  <c r="AF411" i="4"/>
  <c r="AF262" i="4"/>
  <c r="AF436" i="4"/>
  <c r="AF560" i="4"/>
  <c r="AF916" i="4"/>
  <c r="AF660" i="4"/>
  <c r="AF537" i="4"/>
  <c r="AF361" i="4"/>
  <c r="W368" i="4"/>
  <c r="Y342" i="4"/>
  <c r="Y375" i="4"/>
  <c r="W388" i="4"/>
  <c r="AF159" i="4"/>
  <c r="W130" i="4"/>
  <c r="Y90" i="4"/>
  <c r="AF210" i="4"/>
  <c r="AF512" i="4"/>
  <c r="L142" i="2"/>
  <c r="M106" i="2"/>
  <c r="K67" i="2"/>
  <c r="W274" i="4"/>
  <c r="M140" i="2"/>
  <c r="J104" i="2"/>
  <c r="J68" i="2"/>
  <c r="J140" i="2"/>
  <c r="K32" i="2"/>
  <c r="AF699" i="4"/>
  <c r="AF695" i="4"/>
  <c r="AF715" i="4"/>
  <c r="AF742" i="4"/>
  <c r="AF741" i="4"/>
  <c r="AF764" i="4"/>
  <c r="AF101" i="4"/>
  <c r="AF667" i="4"/>
  <c r="AF659" i="4"/>
  <c r="Y871" i="4"/>
  <c r="W958" i="4"/>
  <c r="AF212" i="4"/>
  <c r="AF929" i="4"/>
  <c r="AF535" i="4"/>
  <c r="AF473" i="4"/>
  <c r="AF504" i="4"/>
  <c r="AF956" i="4"/>
  <c r="AF886" i="4"/>
  <c r="AF495" i="4"/>
  <c r="AF662" i="4"/>
  <c r="AF498" i="4"/>
  <c r="AF648" i="4"/>
  <c r="AF99" i="4"/>
  <c r="AF347" i="4"/>
  <c r="AF892" i="4"/>
  <c r="AF664" i="4"/>
  <c r="AF441" i="4"/>
  <c r="AF207" i="4"/>
  <c r="AF508" i="4"/>
  <c r="AF76" i="4"/>
  <c r="AF216" i="4"/>
  <c r="AF410" i="4"/>
  <c r="AF564" i="4"/>
  <c r="AF649" i="4"/>
  <c r="AF650" i="4"/>
  <c r="AF354" i="4"/>
  <c r="AF429" i="4"/>
  <c r="AF80" i="4"/>
  <c r="AF417" i="4"/>
  <c r="AF493" i="4"/>
  <c r="AF334" i="4"/>
  <c r="AF73" i="4"/>
  <c r="AF542" i="4"/>
  <c r="AF598" i="4"/>
  <c r="AF882" i="4"/>
  <c r="AF513" i="4"/>
  <c r="AF167" i="4"/>
  <c r="AF531" i="4"/>
  <c r="AF98" i="4"/>
  <c r="AF218" i="4"/>
  <c r="AF174" i="4"/>
  <c r="AF532" i="4"/>
  <c r="AF901" i="4"/>
  <c r="AF634" i="4"/>
  <c r="AF529" i="4"/>
  <c r="AF357" i="4"/>
  <c r="AF565" i="4"/>
  <c r="AF217" i="4"/>
  <c r="AF527" i="4"/>
  <c r="AF104" i="4"/>
  <c r="AF81" i="4"/>
  <c r="AF432" i="4"/>
  <c r="L141" i="2"/>
  <c r="M105" i="2"/>
  <c r="K139" i="2"/>
  <c r="J33" i="2"/>
  <c r="K36" i="1"/>
  <c r="J34" i="2" s="1"/>
  <c r="AF697" i="4"/>
  <c r="AF698" i="4"/>
  <c r="AF778" i="4"/>
  <c r="AF767" i="4"/>
  <c r="AF811" i="4"/>
  <c r="Y713" i="4"/>
  <c r="W720" i="4"/>
  <c r="AF740" i="4"/>
  <c r="AF44" i="4"/>
  <c r="Y56" i="4"/>
  <c r="AF616" i="4"/>
  <c r="AF205" i="4"/>
  <c r="AF505" i="4"/>
  <c r="AF421" i="4"/>
  <c r="AF158" i="4"/>
  <c r="Y186" i="4"/>
  <c r="AF643" i="4"/>
  <c r="AF895" i="4"/>
  <c r="AF494" i="4"/>
  <c r="AF942" i="4"/>
  <c r="AF683" i="4"/>
  <c r="AF360" i="4"/>
  <c r="AF622" i="4"/>
  <c r="AF428" i="4"/>
  <c r="W867" i="4"/>
  <c r="Y861" i="4"/>
  <c r="AF364" i="4"/>
  <c r="AF459" i="4"/>
  <c r="AF409" i="4"/>
  <c r="AF367" i="4"/>
  <c r="AF573" i="4"/>
  <c r="AF223" i="4"/>
  <c r="W8" i="4"/>
  <c r="Y6" i="4"/>
  <c r="AF457" i="4"/>
  <c r="AF103" i="4"/>
  <c r="AF416" i="4"/>
  <c r="AF928" i="4"/>
  <c r="AF645" i="4"/>
  <c r="AF624" i="4"/>
  <c r="AF350" i="4"/>
  <c r="AF439" i="4"/>
  <c r="AF72" i="4"/>
  <c r="Y401" i="4"/>
  <c r="AF376" i="4"/>
  <c r="AF265" i="4"/>
  <c r="AF272" i="4"/>
  <c r="AF418" i="4"/>
  <c r="AF536" i="4"/>
  <c r="AF507" i="4"/>
  <c r="AF225" i="4"/>
  <c r="AF269" i="4"/>
  <c r="AF435" i="4"/>
  <c r="AF48" i="4"/>
  <c r="AF178" i="4"/>
  <c r="AF378" i="4"/>
  <c r="Y63" i="4"/>
  <c r="W86" i="4"/>
  <c r="AF890" i="4"/>
  <c r="AF569" i="4"/>
  <c r="AF468" i="4"/>
  <c r="AF353" i="4"/>
  <c r="AF557" i="4"/>
  <c r="AF201" i="4"/>
  <c r="W190" i="4"/>
  <c r="Y189" i="4"/>
  <c r="AF335" i="4"/>
  <c r="AF488" i="4"/>
  <c r="AF580" i="4"/>
  <c r="AF277" i="4"/>
  <c r="Y329" i="4"/>
  <c r="AF694" i="4"/>
  <c r="AF696" i="4"/>
  <c r="AF700" i="4"/>
  <c r="AF770" i="4"/>
  <c r="AF765" i="4"/>
  <c r="AF777" i="4"/>
  <c r="AF821" i="4"/>
  <c r="AF785" i="4"/>
  <c r="X854" i="4" l="1"/>
  <c r="X857" i="4" s="1"/>
  <c r="X978" i="4" s="1"/>
  <c r="W961" i="4"/>
  <c r="Y867" i="4"/>
  <c r="AF861" i="4"/>
  <c r="AF871" i="4"/>
  <c r="Y958" i="4"/>
  <c r="K140" i="2"/>
  <c r="AF90" i="4"/>
  <c r="Y130" i="4"/>
  <c r="W391" i="4"/>
  <c r="AF13" i="4"/>
  <c r="AF39" i="4" s="1"/>
  <c r="Y39" i="4"/>
  <c r="AF333" i="4"/>
  <c r="Y339" i="4"/>
  <c r="W852" i="4"/>
  <c r="AF63" i="4"/>
  <c r="Y86" i="4"/>
  <c r="AF56" i="4"/>
  <c r="K68" i="2"/>
  <c r="AF375" i="4"/>
  <c r="Y388" i="4"/>
  <c r="AF724" i="4"/>
  <c r="Y842" i="4"/>
  <c r="AF329" i="4"/>
  <c r="Y190" i="4"/>
  <c r="AF189" i="4"/>
  <c r="AF401" i="4"/>
  <c r="Y8" i="4"/>
  <c r="AF6" i="4"/>
  <c r="AF8" i="4" s="1"/>
  <c r="AF186" i="4"/>
  <c r="J106" i="2"/>
  <c r="J70" i="2"/>
  <c r="J142" i="2"/>
  <c r="K34" i="2"/>
  <c r="K104" i="2"/>
  <c r="M142" i="2"/>
  <c r="Y368" i="4"/>
  <c r="AF342" i="4"/>
  <c r="Y226" i="4"/>
  <c r="AF193" i="4"/>
  <c r="Y703" i="4"/>
  <c r="AF693" i="4"/>
  <c r="AF274" i="4"/>
  <c r="AF713" i="4"/>
  <c r="Y720" i="4"/>
  <c r="J69" i="2"/>
  <c r="J141" i="2"/>
  <c r="J105" i="2"/>
  <c r="K33" i="2"/>
  <c r="M141" i="2"/>
  <c r="W544" i="4"/>
  <c r="K105" i="2" l="1"/>
  <c r="K70" i="2"/>
  <c r="K141" i="2"/>
  <c r="AF368" i="4"/>
  <c r="K106" i="2"/>
  <c r="AF190" i="4"/>
  <c r="AF130" i="4"/>
  <c r="AF720" i="4"/>
  <c r="Y852" i="4"/>
  <c r="AF842" i="4"/>
  <c r="K69" i="2"/>
  <c r="AF86" i="4"/>
  <c r="AF339" i="4"/>
  <c r="AF958" i="4"/>
  <c r="Y961" i="4"/>
  <c r="Y544" i="4"/>
  <c r="AF226" i="4"/>
  <c r="W652" i="4"/>
  <c r="Y652" i="4" s="1"/>
  <c r="W550" i="4"/>
  <c r="Y550" i="4" s="1"/>
  <c r="AF703" i="4"/>
  <c r="K142" i="2"/>
  <c r="Y391" i="4"/>
  <c r="AF388" i="4"/>
  <c r="AF867" i="4"/>
  <c r="AF391" i="4" l="1"/>
  <c r="AF652" i="4"/>
  <c r="W684" i="4"/>
  <c r="W690" i="4" s="1"/>
  <c r="W705" i="4" s="1"/>
  <c r="W854" i="4" s="1"/>
  <c r="W857" i="4" s="1"/>
  <c r="W978" i="4" s="1"/>
  <c r="AF961" i="4"/>
  <c r="AF852" i="4"/>
  <c r="AF544" i="4"/>
  <c r="Y684" i="4"/>
  <c r="AF550" i="4"/>
  <c r="AF684" i="4" l="1"/>
  <c r="AF690" i="4" s="1"/>
  <c r="AF705" i="4" s="1"/>
  <c r="AF854" i="4" s="1"/>
  <c r="AF857" i="4" s="1"/>
  <c r="AF978" i="4" s="1"/>
  <c r="Y690" i="4"/>
  <c r="Y705" i="4" l="1"/>
  <c r="Y854" i="4" l="1"/>
  <c r="Y857" i="4" s="1"/>
  <c r="Y978" i="4" s="1"/>
</calcChain>
</file>

<file path=xl/sharedStrings.xml><?xml version="1.0" encoding="utf-8"?>
<sst xmlns="http://schemas.openxmlformats.org/spreadsheetml/2006/main" count="2059" uniqueCount="1087">
  <si>
    <t>Avoided Gas Costs, 2014-2023</t>
  </si>
  <si>
    <t>Indicates updated inputs (April 2014)</t>
  </si>
  <si>
    <t>Demand Side Management</t>
  </si>
  <si>
    <t>Hampton Methodologies - Unit Cost Saved ($/E3M3)</t>
  </si>
  <si>
    <t>FY</t>
  </si>
  <si>
    <t>2014 Ontario CPI</t>
  </si>
  <si>
    <t>IESO, Jan 2014</t>
  </si>
  <si>
    <t>2014 Wholesale water rates ¢/1000 litres</t>
  </si>
  <si>
    <t>Source: Muhammad Akhtar</t>
  </si>
  <si>
    <t>PIRA's Commodity Price Forecast 2012 vs 2013</t>
  </si>
  <si>
    <t>Linked to Avoided Costs</t>
  </si>
  <si>
    <t>Water Heating</t>
  </si>
  <si>
    <t>Nominal Growth Rate, Dec 2004</t>
  </si>
  <si>
    <t>Fiscal Year</t>
  </si>
  <si>
    <t>Space &amp; Water Heating</t>
  </si>
  <si>
    <t>Industrial Process</t>
  </si>
  <si>
    <t>Space Heating</t>
  </si>
  <si>
    <t>discount rate</t>
  </si>
  <si>
    <t>wholesale</t>
  </si>
  <si>
    <t>Water</t>
  </si>
  <si>
    <t>water heating</t>
  </si>
  <si>
    <t>gas</t>
  </si>
  <si>
    <t>electricity</t>
  </si>
  <si>
    <t>Rates</t>
  </si>
  <si>
    <t>energy</t>
  </si>
  <si>
    <t>¢/Kwh</t>
  </si>
  <si>
    <t>$ / 1000 litres</t>
  </si>
  <si>
    <t>year</t>
  </si>
  <si>
    <t>RATE</t>
  </si>
  <si>
    <t>NPV</t>
  </si>
  <si>
    <t>space heating</t>
  </si>
  <si>
    <t>combined space &amp;</t>
  </si>
  <si>
    <t xml:space="preserve">  water heating</t>
  </si>
  <si>
    <t>industrial</t>
  </si>
  <si>
    <t>Enbridge Gas Distribution 2014 DSM Results</t>
  </si>
  <si>
    <t>Total</t>
  </si>
  <si>
    <t>Program</t>
  </si>
  <si>
    <t>Adjustment Factor per Engineering Review</t>
  </si>
  <si>
    <t>Gas Savings</t>
  </si>
  <si>
    <t>Electricity  savings</t>
  </si>
  <si>
    <t>Water savings</t>
  </si>
  <si>
    <t>Calculated</t>
  </si>
  <si>
    <t>Avoided Cost Benefits</t>
  </si>
  <si>
    <t>Actual Costs per EFS/DARTS</t>
  </si>
  <si>
    <t>Program codes</t>
  </si>
  <si>
    <t>Name</t>
  </si>
  <si>
    <t>Customer Address for Custom Projects</t>
  </si>
  <si>
    <t>Prescriptive # of Units Installed</t>
  </si>
  <si>
    <t># of Addresses/ Participants for Custom &amp; Prescriptive Projects</t>
  </si>
  <si>
    <t>Annual unit gas savings</t>
  </si>
  <si>
    <t>Free rider %</t>
  </si>
  <si>
    <t>Reduction Factor % for non-installs and removals</t>
  </si>
  <si>
    <t>Gross annual gas savings</t>
  </si>
  <si>
    <t>Revised Gross Annual gas Savings</t>
  </si>
  <si>
    <t>Net annual gas savings</t>
  </si>
  <si>
    <t>Unit kWh</t>
  </si>
  <si>
    <t>Gross kWh</t>
  </si>
  <si>
    <t>Revised Gross kWh</t>
  </si>
  <si>
    <t>Net kWh</t>
  </si>
  <si>
    <t>Unit water m3</t>
  </si>
  <si>
    <t>Gross water m3</t>
  </si>
  <si>
    <t>Revised Gross water m3</t>
  </si>
  <si>
    <t>Net Water m3</t>
  </si>
  <si>
    <t>Measure Life</t>
  </si>
  <si>
    <t>Load type</t>
  </si>
  <si>
    <t>NPV Gas</t>
  </si>
  <si>
    <t>NPV Electric</t>
  </si>
  <si>
    <t>NPV Water</t>
  </si>
  <si>
    <t>TRC NPV Benefits</t>
  </si>
  <si>
    <t>Unit Incremental costs</t>
  </si>
  <si>
    <t>Total Net Incremental costs</t>
  </si>
  <si>
    <t>Total Variable Costs</t>
  </si>
  <si>
    <t xml:space="preserve">"Direct" Program costs </t>
  </si>
  <si>
    <t>DSM O&amp;M</t>
  </si>
  <si>
    <t>Total TRC Costs</t>
  </si>
  <si>
    <t>Net TRC Benefits</t>
  </si>
  <si>
    <t>Net Cumulative Cubic Metres (CCM)</t>
  </si>
  <si>
    <t>Gross Cumulative Cubic Metres (CCM)</t>
  </si>
  <si>
    <t>Residential</t>
  </si>
  <si>
    <t>RA.RE.CER</t>
  </si>
  <si>
    <t>Residential Community Energy (Retrofits without Furnace Upgrade)</t>
  </si>
  <si>
    <t>S</t>
  </si>
  <si>
    <t>Residential Community Energy  (Retrofits with Furnace Upgrade)</t>
  </si>
  <si>
    <t>Total Residential</t>
  </si>
  <si>
    <t>Commercial Prescriptive</t>
  </si>
  <si>
    <t>RA.AIR</t>
  </si>
  <si>
    <t>Air Curtains - Single Door</t>
  </si>
  <si>
    <t>RA.AIR.2</t>
  </si>
  <si>
    <t>Air Curtains - Double Door</t>
  </si>
  <si>
    <t>RA.AIR.5</t>
  </si>
  <si>
    <t>Air Curtains - 10x10</t>
  </si>
  <si>
    <t>RA.CB (Space Htg)</t>
  </si>
  <si>
    <t>Condensing Boiler</t>
  </si>
  <si>
    <t>RA.CB (Water Htg)</t>
  </si>
  <si>
    <t>W</t>
  </si>
  <si>
    <t>RA.COND.MUA</t>
  </si>
  <si>
    <t>Make Up Air Unit</t>
  </si>
  <si>
    <t>RA.DCV</t>
  </si>
  <si>
    <t>Demand Control Vent</t>
  </si>
  <si>
    <t>RA.DCKV.1</t>
  </si>
  <si>
    <t>Demand Control Kitchen Vent 0 to 4999</t>
  </si>
  <si>
    <t>RA.DCKV.2</t>
  </si>
  <si>
    <t>Demand Control Kitchen Vent 5000 to 9999</t>
  </si>
  <si>
    <t>RA.DCKV.3</t>
  </si>
  <si>
    <t>Demand Control Kitchen Vent 10000-15000</t>
  </si>
  <si>
    <t>RA.ERV</t>
  </si>
  <si>
    <t>Energy Recovery Ventilators (ERV)</t>
  </si>
  <si>
    <t>RA.OZ</t>
  </si>
  <si>
    <t>Ozone Laundry</t>
  </si>
  <si>
    <t>RA.HEB.299</t>
  </si>
  <si>
    <t>SC High Efficiency Boiler under 300 MBH (Space)</t>
  </si>
  <si>
    <t>RA.HEBO (Space Htg)</t>
  </si>
  <si>
    <t xml:space="preserve">High Efficiency Boiler </t>
  </si>
  <si>
    <t>RA.HEBO (Water Htg)</t>
  </si>
  <si>
    <t>RA.HEBO.MR (Space Htg)</t>
  </si>
  <si>
    <t>High Efficiency Boiler - Multi-Residential</t>
  </si>
  <si>
    <t>RA.HEBO.MR (Water Htg)</t>
  </si>
  <si>
    <t>RA.HRV</t>
  </si>
  <si>
    <t>Heat Recovery Ventilator (HRV)</t>
  </si>
  <si>
    <t>RA.INFRD</t>
  </si>
  <si>
    <t>Infrared Heaters</t>
  </si>
  <si>
    <t>RA.SCH.P (Elementary School)</t>
  </si>
  <si>
    <t>Elementary School Boiler</t>
  </si>
  <si>
    <t>RA.SCH.P (Secondary School)</t>
  </si>
  <si>
    <t>Secondary School Boiler</t>
  </si>
  <si>
    <t>RA.DISH.HT</t>
  </si>
  <si>
    <t>Dishwasher Under Counter High Temp</t>
  </si>
  <si>
    <t>RA.DISH.RACKCON.MULTI</t>
  </si>
  <si>
    <t>ES Dishwasher Rack Conv Multi Tank</t>
  </si>
  <si>
    <t>RA.FS.FRYER</t>
  </si>
  <si>
    <t>Energy Star Fryer</t>
  </si>
  <si>
    <t>RA.DISH.ST.RACK.HT</t>
  </si>
  <si>
    <t>Dishwasher Stationary Rack High Temp</t>
  </si>
  <si>
    <t>RA.DISH.ST.RACK.LT</t>
  </si>
  <si>
    <t>ES Dishwasher Stationary Rack Low Temp</t>
  </si>
  <si>
    <t>RA.DISH.RACKCON.SINGL</t>
  </si>
  <si>
    <t>ES Dishwasher Rack Conv Single Tank</t>
  </si>
  <si>
    <t>RA.FS.OVEN</t>
  </si>
  <si>
    <t>ES Convection Ovens</t>
  </si>
  <si>
    <t>RA.FS.STCOOK</t>
  </si>
  <si>
    <t>ES Steam Cooker</t>
  </si>
  <si>
    <t>Total Commercial Prescriptive</t>
  </si>
  <si>
    <t>Comm.Prescrip. + MR Showerheads</t>
  </si>
  <si>
    <t>Commercial Custom</t>
  </si>
  <si>
    <t xml:space="preserve"> RA.ACC.EX</t>
  </si>
  <si>
    <t>Accommodation</t>
  </si>
  <si>
    <t>RA.ACC.EX.001.14</t>
  </si>
  <si>
    <t>RA.ACC.EX.003.14</t>
  </si>
  <si>
    <t>RA.ACC.EX.005.14</t>
  </si>
  <si>
    <t>RA.ACC.EX.006.14</t>
  </si>
  <si>
    <t>RA.ACC.EX.008.14A</t>
  </si>
  <si>
    <t>RA.ACC.EX.008.14M</t>
  </si>
  <si>
    <t>RA.ACC.EX.009.14A</t>
  </si>
  <si>
    <t>RA.ACC.EX.009.14M</t>
  </si>
  <si>
    <t>RA.ACC.EX.010.14</t>
  </si>
  <si>
    <t>RA.ACC.EX.011.14</t>
  </si>
  <si>
    <t>RA.ACC.EX.012.14</t>
  </si>
  <si>
    <t>RA.ACC.EX.013.14</t>
  </si>
  <si>
    <t>RA.ACC.EX.014.14</t>
  </si>
  <si>
    <t>Commercial - Hotel/Motel - RA.ACC.EX</t>
  </si>
  <si>
    <t/>
  </si>
  <si>
    <t xml:space="preserve"> RA.PRO.EX</t>
  </si>
  <si>
    <t>Professional</t>
  </si>
  <si>
    <t>RA.PRO.EX.001.14</t>
  </si>
  <si>
    <t>RA.PRO.EX.002.14A</t>
  </si>
  <si>
    <t>RA.PRO.EX.002.14M</t>
  </si>
  <si>
    <t>RA.PRO.EX.003.14</t>
  </si>
  <si>
    <t>RA.PRO.EX.004.14</t>
  </si>
  <si>
    <t>RA.PRO.EX.005.14</t>
  </si>
  <si>
    <t>RA.PRO.EX.006.14</t>
  </si>
  <si>
    <t>RA.PRO.EX.007.14</t>
  </si>
  <si>
    <t>RA.PRO.EX.008.14</t>
  </si>
  <si>
    <t>RA.PRO.EX.009.14</t>
  </si>
  <si>
    <t>RA.PRO.EX.010.14</t>
  </si>
  <si>
    <t>RA.PRO.EX.011.14</t>
  </si>
  <si>
    <t>RA.PRO.EX.013.14</t>
  </si>
  <si>
    <t>RA.PRO.EX.014.14</t>
  </si>
  <si>
    <t>RA.PRO.EX.015.14</t>
  </si>
  <si>
    <t>RA.PRO.EX.016.14</t>
  </si>
  <si>
    <t>RA.PRO.EX.017.14</t>
  </si>
  <si>
    <t>RA.PRO.EX.018.14</t>
  </si>
  <si>
    <t>RA.PRO.EX.019.14</t>
  </si>
  <si>
    <t>RA.PRO.EX.020.14</t>
  </si>
  <si>
    <t>RA.PRO.EX.021.14</t>
  </si>
  <si>
    <t>RA.PRO.EX.022.14</t>
  </si>
  <si>
    <t>RA.PRO.EX.023.14</t>
  </si>
  <si>
    <t>RA.PRO.EX.024.14A</t>
  </si>
  <si>
    <t>RA.PRO.EX.024.14M</t>
  </si>
  <si>
    <t>RA.PRO.EX.025.14</t>
  </si>
  <si>
    <t>RA.PRO.EX.027.14</t>
  </si>
  <si>
    <t>Commercial - Office - RA.PRO.EX</t>
  </si>
  <si>
    <t>RA.RET.EX</t>
  </si>
  <si>
    <t>Retail</t>
  </si>
  <si>
    <t>RA.RET.EX.001.14</t>
  </si>
  <si>
    <t>RA.RET.EX.002.14</t>
  </si>
  <si>
    <t>RA.RET.EX.003.14</t>
  </si>
  <si>
    <t>RA.RET.EX.004.14</t>
  </si>
  <si>
    <t>RA.RET.EX.005.14</t>
  </si>
  <si>
    <t>RA.RET.EX.006.14</t>
  </si>
  <si>
    <t>RA.RET.EX.008.14</t>
  </si>
  <si>
    <t>RA.RET.EX.009.14</t>
  </si>
  <si>
    <t>RA.RET.EX.010.14</t>
  </si>
  <si>
    <t>RA.RET.EX.012.14</t>
  </si>
  <si>
    <t>RA.RET.EX.014.14</t>
  </si>
  <si>
    <t>RA.RET.EX.015.14</t>
  </si>
  <si>
    <t>RA.RET.EX.016.14</t>
  </si>
  <si>
    <t>RA.RET.EX.018.14</t>
  </si>
  <si>
    <t>RA.RET.EX.019.14</t>
  </si>
  <si>
    <t>RA.RET.EX.021.14</t>
  </si>
  <si>
    <t>RA.RET.EX.022.14</t>
  </si>
  <si>
    <t>RA.RET.EX.023.14</t>
  </si>
  <si>
    <t>RA.RET.EX.025.14</t>
  </si>
  <si>
    <t>RA.RET.EX.026.14</t>
  </si>
  <si>
    <t>RA.RET.EX.027.14</t>
  </si>
  <si>
    <t>RA.RET.EX.028.14</t>
  </si>
  <si>
    <t>RA.RET.EX.029.14</t>
  </si>
  <si>
    <t>RA.RET.EX.030.14</t>
  </si>
  <si>
    <t>RA.RET.EX.031.14</t>
  </si>
  <si>
    <t>RA.RET.EX.032.14</t>
  </si>
  <si>
    <t>RA.RET.EX.033.14</t>
  </si>
  <si>
    <t>RA.RET.EX.034.14</t>
  </si>
  <si>
    <t>RA.RET.EX.035.14</t>
  </si>
  <si>
    <t>RA.RET.EX.036.14</t>
  </si>
  <si>
    <t>RA.RET.EX.037.14</t>
  </si>
  <si>
    <t>RA.RET.EX.038.14</t>
  </si>
  <si>
    <t>RA.RET.EX.039.14</t>
  </si>
  <si>
    <t>RA.RET.EX.040.14</t>
  </si>
  <si>
    <t>RA.RET.EX.041.14</t>
  </si>
  <si>
    <t>RA.RET.EX.042.14</t>
  </si>
  <si>
    <t>RA.RET.EX.043.14</t>
  </si>
  <si>
    <t>RA.RET.EX.044.14</t>
  </si>
  <si>
    <t>RA.RET.EX.045.14</t>
  </si>
  <si>
    <t>RA.RET.EX.046.14</t>
  </si>
  <si>
    <t>RA.RET.EX.047.14</t>
  </si>
  <si>
    <t>Commercial - Retail - RA.RET.EX</t>
  </si>
  <si>
    <t>RA.LOG.EX</t>
  </si>
  <si>
    <t>Logistics</t>
  </si>
  <si>
    <t>RA.LOG.EX.001.14</t>
  </si>
  <si>
    <t>RA.LOG.EX.002.14</t>
  </si>
  <si>
    <t>RA.LOG.EX.003.14</t>
  </si>
  <si>
    <t>RA.LOG.EX.005.14</t>
  </si>
  <si>
    <t>RA.LOG.EX.006.14</t>
  </si>
  <si>
    <t>RA.LOG.EX.007.14</t>
  </si>
  <si>
    <t>RA.LOG.EX.008.14</t>
  </si>
  <si>
    <t>RA.LOG.EX.009.14</t>
  </si>
  <si>
    <t>RA.LOG.EX.010.14</t>
  </si>
  <si>
    <t>RA.LOG.EX.011.14</t>
  </si>
  <si>
    <t>RA.LOG.EX.012.14A</t>
  </si>
  <si>
    <t>RA.LOG.EX.012.14B</t>
  </si>
  <si>
    <t>RA.LOG.EX.012.14M</t>
  </si>
  <si>
    <t>RA.LOG.EX.013.14</t>
  </si>
  <si>
    <t>RA.LOG.EX.014.14</t>
  </si>
  <si>
    <t>RA.LOG.EX.016.14</t>
  </si>
  <si>
    <t>RA.LOG.EX.017.14</t>
  </si>
  <si>
    <t>RA.LOG.EX.018.14</t>
  </si>
  <si>
    <t>RA.LOG.EX.019.14</t>
  </si>
  <si>
    <t>RA.LOG.EX.020.14</t>
  </si>
  <si>
    <t>RA.LOG.EX.021.14</t>
  </si>
  <si>
    <t>RA.LOG.EX.022.14</t>
  </si>
  <si>
    <t>RA.LOG.EX.023.14</t>
  </si>
  <si>
    <t>RA.LOG.EX.024.14</t>
  </si>
  <si>
    <t>RA.LOG.EX.025.14</t>
  </si>
  <si>
    <t>RA.LOG.EX.026.14A</t>
  </si>
  <si>
    <t>RA.LOG.EX.026.14M</t>
  </si>
  <si>
    <t>RA.LOG.EX.027.14A</t>
  </si>
  <si>
    <t>RA.LOG.EX.027.14M</t>
  </si>
  <si>
    <t>RA.LOG.EX.028.14</t>
  </si>
  <si>
    <t>RA.LOG.EX.029.14</t>
  </si>
  <si>
    <t>RA.LOG.EX.030.14</t>
  </si>
  <si>
    <t>RA.LOG.EX.032.14</t>
  </si>
  <si>
    <t>RA.LOG.EX.033.14</t>
  </si>
  <si>
    <t>RA.LOG.EX.034.14</t>
  </si>
  <si>
    <t>RA.LOG.EX.035.14</t>
  </si>
  <si>
    <t>RA.LOG.EX.037.14</t>
  </si>
  <si>
    <t>RA.LOG.EX.038.14</t>
  </si>
  <si>
    <t>RA.LOG.EX.039.14</t>
  </si>
  <si>
    <t>RA.LOG.EX.041.14</t>
  </si>
  <si>
    <t>RA.LOG.EX.042.14</t>
  </si>
  <si>
    <t>RA.LOG.EX.045.14</t>
  </si>
  <si>
    <t>RA.LOG.EX.046.14</t>
  </si>
  <si>
    <t>RA.LOG.EX.047.14</t>
  </si>
  <si>
    <t>RA.LOG.EX.048.14</t>
  </si>
  <si>
    <t>RA.LOG.EX.049.14</t>
  </si>
  <si>
    <t>RA.LOG.EX.050.14</t>
  </si>
  <si>
    <t>RA.LOG.EX.051.14</t>
  </si>
  <si>
    <t>RA.LOG.EX.052.14</t>
  </si>
  <si>
    <t>RA.LOG.EX.053.14</t>
  </si>
  <si>
    <t>RA.LOG.EX.054.14</t>
  </si>
  <si>
    <t>RA.LOG.EX.055.14</t>
  </si>
  <si>
    <t>RA.LOG.EX.056.14</t>
  </si>
  <si>
    <t>Commercial - Warehouses - RA.LOG.EX</t>
  </si>
  <si>
    <t>RA.FS.EX</t>
  </si>
  <si>
    <t>Food Services</t>
  </si>
  <si>
    <t>RA.FS.EX.001.14</t>
  </si>
  <si>
    <t>Commercial - Restaurants - RA.FS.EX</t>
  </si>
  <si>
    <t xml:space="preserve"> RA.COM.EX</t>
  </si>
  <si>
    <t>Other Commercial</t>
  </si>
  <si>
    <t>RA.COM.EX.002.14</t>
  </si>
  <si>
    <t>RA.COM.EX.004.14</t>
  </si>
  <si>
    <t>RA.COM.EX.005.14</t>
  </si>
  <si>
    <t>RA.COM.EX.006.14</t>
  </si>
  <si>
    <t>RA.COM.EX.010.14</t>
  </si>
  <si>
    <t>RA.COM.EX.011.14</t>
  </si>
  <si>
    <t>RA.COM.EX.012.14A</t>
  </si>
  <si>
    <t>RA.COM.EX.012.14M</t>
  </si>
  <si>
    <t>RA.COM.EX.013.14</t>
  </si>
  <si>
    <t>RA.COM.EX.014.14</t>
  </si>
  <si>
    <t>RA.COM.EX.016.14</t>
  </si>
  <si>
    <t>RA.COM.EX.017.14</t>
  </si>
  <si>
    <t>RA.COM.EX.018.14</t>
  </si>
  <si>
    <t>RA.COM.EX.019.14</t>
  </si>
  <si>
    <t>RA.COM.EX.020.14</t>
  </si>
  <si>
    <t>RA.COM.EX.021.14</t>
  </si>
  <si>
    <t>RA.COM.EX.022.14</t>
  </si>
  <si>
    <t>RA.COM.EX.023.14</t>
  </si>
  <si>
    <t>RA.COM.EX.024.14</t>
  </si>
  <si>
    <t>RA.COM.EX.025.14</t>
  </si>
  <si>
    <t>RA.COM.EX.026.14</t>
  </si>
  <si>
    <t>RA.COM.EX.027.14</t>
  </si>
  <si>
    <t>RA.COM.EX.028.14</t>
  </si>
  <si>
    <t>RA.COM.EX.029.14</t>
  </si>
  <si>
    <t>RA.COM.EX.030.14</t>
  </si>
  <si>
    <t>RA.COM.EX.031.14</t>
  </si>
  <si>
    <t>RA.COM.EX.034.14</t>
  </si>
  <si>
    <t>RA.COM.EX.036.14</t>
  </si>
  <si>
    <t>RA.COM.EX.037.14</t>
  </si>
  <si>
    <t>RA.COM.EX.038.14</t>
  </si>
  <si>
    <t>RA.COM.EX.039.14</t>
  </si>
  <si>
    <t>RA.COM.EX.040.14</t>
  </si>
  <si>
    <t>RA.COM.EX.041.14</t>
  </si>
  <si>
    <t>Commercial - Other Commercial - RA.COM.EX</t>
  </si>
  <si>
    <t>RA.HC.EX</t>
  </si>
  <si>
    <t>Health Care</t>
  </si>
  <si>
    <t>RA.HC.EX.001.14</t>
  </si>
  <si>
    <t>RA.HC.EX.002.14</t>
  </si>
  <si>
    <t>RA.HC.EX.003.14</t>
  </si>
  <si>
    <t>RA.HC.EX.004.14</t>
  </si>
  <si>
    <t>RA.HC.EX.005.14</t>
  </si>
  <si>
    <t>RA.HC.EX.006.14</t>
  </si>
  <si>
    <t>RA.HC.EX.007.14</t>
  </si>
  <si>
    <t>RA.HC.EX.008.14</t>
  </si>
  <si>
    <t>RA.HC.EX.009.14</t>
  </si>
  <si>
    <t>RA.HC.EX.010.14</t>
  </si>
  <si>
    <t>RA.HC.EX.011.14</t>
  </si>
  <si>
    <t>RA.HC.EX.012.14</t>
  </si>
  <si>
    <t>RA.HC.EX.013.14</t>
  </si>
  <si>
    <t>RA.HC.EX.014.14</t>
  </si>
  <si>
    <t>RA.HC.EX.015.14</t>
  </si>
  <si>
    <t>RA.HC.EX.016.14</t>
  </si>
  <si>
    <t>RA.HC.EX.017.14</t>
  </si>
  <si>
    <t>RA.HC.EX.018.14</t>
  </si>
  <si>
    <t>RA.HC.EX.019.14</t>
  </si>
  <si>
    <t>RA.HC.EX.020.14</t>
  </si>
  <si>
    <t>RA.HC.EX.021.14</t>
  </si>
  <si>
    <t>RA.HC.EX.022.14</t>
  </si>
  <si>
    <t>RA.HC.EX.023.14</t>
  </si>
  <si>
    <t>RA.HC.EX.024.14A</t>
  </si>
  <si>
    <t>RA.HC.EX.024.14M</t>
  </si>
  <si>
    <t>RA.HC.EX.025.14</t>
  </si>
  <si>
    <t>RA.HC.EX.026.14</t>
  </si>
  <si>
    <t>RA.HC.EX.027.14</t>
  </si>
  <si>
    <t>RA.HC.EX.028.14</t>
  </si>
  <si>
    <t>RA.HC.EX.029.14A</t>
  </si>
  <si>
    <t>RA.HC.EX.029.14M</t>
  </si>
  <si>
    <t>RA.HC.EX.030.14A</t>
  </si>
  <si>
    <t>RA.HC.EX.030.14M</t>
  </si>
  <si>
    <t>RA.HC.EX.031.14</t>
  </si>
  <si>
    <t>RA.HC.EX.032.14A</t>
  </si>
  <si>
    <t>RA.HC.EX.032.14M</t>
  </si>
  <si>
    <t>RA.HC.EX.033.14</t>
  </si>
  <si>
    <t>RA.HC.EX.034.14</t>
  </si>
  <si>
    <t>RA.HC.EX.035.14</t>
  </si>
  <si>
    <t>RA.HC.EX.036.14A</t>
  </si>
  <si>
    <t>RA.HC.EX.036.14M</t>
  </si>
  <si>
    <t>RA.HC.EX.037.14</t>
  </si>
  <si>
    <t>RA.HC.EX.039.14</t>
  </si>
  <si>
    <t>RA.HC.EX.040.14</t>
  </si>
  <si>
    <t>RA.HC.EX.041.14</t>
  </si>
  <si>
    <t>Commercial - Hospitals - RA.HC.EX</t>
  </si>
  <si>
    <t>RA.REC.EX</t>
  </si>
  <si>
    <t xml:space="preserve">Recreational Non-Government </t>
  </si>
  <si>
    <t>RA.REC.EX.002.14</t>
  </si>
  <si>
    <t>RA.REC.EX.003.14</t>
  </si>
  <si>
    <t>RA.REC.EX.004.14</t>
  </si>
  <si>
    <t>RA.REC.EX.005.14</t>
  </si>
  <si>
    <t>RA.REC.EX.006.14</t>
  </si>
  <si>
    <t>RA.REC.EX.007.14</t>
  </si>
  <si>
    <t>RA.REC.EX.008.14A</t>
  </si>
  <si>
    <t>RA.REC.EX.008.14M</t>
  </si>
  <si>
    <t>RA.REC.EX.009.14</t>
  </si>
  <si>
    <t>RA.REC.EX.010.14</t>
  </si>
  <si>
    <t>RA.REC.EX.011.14</t>
  </si>
  <si>
    <t>RA.REC.EX.012.14</t>
  </si>
  <si>
    <t>RA.REC.EX.013.14</t>
  </si>
  <si>
    <t>RA.REC.EX.014.14</t>
  </si>
  <si>
    <t>RA.REC.EX.015.14</t>
  </si>
  <si>
    <t>RA.REC.EX.016.14</t>
  </si>
  <si>
    <t>RA.REC.EX.017.14</t>
  </si>
  <si>
    <t>RA.REC.EX.018.14</t>
  </si>
  <si>
    <t>RA.REC.EX.019.14</t>
  </si>
  <si>
    <t>RA.REC.EX.020.14</t>
  </si>
  <si>
    <t>RA.REC.EX.021.14</t>
  </si>
  <si>
    <t>RA.REC.EX.022.14</t>
  </si>
  <si>
    <t>RA.REC.EX.023.14</t>
  </si>
  <si>
    <t>RA.REC.EX.024.14</t>
  </si>
  <si>
    <t>RA.REC.EX.025.14</t>
  </si>
  <si>
    <t>RA.REC.EX.026.14</t>
  </si>
  <si>
    <t>RA.REC.EX.027.14</t>
  </si>
  <si>
    <t>RA.REC.EX.028.14</t>
  </si>
  <si>
    <t>RA.REC.EX.029.14A</t>
  </si>
  <si>
    <t>RA.REC.EX.029.14B</t>
  </si>
  <si>
    <t>RA.REC.EX.029.14C</t>
  </si>
  <si>
    <t>RA.REC.EX.029.14M</t>
  </si>
  <si>
    <t>RA.REC.EX.030.14</t>
  </si>
  <si>
    <t>RA.REC.EX.031.14</t>
  </si>
  <si>
    <t>RA.REC.EX.032.14</t>
  </si>
  <si>
    <t>RA.REC.EX.033.14</t>
  </si>
  <si>
    <t>RA.REC.EX.034.14</t>
  </si>
  <si>
    <t>RA.REC.EX.035.14</t>
  </si>
  <si>
    <t>RA.REC.EX.036.14</t>
  </si>
  <si>
    <t>RA.REC.EX.037.14</t>
  </si>
  <si>
    <t>RA.REC.EX.038.14</t>
  </si>
  <si>
    <t>RA.REC.EX.039.14</t>
  </si>
  <si>
    <t>RA.REC.EX.040.14</t>
  </si>
  <si>
    <t>RA.REC.EX.041.14</t>
  </si>
  <si>
    <t>RA.REC.EX.042.14</t>
  </si>
  <si>
    <t>RA.REC.EX.043.14</t>
  </si>
  <si>
    <t>RA.REC.EX.044.14</t>
  </si>
  <si>
    <t>RA.REC.EX.045.14</t>
  </si>
  <si>
    <t>RA.REC.EX.046.14</t>
  </si>
  <si>
    <t>RA.REC.EX.047.14</t>
  </si>
  <si>
    <t>RA.REC.EX.048.14</t>
  </si>
  <si>
    <t>RA.REC.EX.049.14</t>
  </si>
  <si>
    <t>Commercial - Recreational Non-Government - RA.REC.EX</t>
  </si>
  <si>
    <t>RA.GOV.EX</t>
  </si>
  <si>
    <t>Government</t>
  </si>
  <si>
    <t>RA.GOV.EX.002.14</t>
  </si>
  <si>
    <t>RA.GOV.EX.003.14</t>
  </si>
  <si>
    <t>RA.GOV.EX.004.14</t>
  </si>
  <si>
    <t>RA.GOV.EX.005.14</t>
  </si>
  <si>
    <t>RA.GOV.EX.006.14</t>
  </si>
  <si>
    <t>RA.GOV.EX.007.14</t>
  </si>
  <si>
    <t>RA.GOV.EX.008.14</t>
  </si>
  <si>
    <t>Commercial - Government - RA.GOV.EX</t>
  </si>
  <si>
    <t xml:space="preserve"> RA.SCH.EX</t>
  </si>
  <si>
    <t>Schools</t>
  </si>
  <si>
    <t>RA.SCH.EX.002.14</t>
  </si>
  <si>
    <t>RA.SCH.EX.003.14</t>
  </si>
  <si>
    <t>RA.SCH.EX.004.14</t>
  </si>
  <si>
    <t>RA.SCH.EX.005.14</t>
  </si>
  <si>
    <t>RA.SCH.EX.006.14</t>
  </si>
  <si>
    <t>RA.SCH.EX.007.14</t>
  </si>
  <si>
    <t>RA.SCH.EX.010.14</t>
  </si>
  <si>
    <t>RA.SCH.EX.012.14A</t>
  </si>
  <si>
    <t>RA.SCH.EX.012.14M</t>
  </si>
  <si>
    <t>RA.SCH.EX.013.14</t>
  </si>
  <si>
    <t>RA.SCH.EX.014.14</t>
  </si>
  <si>
    <t>RA.SCH.EX.015.14</t>
  </si>
  <si>
    <t>RA.SCH.EX.016.14</t>
  </si>
  <si>
    <t>RA.SCH.EX.017.14A</t>
  </si>
  <si>
    <t>RA.SCH.EX.017.14M</t>
  </si>
  <si>
    <t>RA.SCH.EX.018.14</t>
  </si>
  <si>
    <t>RA.SCH.EX.024.14</t>
  </si>
  <si>
    <t>RA.SCH.EX.029.14A</t>
  </si>
  <si>
    <t>RA.SCH.EX.029.14M</t>
  </si>
  <si>
    <t>RA.SCH.EX.030.14</t>
  </si>
  <si>
    <t>RA.SCH.EX.031.14A</t>
  </si>
  <si>
    <t>RA.SCH.EX.031.14M</t>
  </si>
  <si>
    <t>RA.SCH.EX.033.14</t>
  </si>
  <si>
    <t>RA.SCH.EX.034.14</t>
  </si>
  <si>
    <t>RA.SCH.EX.039.14</t>
  </si>
  <si>
    <t>RA.SCH.EX.040.14</t>
  </si>
  <si>
    <t>Commercial - School - RA.SCH.EX</t>
  </si>
  <si>
    <t>RA.UNIV.EX</t>
  </si>
  <si>
    <t>Universities</t>
  </si>
  <si>
    <t>RA.UNIV.EX.001.14</t>
  </si>
  <si>
    <t>RA.UNIV.EX.002.14</t>
  </si>
  <si>
    <t>RA.UNIV.EX.003.14</t>
  </si>
  <si>
    <t>RA.UNIV.EX.004.14</t>
  </si>
  <si>
    <t>RA.UNIV.EX.005.14</t>
  </si>
  <si>
    <t>RA.UNIV.EX.006.14</t>
  </si>
  <si>
    <t>RA.UNIV.EX.007.14A</t>
  </si>
  <si>
    <t>RA.UNIV.EX.007.14M</t>
  </si>
  <si>
    <t>RA.UNIV.EX.008.14</t>
  </si>
  <si>
    <t>RA.UNIV.EX.009.14</t>
  </si>
  <si>
    <t>RA.UNIV.EX.010.14</t>
  </si>
  <si>
    <t>RA.UNIV.EX.011.14</t>
  </si>
  <si>
    <t>RA.UNIV.EX.012.14</t>
  </si>
  <si>
    <t>RA.UNIV.EX.013.14</t>
  </si>
  <si>
    <t>RA.UNIV.EX.014.14</t>
  </si>
  <si>
    <t>RA.UNIV.EX.015.14</t>
  </si>
  <si>
    <t>RA.UNIV.EX.016.14</t>
  </si>
  <si>
    <t>Commercial - College/University - RA.UNIV.EX</t>
  </si>
  <si>
    <t>Total Large Commercial</t>
  </si>
  <si>
    <t>Run It Right</t>
  </si>
  <si>
    <t>RA.RIREC</t>
  </si>
  <si>
    <t>Run It Right - Multi-Res</t>
  </si>
  <si>
    <t>Commercial - Other Commercial - RA.RIREC</t>
  </si>
  <si>
    <t xml:space="preserve"> </t>
  </si>
  <si>
    <t>Total Run it Right</t>
  </si>
  <si>
    <t>Multi-Residential</t>
  </si>
  <si>
    <t>RA.MR.EX</t>
  </si>
  <si>
    <t>Multi - Residential Private</t>
  </si>
  <si>
    <t>RA.MR.EX.001.14</t>
  </si>
  <si>
    <t>RA.MR.EX.002.14</t>
  </si>
  <si>
    <t>RA.MR.EX.003.14</t>
  </si>
  <si>
    <t>RA.MR.EX.004.14</t>
  </si>
  <si>
    <t>RA.MR.EX.005.14</t>
  </si>
  <si>
    <t>RA.MR.EX.006.14A</t>
  </si>
  <si>
    <t>RA.MR.EX.006.14M</t>
  </si>
  <si>
    <t>RA.MR.EX.007.14A</t>
  </si>
  <si>
    <t>RA.MR.EX.007.14M</t>
  </si>
  <si>
    <t>RA.MR.EX.008.14</t>
  </si>
  <si>
    <t>RA.MR.EX.009.14</t>
  </si>
  <si>
    <t>RA.MR.EX.015.14</t>
  </si>
  <si>
    <t>RA.MR.EX.016.14A</t>
  </si>
  <si>
    <t>RA.MR.EX.016.14B</t>
  </si>
  <si>
    <t>RA.MR.EX.016.14M</t>
  </si>
  <si>
    <t>RA.MR.EX.017.14</t>
  </si>
  <si>
    <t>RA.MR.EX.018.14</t>
  </si>
  <si>
    <t>RA.MR.EX.019.14</t>
  </si>
  <si>
    <t>RA.MR.EX.022.14A</t>
  </si>
  <si>
    <t>RA.MR.EX.022.14M</t>
  </si>
  <si>
    <t>RA.MR.EX.023.14</t>
  </si>
  <si>
    <t>RA.MR.EX.024.14</t>
  </si>
  <si>
    <t>RA.MR.EX.026.14</t>
  </si>
  <si>
    <t>RA.MR.EX.027.14</t>
  </si>
  <si>
    <t>RA.MR.EX.028.14A</t>
  </si>
  <si>
    <t>RA.MR.EX.028.14B</t>
  </si>
  <si>
    <t>RA.MR.EX.028.14M</t>
  </si>
  <si>
    <t>RA.MR.EX.029.14</t>
  </si>
  <si>
    <t>RA.MR.EX.030.14</t>
  </si>
  <si>
    <t>RA.MR.EX.031.14</t>
  </si>
  <si>
    <t>RA.MR.EX.032.14</t>
  </si>
  <si>
    <t>RA.MR.EX.033.14</t>
  </si>
  <si>
    <t>RA.MR.EX.034.14</t>
  </si>
  <si>
    <t>RA.MR.EX.035.14</t>
  </si>
  <si>
    <t>RA.MR.EX.036.14</t>
  </si>
  <si>
    <t>RA.MR.EX.037.14</t>
  </si>
  <si>
    <t>RA.MR.EX.038.14</t>
  </si>
  <si>
    <t>RA.MR.EX.039.14</t>
  </si>
  <si>
    <t>RA.MR.EX.041.14</t>
  </si>
  <si>
    <t>RA.MR.EX.043.14</t>
  </si>
  <si>
    <t>RA.MR.EX.044.14</t>
  </si>
  <si>
    <t>RA.MR.EX.045.14A</t>
  </si>
  <si>
    <t>RA.MR.EX.045.14M</t>
  </si>
  <si>
    <t>RA.MR.EX.046.14</t>
  </si>
  <si>
    <t>RA.MR.EX.047.14</t>
  </si>
  <si>
    <t>RA.MR.EX.048.14</t>
  </si>
  <si>
    <t>RA.MR.EX.049.14A</t>
  </si>
  <si>
    <t>RA.MR.EX.049.14B</t>
  </si>
  <si>
    <t>RA.MR.EX.049.14M</t>
  </si>
  <si>
    <t>RA.MR.EX.052.14</t>
  </si>
  <si>
    <t>RA.MR.EX.053.14A</t>
  </si>
  <si>
    <t>RA.MR.EX.053.14M</t>
  </si>
  <si>
    <t>RA.MR.EX.055.14A</t>
  </si>
  <si>
    <t>RA.MR.EX.055.14M</t>
  </si>
  <si>
    <t>RA.MR.EX.057.14</t>
  </si>
  <si>
    <t>RA.MR.EX.058.14</t>
  </si>
  <si>
    <t>RA.MR.EX.059.14</t>
  </si>
  <si>
    <t>RA.MR.EX.060.14A</t>
  </si>
  <si>
    <t>RA.MR.EX.060.14M</t>
  </si>
  <si>
    <t>RA.MR.EX.062.14A</t>
  </si>
  <si>
    <t>RA.MR.EX.062.14B</t>
  </si>
  <si>
    <t>RA.MR.EX.062.14M</t>
  </si>
  <si>
    <t>RA.MR.EX.065.14A</t>
  </si>
  <si>
    <t>RA.MR.EX.065.14M</t>
  </si>
  <si>
    <t>RA.MR.EX.067.14A</t>
  </si>
  <si>
    <t>RA.MR.EX.067.14M</t>
  </si>
  <si>
    <t>RA.MR.EX.069.14A</t>
  </si>
  <si>
    <t>RA.MR.EX.069.14M</t>
  </si>
  <si>
    <t>RA.MR.EX.071.14</t>
  </si>
  <si>
    <t>RA.MR.EX.072.14A</t>
  </si>
  <si>
    <t>RA.MR.EX.072.14M</t>
  </si>
  <si>
    <t>RA.MR.EX.074.14</t>
  </si>
  <si>
    <t>RA.MR.EX.075.14</t>
  </si>
  <si>
    <t>RA.MR.EX.076.14A</t>
  </si>
  <si>
    <t>RA.MR.EX.076.14M</t>
  </si>
  <si>
    <t>RA.MR.EX.080.14A</t>
  </si>
  <si>
    <t>RA.MR.EX.080.14M</t>
  </si>
  <si>
    <t>RA.MR.EX.083.14</t>
  </si>
  <si>
    <t>RA.MR.EX.086.14</t>
  </si>
  <si>
    <t>RA.MR.EX.087.14</t>
  </si>
  <si>
    <t>RA.MR.EX.088.14A</t>
  </si>
  <si>
    <t>RA.MR.EX.088.14M</t>
  </si>
  <si>
    <t>RA.MR.EX.089.14</t>
  </si>
  <si>
    <t>RA.MR.EX.090.14A</t>
  </si>
  <si>
    <t>RA.MR.EX.090.14B</t>
  </si>
  <si>
    <t>RA.MR.EX.090.14M</t>
  </si>
  <si>
    <t>RA.MR.EX.091.14</t>
  </si>
  <si>
    <t>RA.MR.EX.092.14</t>
  </si>
  <si>
    <t>RA.MR.EX.093.14</t>
  </si>
  <si>
    <t>RA.MR.EX.094.14</t>
  </si>
  <si>
    <t>RA.MR.EX.095.14</t>
  </si>
  <si>
    <t>RA.MR.EX.096.14</t>
  </si>
  <si>
    <t>RA.MR.EX.097.14</t>
  </si>
  <si>
    <t>RA.MR.EX.100.14</t>
  </si>
  <si>
    <t>RA.MR.EX.101.14</t>
  </si>
  <si>
    <t>RA.MR.EX.103.14A</t>
  </si>
  <si>
    <t>RA.MR.EX.103.14M</t>
  </si>
  <si>
    <t>RA.MR.EX.104.14A</t>
  </si>
  <si>
    <t>RA.MR.EX.104.14M</t>
  </si>
  <si>
    <t>RA.MR.EX.105.14A</t>
  </si>
  <si>
    <t>RA.MR.EX.105.14M</t>
  </si>
  <si>
    <t>RA.MR.EX.106.14A</t>
  </si>
  <si>
    <t>RA.MR.EX.106.14M</t>
  </si>
  <si>
    <t>RA.MR.EX.107.14</t>
  </si>
  <si>
    <t>RA.MR.EX.108.14</t>
  </si>
  <si>
    <t>RA.MR.EX.109.14</t>
  </si>
  <si>
    <t>RA.MR.EX.110.14</t>
  </si>
  <si>
    <t>RA.MR.EX.111.14</t>
  </si>
  <si>
    <t>RA.MR.EX.112.14</t>
  </si>
  <si>
    <t>RA.MR.EX.113.14</t>
  </si>
  <si>
    <t>RA.MR.EX.114.14</t>
  </si>
  <si>
    <t>RA.MR.EX.115.14</t>
  </si>
  <si>
    <t>RA.MR.EX.116.14</t>
  </si>
  <si>
    <t>RA.MR.EX.117.14A</t>
  </si>
  <si>
    <t>RA.MR.EX.117.14B</t>
  </si>
  <si>
    <t>RA.MR.EX.117.14M</t>
  </si>
  <si>
    <t>RA.MR.EX.118.14A</t>
  </si>
  <si>
    <t>RA.MR.EX.118.14M</t>
  </si>
  <si>
    <t>RA.MR.EX.119.14A</t>
  </si>
  <si>
    <t>RA.MR.EX.119.14M</t>
  </si>
  <si>
    <t>RA.MR.EX.120.14A</t>
  </si>
  <si>
    <t>RA.MR.EX.120.14M</t>
  </si>
  <si>
    <t>RA.MR.EX.121.14A</t>
  </si>
  <si>
    <t>RA.MR.EX.121.14M</t>
  </si>
  <si>
    <t>RA.MR.EX.122.14A</t>
  </si>
  <si>
    <t>RA.MR.EX.122.14B</t>
  </si>
  <si>
    <t>RA.MR.EX.122.14M</t>
  </si>
  <si>
    <t>RA.MR.EX.123.14A</t>
  </si>
  <si>
    <t>RA.MR.EX.123.14M</t>
  </si>
  <si>
    <t>RA.MR.EX.125.14</t>
  </si>
  <si>
    <t>RA.MR.EX.126.14</t>
  </si>
  <si>
    <t>RA.MR.EX.127.14</t>
  </si>
  <si>
    <t>RA.MR.EX.128.14A</t>
  </si>
  <si>
    <t>RA.MR.EX.128.14B</t>
  </si>
  <si>
    <t>RA.MR.EX.128.14M</t>
  </si>
  <si>
    <t>RA.MR.EX.129.14</t>
  </si>
  <si>
    <t>RA.MR.EX.130.14</t>
  </si>
  <si>
    <t>RA.MR.EX.131.14</t>
  </si>
  <si>
    <t>RA.MR.EX.132.14</t>
  </si>
  <si>
    <t>RA.MR.EX.133.14</t>
  </si>
  <si>
    <t>RA.MR.EX.134.14</t>
  </si>
  <si>
    <t>RA.MR.EX.138.14</t>
  </si>
  <si>
    <t>RA.MR.EX.139.14A</t>
  </si>
  <si>
    <t>RA.MR.EX.139.14M</t>
  </si>
  <si>
    <t>RA.MR.EX.140.14</t>
  </si>
  <si>
    <t>RA.MR.EX.141.14</t>
  </si>
  <si>
    <t>RA.MR.EX.142.14</t>
  </si>
  <si>
    <t>RA.MR.EX.143.14</t>
  </si>
  <si>
    <t>RA.MR.EX.144.14</t>
  </si>
  <si>
    <t>RA.MR.EX.145.14</t>
  </si>
  <si>
    <t>RA.MR.EX.146.14</t>
  </si>
  <si>
    <t>RA.MR.EX.147.14</t>
  </si>
  <si>
    <t>RA.MR.EX.148.14</t>
  </si>
  <si>
    <t>RA.MR.EX.149.14</t>
  </si>
  <si>
    <t>RA.MR.EX.150.14</t>
  </si>
  <si>
    <t>RA.MR.EX.151.14A</t>
  </si>
  <si>
    <t>RA.MR.EX.151.14M</t>
  </si>
  <si>
    <t>RA.MR.EX.152.14</t>
  </si>
  <si>
    <t>RA.MR.EX.153.14</t>
  </si>
  <si>
    <t>RA.MR.EX.154.14</t>
  </si>
  <si>
    <t>RA.MR.EX.155.14A</t>
  </si>
  <si>
    <t>RA.MR.EX.155.14M</t>
  </si>
  <si>
    <t>RA.MR.EX.156.14</t>
  </si>
  <si>
    <t>RA.MR.EX.157.14</t>
  </si>
  <si>
    <t>RA.MR.EX.158.14</t>
  </si>
  <si>
    <t>RA.MR.EX.159.14A</t>
  </si>
  <si>
    <t>RA.MR.EX.159.14B</t>
  </si>
  <si>
    <t>RA.MR.EX.159.14M</t>
  </si>
  <si>
    <t>RA.MR.EX.160.14</t>
  </si>
  <si>
    <t>RA.MR.EX.161.14</t>
  </si>
  <si>
    <t>RA.MR.EX.162.14</t>
  </si>
  <si>
    <t>RA.MR.EX.163.14</t>
  </si>
  <si>
    <t>RA.MR.EX.164.14</t>
  </si>
  <si>
    <t>RA.MR.EX.165.14</t>
  </si>
  <si>
    <t>RA.MR.EX.166.14</t>
  </si>
  <si>
    <t>RA.MR.EX.167.14</t>
  </si>
  <si>
    <t>RA.MR.EX.171.14A</t>
  </si>
  <si>
    <t>RA.MR.EX.171.14M</t>
  </si>
  <si>
    <t>RA.MR.EX.173.14</t>
  </si>
  <si>
    <t>RA.MR.EX.174.14</t>
  </si>
  <si>
    <t>RA.MR.EX.175.14A</t>
  </si>
  <si>
    <t>RA.MR.EX.175.14B</t>
  </si>
  <si>
    <t>RA.MR.EX.175.14M</t>
  </si>
  <si>
    <t>RA.MR.EX.176.14</t>
  </si>
  <si>
    <t>RA.MR.EX.177.14</t>
  </si>
  <si>
    <t>RA.MR.EX.179.14A</t>
  </si>
  <si>
    <t>RA.MR.EX.179.14B</t>
  </si>
  <si>
    <t>RA.MR.EX.179.14M</t>
  </si>
  <si>
    <t>RA.MR.EX.180.14A</t>
  </si>
  <si>
    <t>RA.MR.EX.180.14M</t>
  </si>
  <si>
    <t>RA.MR.EX.181.14A</t>
  </si>
  <si>
    <t>RA.MR.EX.181.14B</t>
  </si>
  <si>
    <t>RA.MR.EX.181.14M</t>
  </si>
  <si>
    <t>RA.MR.EX.182.14A</t>
  </si>
  <si>
    <t>RA.MR.EX.182.14M</t>
  </si>
  <si>
    <t>RA.MR.EX.183.14</t>
  </si>
  <si>
    <t>RA.MR.EX.184.14A</t>
  </si>
  <si>
    <t>RA.MR.EX.184.14M</t>
  </si>
  <si>
    <t>RA.MR.EX.185.14</t>
  </si>
  <si>
    <t>RA.MR.EX.186.14A</t>
  </si>
  <si>
    <t>RA.MR.EX.186.14M</t>
  </si>
  <si>
    <t>RA.MR.EX.187.14</t>
  </si>
  <si>
    <t>RA.MR.EX.188.14A</t>
  </si>
  <si>
    <t>RA.MR.EX.188.14M</t>
  </si>
  <si>
    <t>RA.MR.EX.189.14</t>
  </si>
  <si>
    <t>RA.MR.EX.190.14</t>
  </si>
  <si>
    <t>RA.MR.EX.191.14A</t>
  </si>
  <si>
    <t>RA.MR.EX.191.14B</t>
  </si>
  <si>
    <t>RA.MR.EX.191.14M</t>
  </si>
  <si>
    <t>RA.MR.EX.192.14A</t>
  </si>
  <si>
    <t>RA.MR.EX.192.14B</t>
  </si>
  <si>
    <t>RA.MR.EX.192.14M</t>
  </si>
  <si>
    <t>RA.MR.EX.193.14</t>
  </si>
  <si>
    <t>RA.MR.EX.194.14A</t>
  </si>
  <si>
    <t>RA.MR.EX.194.14B</t>
  </si>
  <si>
    <t>RA.MR.EX.194.14M</t>
  </si>
  <si>
    <t>RA.MR.EX.195.14</t>
  </si>
  <si>
    <t>RA.MR.EX.196.14A</t>
  </si>
  <si>
    <t>RA.MR.EX.196.14B</t>
  </si>
  <si>
    <t>RA.MR.EX.196.14M</t>
  </si>
  <si>
    <t>RA.MR.EX.198.14A</t>
  </si>
  <si>
    <t>RA.MR.EX.198.14M</t>
  </si>
  <si>
    <t>RA.MR.EX.199.14A</t>
  </si>
  <si>
    <t>RA.MR.EX.199.14M</t>
  </si>
  <si>
    <t>RA.MR.EX.200.14A</t>
  </si>
  <si>
    <t>RA.MR.EX.200.14M</t>
  </si>
  <si>
    <t>RA.MR.EX.201.14A</t>
  </si>
  <si>
    <t>RA.MR.EX.201.14M</t>
  </si>
  <si>
    <t>RA.MR.EX.202.14A</t>
  </si>
  <si>
    <t>RA.MR.EX.202.14M</t>
  </si>
  <si>
    <t>RA.MR.EX.203.14A</t>
  </si>
  <si>
    <t>RA.MR.EX.203.14M</t>
  </si>
  <si>
    <t>RA.MR.EX.204.14A</t>
  </si>
  <si>
    <t>RA.MR.EX.204.14M</t>
  </si>
  <si>
    <t>RA.MR.EX.205.14A</t>
  </si>
  <si>
    <t>RA.MR.EX.205.14M</t>
  </si>
  <si>
    <t>RA.MR.EX.207.14</t>
  </si>
  <si>
    <t>RA.MR.EX.208.14</t>
  </si>
  <si>
    <t>RA.MR.EX.209.14A</t>
  </si>
  <si>
    <t>RA.MR.EX.209.14M</t>
  </si>
  <si>
    <t>RA.MR.EX.211.14</t>
  </si>
  <si>
    <t>RA.MR.EX.212.14</t>
  </si>
  <si>
    <t>RA.MR.EX.213.14</t>
  </si>
  <si>
    <t>RA.MR.EX.214.14A</t>
  </si>
  <si>
    <t>RA.MR.EX.214.14M</t>
  </si>
  <si>
    <t>RA.MR.EX.215.14A</t>
  </si>
  <si>
    <t>RA.MR.EX.215.14M</t>
  </si>
  <si>
    <t>RA.MR.EX.216.14</t>
  </si>
  <si>
    <t>RA.MR.EX.217.14</t>
  </si>
  <si>
    <t>RA.MR.EX.218.14</t>
  </si>
  <si>
    <t>RA.MR.EX.219.14</t>
  </si>
  <si>
    <t>RA.MR.EX.220.14</t>
  </si>
  <si>
    <t>RA.MR.EX.221.14</t>
  </si>
  <si>
    <t>RA.MR.EX.222.14A</t>
  </si>
  <si>
    <t>RA.MR.EX.222.14M</t>
  </si>
  <si>
    <t>RA.MR.EX.223.14</t>
  </si>
  <si>
    <t>RA.MR.EX.224.14A</t>
  </si>
  <si>
    <t>RA.MR.EX.224.14M</t>
  </si>
  <si>
    <t>RA.MR.EX.225.14</t>
  </si>
  <si>
    <t>RA.MR.EX.226.14</t>
  </si>
  <si>
    <t>RA.MR.EX.227.14</t>
  </si>
  <si>
    <t>RA.MR.EX.228.14</t>
  </si>
  <si>
    <t>RA.MR.EX.229.14</t>
  </si>
  <si>
    <t>RA.MR.EX.230.14</t>
  </si>
  <si>
    <t>RA.MR.EX.231.14</t>
  </si>
  <si>
    <t>RA.MR.EX.233.14</t>
  </si>
  <si>
    <t>RA.MR.EX.234.14</t>
  </si>
  <si>
    <t>RA.MR.EX.235.14</t>
  </si>
  <si>
    <t>RA.MR.EX.236.14</t>
  </si>
  <si>
    <t>RA.MR.EX.237.14</t>
  </si>
  <si>
    <t>RA.MR.EX.238.14A</t>
  </si>
  <si>
    <t>RA.MR.EX.238.14M</t>
  </si>
  <si>
    <t>RA.MR.EX.239.14A</t>
  </si>
  <si>
    <t>RA.MR.EX.239.14M</t>
  </si>
  <si>
    <t>RA.MR.EX.240.14A</t>
  </si>
  <si>
    <t>RA.MR.EX.240.14M</t>
  </si>
  <si>
    <t>RA.MR.EX.241.14A</t>
  </si>
  <si>
    <t>RA.MR.EX.241.14M</t>
  </si>
  <si>
    <t>RA.MR.EX.242.14A</t>
  </si>
  <si>
    <t>RA.MR.EX.242.14B</t>
  </si>
  <si>
    <t>RA.MR.EX.242.14M</t>
  </si>
  <si>
    <t>RA.MR.EX.243.14A</t>
  </si>
  <si>
    <t>RA.MR.EX.243.14M</t>
  </si>
  <si>
    <t>Commercial - Multi-Res Private - RA.MR.EX</t>
  </si>
  <si>
    <t>Multi-Residential Water Conservation</t>
  </si>
  <si>
    <t>RA.SHA</t>
  </si>
  <si>
    <t>Showerheads Rental</t>
  </si>
  <si>
    <t>Commercial - Multi-Res Water Conservation - RA.SHA</t>
  </si>
  <si>
    <t>Total Multi-Residential</t>
  </si>
  <si>
    <t>S.BM.CM.NC</t>
  </si>
  <si>
    <t>Large New Construction</t>
  </si>
  <si>
    <t>RA.COM.NC.001.14</t>
  </si>
  <si>
    <t>C</t>
  </si>
  <si>
    <t>RA.COM.NC.002.14</t>
  </si>
  <si>
    <t>RA.COM.NC.003.14</t>
  </si>
  <si>
    <t>RA.COM.NC.004.14</t>
  </si>
  <si>
    <t>RA.COM.NC.005.14</t>
  </si>
  <si>
    <t>RA.COM.NC.006.14</t>
  </si>
  <si>
    <t>RA.COM.NC.007.14</t>
  </si>
  <si>
    <t>RA.COM.NC.008.14</t>
  </si>
  <si>
    <t>RA.COM.NC.009.14</t>
  </si>
  <si>
    <t>RA.COM.NC.010.14</t>
  </si>
  <si>
    <t>Large New Construction - Large New Construction - RA.COM.NC</t>
  </si>
  <si>
    <t>Total Commercial</t>
  </si>
  <si>
    <t>RA.IND.AGR</t>
  </si>
  <si>
    <t>Agriculture</t>
  </si>
  <si>
    <t>RA.IND.AGR.NRT.001.14</t>
  </si>
  <si>
    <t>I</t>
  </si>
  <si>
    <t>RA.IND.AGR.NRT.002.14</t>
  </si>
  <si>
    <t>RA.IND.AGR.NRT.003.14</t>
  </si>
  <si>
    <t>RA.IND.AGR.NRT.004.14</t>
  </si>
  <si>
    <t>RA.IND.AGR.NRT.005.14</t>
  </si>
  <si>
    <t>RA.IND.AGR.NRT.006.14A</t>
  </si>
  <si>
    <t>RA.IND.AGR.NRT.006.14M</t>
  </si>
  <si>
    <t>RA.IND.AGR.NRT.007.14</t>
  </si>
  <si>
    <t>RA.IND.AGR.NRT.008.14</t>
  </si>
  <si>
    <t>RA.IND.AGR.RT.001.14</t>
  </si>
  <si>
    <t>RA.IND.AGR.RT.002.14</t>
  </si>
  <si>
    <t>RA.IND.AGR.RT.003.14</t>
  </si>
  <si>
    <t>Industrial - Agriculture - RA.IND.AGR</t>
  </si>
  <si>
    <t>RA.IND</t>
  </si>
  <si>
    <t xml:space="preserve">Industrial </t>
  </si>
  <si>
    <t>RA.IND.NRT.001.14</t>
  </si>
  <si>
    <t>RA.IND.NRT.002.14</t>
  </si>
  <si>
    <t>RA.IND.NRT.003.14A</t>
  </si>
  <si>
    <t>RA.IND.NRT.003.14M</t>
  </si>
  <si>
    <t>RA.IND.NRT.004.14</t>
  </si>
  <si>
    <t>RA.IND.NRT.005.14</t>
  </si>
  <si>
    <t>RA.IND.NRT.006.14</t>
  </si>
  <si>
    <t>RA.IND.NRT.007.14</t>
  </si>
  <si>
    <t>RA.IND.NRT.008.14</t>
  </si>
  <si>
    <t>RA.IND.NRT.009.14</t>
  </si>
  <si>
    <t>RA.IND.NRT.010.14</t>
  </si>
  <si>
    <t>RA.IND.NRT.011.14</t>
  </si>
  <si>
    <t>RA.IND.NRT.012.14</t>
  </si>
  <si>
    <t>RA.IND.NRT.013.14</t>
  </si>
  <si>
    <t>RA.IND.NRT.014.14</t>
  </si>
  <si>
    <t>RA.IND.NRT.015.14</t>
  </si>
  <si>
    <t>RA.IND.NRT.016.14</t>
  </si>
  <si>
    <t>RA.IND.NRT.017.14</t>
  </si>
  <si>
    <t>RA.IND.NRT.018.14</t>
  </si>
  <si>
    <t>RA.IND.NRT.019.14</t>
  </si>
  <si>
    <t>RA.IND.NRT.020.14</t>
  </si>
  <si>
    <t>RA.IND.NRT.021.14</t>
  </si>
  <si>
    <t>RA.IND.NRT.022.14</t>
  </si>
  <si>
    <t>RA.IND.NRT.023.14</t>
  </si>
  <si>
    <t>RA.IND.NRT.024.14</t>
  </si>
  <si>
    <t>RA.IND.NRT.025.14</t>
  </si>
  <si>
    <t>RA.IND.NRT.026.14</t>
  </si>
  <si>
    <t>RA.IND.NRT.027.14</t>
  </si>
  <si>
    <t>RA.IND.NRT.028.14</t>
  </si>
  <si>
    <t>RA.IND.NRT.029.14</t>
  </si>
  <si>
    <t>RA.IND.NRT.030.14</t>
  </si>
  <si>
    <t>RA.IND.NRT.031.14</t>
  </si>
  <si>
    <t>RA.IND.NRT.033.14</t>
  </si>
  <si>
    <t>RA.IND.NRT.034.14</t>
  </si>
  <si>
    <t>RA.IND.NRT.035.14</t>
  </si>
  <si>
    <t>RA.IND.NRT.036.14</t>
  </si>
  <si>
    <t>RA.IND.NRT.037.14</t>
  </si>
  <si>
    <t>RA.IND.NRT.038.14</t>
  </si>
  <si>
    <t>RA.IND.NRT.039.14</t>
  </si>
  <si>
    <t>RA.IND.NRT.040.14</t>
  </si>
  <si>
    <t>RA.IND.NRT.041.14</t>
  </si>
  <si>
    <t>RA.IND.NRT.042.14</t>
  </si>
  <si>
    <t>RA.IND.NRT.043.14</t>
  </si>
  <si>
    <t>RA.IND.NRT.044.14</t>
  </si>
  <si>
    <t>RA.IND.NRT.045.14</t>
  </si>
  <si>
    <t>RA.IND.NRT.046.14</t>
  </si>
  <si>
    <t>RA.IND.NRT.047.14</t>
  </si>
  <si>
    <t>RA.IND.NRT.048.14</t>
  </si>
  <si>
    <t>RA.IND.NRT.049.14</t>
  </si>
  <si>
    <t>RA.IND.NRT.050.14</t>
  </si>
  <si>
    <t>RA.IND.NRT.051.14</t>
  </si>
  <si>
    <t>RA.IND.NRT.052.14</t>
  </si>
  <si>
    <t>RA.IND.NRT.054.14</t>
  </si>
  <si>
    <t>RA.IND.NRT.055.14</t>
  </si>
  <si>
    <t>RA.IND.NRT.056.14</t>
  </si>
  <si>
    <t>RA.IND.NRT.058.14</t>
  </si>
  <si>
    <t>RA.IND.NRT.059.14</t>
  </si>
  <si>
    <t>RA.IND.NRT.060.14</t>
  </si>
  <si>
    <t>RA.IND.NRT.061.14</t>
  </si>
  <si>
    <t>RA.IND.NRT.062.14</t>
  </si>
  <si>
    <t>RA.IND.NRT.063.14</t>
  </si>
  <si>
    <t>RA.IND.NRT.064.14</t>
  </si>
  <si>
    <t>RA.IND.NRT.065.14</t>
  </si>
  <si>
    <t>RA.IND.NRT.066.14</t>
  </si>
  <si>
    <t>RA.IND.NRT.067.14</t>
  </si>
  <si>
    <t>RA.IND.NRT.068.14</t>
  </si>
  <si>
    <t>RA.IND.RT.001.14</t>
  </si>
  <si>
    <t>RA.IND.RT.002.14</t>
  </si>
  <si>
    <t>RA.IND.RT.003.14</t>
  </si>
  <si>
    <t>RA.IND.RT.004.14</t>
  </si>
  <si>
    <t>RA.IND.RT.005.14</t>
  </si>
  <si>
    <t>RA.IND.RT.006.14</t>
  </si>
  <si>
    <t>RA.IND.RT.007.14</t>
  </si>
  <si>
    <t>RA.IND.RT.008.14</t>
  </si>
  <si>
    <t>RA.IND.RT.009.14</t>
  </si>
  <si>
    <t>RA.IND.RT.010.14</t>
  </si>
  <si>
    <t>RA.IND.RT.011.14A</t>
  </si>
  <si>
    <t>RA.IND.RT.011.14M</t>
  </si>
  <si>
    <t>RA.IND.RT.012.14</t>
  </si>
  <si>
    <t>RA.IND.RT.013.14</t>
  </si>
  <si>
    <t>RA.IND.RT.014.14</t>
  </si>
  <si>
    <t>RA.IND.RT.015.14</t>
  </si>
  <si>
    <t>RA.IND.RT.016.14</t>
  </si>
  <si>
    <t>RA.IND.RT.017.14</t>
  </si>
  <si>
    <t>RA.IND.RT.018.14</t>
  </si>
  <si>
    <t>RA.IND.RT.019.14</t>
  </si>
  <si>
    <t>RA.IND.RT.020.14</t>
  </si>
  <si>
    <t>RA.IND.RT.022.14</t>
  </si>
  <si>
    <t>RA.IND.RT.023.14</t>
  </si>
  <si>
    <t>RA.IND.RT.024.14</t>
  </si>
  <si>
    <t>RA.IND.RT.025.14</t>
  </si>
  <si>
    <t>RA.IND.RT.026.14</t>
  </si>
  <si>
    <t>RA.IND.RT.027.14</t>
  </si>
  <si>
    <t>RA.IND.RT.028.14</t>
  </si>
  <si>
    <t>RA.IND.RT.029.14</t>
  </si>
  <si>
    <t>RA.IND.RT.030.14</t>
  </si>
  <si>
    <t>RA.IND.RT.031.14</t>
  </si>
  <si>
    <t>RA.IND.RT.032.14</t>
  </si>
  <si>
    <t>RA.IND.RT.033.14</t>
  </si>
  <si>
    <t>RA.IND.RT.034.14</t>
  </si>
  <si>
    <t>RA.IND.RT.035.14</t>
  </si>
  <si>
    <t>RA.IND.RT.036.14</t>
  </si>
  <si>
    <t>RA.IND.RT.037.14</t>
  </si>
  <si>
    <t>RA.IND.RT.038.14</t>
  </si>
  <si>
    <t>RA.IND.RT.039.14</t>
  </si>
  <si>
    <t>RA.IND.RT.040.14</t>
  </si>
  <si>
    <t>RA.IND.RT.042.14</t>
  </si>
  <si>
    <t>RA.IND.RT.043.14</t>
  </si>
  <si>
    <t>RA.IND.RT.044.14</t>
  </si>
  <si>
    <t>RA.IND.RT.045.14</t>
  </si>
  <si>
    <t>RA.IND.RT.046.14</t>
  </si>
  <si>
    <t>RA.IND.RT.047.14</t>
  </si>
  <si>
    <t>RA.IND.RT.048.14</t>
  </si>
  <si>
    <t>RA.IND.RT.049.14</t>
  </si>
  <si>
    <t>RA.IND.RT.050.14</t>
  </si>
  <si>
    <t>RA.IND.RT.052.14</t>
  </si>
  <si>
    <t>RA.IND.RT.054.14</t>
  </si>
  <si>
    <t>RA.IND.RT.055.14</t>
  </si>
  <si>
    <t>RA.IND.RT.056.14</t>
  </si>
  <si>
    <t>Industrial - Industrial - All - RA.IND</t>
  </si>
  <si>
    <t>Industrial Prescriptive</t>
  </si>
  <si>
    <t>RA.AIR.IND</t>
  </si>
  <si>
    <t>Industrial Air Curtains - Single Door</t>
  </si>
  <si>
    <t>RA.AIR.3</t>
  </si>
  <si>
    <t>Industrial Air Curtains - 8 x 8</t>
  </si>
  <si>
    <t>RA.AIR.4.IND</t>
  </si>
  <si>
    <t>Industrial Air Curtains - 8x10</t>
  </si>
  <si>
    <t>RA.AIR.5.IND</t>
  </si>
  <si>
    <t>Industrial Air Curtains - 10x10</t>
  </si>
  <si>
    <t>RA.INFRD.IND</t>
  </si>
  <si>
    <t>Industrial Infrareds</t>
  </si>
  <si>
    <t>Industrial - Industrial - All - Prescriptive</t>
  </si>
  <si>
    <t>Total Industrial</t>
  </si>
  <si>
    <t>Total Business Markets</t>
  </si>
  <si>
    <t>Resource Acquisition Administration</t>
  </si>
  <si>
    <t>DSM Resource Acquisition</t>
  </si>
  <si>
    <t>Total Resource Acquisition</t>
  </si>
  <si>
    <t>LOW INCOME</t>
  </si>
  <si>
    <t>LW.RE.PART9</t>
  </si>
  <si>
    <t>Residential Low Income</t>
  </si>
  <si>
    <t xml:space="preserve"> # of Units Installed</t>
  </si>
  <si>
    <t>Participants/ Addresses</t>
  </si>
  <si>
    <t>Weatherization</t>
  </si>
  <si>
    <t>LI Prescriptive - Novitherm Reflective Panels</t>
  </si>
  <si>
    <t>LI Prescriptive - Programmable Thermostats</t>
  </si>
  <si>
    <t>LI Prescriptive - Bathroom Aerators</t>
  </si>
  <si>
    <t>LI Prescriptive - Kitchen Aerators</t>
  </si>
  <si>
    <t>LI Prescriptive - Showerheads 2.6+</t>
  </si>
  <si>
    <t xml:space="preserve">Residential Low Income - LW.RE.PART9 </t>
  </si>
  <si>
    <t>LW.MR.PART3</t>
  </si>
  <si>
    <t>Multi - Residential Non Profit</t>
  </si>
  <si>
    <t>LW.MR.PART3.002.14</t>
  </si>
  <si>
    <t>LW.MR.PART3.003.14HEBO</t>
  </si>
  <si>
    <t>LW.MR.PART3.004.14</t>
  </si>
  <si>
    <t>LW.MR.PART3.005.14A</t>
  </si>
  <si>
    <t>LW.MR.PART3.005.14M</t>
  </si>
  <si>
    <t>LW.MR.PART3.006.14</t>
  </si>
  <si>
    <t>LW.MR.PART3.007.14</t>
  </si>
  <si>
    <t>LW.MR.PART3.008.14</t>
  </si>
  <si>
    <t>LW.MR.PART3.009.14</t>
  </si>
  <si>
    <t>LW.MR.PART3.010.14</t>
  </si>
  <si>
    <t>LW.MR.PART3.011.14</t>
  </si>
  <si>
    <t>LW.MR.PART3.012.14</t>
  </si>
  <si>
    <t>LW.MR.PART3.013.14CB</t>
  </si>
  <si>
    <t>LW.MR.PART3.014.14</t>
  </si>
  <si>
    <t>LW.MR.PART3.015.14A</t>
  </si>
  <si>
    <t>LW.MR.PART3.015.14M</t>
  </si>
  <si>
    <t>LW.MR.PART3.016.14</t>
  </si>
  <si>
    <t>LW.MR.PART3.017.14A</t>
  </si>
  <si>
    <t>LW.MR.PART3.017.14M</t>
  </si>
  <si>
    <t>LW.MR.PART3.018.14</t>
  </si>
  <si>
    <t>LW.MR.PART3.019.14HEBO</t>
  </si>
  <si>
    <t>LW.MR.PART3.020.14A</t>
  </si>
  <si>
    <t>LW.MR.PART3.020.14M</t>
  </si>
  <si>
    <t>LW.MR.PART3.021.14</t>
  </si>
  <si>
    <t>LW.MR.PART3.022.14</t>
  </si>
  <si>
    <t>LW.MR.PART3.023.14A</t>
  </si>
  <si>
    <t>LW.MR.PART3.023.14B</t>
  </si>
  <si>
    <t>LW.MR.PART3.023.14M</t>
  </si>
  <si>
    <t>LW.MR.PART3.024.14A</t>
  </si>
  <si>
    <t>LW.MR.PART3.024.14B</t>
  </si>
  <si>
    <t>LW.MR.PART3.024.14M</t>
  </si>
  <si>
    <t>LW.MR.PART3.025.14</t>
  </si>
  <si>
    <t>LW.MR.PART3.069.14</t>
  </si>
  <si>
    <t>LW.MR.PART3.070.14</t>
  </si>
  <si>
    <t>LW.MR.PART3.073.14</t>
  </si>
  <si>
    <t>LW.MR.PART3.079.14</t>
  </si>
  <si>
    <t>LW.MR.PART3.080.14</t>
  </si>
  <si>
    <t>LW.MR.PART3.081.14A</t>
  </si>
  <si>
    <t>LW.MR.PART3.081.14M</t>
  </si>
  <si>
    <t>LW.MR.PART3.082.14</t>
  </si>
  <si>
    <t>LW.MR.PART3.083.14</t>
  </si>
  <si>
    <t>LW.MR.PART3.084.14</t>
  </si>
  <si>
    <t>LW.MR.PART3.086.14</t>
  </si>
  <si>
    <t>LW.MR.PART3.087.14</t>
  </si>
  <si>
    <t>LW.MR.PART3.089.14A</t>
  </si>
  <si>
    <t>LW.MR.PART3.089.14M</t>
  </si>
  <si>
    <t>LW.MR.PART3.090.14</t>
  </si>
  <si>
    <t>LW.MR.PART3.091.14</t>
  </si>
  <si>
    <t>LW.MR.PART3.092.14</t>
  </si>
  <si>
    <t>LW.MR.PART3.093.14</t>
  </si>
  <si>
    <t>LW.MR.PART3.094.14</t>
  </si>
  <si>
    <t>LW.MR.PART3.095.14</t>
  </si>
  <si>
    <t>LW.MR.PART3.096.14</t>
  </si>
  <si>
    <t>LW.MR.PART3.097.14</t>
  </si>
  <si>
    <t>LW.MR.PART3.098.14</t>
  </si>
  <si>
    <t>LW.MR.PART3.099.14</t>
  </si>
  <si>
    <t>LW.MR.PART3.100.14</t>
  </si>
  <si>
    <t>LW.MR.PART3.103.14A</t>
  </si>
  <si>
    <t>LW.MR.PART3.103.14M</t>
  </si>
  <si>
    <t>LW.MR.PART3.104.14</t>
  </si>
  <si>
    <t>LW.MR.PART3.105.14</t>
  </si>
  <si>
    <t>LW.MR.PART3.106.14</t>
  </si>
  <si>
    <t>LW.MR.PART3.107.14</t>
  </si>
  <si>
    <t>LW.MR.PART3.108.14</t>
  </si>
  <si>
    <t>LW.MR.PART3.110.14</t>
  </si>
  <si>
    <t>LW.MR.PART3.111.14</t>
  </si>
  <si>
    <t>LW.MR.PART3.112.14</t>
  </si>
  <si>
    <t>LW.MR.PART3.113.14</t>
  </si>
  <si>
    <t>LW.MR.PART3.114.14</t>
  </si>
  <si>
    <t>LW.MR.PART3.115.14</t>
  </si>
  <si>
    <t>LW.MR.PART3.116.14</t>
  </si>
  <si>
    <t>LW.MR.PART3.118.14A</t>
  </si>
  <si>
    <t>LW.MR.PART3.118.14M</t>
  </si>
  <si>
    <t>LW.MR.PART3.119.14</t>
  </si>
  <si>
    <t>LW.MR.PART3.120.14</t>
  </si>
  <si>
    <t>LW.MR.PART3.121.14A</t>
  </si>
  <si>
    <t>LW.MR.PART3.121.14M</t>
  </si>
  <si>
    <t>LW.MR.PART3.122.14</t>
  </si>
  <si>
    <t>LW.MR.PART3.123.14A</t>
  </si>
  <si>
    <t>LW.MR.PART3.123.14M</t>
  </si>
  <si>
    <t>LW.MR.PART3.124.14A</t>
  </si>
  <si>
    <t>LW.MR.PART3.124.14B</t>
  </si>
  <si>
    <t>LW.MR.PART3.124.14M</t>
  </si>
  <si>
    <t>LW.MR.PART3.125.14</t>
  </si>
  <si>
    <t>LW.MR.PART3.127.14</t>
  </si>
  <si>
    <t>LW.MR.PART3.128.14HEBO</t>
  </si>
  <si>
    <t>LW.MR.PART3.129.14HEBO</t>
  </si>
  <si>
    <t>LW.SH</t>
  </si>
  <si>
    <t>Low Income Showerheads</t>
  </si>
  <si>
    <t>Commercial - Multi-Res Non-Profit - LW.MR.PART3</t>
  </si>
  <si>
    <t>Low Income Administration</t>
  </si>
  <si>
    <t>DSM Low Income</t>
  </si>
  <si>
    <t>Total Low Income</t>
  </si>
  <si>
    <t>MARKET TRANSFORMATION</t>
  </si>
  <si>
    <t>MT.RE.LABEL</t>
  </si>
  <si>
    <t>Home Rating</t>
  </si>
  <si>
    <t>Home Rating : # voluntary reports</t>
  </si>
  <si>
    <t>MT.RN.SBD</t>
  </si>
  <si>
    <t>Residential New Construction SBD # of units</t>
  </si>
  <si>
    <t>Residential New Construction SBD Top 80</t>
  </si>
  <si>
    <t>Residential - Residential</t>
  </si>
  <si>
    <t>MT.CN.SBD</t>
  </si>
  <si>
    <t>Commercial New Construction SBD</t>
  </si>
  <si>
    <t>Large New Construction - Other Commercial</t>
  </si>
  <si>
    <t>Market Transformation Administration</t>
  </si>
  <si>
    <t>DSM Market Transformation</t>
  </si>
  <si>
    <t>DSM DWHR</t>
  </si>
  <si>
    <t>Total DSM Market Transformation</t>
  </si>
  <si>
    <t>Total MT</t>
  </si>
  <si>
    <t>Market Transformation</t>
  </si>
  <si>
    <t>Total 2014 DSM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</si>
</sst>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(* #,##0.00_);_(* \(#,##0.00\);_(* &quot;-&quot;_);_(@_)"/>
    <numFmt numFmtId="171" formatCode="_(* #,##0.0_);_(* \(#,##0.0\);_(* &quot;-&quot;_);_(@_)"/>
    <numFmt numFmtId="172" formatCode="0.0%"/>
    <numFmt numFmtId="173" formatCode="0.0000000000"/>
    <numFmt numFmtId="174" formatCode="&quot;$&quot;#,##0.0000_);[Red]\(&quot;$&quot;#,##0.0000\)"/>
    <numFmt numFmtId="175" formatCode="_(&quot;$&quot;* #,##0.0000_);_(&quot;$&quot;* \(#,##0.0000\);_(&quot;$&quot;* &quot;-&quot;??_);_(@_)"/>
    <numFmt numFmtId="176" formatCode="&quot;$&quot;#,##0.00"/>
    <numFmt numFmtId="177" formatCode="0.0000"/>
    <numFmt numFmtId="178" formatCode="&quot;$&quot;#,##0.0000"/>
    <numFmt numFmtId="179" formatCode="0.00000"/>
    <numFmt numFmtId="180" formatCode="#,##0.000_);[Red]\(#,##0.000\)"/>
    <numFmt numFmtId="181" formatCode="&quot;$&quot;#,##0"/>
    <numFmt numFmtId="182" formatCode="_(* #,##0_);_(* \(#,##0\);_(* &quot;-&quot;??_);_(@_)"/>
    <numFmt numFmtId="183" formatCode="#0.0%;[Red]\(#0.0%\)"/>
    <numFmt numFmtId="184" formatCode="#,##0.000000_);[Red]\(#,##0.000000\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name val="Arial MT"/>
    </font>
    <font>
      <sz val="8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9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169" fontId="2" fillId="0" borderId="0" applyFont="0" applyFill="0" applyBorder="0" applyAlignment="0" applyProtection="0"/>
    <xf numFmtId="0" fontId="9" fillId="3" borderId="0" applyNumberFormat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1">
    <xf numFmtId="0" fontId="0" fillId="0" borderId="0" xfId="0"/>
    <xf numFmtId="0" fontId="3" fillId="0" borderId="0" xfId="0" applyFont="1" applyFill="1"/>
    <xf numFmtId="170" fontId="3" fillId="0" borderId="0" xfId="1" applyNumberFormat="1" applyFont="1" applyFill="1"/>
    <xf numFmtId="0" fontId="3" fillId="0" borderId="0" xfId="0" applyFont="1" applyFill="1" applyBorder="1" applyAlignment="1">
      <alignment horizontal="right"/>
    </xf>
    <xf numFmtId="16" fontId="3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8" fontId="3" fillId="0" borderId="0" xfId="1" applyNumberFormat="1" applyFont="1" applyFill="1" applyBorder="1" applyAlignment="1"/>
    <xf numFmtId="40" fontId="3" fillId="0" borderId="0" xfId="1" applyNumberFormat="1" applyFont="1" applyFill="1" applyBorder="1" applyAlignment="1"/>
    <xf numFmtId="172" fontId="3" fillId="0" borderId="0" xfId="3" applyNumberFormat="1" applyFont="1" applyFill="1" applyBorder="1" applyAlignment="1"/>
    <xf numFmtId="10" fontId="3" fillId="0" borderId="0" xfId="3" applyNumberFormat="1" applyFont="1" applyFill="1" applyBorder="1" applyAlignment="1"/>
    <xf numFmtId="40" fontId="3" fillId="0" borderId="0" xfId="1" applyNumberFormat="1" applyFont="1" applyFill="1" applyAlignment="1"/>
    <xf numFmtId="38" fontId="3" fillId="0" borderId="0" xfId="1" applyNumberFormat="1" applyFont="1" applyFill="1" applyAlignment="1"/>
    <xf numFmtId="180" fontId="3" fillId="0" borderId="0" xfId="1" applyNumberFormat="1" applyFont="1" applyFill="1" applyAlignment="1"/>
    <xf numFmtId="167" fontId="3" fillId="0" borderId="0" xfId="1" applyFont="1" applyFill="1" applyAlignment="1"/>
    <xf numFmtId="165" fontId="3" fillId="0" borderId="0" xfId="2" applyNumberFormat="1" applyFont="1" applyFill="1" applyAlignment="1"/>
    <xf numFmtId="166" fontId="3" fillId="0" borderId="0" xfId="2" applyNumberFormat="1" applyFont="1" applyFill="1" applyAlignment="1"/>
    <xf numFmtId="165" fontId="3" fillId="0" borderId="0" xfId="2" applyNumberFormat="1" applyFont="1" applyFill="1" applyAlignment="1">
      <alignment wrapText="1"/>
    </xf>
    <xf numFmtId="165" fontId="3" fillId="0" borderId="0" xfId="1" applyNumberFormat="1" applyFont="1" applyFill="1" applyBorder="1" applyAlignment="1"/>
    <xf numFmtId="180" fontId="3" fillId="0" borderId="0" xfId="1" applyNumberFormat="1" applyFont="1" applyFill="1" applyBorder="1" applyAlignment="1"/>
    <xf numFmtId="38" fontId="3" fillId="0" borderId="17" xfId="1" applyNumberFormat="1" applyFont="1" applyFill="1" applyBorder="1" applyAlignment="1"/>
    <xf numFmtId="40" fontId="3" fillId="0" borderId="17" xfId="1" applyNumberFormat="1" applyFont="1" applyFill="1" applyBorder="1" applyAlignment="1"/>
    <xf numFmtId="172" fontId="3" fillId="0" borderId="17" xfId="3" applyNumberFormat="1" applyFont="1" applyFill="1" applyBorder="1" applyAlignment="1"/>
    <xf numFmtId="10" fontId="3" fillId="0" borderId="17" xfId="3" applyNumberFormat="1" applyFont="1" applyFill="1" applyBorder="1" applyAlignment="1"/>
    <xf numFmtId="40" fontId="3" fillId="0" borderId="18" xfId="1" applyNumberFormat="1" applyFont="1" applyFill="1" applyBorder="1" applyAlignment="1"/>
    <xf numFmtId="38" fontId="3" fillId="0" borderId="19" xfId="1" applyNumberFormat="1" applyFont="1" applyFill="1" applyBorder="1" applyAlignment="1"/>
    <xf numFmtId="180" fontId="3" fillId="0" borderId="18" xfId="1" applyNumberFormat="1" applyFont="1" applyFill="1" applyBorder="1" applyAlignment="1"/>
    <xf numFmtId="167" fontId="3" fillId="0" borderId="17" xfId="1" applyFont="1" applyFill="1" applyBorder="1" applyAlignment="1"/>
    <xf numFmtId="0" fontId="3" fillId="0" borderId="17" xfId="0" applyFont="1" applyFill="1" applyBorder="1" applyAlignment="1">
      <alignment horizontal="center"/>
    </xf>
    <xf numFmtId="165" fontId="3" fillId="0" borderId="21" xfId="2" applyNumberFormat="1" applyFont="1" applyFill="1" applyBorder="1" applyAlignment="1">
      <alignment horizontal="centerContinuous"/>
    </xf>
    <xf numFmtId="165" fontId="3" fillId="0" borderId="22" xfId="2" applyNumberFormat="1" applyFont="1" applyFill="1" applyBorder="1" applyAlignment="1">
      <alignment horizontal="centerContinuous"/>
    </xf>
    <xf numFmtId="166" fontId="3" fillId="0" borderId="17" xfId="2" applyNumberFormat="1" applyFont="1" applyFill="1" applyBorder="1" applyAlignment="1"/>
    <xf numFmtId="172" fontId="3" fillId="0" borderId="0" xfId="3" applyNumberFormat="1" applyFont="1" applyFill="1" applyAlignment="1"/>
    <xf numFmtId="10" fontId="3" fillId="0" borderId="0" xfId="3" applyNumberFormat="1" applyFont="1" applyFill="1" applyAlignment="1"/>
    <xf numFmtId="38" fontId="3" fillId="0" borderId="7" xfId="1" applyNumberFormat="1" applyFont="1" applyFill="1" applyBorder="1" applyAlignment="1"/>
    <xf numFmtId="9" fontId="3" fillId="0" borderId="0" xfId="3" applyFont="1" applyFill="1" applyAlignment="1"/>
    <xf numFmtId="165" fontId="3" fillId="0" borderId="0" xfId="2" applyNumberFormat="1" applyFont="1" applyFill="1" applyBorder="1" applyAlignment="1"/>
    <xf numFmtId="38" fontId="3" fillId="0" borderId="0" xfId="0" applyNumberFormat="1" applyFont="1" applyFill="1" applyAlignment="1"/>
    <xf numFmtId="182" fontId="3" fillId="0" borderId="0" xfId="1" applyNumberFormat="1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9" fontId="3" fillId="0" borderId="0" xfId="3" applyNumberFormat="1" applyFont="1" applyFill="1" applyAlignment="1"/>
    <xf numFmtId="38" fontId="3" fillId="0" borderId="0" xfId="1" applyNumberFormat="1" applyFont="1" applyFill="1" applyAlignment="1">
      <alignment horizontal="right"/>
    </xf>
    <xf numFmtId="167" fontId="3" fillId="0" borderId="0" xfId="1" applyFont="1" applyFill="1" applyAlignment="1">
      <alignment horizontal="center"/>
    </xf>
    <xf numFmtId="167" fontId="3" fillId="0" borderId="0" xfId="1" applyFont="1" applyFill="1" applyBorder="1" applyAlignment="1"/>
    <xf numFmtId="38" fontId="3" fillId="0" borderId="5" xfId="1" applyNumberFormat="1" applyFont="1" applyFill="1" applyBorder="1" applyAlignment="1">
      <alignment horizontal="right"/>
    </xf>
    <xf numFmtId="38" fontId="3" fillId="0" borderId="5" xfId="4" applyNumberFormat="1" applyFont="1" applyFill="1" applyBorder="1" applyAlignment="1">
      <alignment horizontal="right"/>
    </xf>
    <xf numFmtId="38" fontId="3" fillId="0" borderId="5" xfId="0" applyNumberFormat="1" applyFont="1" applyFill="1" applyBorder="1" applyAlignment="1">
      <alignment horizontal="right"/>
    </xf>
    <xf numFmtId="0" fontId="3" fillId="0" borderId="5" xfId="6" applyFont="1" applyFill="1" applyBorder="1" applyAlignment="1">
      <alignment horizontal="center"/>
    </xf>
    <xf numFmtId="165" fontId="3" fillId="0" borderId="5" xfId="2" applyNumberFormat="1" applyFont="1" applyFill="1" applyBorder="1" applyAlignment="1"/>
    <xf numFmtId="165" fontId="3" fillId="0" borderId="5" xfId="2" applyNumberFormat="1" applyFont="1" applyFill="1" applyBorder="1" applyAlignment="1">
      <alignment horizontal="right"/>
    </xf>
    <xf numFmtId="166" fontId="3" fillId="0" borderId="5" xfId="2" applyNumberFormat="1" applyFont="1" applyFill="1" applyBorder="1" applyAlignment="1">
      <alignment horizontal="right"/>
    </xf>
    <xf numFmtId="0" fontId="3" fillId="0" borderId="0" xfId="4" applyFont="1" applyFill="1" applyAlignment="1">
      <alignment horizontal="right"/>
    </xf>
    <xf numFmtId="0" fontId="3" fillId="0" borderId="5" xfId="6" applyFont="1" applyFill="1" applyBorder="1" applyAlignment="1">
      <alignment horizontal="right"/>
    </xf>
    <xf numFmtId="40" fontId="3" fillId="0" borderId="5" xfId="4" applyNumberFormat="1" applyFont="1" applyFill="1" applyBorder="1" applyAlignment="1">
      <alignment horizontal="right"/>
    </xf>
    <xf numFmtId="180" fontId="3" fillId="0" borderId="5" xfId="4" applyNumberFormat="1" applyFont="1" applyFill="1" applyBorder="1" applyAlignment="1">
      <alignment horizontal="right"/>
    </xf>
    <xf numFmtId="0" fontId="3" fillId="0" borderId="5" xfId="8" applyFont="1" applyFill="1" applyBorder="1" applyAlignment="1">
      <alignment horizontal="right"/>
    </xf>
    <xf numFmtId="0" fontId="3" fillId="0" borderId="5" xfId="8" applyFont="1" applyFill="1" applyBorder="1" applyAlignment="1">
      <alignment horizontal="center"/>
    </xf>
    <xf numFmtId="0" fontId="3" fillId="0" borderId="5" xfId="8" applyFont="1" applyFill="1" applyBorder="1" applyAlignment="1">
      <alignment horizontal="left"/>
    </xf>
    <xf numFmtId="1" fontId="3" fillId="0" borderId="5" xfId="8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166" fontId="3" fillId="0" borderId="0" xfId="2" applyNumberFormat="1" applyFont="1" applyFill="1" applyBorder="1" applyAlignment="1"/>
    <xf numFmtId="3" fontId="3" fillId="0" borderId="5" xfId="0" applyNumberFormat="1" applyFont="1" applyFill="1" applyBorder="1" applyAlignment="1">
      <alignment horizontal="right"/>
    </xf>
    <xf numFmtId="164" fontId="3" fillId="0" borderId="5" xfId="2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38" fontId="3" fillId="0" borderId="0" xfId="4" applyNumberFormat="1" applyFont="1" applyFill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165" fontId="3" fillId="0" borderId="9" xfId="2" applyNumberFormat="1" applyFont="1" applyFill="1" applyBorder="1" applyAlignment="1"/>
    <xf numFmtId="0" fontId="3" fillId="0" borderId="27" xfId="0" applyFont="1" applyFill="1" applyBorder="1" applyAlignment="1"/>
    <xf numFmtId="0" fontId="3" fillId="0" borderId="27" xfId="0" applyFont="1" applyFill="1" applyBorder="1" applyAlignment="1">
      <alignment horizontal="center"/>
    </xf>
    <xf numFmtId="40" fontId="3" fillId="0" borderId="27" xfId="1" applyNumberFormat="1" applyFont="1" applyFill="1" applyBorder="1" applyAlignment="1"/>
    <xf numFmtId="172" fontId="3" fillId="0" borderId="27" xfId="3" applyNumberFormat="1" applyFont="1" applyFill="1" applyBorder="1" applyAlignment="1"/>
    <xf numFmtId="10" fontId="3" fillId="0" borderId="27" xfId="3" applyNumberFormat="1" applyFont="1" applyFill="1" applyBorder="1" applyAlignment="1"/>
    <xf numFmtId="180" fontId="3" fillId="0" borderId="27" xfId="1" applyNumberFormat="1" applyFont="1" applyFill="1" applyBorder="1" applyAlignment="1"/>
    <xf numFmtId="167" fontId="3" fillId="0" borderId="27" xfId="1" applyFont="1" applyFill="1" applyBorder="1" applyAlignment="1"/>
    <xf numFmtId="166" fontId="3" fillId="0" borderId="27" xfId="2" applyNumberFormat="1" applyFont="1" applyFill="1" applyBorder="1" applyAlignment="1"/>
    <xf numFmtId="0" fontId="3" fillId="0" borderId="9" xfId="0" applyFont="1" applyFill="1" applyBorder="1" applyAlignment="1">
      <alignment horizontal="center"/>
    </xf>
    <xf numFmtId="38" fontId="3" fillId="0" borderId="9" xfId="1" applyNumberFormat="1" applyFont="1" applyFill="1" applyBorder="1" applyAlignment="1"/>
    <xf numFmtId="40" fontId="3" fillId="0" borderId="9" xfId="1" applyNumberFormat="1" applyFont="1" applyFill="1" applyBorder="1" applyAlignment="1"/>
    <xf numFmtId="172" fontId="3" fillId="0" borderId="9" xfId="3" applyNumberFormat="1" applyFont="1" applyFill="1" applyBorder="1" applyAlignment="1"/>
    <xf numFmtId="10" fontId="3" fillId="0" borderId="9" xfId="3" applyNumberFormat="1" applyFont="1" applyFill="1" applyBorder="1" applyAlignment="1"/>
    <xf numFmtId="167" fontId="3" fillId="0" borderId="9" xfId="1" applyFont="1" applyFill="1" applyBorder="1" applyAlignment="1"/>
    <xf numFmtId="166" fontId="3" fillId="0" borderId="9" xfId="2" applyNumberFormat="1" applyFont="1" applyFill="1" applyBorder="1" applyAlignment="1"/>
    <xf numFmtId="38" fontId="3" fillId="0" borderId="10" xfId="1" applyNumberFormat="1" applyFont="1" applyFill="1" applyBorder="1" applyAlignment="1"/>
    <xf numFmtId="38" fontId="3" fillId="0" borderId="0" xfId="1" applyNumberFormat="1" applyFont="1" applyFill="1" applyBorder="1" applyAlignment="1">
      <alignment horizontal="right"/>
    </xf>
    <xf numFmtId="180" fontId="3" fillId="0" borderId="0" xfId="4" applyNumberFormat="1" applyFont="1" applyFill="1" applyBorder="1" applyAlignment="1">
      <alignment horizontal="right"/>
    </xf>
    <xf numFmtId="38" fontId="3" fillId="0" borderId="0" xfId="0" applyNumberFormat="1" applyFont="1" applyFill="1" applyBorder="1" applyAlignment="1">
      <alignment horizontal="right"/>
    </xf>
    <xf numFmtId="0" fontId="3" fillId="0" borderId="0" xfId="8" applyFont="1" applyFill="1" applyBorder="1" applyAlignment="1">
      <alignment horizontal="right"/>
    </xf>
    <xf numFmtId="0" fontId="3" fillId="0" borderId="0" xfId="8" applyFont="1" applyFill="1" applyBorder="1" applyAlignment="1">
      <alignment horizontal="center"/>
    </xf>
    <xf numFmtId="38" fontId="3" fillId="0" borderId="7" xfId="1" applyNumberFormat="1" applyFont="1" applyFill="1" applyBorder="1" applyAlignment="1">
      <alignment horizontal="right"/>
    </xf>
    <xf numFmtId="38" fontId="3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38" fontId="5" fillId="0" borderId="5" xfId="0" applyNumberFormat="1" applyFont="1" applyFill="1" applyBorder="1" applyAlignment="1">
      <alignment horizontal="right"/>
    </xf>
    <xf numFmtId="38" fontId="5" fillId="0" borderId="5" xfId="1" applyNumberFormat="1" applyFont="1" applyFill="1" applyBorder="1" applyAlignment="1">
      <alignment horizontal="right"/>
    </xf>
    <xf numFmtId="180" fontId="5" fillId="0" borderId="5" xfId="4" applyNumberFormat="1" applyFont="1" applyFill="1" applyBorder="1" applyAlignment="1">
      <alignment horizontal="right"/>
    </xf>
    <xf numFmtId="38" fontId="5" fillId="0" borderId="5" xfId="8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/>
    <xf numFmtId="40" fontId="3" fillId="0" borderId="5" xfId="1" applyNumberFormat="1" applyFont="1" applyFill="1" applyBorder="1" applyAlignment="1">
      <alignment horizontal="right"/>
    </xf>
    <xf numFmtId="180" fontId="3" fillId="0" borderId="5" xfId="1" applyNumberFormat="1" applyFont="1" applyFill="1" applyBorder="1" applyAlignment="1">
      <alignment horizontal="right"/>
    </xf>
    <xf numFmtId="167" fontId="3" fillId="0" borderId="5" xfId="1" applyFont="1" applyFill="1" applyBorder="1" applyAlignment="1">
      <alignment horizontal="right"/>
    </xf>
    <xf numFmtId="167" fontId="3" fillId="0" borderId="5" xfId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38" fontId="3" fillId="0" borderId="5" xfId="5" applyNumberFormat="1" applyFont="1" applyFill="1" applyBorder="1" applyAlignment="1">
      <alignment horizontal="right"/>
    </xf>
    <xf numFmtId="184" fontId="3" fillId="0" borderId="7" xfId="1" applyNumberFormat="1" applyFont="1" applyFill="1" applyBorder="1" applyAlignment="1"/>
    <xf numFmtId="167" fontId="3" fillId="0" borderId="30" xfId="1" applyFont="1" applyFill="1" applyBorder="1" applyAlignment="1"/>
    <xf numFmtId="0" fontId="3" fillId="0" borderId="30" xfId="0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181" fontId="7" fillId="0" borderId="0" xfId="0" applyNumberFormat="1" applyFont="1" applyFill="1"/>
    <xf numFmtId="40" fontId="3" fillId="0" borderId="26" xfId="1" applyNumberFormat="1" applyFont="1" applyFill="1" applyBorder="1" applyAlignment="1"/>
    <xf numFmtId="172" fontId="3" fillId="0" borderId="26" xfId="3" applyNumberFormat="1" applyFont="1" applyFill="1" applyBorder="1" applyAlignment="1"/>
    <xf numFmtId="10" fontId="3" fillId="0" borderId="26" xfId="3" applyNumberFormat="1" applyFont="1" applyFill="1" applyBorder="1" applyAlignment="1"/>
    <xf numFmtId="180" fontId="3" fillId="0" borderId="26" xfId="1" applyNumberFormat="1" applyFont="1" applyFill="1" applyBorder="1" applyAlignment="1"/>
    <xf numFmtId="167" fontId="3" fillId="0" borderId="26" xfId="1" applyFont="1" applyFill="1" applyBorder="1" applyAlignment="1"/>
    <xf numFmtId="0" fontId="3" fillId="0" borderId="26" xfId="0" applyFont="1" applyFill="1" applyBorder="1" applyAlignment="1">
      <alignment horizontal="center"/>
    </xf>
    <xf numFmtId="166" fontId="3" fillId="0" borderId="26" xfId="2" applyNumberFormat="1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38" fontId="3" fillId="0" borderId="0" xfId="9" applyNumberFormat="1" applyFont="1" applyFill="1" applyBorder="1" applyAlignment="1">
      <alignment horizontal="right"/>
    </xf>
    <xf numFmtId="40" fontId="3" fillId="0" borderId="0" xfId="1" applyNumberFormat="1" applyFont="1" applyFill="1" applyBorder="1" applyAlignment="1">
      <alignment horizontal="right"/>
    </xf>
    <xf numFmtId="9" fontId="3" fillId="0" borderId="0" xfId="3" applyFont="1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38" fontId="3" fillId="0" borderId="0" xfId="9" applyNumberFormat="1" applyFont="1" applyFill="1" applyBorder="1" applyAlignment="1"/>
    <xf numFmtId="180" fontId="3" fillId="0" borderId="0" xfId="1" applyNumberFormat="1" applyFont="1" applyFill="1" applyBorder="1" applyAlignment="1">
      <alignment horizontal="right"/>
    </xf>
    <xf numFmtId="167" fontId="3" fillId="0" borderId="0" xfId="1" applyFont="1" applyFill="1" applyBorder="1" applyAlignment="1">
      <alignment horizontal="right"/>
    </xf>
    <xf numFmtId="167" fontId="3" fillId="0" borderId="0" xfId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right"/>
    </xf>
    <xf numFmtId="38" fontId="3" fillId="0" borderId="10" xfId="1" applyNumberFormat="1" applyFont="1" applyFill="1" applyBorder="1" applyAlignment="1">
      <alignment horizontal="right"/>
    </xf>
    <xf numFmtId="0" fontId="3" fillId="0" borderId="17" xfId="0" applyFont="1" applyFill="1" applyBorder="1" applyAlignment="1"/>
    <xf numFmtId="0" fontId="3" fillId="0" borderId="0" xfId="0" applyFont="1" applyFill="1" applyAlignment="1">
      <alignment horizontal="left"/>
    </xf>
    <xf numFmtId="0" fontId="3" fillId="0" borderId="5" xfId="6" applyFont="1" applyFill="1" applyBorder="1" applyAlignment="1">
      <alignment horizontal="left"/>
    </xf>
    <xf numFmtId="38" fontId="3" fillId="0" borderId="5" xfId="6" applyNumberFormat="1" applyFont="1" applyFill="1" applyBorder="1" applyAlignment="1">
      <alignment horizontal="right"/>
    </xf>
    <xf numFmtId="40" fontId="3" fillId="0" borderId="5" xfId="6" applyNumberFormat="1" applyFont="1" applyFill="1" applyBorder="1" applyAlignment="1">
      <alignment horizontal="right"/>
    </xf>
    <xf numFmtId="183" fontId="3" fillId="0" borderId="5" xfId="6" applyNumberFormat="1" applyFont="1" applyFill="1" applyBorder="1" applyAlignment="1">
      <alignment horizontal="right"/>
    </xf>
    <xf numFmtId="180" fontId="3" fillId="0" borderId="5" xfId="6" applyNumberFormat="1" applyFont="1" applyFill="1" applyBorder="1" applyAlignment="1">
      <alignment horizontal="right"/>
    </xf>
    <xf numFmtId="38" fontId="3" fillId="0" borderId="5" xfId="8" applyNumberFormat="1" applyFont="1" applyFill="1" applyBorder="1" applyAlignment="1">
      <alignment horizontal="right"/>
    </xf>
    <xf numFmtId="40" fontId="3" fillId="0" borderId="5" xfId="8" applyNumberFormat="1" applyFont="1" applyFill="1" applyBorder="1" applyAlignment="1">
      <alignment horizontal="right"/>
    </xf>
    <xf numFmtId="183" fontId="3" fillId="0" borderId="5" xfId="8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left"/>
    </xf>
    <xf numFmtId="40" fontId="3" fillId="0" borderId="5" xfId="0" applyNumberFormat="1" applyFont="1" applyFill="1" applyBorder="1" applyAlignment="1">
      <alignment horizontal="right"/>
    </xf>
    <xf numFmtId="183" fontId="3" fillId="0" borderId="5" xfId="0" applyNumberFormat="1" applyFont="1" applyFill="1" applyBorder="1" applyAlignment="1">
      <alignment horizontal="right"/>
    </xf>
    <xf numFmtId="180" fontId="3" fillId="0" borderId="5" xfId="0" applyNumberFormat="1" applyFont="1" applyFill="1" applyBorder="1" applyAlignment="1">
      <alignment horizontal="right"/>
    </xf>
    <xf numFmtId="0" fontId="3" fillId="0" borderId="30" xfId="0" applyFont="1" applyFill="1" applyBorder="1" applyAlignment="1"/>
    <xf numFmtId="40" fontId="3" fillId="0" borderId="30" xfId="1" applyNumberFormat="1" applyFont="1" applyFill="1" applyBorder="1" applyAlignment="1"/>
    <xf numFmtId="172" fontId="3" fillId="0" borderId="30" xfId="3" applyNumberFormat="1" applyFont="1" applyFill="1" applyBorder="1" applyAlignment="1"/>
    <xf numFmtId="10" fontId="3" fillId="0" borderId="30" xfId="3" applyNumberFormat="1" applyFont="1" applyFill="1" applyBorder="1" applyAlignment="1"/>
    <xf numFmtId="180" fontId="3" fillId="0" borderId="30" xfId="1" applyNumberFormat="1" applyFont="1" applyFill="1" applyBorder="1" applyAlignment="1"/>
    <xf numFmtId="166" fontId="3" fillId="0" borderId="30" xfId="2" applyNumberFormat="1" applyFont="1" applyFill="1" applyBorder="1" applyAlignment="1"/>
    <xf numFmtId="38" fontId="3" fillId="0" borderId="0" xfId="8" applyNumberFormat="1" applyFont="1" applyFill="1" applyBorder="1" applyAlignment="1">
      <alignment horizontal="right"/>
    </xf>
    <xf numFmtId="38" fontId="3" fillId="0" borderId="5" xfId="0" applyNumberFormat="1" applyFont="1" applyFill="1" applyBorder="1" applyAlignment="1">
      <alignment horizontal="center"/>
    </xf>
    <xf numFmtId="166" fontId="5" fillId="0" borderId="5" xfId="2" applyNumberFormat="1" applyFont="1" applyFill="1" applyBorder="1" applyAlignment="1">
      <alignment horizontal="right"/>
    </xf>
    <xf numFmtId="165" fontId="5" fillId="0" borderId="5" xfId="2" applyNumberFormat="1" applyFont="1" applyFill="1" applyBorder="1" applyAlignment="1"/>
    <xf numFmtId="38" fontId="12" fillId="0" borderId="7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40" fontId="3" fillId="0" borderId="0" xfId="0" applyNumberFormat="1" applyFont="1" applyFill="1" applyBorder="1" applyAlignment="1">
      <alignment horizontal="right"/>
    </xf>
    <xf numFmtId="183" fontId="3" fillId="0" borderId="0" xfId="0" applyNumberFormat="1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38" fontId="3" fillId="0" borderId="7" xfId="0" applyNumberFormat="1" applyFont="1" applyFill="1" applyBorder="1" applyAlignment="1">
      <alignment horizontal="right"/>
    </xf>
    <xf numFmtId="0" fontId="13" fillId="0" borderId="0" xfId="0" applyFont="1" applyFill="1" applyAlignment="1"/>
    <xf numFmtId="38" fontId="3" fillId="0" borderId="0" xfId="1" applyNumberFormat="1" applyFont="1" applyFill="1" applyBorder="1" applyAlignment="1">
      <alignment horizontal="centerContinuous"/>
    </xf>
    <xf numFmtId="40" fontId="3" fillId="0" borderId="20" xfId="1" applyNumberFormat="1" applyFont="1" applyFill="1" applyBorder="1" applyAlignment="1"/>
    <xf numFmtId="171" fontId="3" fillId="0" borderId="20" xfId="1" applyNumberFormat="1" applyFont="1" applyFill="1" applyBorder="1" applyAlignment="1"/>
    <xf numFmtId="38" fontId="3" fillId="0" borderId="20" xfId="1" applyNumberFormat="1" applyFont="1" applyFill="1" applyBorder="1" applyAlignment="1"/>
    <xf numFmtId="38" fontId="3" fillId="0" borderId="0" xfId="2" applyNumberFormat="1" applyFont="1" applyFill="1" applyAlignment="1">
      <alignment horizontal="center"/>
    </xf>
    <xf numFmtId="40" fontId="3" fillId="0" borderId="0" xfId="1" applyNumberFormat="1" applyFont="1" applyFill="1" applyBorder="1" applyAlignment="1">
      <alignment horizontal="centerContinuous"/>
    </xf>
    <xf numFmtId="180" fontId="3" fillId="0" borderId="0" xfId="1" applyNumberFormat="1" applyFont="1" applyFill="1" applyBorder="1" applyAlignment="1">
      <alignment horizontal="centerContinuous"/>
    </xf>
    <xf numFmtId="165" fontId="3" fillId="0" borderId="0" xfId="2" applyNumberFormat="1" applyFont="1" applyFill="1" applyAlignment="1">
      <alignment horizontal="center"/>
    </xf>
    <xf numFmtId="38" fontId="3" fillId="0" borderId="0" xfId="1" applyNumberFormat="1" applyFont="1" applyFill="1" applyAlignment="1">
      <alignment horizontal="center"/>
    </xf>
    <xf numFmtId="0" fontId="3" fillId="0" borderId="18" xfId="0" applyFont="1" applyFill="1" applyBorder="1" applyAlignment="1">
      <alignment horizontal="center"/>
    </xf>
    <xf numFmtId="38" fontId="14" fillId="0" borderId="5" xfId="2" applyNumberFormat="1" applyFont="1" applyFill="1" applyBorder="1" applyAlignment="1">
      <alignment horizontal="center"/>
    </xf>
    <xf numFmtId="38" fontId="14" fillId="0" borderId="5" xfId="1" applyNumberFormat="1" applyFont="1" applyFill="1" applyBorder="1" applyAlignment="1">
      <alignment horizontal="center"/>
    </xf>
    <xf numFmtId="165" fontId="3" fillId="0" borderId="17" xfId="2" applyNumberFormat="1" applyFont="1" applyFill="1" applyBorder="1" applyAlignment="1">
      <alignment horizontal="center"/>
    </xf>
    <xf numFmtId="182" fontId="3" fillId="0" borderId="24" xfId="1" applyNumberFormat="1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38" fontId="3" fillId="0" borderId="24" xfId="1" applyNumberFormat="1" applyFont="1" applyFill="1" applyBorder="1" applyAlignment="1">
      <alignment horizontal="center" wrapText="1"/>
    </xf>
    <xf numFmtId="40" fontId="3" fillId="0" borderId="24" xfId="1" applyNumberFormat="1" applyFont="1" applyFill="1" applyBorder="1" applyAlignment="1">
      <alignment horizontal="center" wrapText="1"/>
    </xf>
    <xf numFmtId="172" fontId="3" fillId="0" borderId="24" xfId="3" applyNumberFormat="1" applyFont="1" applyFill="1" applyBorder="1" applyAlignment="1">
      <alignment horizontal="center" wrapText="1"/>
    </xf>
    <xf numFmtId="10" fontId="3" fillId="0" borderId="24" xfId="3" applyNumberFormat="1" applyFont="1" applyFill="1" applyBorder="1" applyAlignment="1">
      <alignment horizontal="center" wrapText="1"/>
    </xf>
    <xf numFmtId="40" fontId="3" fillId="0" borderId="14" xfId="1" applyNumberFormat="1" applyFont="1" applyFill="1" applyBorder="1" applyAlignment="1">
      <alignment horizontal="center" wrapText="1"/>
    </xf>
    <xf numFmtId="38" fontId="3" fillId="0" borderId="15" xfId="1" applyNumberFormat="1" applyFont="1" applyFill="1" applyBorder="1" applyAlignment="1">
      <alignment horizontal="center" wrapText="1"/>
    </xf>
    <xf numFmtId="38" fontId="3" fillId="0" borderId="16" xfId="1" applyNumberFormat="1" applyFont="1" applyFill="1" applyBorder="1" applyAlignment="1">
      <alignment horizontal="center" wrapText="1"/>
    </xf>
    <xf numFmtId="180" fontId="3" fillId="0" borderId="14" xfId="1" applyNumberFormat="1" applyFont="1" applyFill="1" applyBorder="1" applyAlignment="1">
      <alignment horizontal="center" wrapText="1"/>
    </xf>
    <xf numFmtId="167" fontId="3" fillId="0" borderId="25" xfId="1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165" fontId="3" fillId="0" borderId="24" xfId="2" applyNumberFormat="1" applyFont="1" applyFill="1" applyBorder="1" applyAlignment="1">
      <alignment horizontal="center"/>
    </xf>
    <xf numFmtId="165" fontId="3" fillId="0" borderId="24" xfId="2" applyNumberFormat="1" applyFont="1" applyFill="1" applyBorder="1" applyAlignment="1">
      <alignment horizontal="center" wrapText="1"/>
    </xf>
    <xf numFmtId="166" fontId="3" fillId="0" borderId="24" xfId="2" applyNumberFormat="1" applyFont="1" applyFill="1" applyBorder="1" applyAlignment="1">
      <alignment horizontal="center" wrapText="1"/>
    </xf>
    <xf numFmtId="165" fontId="3" fillId="0" borderId="14" xfId="2" applyNumberFormat="1" applyFont="1" applyFill="1" applyBorder="1" applyAlignment="1">
      <alignment horizontal="center" wrapText="1"/>
    </xf>
    <xf numFmtId="165" fontId="3" fillId="0" borderId="16" xfId="2" applyNumberFormat="1" applyFont="1" applyFill="1" applyBorder="1" applyAlignment="1">
      <alignment horizontal="center"/>
    </xf>
    <xf numFmtId="38" fontId="3" fillId="0" borderId="25" xfId="1" applyNumberFormat="1" applyFont="1" applyFill="1" applyBorder="1" applyAlignment="1">
      <alignment horizontal="center" wrapText="1"/>
    </xf>
    <xf numFmtId="0" fontId="3" fillId="0" borderId="26" xfId="0" applyFont="1" applyFill="1" applyBorder="1" applyAlignment="1"/>
    <xf numFmtId="38" fontId="3" fillId="0" borderId="26" xfId="1" applyNumberFormat="1" applyFont="1" applyFill="1" applyBorder="1" applyAlignment="1"/>
    <xf numFmtId="165" fontId="3" fillId="0" borderId="26" xfId="1" applyNumberFormat="1" applyFont="1" applyFill="1" applyBorder="1" applyAlignment="1"/>
    <xf numFmtId="165" fontId="3" fillId="0" borderId="26" xfId="2" applyNumberFormat="1" applyFont="1" applyFill="1" applyBorder="1" applyAlignment="1"/>
    <xf numFmtId="38" fontId="3" fillId="0" borderId="12" xfId="1" applyNumberFormat="1" applyFont="1" applyFill="1" applyBorder="1" applyAlignment="1"/>
    <xf numFmtId="38" fontId="3" fillId="0" borderId="26" xfId="5" applyNumberFormat="1" applyFont="1" applyFill="1" applyBorder="1" applyAlignment="1"/>
    <xf numFmtId="165" fontId="6" fillId="0" borderId="0" xfId="2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/>
    <xf numFmtId="38" fontId="3" fillId="0" borderId="0" xfId="3" applyNumberFormat="1" applyFont="1" applyFill="1" applyAlignment="1"/>
    <xf numFmtId="10" fontId="3" fillId="0" borderId="5" xfId="0" applyNumberFormat="1" applyFont="1" applyFill="1" applyBorder="1" applyAlignment="1">
      <alignment horizontal="right"/>
    </xf>
    <xf numFmtId="165" fontId="3" fillId="0" borderId="11" xfId="2" applyNumberFormat="1" applyFont="1" applyFill="1" applyBorder="1" applyAlignment="1">
      <alignment horizontal="right"/>
    </xf>
    <xf numFmtId="0" fontId="3" fillId="0" borderId="0" xfId="6" applyFont="1" applyFill="1" applyBorder="1" applyAlignment="1">
      <alignment horizontal="left"/>
    </xf>
    <xf numFmtId="38" fontId="3" fillId="0" borderId="0" xfId="6" applyNumberFormat="1" applyFont="1" applyFill="1" applyBorder="1" applyAlignment="1">
      <alignment horizontal="right"/>
    </xf>
    <xf numFmtId="40" fontId="3" fillId="0" borderId="0" xfId="6" applyNumberFormat="1" applyFont="1" applyFill="1" applyBorder="1" applyAlignment="1">
      <alignment horizontal="right"/>
    </xf>
    <xf numFmtId="183" fontId="3" fillId="0" borderId="0" xfId="6" applyNumberFormat="1" applyFont="1" applyFill="1" applyBorder="1" applyAlignment="1">
      <alignment horizontal="right"/>
    </xf>
    <xf numFmtId="180" fontId="3" fillId="0" borderId="0" xfId="6" applyNumberFormat="1" applyFont="1" applyFill="1" applyBorder="1" applyAlignment="1">
      <alignment horizontal="right"/>
    </xf>
    <xf numFmtId="0" fontId="3" fillId="0" borderId="0" xfId="6" applyFont="1" applyFill="1" applyBorder="1" applyAlignment="1">
      <alignment horizontal="right"/>
    </xf>
    <xf numFmtId="0" fontId="3" fillId="0" borderId="0" xfId="6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67" fontId="3" fillId="0" borderId="5" xfId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left"/>
    </xf>
    <xf numFmtId="38" fontId="3" fillId="0" borderId="26" xfId="0" applyNumberFormat="1" applyFont="1" applyFill="1" applyBorder="1" applyAlignment="1">
      <alignment horizontal="right"/>
    </xf>
    <xf numFmtId="40" fontId="3" fillId="0" borderId="26" xfId="1" applyNumberFormat="1" applyFont="1" applyFill="1" applyBorder="1" applyAlignment="1">
      <alignment horizontal="right"/>
    </xf>
    <xf numFmtId="183" fontId="3" fillId="0" borderId="26" xfId="0" applyNumberFormat="1" applyFont="1" applyFill="1" applyBorder="1" applyAlignment="1">
      <alignment horizontal="right"/>
    </xf>
    <xf numFmtId="10" fontId="3" fillId="0" borderId="26" xfId="0" applyNumberFormat="1" applyFont="1" applyFill="1" applyBorder="1" applyAlignment="1">
      <alignment horizontal="right"/>
    </xf>
    <xf numFmtId="38" fontId="3" fillId="0" borderId="26" xfId="1" applyNumberFormat="1" applyFont="1" applyFill="1" applyBorder="1" applyAlignment="1">
      <alignment horizontal="right"/>
    </xf>
    <xf numFmtId="40" fontId="3" fillId="0" borderId="26" xfId="0" applyNumberFormat="1" applyFont="1" applyFill="1" applyBorder="1" applyAlignment="1">
      <alignment horizontal="right"/>
    </xf>
    <xf numFmtId="180" fontId="3" fillId="0" borderId="26" xfId="0" applyNumberFormat="1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165" fontId="3" fillId="0" borderId="26" xfId="2" applyNumberFormat="1" applyFont="1" applyFill="1" applyBorder="1" applyAlignment="1">
      <alignment horizontal="right"/>
    </xf>
    <xf numFmtId="166" fontId="3" fillId="0" borderId="26" xfId="2" applyNumberFormat="1" applyFont="1" applyFill="1" applyBorder="1" applyAlignment="1">
      <alignment horizontal="right"/>
    </xf>
    <xf numFmtId="38" fontId="3" fillId="0" borderId="12" xfId="1" applyNumberFormat="1" applyFont="1" applyFill="1" applyBorder="1" applyAlignment="1">
      <alignment horizontal="right"/>
    </xf>
    <xf numFmtId="38" fontId="3" fillId="0" borderId="7" xfId="2" applyNumberFormat="1" applyFont="1" applyFill="1" applyBorder="1" applyAlignment="1"/>
    <xf numFmtId="164" fontId="3" fillId="0" borderId="0" xfId="2" applyNumberFormat="1" applyFont="1" applyFill="1" applyAlignment="1"/>
    <xf numFmtId="164" fontId="3" fillId="0" borderId="26" xfId="1" applyNumberFormat="1" applyFont="1" applyFill="1" applyBorder="1" applyAlignment="1"/>
    <xf numFmtId="38" fontId="3" fillId="0" borderId="5" xfId="9" applyNumberFormat="1" applyFont="1" applyFill="1" applyBorder="1" applyAlignment="1">
      <alignment horizontal="right"/>
    </xf>
    <xf numFmtId="165" fontId="3" fillId="0" borderId="13" xfId="2" applyNumberFormat="1" applyFont="1" applyFill="1" applyBorder="1" applyAlignment="1">
      <alignment horizontal="right"/>
    </xf>
    <xf numFmtId="38" fontId="3" fillId="0" borderId="13" xfId="1" applyNumberFormat="1" applyFont="1" applyFill="1" applyBorder="1" applyAlignment="1">
      <alignment horizontal="right"/>
    </xf>
    <xf numFmtId="38" fontId="3" fillId="0" borderId="26" xfId="5" applyNumberFormat="1" applyFont="1" applyFill="1" applyBorder="1" applyAlignment="1">
      <alignment horizontal="center"/>
    </xf>
    <xf numFmtId="167" fontId="3" fillId="0" borderId="26" xfId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38" fontId="3" fillId="0" borderId="27" xfId="5" applyNumberFormat="1" applyFont="1" applyFill="1" applyBorder="1" applyAlignment="1"/>
    <xf numFmtId="38" fontId="3" fillId="0" borderId="27" xfId="1" applyNumberFormat="1" applyFont="1" applyFill="1" applyBorder="1" applyAlignment="1"/>
    <xf numFmtId="165" fontId="3" fillId="0" borderId="27" xfId="1" applyNumberFormat="1" applyFont="1" applyFill="1" applyBorder="1" applyAlignment="1"/>
    <xf numFmtId="165" fontId="3" fillId="0" borderId="27" xfId="2" applyNumberFormat="1" applyFont="1" applyFill="1" applyBorder="1" applyAlignment="1"/>
    <xf numFmtId="40" fontId="3" fillId="0" borderId="0" xfId="3" applyNumberFormat="1" applyFont="1" applyFill="1" applyAlignment="1"/>
    <xf numFmtId="180" fontId="3" fillId="0" borderId="0" xfId="3" applyNumberFormat="1" applyFont="1" applyFill="1" applyBorder="1" applyAlignment="1"/>
    <xf numFmtId="38" fontId="3" fillId="0" borderId="0" xfId="3" applyNumberFormat="1" applyFont="1" applyFill="1"/>
    <xf numFmtId="172" fontId="3" fillId="0" borderId="7" xfId="3" applyNumberFormat="1" applyFont="1" applyFill="1" applyBorder="1" applyAlignment="1">
      <alignment horizontal="right"/>
    </xf>
    <xf numFmtId="38" fontId="3" fillId="0" borderId="0" xfId="5" applyNumberFormat="1" applyFont="1" applyFill="1" applyAlignment="1"/>
    <xf numFmtId="182" fontId="3" fillId="0" borderId="0" xfId="1" applyNumberFormat="1" applyFont="1" applyFill="1" applyAlignment="1">
      <alignment horizontal="center"/>
    </xf>
    <xf numFmtId="38" fontId="3" fillId="0" borderId="28" xfId="1" applyNumberFormat="1" applyFont="1" applyFill="1" applyBorder="1" applyAlignment="1"/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38" fontId="3" fillId="0" borderId="30" xfId="5" applyNumberFormat="1" applyFont="1" applyFill="1" applyBorder="1" applyAlignment="1"/>
    <xf numFmtId="38" fontId="3" fillId="0" borderId="30" xfId="1" applyNumberFormat="1" applyFont="1" applyFill="1" applyBorder="1" applyAlignment="1"/>
    <xf numFmtId="165" fontId="3" fillId="0" borderId="30" xfId="1" applyNumberFormat="1" applyFont="1" applyFill="1" applyBorder="1" applyAlignment="1"/>
    <xf numFmtId="165" fontId="3" fillId="0" borderId="30" xfId="2" applyNumberFormat="1" applyFont="1" applyFill="1" applyBorder="1" applyAlignment="1"/>
    <xf numFmtId="0" fontId="3" fillId="0" borderId="0" xfId="0" applyFont="1" applyFill="1" applyAlignment="1">
      <alignment horizontal="center" wrapText="1"/>
    </xf>
    <xf numFmtId="38" fontId="3" fillId="0" borderId="0" xfId="1" applyNumberFormat="1" applyFont="1" applyFill="1" applyAlignment="1">
      <alignment horizontal="center" wrapText="1"/>
    </xf>
    <xf numFmtId="38" fontId="3" fillId="0" borderId="5" xfId="5" applyNumberFormat="1" applyFont="1" applyFill="1" applyBorder="1" applyAlignment="1">
      <alignment horizontal="center"/>
    </xf>
    <xf numFmtId="181" fontId="3" fillId="0" borderId="26" xfId="2" applyNumberFormat="1" applyFont="1" applyFill="1" applyBorder="1" applyAlignment="1"/>
    <xf numFmtId="166" fontId="3" fillId="0" borderId="30" xfId="1" applyNumberFormat="1" applyFont="1" applyFill="1" applyBorder="1" applyAlignment="1"/>
    <xf numFmtId="10" fontId="4" fillId="0" borderId="0" xfId="0" applyNumberFormat="1" applyFont="1" applyFill="1"/>
    <xf numFmtId="167" fontId="4" fillId="0" borderId="0" xfId="1" applyFont="1" applyFill="1"/>
    <xf numFmtId="174" fontId="4" fillId="0" borderId="0" xfId="0" applyNumberFormat="1" applyFont="1" applyFill="1" applyAlignment="1">
      <alignment horizontal="center"/>
    </xf>
    <xf numFmtId="175" fontId="4" fillId="0" borderId="0" xfId="2" applyNumberFormat="1" applyFont="1" applyFill="1" applyAlignment="1">
      <alignment horizontal="center"/>
    </xf>
    <xf numFmtId="175" fontId="4" fillId="0" borderId="0" xfId="0" applyNumberFormat="1" applyFont="1" applyFill="1"/>
    <xf numFmtId="176" fontId="4" fillId="0" borderId="0" xfId="0" applyNumberFormat="1" applyFont="1" applyFill="1" applyAlignment="1">
      <alignment horizontal="right"/>
    </xf>
    <xf numFmtId="174" fontId="4" fillId="0" borderId="0" xfId="0" applyNumberFormat="1" applyFont="1" applyFill="1"/>
    <xf numFmtId="166" fontId="4" fillId="0" borderId="0" xfId="0" applyNumberFormat="1" applyFont="1" applyFill="1"/>
    <xf numFmtId="2" fontId="4" fillId="0" borderId="0" xfId="0" applyNumberFormat="1" applyFont="1" applyFill="1"/>
    <xf numFmtId="176" fontId="4" fillId="0" borderId="0" xfId="0" applyNumberFormat="1" applyFont="1" applyFill="1"/>
    <xf numFmtId="178" fontId="4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168" fontId="4" fillId="0" borderId="0" xfId="0" applyNumberFormat="1" applyFont="1" applyFill="1"/>
    <xf numFmtId="168" fontId="4" fillId="0" borderId="0" xfId="2" applyFont="1" applyFill="1"/>
    <xf numFmtId="179" fontId="4" fillId="0" borderId="0" xfId="0" applyNumberFormat="1" applyFont="1" applyFill="1" applyAlignment="1">
      <alignment horizontal="center"/>
    </xf>
    <xf numFmtId="175" fontId="4" fillId="0" borderId="0" xfId="2" applyNumberFormat="1" applyFont="1" applyFill="1"/>
    <xf numFmtId="0" fontId="0" fillId="0" borderId="0" xfId="0" applyFont="1" applyFill="1"/>
    <xf numFmtId="0" fontId="4" fillId="0" borderId="0" xfId="0" applyFont="1" applyFill="1" applyAlignment="1">
      <alignment horizontal="left"/>
    </xf>
    <xf numFmtId="175" fontId="4" fillId="0" borderId="0" xfId="2" applyNumberFormat="1" applyFont="1" applyFill="1" applyBorder="1" applyProtection="1">
      <protection locked="0"/>
    </xf>
    <xf numFmtId="177" fontId="0" fillId="0" borderId="0" xfId="0" applyNumberFormat="1" applyFont="1" applyFill="1"/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  <xf numFmtId="175" fontId="4" fillId="0" borderId="0" xfId="2" applyNumberFormat="1" applyFont="1" applyFill="1" applyBorder="1"/>
    <xf numFmtId="166" fontId="0" fillId="0" borderId="0" xfId="0" applyNumberFormat="1" applyFont="1" applyFill="1"/>
    <xf numFmtId="175" fontId="0" fillId="0" borderId="0" xfId="0" applyNumberFormat="1" applyFont="1" applyFill="1"/>
    <xf numFmtId="174" fontId="0" fillId="0" borderId="0" xfId="0" applyNumberFormat="1" applyFont="1" applyFill="1"/>
    <xf numFmtId="171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3" xfId="0" applyFont="1" applyFill="1" applyBorder="1"/>
    <xf numFmtId="170" fontId="3" fillId="0" borderId="3" xfId="1" applyNumberFormat="1" applyFont="1" applyFill="1" applyBorder="1"/>
    <xf numFmtId="0" fontId="3" fillId="0" borderId="4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170" fontId="3" fillId="0" borderId="0" xfId="1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170" fontId="3" fillId="0" borderId="9" xfId="1" applyNumberFormat="1" applyFont="1" applyFill="1" applyBorder="1"/>
    <xf numFmtId="0" fontId="3" fillId="0" borderId="10" xfId="0" applyFont="1" applyFill="1" applyBorder="1"/>
    <xf numFmtId="2" fontId="3" fillId="0" borderId="0" xfId="0" applyNumberFormat="1" applyFont="1" applyFill="1"/>
    <xf numFmtId="0" fontId="3" fillId="0" borderId="12" xfId="0" applyFont="1" applyFill="1" applyBorder="1"/>
    <xf numFmtId="0" fontId="3" fillId="0" borderId="1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72" fontId="3" fillId="0" borderId="0" xfId="3" applyNumberFormat="1" applyFont="1" applyFill="1"/>
    <xf numFmtId="170" fontId="5" fillId="0" borderId="0" xfId="1" applyNumberFormat="1" applyFont="1" applyFill="1" applyAlignment="1">
      <alignment horizontal="center"/>
    </xf>
    <xf numFmtId="170" fontId="3" fillId="0" borderId="11" xfId="1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173" fontId="3" fillId="0" borderId="0" xfId="0" applyNumberFormat="1" applyFont="1" applyFill="1"/>
    <xf numFmtId="170" fontId="4" fillId="0" borderId="0" xfId="1" applyNumberFormat="1" applyFont="1" applyFill="1"/>
    <xf numFmtId="171" fontId="4" fillId="0" borderId="0" xfId="1" applyNumberFormat="1" applyFont="1" applyFill="1"/>
    <xf numFmtId="0" fontId="3" fillId="0" borderId="5" xfId="0" applyFont="1" applyFill="1" applyBorder="1" applyAlignment="1">
      <alignment horizontal="center" vertical="center" wrapText="1"/>
    </xf>
    <xf numFmtId="170" fontId="3" fillId="0" borderId="5" xfId="1" applyNumberFormat="1" applyFont="1" applyFill="1" applyBorder="1" applyAlignment="1">
      <alignment horizontal="center" vertical="center" wrapText="1"/>
    </xf>
    <xf numFmtId="171" fontId="3" fillId="0" borderId="5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/>
    <xf numFmtId="10" fontId="3" fillId="0" borderId="13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0" fontId="3" fillId="0" borderId="5" xfId="0" applyNumberFormat="1" applyFont="1" applyFill="1" applyBorder="1"/>
    <xf numFmtId="1" fontId="3" fillId="0" borderId="5" xfId="6" applyNumberFormat="1" applyFont="1" applyFill="1" applyBorder="1" applyAlignment="1">
      <alignment horizontal="right"/>
    </xf>
    <xf numFmtId="165" fontId="3" fillId="0" borderId="23" xfId="2" applyNumberFormat="1" applyFont="1" applyFill="1" applyBorder="1" applyAlignment="1">
      <alignment horizontal="center"/>
    </xf>
    <xf numFmtId="165" fontId="3" fillId="0" borderId="21" xfId="2" applyNumberFormat="1" applyFont="1" applyFill="1" applyBorder="1" applyAlignment="1">
      <alignment horizontal="center"/>
    </xf>
    <xf numFmtId="165" fontId="3" fillId="0" borderId="22" xfId="2" applyNumberFormat="1" applyFont="1" applyFill="1" applyBorder="1" applyAlignment="1">
      <alignment horizontal="center"/>
    </xf>
  </cellXfs>
  <cellStyles count="109">
    <cellStyle name="20% - Accent5 2 2" xfId="10"/>
    <cellStyle name="Comma [0]" xfId="1" builtinId="6"/>
    <cellStyle name="Comma [0] 2" xfId="5"/>
    <cellStyle name="Comma 2" xfId="9"/>
    <cellStyle name="Comma 2 2" xfId="11"/>
    <cellStyle name="Comma 25" xfId="12"/>
    <cellStyle name="Comma 3" xfId="13"/>
    <cellStyle name="Comma 4" xfId="14"/>
    <cellStyle name="Currency" xfId="2" builtinId="4"/>
    <cellStyle name="Currency 2" xfId="15"/>
    <cellStyle name="Currency 2 2" xfId="16"/>
    <cellStyle name="Currency 3" xfId="17"/>
    <cellStyle name="Currency 4" xfId="18"/>
    <cellStyle name="Currency 4 2" xfId="19"/>
    <cellStyle name="Currency 5" xfId="20"/>
    <cellStyle name="Exhibits" xfId="21"/>
    <cellStyle name="Normal" xfId="0" builtinId="0"/>
    <cellStyle name="Normal 10" xfId="22"/>
    <cellStyle name="Normal 10 2" xfId="23"/>
    <cellStyle name="Normal 11" xfId="24"/>
    <cellStyle name="Normal 11 2" xfId="25"/>
    <cellStyle name="Normal 12" xfId="26"/>
    <cellStyle name="Normal 12 2" xfId="27"/>
    <cellStyle name="Normal 13" xfId="28"/>
    <cellStyle name="Normal 13 2" xfId="29"/>
    <cellStyle name="Normal 14" xfId="30"/>
    <cellStyle name="Normal 14 2" xfId="31"/>
    <cellStyle name="Normal 15" xfId="32"/>
    <cellStyle name="Normal 15 2" xfId="33"/>
    <cellStyle name="Normal 151" xfId="34"/>
    <cellStyle name="Normal 154" xfId="35"/>
    <cellStyle name="Normal 154 3" xfId="36"/>
    <cellStyle name="Normal 16" xfId="37"/>
    <cellStyle name="Normal 16 2" xfId="38"/>
    <cellStyle name="Normal 17" xfId="39"/>
    <cellStyle name="Normal 17 2" xfId="40"/>
    <cellStyle name="Normal 18" xfId="41"/>
    <cellStyle name="Normal 18 2" xfId="42"/>
    <cellStyle name="Normal 19" xfId="43"/>
    <cellStyle name="Normal 19 2" xfId="44"/>
    <cellStyle name="Normal 2" xfId="45"/>
    <cellStyle name="Normal 2 112" xfId="46"/>
    <cellStyle name="Normal 2 2" xfId="47"/>
    <cellStyle name="Normal 2 2 2" xfId="48"/>
    <cellStyle name="Normal 20" xfId="49"/>
    <cellStyle name="Normal 20 2" xfId="50"/>
    <cellStyle name="Normal 21" xfId="51"/>
    <cellStyle name="Normal 21 2" xfId="52"/>
    <cellStyle name="Normal 22" xfId="53"/>
    <cellStyle name="Normal 22 2" xfId="54"/>
    <cellStyle name="Normal 23" xfId="55"/>
    <cellStyle name="Normal 23 2" xfId="56"/>
    <cellStyle name="Normal 24" xfId="57"/>
    <cellStyle name="Normal 24 2" xfId="58"/>
    <cellStyle name="Normal 25" xfId="59"/>
    <cellStyle name="Normal 25 2" xfId="60"/>
    <cellStyle name="Normal 26" xfId="61"/>
    <cellStyle name="Normal 26 2" xfId="62"/>
    <cellStyle name="Normal 27" xfId="63"/>
    <cellStyle name="Normal 27 2" xfId="64"/>
    <cellStyle name="Normal 28" xfId="65"/>
    <cellStyle name="Normal 28 2" xfId="66"/>
    <cellStyle name="Normal 29" xfId="67"/>
    <cellStyle name="Normal 29 2" xfId="68"/>
    <cellStyle name="Normal 3" xfId="69"/>
    <cellStyle name="Normal 30" xfId="70"/>
    <cellStyle name="Normal 30 2" xfId="71"/>
    <cellStyle name="Normal 31" xfId="72"/>
    <cellStyle name="Normal 31 2" xfId="73"/>
    <cellStyle name="Normal 32" xfId="74"/>
    <cellStyle name="Normal 33" xfId="6"/>
    <cellStyle name="Normal 33 2" xfId="75"/>
    <cellStyle name="Normal 34" xfId="76"/>
    <cellStyle name="Normal 35" xfId="77"/>
    <cellStyle name="Normal 36" xfId="78"/>
    <cellStyle name="Normal 37" xfId="79"/>
    <cellStyle name="Normal 38" xfId="8"/>
    <cellStyle name="Normal 38 2" xfId="80"/>
    <cellStyle name="Normal 39" xfId="81"/>
    <cellStyle name="Normal 4" xfId="7"/>
    <cellStyle name="Normal 4 2" xfId="82"/>
    <cellStyle name="Normal 4 3" xfId="83"/>
    <cellStyle name="Normal 40" xfId="84"/>
    <cellStyle name="Normal 41" xfId="85"/>
    <cellStyle name="Normal 42" xfId="86"/>
    <cellStyle name="Normal 43" xfId="87"/>
    <cellStyle name="Normal 43 2" xfId="88"/>
    <cellStyle name="Normal 44" xfId="89"/>
    <cellStyle name="Normal 44 2" xfId="90"/>
    <cellStyle name="Normal 45" xfId="91"/>
    <cellStyle name="Normal 5" xfId="92"/>
    <cellStyle name="Normal 5 2" xfId="93"/>
    <cellStyle name="Normal 6" xfId="94"/>
    <cellStyle name="Normal 6 2" xfId="95"/>
    <cellStyle name="Normal 7" xfId="96"/>
    <cellStyle name="Normal 7 2" xfId="97"/>
    <cellStyle name="Normal 8" xfId="98"/>
    <cellStyle name="Normal 8 2" xfId="99"/>
    <cellStyle name="Normal 9" xfId="100"/>
    <cellStyle name="Normal 9 2" xfId="101"/>
    <cellStyle name="Normal_2009 DPA Final for SSM Spreadsheet" xfId="4"/>
    <cellStyle name="Note 2" xfId="102"/>
    <cellStyle name="Note 2 2" xfId="103"/>
    <cellStyle name="Percent" xfId="3" builtinId="5"/>
    <cellStyle name="Percent 2" xfId="104"/>
    <cellStyle name="Percent 2 2" xfId="105"/>
    <cellStyle name="Percent 3" xfId="106"/>
    <cellStyle name="Percent 4" xfId="107"/>
    <cellStyle name="Percent 4 2" xfId="108"/>
  </cellStyles>
  <dxfs count="204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ontoce\Local%20Settings\Temporary%20Internet%20Files\Content.Outlook\HIWTWCLM\2011%20TRC%20Calculator%20Version%203%200%20-%20TAPS%20ESK%20LI%20TAPS%20March%2015%20-%20145000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USERS\MRS\DSM\Avoided%20Gas%20Costs\DSM%20Marcus%20Wolters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yaweed\AppData\Local\Microsoft\Windows\Temporary%20Internet%20Files\Content.Outlook\ZDBJRCEI\Updated%20TRC%20Calculator%20with%20RIM\2014%20Avoided%20Costs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%20DSM%20Annual%20Report%20-%20Deborah\2014%20DSM%20Results%20DSMI%20Draft%20Evaluation%20(Updated%20May%2027)%20-%20POST-AUDIT,%20but%20Pre-Audit%20Committ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riptive (2)"/>
      <sheetName val="Prescriptive"/>
      <sheetName val="Custom"/>
      <sheetName val="Discounted Svngs Expenses"/>
      <sheetName val="Avoided Costs 2011-2019"/>
      <sheetName val="Avoided Cost inputs"/>
    </sheetNames>
    <sheetDataSet>
      <sheetData sheetId="0">
        <row r="21">
          <cell r="B21">
            <v>0</v>
          </cell>
        </row>
      </sheetData>
      <sheetData sheetId="1">
        <row r="21">
          <cell r="B21">
            <v>0.93</v>
          </cell>
        </row>
      </sheetData>
      <sheetData sheetId="2"/>
      <sheetData sheetId="3"/>
      <sheetData sheetId="4">
        <row r="5">
          <cell r="B5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  <sheetName val="Sourc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ange rate"/>
      <sheetName val="Avoided Costs 2014-2023"/>
      <sheetName val="Avoided Cost inputs"/>
      <sheetName val="Forecast_DSM-Nov 2013"/>
      <sheetName val="CPI Final 2043"/>
      <sheetName val="NOTE re 2012gas NPV discrepancy"/>
      <sheetName val="Forecast_DSM-Sept 2010"/>
    </sheetNames>
    <sheetDataSet>
      <sheetData sheetId="0"/>
      <sheetData sheetId="1"/>
      <sheetData sheetId="2"/>
      <sheetData sheetId="3">
        <row r="44">
          <cell r="E44">
            <v>4.1191748620208947E-2</v>
          </cell>
        </row>
        <row r="45">
          <cell r="E45">
            <v>-5.5612777634656552E-3</v>
          </cell>
        </row>
        <row r="46">
          <cell r="E46">
            <v>4.2657626476663914E-2</v>
          </cell>
        </row>
        <row r="47">
          <cell r="E47">
            <v>4.6849619872770254E-2</v>
          </cell>
        </row>
        <row r="48">
          <cell r="E48">
            <v>6.8458528701583823E-2</v>
          </cell>
        </row>
        <row r="49">
          <cell r="E49">
            <v>6.6717154618475757E-2</v>
          </cell>
        </row>
        <row r="50">
          <cell r="E50">
            <v>1.692496789668731E-2</v>
          </cell>
        </row>
        <row r="51">
          <cell r="E51">
            <v>-1.3709491900695259E-2</v>
          </cell>
        </row>
        <row r="52">
          <cell r="E52">
            <v>-1.7234336625218338E-2</v>
          </cell>
        </row>
        <row r="53">
          <cell r="E53">
            <v>-4.5294617565288853E-2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nology Prescriptive "/>
      <sheetName val="Sector Prescriptive Only "/>
      <sheetName val="Technology Custom"/>
      <sheetName val="Sector Custom"/>
      <sheetName val="Avoided Cost inputs"/>
      <sheetName val="Avoided Costs 2014-2023"/>
      <sheetName val="Avoided Costs Chart"/>
      <sheetName val="RING FENCE INDUSTRIAL"/>
      <sheetName val="Rate Class Allocation"/>
      <sheetName val="DSMIDA Actuals calculator"/>
      <sheetName val="2014 Notes"/>
      <sheetName val="2014 Actuals"/>
      <sheetName val="Annual report master"/>
      <sheetName val=" 2014 Financial Summary"/>
      <sheetName val="LRAM (August 1)"/>
      <sheetName val="3D Bar Graph"/>
      <sheetName val="3D Pie Chart"/>
      <sheetName val="TRC Ratio"/>
      <sheetName val="Weatherization"/>
      <sheetName val="CER Participants"/>
      <sheetName val="Cost Effectivenes $ per CCM"/>
      <sheetName val="Cost Effectiveness CCM per $"/>
      <sheetName val="Full DSM Gas Savings"/>
      <sheetName val="Multi-Year Tables CCM"/>
      <sheetName val="Full DSM Program Scorecard"/>
      <sheetName val="Multi-Year Tables Participants"/>
      <sheetName val="Costs - Budget &amp; Overheads"/>
      <sheetName val="Costs - Budget vs Actuals"/>
      <sheetName val="EXECUTIVE SUMMARY"/>
      <sheetName val="DSMVA"/>
      <sheetName val="DSMIDA Scorecard"/>
      <sheetName val="Budget Allocation Max Incentive"/>
      <sheetName val="DSM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4">
          <cell r="B204">
            <v>5</v>
          </cell>
          <cell r="C204">
            <v>3125440</v>
          </cell>
          <cell r="D204">
            <v>238065.58</v>
          </cell>
        </row>
      </sheetData>
      <sheetData sheetId="11"/>
      <sheetData sheetId="12">
        <row r="15">
          <cell r="E15">
            <v>43540237.360387094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140"/>
  <sheetViews>
    <sheetView workbookViewId="0">
      <selection activeCell="E4" sqref="E4"/>
    </sheetView>
  </sheetViews>
  <sheetFormatPr defaultColWidth="9.140625" defaultRowHeight="11.25"/>
  <cols>
    <col min="1" max="10" width="9.140625" style="8"/>
    <col min="11" max="11" width="9.140625" style="317"/>
    <col min="12" max="12" width="9.140625" style="318"/>
    <col min="13" max="16384" width="9.140625" style="8"/>
  </cols>
  <sheetData>
    <row r="1" spans="1:12" ht="12.75" customHeight="1">
      <c r="A1" s="1"/>
      <c r="B1" s="1"/>
      <c r="C1" s="1"/>
      <c r="D1" s="2"/>
      <c r="E1" s="1"/>
      <c r="F1" s="295"/>
      <c r="G1" s="1"/>
      <c r="H1" s="1"/>
      <c r="I1" s="1"/>
      <c r="J1" s="2"/>
      <c r="K1" s="294"/>
      <c r="L1" s="294"/>
    </row>
    <row r="2" spans="1:12" ht="12.75" customHeight="1">
      <c r="A2" s="1" t="s">
        <v>0</v>
      </c>
      <c r="B2" s="1"/>
      <c r="C2" s="1"/>
      <c r="D2" s="135" t="s">
        <v>1</v>
      </c>
      <c r="E2" s="10"/>
      <c r="F2" s="295"/>
      <c r="G2" s="10"/>
      <c r="H2" s="1"/>
      <c r="I2" s="1"/>
      <c r="J2" s="2"/>
      <c r="K2" s="294"/>
      <c r="L2" s="294"/>
    </row>
    <row r="3" spans="1:12" ht="12.75" customHeight="1">
      <c r="A3" s="1" t="s">
        <v>2</v>
      </c>
      <c r="B3" s="1"/>
      <c r="C3" s="1"/>
      <c r="D3" s="2"/>
      <c r="E3" s="1"/>
      <c r="F3" s="295"/>
      <c r="G3" s="1"/>
      <c r="H3" s="1"/>
      <c r="I3" s="1"/>
      <c r="J3" s="2"/>
      <c r="K3" s="294"/>
      <c r="L3" s="294"/>
    </row>
    <row r="4" spans="1:12" ht="12.75">
      <c r="A4" s="1"/>
      <c r="B4" s="1"/>
      <c r="C4" s="1"/>
      <c r="D4" s="2"/>
      <c r="E4" s="1"/>
      <c r="F4" s="295"/>
      <c r="G4" s="1"/>
      <c r="H4" s="1"/>
      <c r="I4" s="1"/>
      <c r="J4" s="2"/>
      <c r="K4" s="294"/>
      <c r="L4" s="294"/>
    </row>
    <row r="5" spans="1:12" ht="76.5">
      <c r="A5" s="296" t="s">
        <v>3</v>
      </c>
      <c r="B5" s="297"/>
      <c r="C5" s="297"/>
      <c r="D5" s="298"/>
      <c r="E5" s="299"/>
      <c r="F5" s="295"/>
      <c r="G5" s="1"/>
      <c r="H5" s="1"/>
      <c r="I5" s="319" t="s">
        <v>4</v>
      </c>
      <c r="J5" s="320" t="s">
        <v>5</v>
      </c>
      <c r="K5" s="321" t="s">
        <v>6</v>
      </c>
      <c r="L5" s="321" t="s">
        <v>7</v>
      </c>
    </row>
    <row r="6" spans="1:12" ht="12.75">
      <c r="A6" s="300" t="s">
        <v>8</v>
      </c>
      <c r="B6" s="301"/>
      <c r="C6" s="301"/>
      <c r="D6" s="302"/>
      <c r="E6" s="303"/>
      <c r="F6" s="295"/>
      <c r="G6" s="1"/>
      <c r="H6" s="1"/>
      <c r="I6" s="1"/>
      <c r="J6" s="2"/>
      <c r="K6" s="294"/>
      <c r="L6" s="294"/>
    </row>
    <row r="7" spans="1:12" ht="12.75">
      <c r="A7" s="304" t="s">
        <v>9</v>
      </c>
      <c r="B7" s="305"/>
      <c r="C7" s="305"/>
      <c r="D7" s="306"/>
      <c r="E7" s="307"/>
      <c r="F7" s="295"/>
      <c r="G7" s="1"/>
      <c r="H7" s="1"/>
      <c r="I7" s="1">
        <v>2014</v>
      </c>
      <c r="J7" s="308">
        <v>1.899904248265748</v>
      </c>
      <c r="K7" s="2">
        <v>10.77</v>
      </c>
      <c r="L7" s="2">
        <v>259.48</v>
      </c>
    </row>
    <row r="8" spans="1:12" ht="12.75">
      <c r="A8" s="1"/>
      <c r="B8" s="1"/>
      <c r="C8" s="1"/>
      <c r="D8" s="2"/>
      <c r="E8" s="1"/>
      <c r="F8" s="295"/>
      <c r="G8" s="322" t="s">
        <v>10</v>
      </c>
      <c r="H8" s="309"/>
      <c r="I8" s="1">
        <f t="shared" ref="I8:I36" si="0">+I7+1</f>
        <v>2015</v>
      </c>
      <c r="J8" s="308">
        <v>2.1338408039755103</v>
      </c>
      <c r="K8" s="2">
        <f>K7*(1+(J8/100))</f>
        <v>10.999814654588162</v>
      </c>
      <c r="L8" s="2">
        <f>L7*(1+(J8/100))</f>
        <v>265.01689011815569</v>
      </c>
    </row>
    <row r="9" spans="1:12" ht="12.75">
      <c r="A9" s="1"/>
      <c r="B9" s="1" t="s">
        <v>11</v>
      </c>
      <c r="C9" s="1"/>
      <c r="D9" s="2"/>
      <c r="E9" s="1"/>
      <c r="F9" s="295" t="s">
        <v>12</v>
      </c>
      <c r="G9" s="323">
        <v>0.02</v>
      </c>
      <c r="H9" s="1"/>
      <c r="I9" s="1">
        <f t="shared" si="0"/>
        <v>2016</v>
      </c>
      <c r="J9" s="308">
        <v>2.0113654522990059</v>
      </c>
      <c r="K9" s="2">
        <f t="shared" ref="K9:K36" si="1">K8*(1+(J9/100))</f>
        <v>11.221061126367472</v>
      </c>
      <c r="L9" s="2">
        <f t="shared" ref="L9:L36" si="2">L8*(1+(J9/100))</f>
        <v>270.34734828874952</v>
      </c>
    </row>
    <row r="10" spans="1:12" ht="12.75">
      <c r="A10" s="1"/>
      <c r="B10" s="1"/>
      <c r="C10" s="1"/>
      <c r="D10" s="2"/>
      <c r="E10" s="1"/>
      <c r="F10" s="3"/>
      <c r="G10" s="301"/>
      <c r="H10" s="1"/>
      <c r="I10" s="1">
        <f t="shared" si="0"/>
        <v>2017</v>
      </c>
      <c r="J10" s="308">
        <v>2.0065526167483498</v>
      </c>
      <c r="K10" s="2">
        <f t="shared" si="1"/>
        <v>11.446217622025531</v>
      </c>
      <c r="L10" s="2">
        <f t="shared" si="2"/>
        <v>275.7720100801472</v>
      </c>
    </row>
    <row r="11" spans="1:12" ht="12.75">
      <c r="A11" s="1"/>
      <c r="B11" s="1"/>
      <c r="C11" s="310" t="s">
        <v>13</v>
      </c>
      <c r="D11" s="310">
        <v>2014</v>
      </c>
      <c r="E11" s="65">
        <v>2013</v>
      </c>
      <c r="F11" s="4"/>
      <c r="G11" s="324"/>
      <c r="H11" s="1"/>
      <c r="I11" s="1">
        <f t="shared" si="0"/>
        <v>2018</v>
      </c>
      <c r="J11" s="308">
        <v>2.0172732557442608</v>
      </c>
      <c r="K11" s="2">
        <f t="shared" si="1"/>
        <v>11.677119108908938</v>
      </c>
      <c r="L11" s="2">
        <f t="shared" si="2"/>
        <v>281.33508508632235</v>
      </c>
    </row>
    <row r="12" spans="1:12" ht="12.75">
      <c r="A12" s="1"/>
      <c r="B12" s="1"/>
      <c r="C12" s="311">
        <v>2013</v>
      </c>
      <c r="D12" s="313"/>
      <c r="E12" s="5">
        <v>168.09656980088943</v>
      </c>
      <c r="F12" s="3"/>
      <c r="G12" s="301"/>
      <c r="H12" s="312"/>
      <c r="I12" s="1">
        <f t="shared" si="0"/>
        <v>2019</v>
      </c>
      <c r="J12" s="308">
        <v>2.0494380883880461</v>
      </c>
      <c r="K12" s="2">
        <f t="shared" si="1"/>
        <v>11.916434435553356</v>
      </c>
      <c r="L12" s="2">
        <f t="shared" si="2"/>
        <v>287.10087347608038</v>
      </c>
    </row>
    <row r="13" spans="1:12" ht="12.75">
      <c r="A13" s="1"/>
      <c r="B13" s="1"/>
      <c r="C13" s="311">
        <f t="shared" ref="C13:C17" si="3">C12+1</f>
        <v>2014</v>
      </c>
      <c r="D13" s="313">
        <f>E13+(E13*'[3]Forecast_DSM-Nov 2013'!E44)</f>
        <v>154.88059221378299</v>
      </c>
      <c r="E13" s="5">
        <v>148.75318827586878</v>
      </c>
      <c r="F13" s="3"/>
      <c r="G13" s="325"/>
      <c r="H13" s="312"/>
      <c r="I13" s="1">
        <f t="shared" si="0"/>
        <v>2020</v>
      </c>
      <c r="J13" s="308">
        <v>2.0528205302560538</v>
      </c>
      <c r="K13" s="2">
        <f t="shared" si="1"/>
        <v>12.161057448120898</v>
      </c>
      <c r="L13" s="2">
        <f t="shared" si="2"/>
        <v>292.99453914934185</v>
      </c>
    </row>
    <row r="14" spans="1:12" ht="12.75">
      <c r="A14" s="1"/>
      <c r="B14" s="1"/>
      <c r="C14" s="311">
        <f t="shared" si="3"/>
        <v>2015</v>
      </c>
      <c r="D14" s="313">
        <f>E14+(E14*'[3]Forecast_DSM-Nov 2013'!E45)</f>
        <v>162.64109641776298</v>
      </c>
      <c r="E14" s="5">
        <v>163.55064699409164</v>
      </c>
      <c r="F14" s="3"/>
      <c r="G14" s="43"/>
      <c r="H14" s="312"/>
      <c r="I14" s="1">
        <f t="shared" si="0"/>
        <v>2021</v>
      </c>
      <c r="J14" s="308">
        <v>1.9912209512622077</v>
      </c>
      <c r="K14" s="2">
        <f t="shared" si="1"/>
        <v>12.403210971922915</v>
      </c>
      <c r="L14" s="2">
        <f>L13*(1+(J14/100))</f>
        <v>298.82870779893767</v>
      </c>
    </row>
    <row r="15" spans="1:12" ht="12.75">
      <c r="A15" s="1"/>
      <c r="B15" s="1"/>
      <c r="C15" s="311">
        <f t="shared" si="3"/>
        <v>2016</v>
      </c>
      <c r="D15" s="313">
        <f>E15+(E15*'[3]Forecast_DSM-Nov 2013'!E46)</f>
        <v>183.15830693708548</v>
      </c>
      <c r="E15" s="5">
        <v>175.66486091509427</v>
      </c>
      <c r="F15" s="3"/>
      <c r="G15" s="43"/>
      <c r="H15" s="312"/>
      <c r="I15" s="1">
        <f t="shared" si="0"/>
        <v>2022</v>
      </c>
      <c r="J15" s="308">
        <v>1.9447063306956531</v>
      </c>
      <c r="K15" s="2">
        <f t="shared" si="1"/>
        <v>12.644417000903438</v>
      </c>
      <c r="L15" s="2">
        <f t="shared" si="2"/>
        <v>304.64004859743966</v>
      </c>
    </row>
    <row r="16" spans="1:12" ht="12.75">
      <c r="A16" s="1"/>
      <c r="B16" s="1"/>
      <c r="C16" s="311">
        <f t="shared" si="3"/>
        <v>2017</v>
      </c>
      <c r="D16" s="313">
        <f>E16+(E16*'[3]Forecast_DSM-Nov 2013'!E47)</f>
        <v>204.3664145059509</v>
      </c>
      <c r="E16" s="5">
        <v>195.22041239389162</v>
      </c>
      <c r="F16" s="3"/>
      <c r="G16" s="43"/>
      <c r="H16" s="312"/>
      <c r="I16" s="1">
        <f t="shared" si="0"/>
        <v>2023</v>
      </c>
      <c r="J16" s="308">
        <v>1.9985128513244785</v>
      </c>
      <c r="K16" s="2">
        <f t="shared" si="1"/>
        <v>12.897117299641552</v>
      </c>
      <c r="L16" s="2">
        <f t="shared" si="2"/>
        <v>310.72831911894065</v>
      </c>
    </row>
    <row r="17" spans="1:12" ht="12.75">
      <c r="A17" s="1"/>
      <c r="B17" s="1"/>
      <c r="C17" s="311">
        <f t="shared" si="3"/>
        <v>2018</v>
      </c>
      <c r="D17" s="313">
        <f>E17+(E17*'[3]Forecast_DSM-Nov 2013'!E48)</f>
        <v>229.44775226313459</v>
      </c>
      <c r="E17" s="5">
        <v>214.74652136659432</v>
      </c>
      <c r="F17" s="3"/>
      <c r="G17" s="43"/>
      <c r="H17" s="312"/>
      <c r="I17" s="1">
        <f t="shared" si="0"/>
        <v>2024</v>
      </c>
      <c r="J17" s="308">
        <v>1.9858158150221839</v>
      </c>
      <c r="K17" s="2">
        <f t="shared" si="1"/>
        <v>13.153230294659794</v>
      </c>
      <c r="L17" s="2">
        <f t="shared" si="2"/>
        <v>316.89881122175711</v>
      </c>
    </row>
    <row r="18" spans="1:12" ht="12.75">
      <c r="A18" s="1"/>
      <c r="B18" s="1"/>
      <c r="C18" s="311">
        <f>C17+1</f>
        <v>2019</v>
      </c>
      <c r="D18" s="313">
        <f>E18+(E18*'[3]Forecast_DSM-Nov 2013'!E49)</f>
        <v>258.33992012800786</v>
      </c>
      <c r="E18" s="5">
        <v>242.18221204139749</v>
      </c>
      <c r="F18" s="3"/>
      <c r="G18" s="301"/>
      <c r="H18" s="312"/>
      <c r="I18" s="1">
        <f t="shared" si="0"/>
        <v>2025</v>
      </c>
      <c r="J18" s="308">
        <v>1.9960742476972233</v>
      </c>
      <c r="K18" s="2">
        <f t="shared" si="1"/>
        <v>13.415778537311809</v>
      </c>
      <c r="L18" s="2">
        <f t="shared" si="2"/>
        <v>323.2243467838133</v>
      </c>
    </row>
    <row r="19" spans="1:12" ht="12.75">
      <c r="A19" s="1"/>
      <c r="B19" s="1"/>
      <c r="C19" s="311">
        <f>C18+1</f>
        <v>2020</v>
      </c>
      <c r="D19" s="313">
        <f>E19+(E19*'[3]Forecast_DSM-Nov 2013'!E50)</f>
        <v>251.008316655095</v>
      </c>
      <c r="E19" s="5">
        <v>246.83071473233386</v>
      </c>
      <c r="F19" s="3"/>
      <c r="G19" s="301"/>
      <c r="H19" s="312"/>
      <c r="I19" s="1">
        <f t="shared" si="0"/>
        <v>2026</v>
      </c>
      <c r="J19" s="308">
        <v>1.9965419116252499</v>
      </c>
      <c r="K19" s="2">
        <f t="shared" si="1"/>
        <v>13.683630178580065</v>
      </c>
      <c r="L19" s="2">
        <f t="shared" si="2"/>
        <v>329.6776563359291</v>
      </c>
    </row>
    <row r="20" spans="1:12" ht="12.75">
      <c r="A20" s="1"/>
      <c r="B20" s="1"/>
      <c r="C20" s="311">
        <f t="shared" ref="C20:C22" si="4">C19+1</f>
        <v>2021</v>
      </c>
      <c r="D20" s="313">
        <f>E20+(E20*'[3]Forecast_DSM-Nov 2013'!E51)</f>
        <v>249.3808505368838</v>
      </c>
      <c r="E20" s="5">
        <v>252.8472579721662</v>
      </c>
      <c r="F20" s="3"/>
      <c r="G20" s="301"/>
      <c r="H20" s="312"/>
      <c r="I20" s="1">
        <f t="shared" si="0"/>
        <v>2027</v>
      </c>
      <c r="J20" s="308">
        <v>1.9868651463924227</v>
      </c>
      <c r="K20" s="2">
        <f t="shared" si="1"/>
        <v>13.955505457359507</v>
      </c>
      <c r="L20" s="2">
        <f t="shared" si="2"/>
        <v>336.22790678511103</v>
      </c>
    </row>
    <row r="21" spans="1:12" ht="12.75">
      <c r="A21" s="1"/>
      <c r="B21" s="1"/>
      <c r="C21" s="311">
        <f t="shared" si="4"/>
        <v>2022</v>
      </c>
      <c r="D21" s="313">
        <f>E21+(E21*'[3]Forecast_DSM-Nov 2013'!E52)</f>
        <v>250.35759504791201</v>
      </c>
      <c r="E21" s="5">
        <v>254.7480079719036</v>
      </c>
      <c r="F21" s="3"/>
      <c r="G21" s="301"/>
      <c r="H21" s="312"/>
      <c r="I21" s="1">
        <f t="shared" si="0"/>
        <v>2028</v>
      </c>
      <c r="J21" s="308">
        <v>1.9912751626306675</v>
      </c>
      <c r="K21" s="2">
        <f t="shared" si="1"/>
        <v>14.233397971351474</v>
      </c>
      <c r="L21" s="2">
        <f t="shared" si="2"/>
        <v>342.92312958275596</v>
      </c>
    </row>
    <row r="22" spans="1:12" ht="12.75">
      <c r="A22" s="1"/>
      <c r="B22" s="1"/>
      <c r="C22" s="311">
        <f t="shared" si="4"/>
        <v>2023</v>
      </c>
      <c r="D22" s="313">
        <f>E22+(E22*'[3]Forecast_DSM-Nov 2013'!E53)</f>
        <v>243.20929437529708</v>
      </c>
      <c r="E22" s="5">
        <v>254.7480079719036</v>
      </c>
      <c r="F22" s="3"/>
      <c r="G22" s="301"/>
      <c r="H22" s="312"/>
      <c r="I22" s="1">
        <f t="shared" si="0"/>
        <v>2029</v>
      </c>
      <c r="J22" s="308">
        <v>2.0018118056533565</v>
      </c>
      <c r="K22" s="2">
        <f t="shared" si="1"/>
        <v>14.518323812287612</v>
      </c>
      <c r="L22" s="2">
        <f t="shared" si="2"/>
        <v>349.7878052750595</v>
      </c>
    </row>
    <row r="23" spans="1:12" ht="12.75">
      <c r="A23" s="1"/>
      <c r="B23" s="1"/>
      <c r="C23" s="310"/>
      <c r="D23" s="314">
        <f>AVERAGE(D13:D22)</f>
        <v>218.67901390809129</v>
      </c>
      <c r="E23" s="315">
        <f>AVERAGE(E12:E21)</f>
        <v>206.26403924642312</v>
      </c>
      <c r="F23" s="6"/>
      <c r="G23" s="325"/>
      <c r="H23" s="316"/>
      <c r="I23" s="1">
        <f t="shared" si="0"/>
        <v>2030</v>
      </c>
      <c r="J23" s="308">
        <v>1.9981835902692271</v>
      </c>
      <c r="K23" s="2">
        <f t="shared" si="1"/>
        <v>14.808426576286891</v>
      </c>
      <c r="L23" s="2">
        <f t="shared" si="2"/>
        <v>356.77720780082859</v>
      </c>
    </row>
    <row r="24" spans="1:12" ht="12.75">
      <c r="A24" s="1"/>
      <c r="B24" s="1"/>
      <c r="C24" s="1"/>
      <c r="D24" s="2"/>
      <c r="E24" s="1"/>
      <c r="F24" s="3"/>
      <c r="G24" s="301"/>
      <c r="H24" s="316"/>
      <c r="I24" s="1">
        <f t="shared" si="0"/>
        <v>2031</v>
      </c>
      <c r="J24" s="308">
        <v>2.0032188617539588</v>
      </c>
      <c r="K24" s="2">
        <f t="shared" si="1"/>
        <v>15.105071770592057</v>
      </c>
      <c r="L24" s="2">
        <f t="shared" si="2"/>
        <v>363.92423612193392</v>
      </c>
    </row>
    <row r="25" spans="1:12" ht="12.75">
      <c r="A25" s="1"/>
      <c r="B25" s="1"/>
      <c r="C25" s="1"/>
      <c r="D25" s="2"/>
      <c r="E25" s="1"/>
      <c r="F25" s="295"/>
      <c r="G25" s="1"/>
      <c r="H25" s="316"/>
      <c r="I25" s="1">
        <f t="shared" si="0"/>
        <v>2032</v>
      </c>
      <c r="J25" s="308">
        <v>1.9902461038698476</v>
      </c>
      <c r="K25" s="2">
        <f t="shared" si="1"/>
        <v>15.405699872993008</v>
      </c>
      <c r="L25" s="2">
        <f t="shared" si="2"/>
        <v>371.1672240523888</v>
      </c>
    </row>
    <row r="26" spans="1:12" ht="12.75">
      <c r="A26" s="1"/>
      <c r="B26" s="1" t="s">
        <v>14</v>
      </c>
      <c r="C26" s="1"/>
      <c r="D26" s="2"/>
      <c r="E26" s="1"/>
      <c r="F26" s="295" t="s">
        <v>12</v>
      </c>
      <c r="G26" s="326">
        <v>0.02</v>
      </c>
      <c r="H26" s="316"/>
      <c r="I26" s="1">
        <f t="shared" si="0"/>
        <v>2033</v>
      </c>
      <c r="J26" s="308">
        <v>1.9900075918480042</v>
      </c>
      <c r="K26" s="2">
        <f t="shared" si="1"/>
        <v>15.712274470042885</v>
      </c>
      <c r="L26" s="2">
        <f t="shared" si="2"/>
        <v>378.55347998948281</v>
      </c>
    </row>
    <row r="27" spans="1:12" ht="12.75">
      <c r="A27" s="1"/>
      <c r="B27" s="1"/>
      <c r="C27" s="1"/>
      <c r="D27" s="2"/>
      <c r="E27" s="1"/>
      <c r="F27" s="295"/>
      <c r="G27" s="1"/>
      <c r="H27" s="316"/>
      <c r="I27" s="1">
        <f t="shared" si="0"/>
        <v>2034</v>
      </c>
      <c r="J27" s="308">
        <v>1.9897891733476107</v>
      </c>
      <c r="K27" s="2">
        <f t="shared" si="1"/>
        <v>16.024915606334456</v>
      </c>
      <c r="L27" s="2">
        <f t="shared" si="2"/>
        <v>386.0858961496441</v>
      </c>
    </row>
    <row r="28" spans="1:12" ht="12.75">
      <c r="A28" s="1"/>
      <c r="B28" s="1"/>
      <c r="C28" s="310" t="s">
        <v>13</v>
      </c>
      <c r="D28" s="310">
        <v>2014</v>
      </c>
      <c r="E28" s="65">
        <v>2013</v>
      </c>
      <c r="F28" s="4"/>
      <c r="G28" s="324"/>
      <c r="H28" s="316"/>
      <c r="I28" s="1">
        <f t="shared" si="0"/>
        <v>2035</v>
      </c>
      <c r="J28" s="308">
        <v>1.9999020803380019</v>
      </c>
      <c r="K28" s="2">
        <f t="shared" si="1"/>
        <v>16.345398226917947</v>
      </c>
      <c r="L28" s="2">
        <f t="shared" si="2"/>
        <v>393.80723601863247</v>
      </c>
    </row>
    <row r="29" spans="1:12" ht="12.75">
      <c r="A29" s="1"/>
      <c r="B29" s="1"/>
      <c r="C29" s="311">
        <v>2013</v>
      </c>
      <c r="D29" s="313"/>
      <c r="E29" s="5">
        <v>173.90606893095188</v>
      </c>
      <c r="F29" s="3"/>
      <c r="G29" s="325"/>
      <c r="H29" s="1"/>
      <c r="I29" s="1">
        <f t="shared" si="0"/>
        <v>2036</v>
      </c>
      <c r="J29" s="308">
        <v>2</v>
      </c>
      <c r="K29" s="2">
        <f t="shared" si="1"/>
        <v>16.672306191456308</v>
      </c>
      <c r="L29" s="2">
        <f t="shared" si="2"/>
        <v>401.68338073900514</v>
      </c>
    </row>
    <row r="30" spans="1:12" ht="12.75">
      <c r="A30" s="1"/>
      <c r="B30" s="1"/>
      <c r="C30" s="311">
        <f t="shared" ref="C30:C39" si="5">+C29+1</f>
        <v>2014</v>
      </c>
      <c r="D30" s="313">
        <f>E30+(E30*'[3]Forecast_DSM-Nov 2013'!E44)</f>
        <v>161.45437936995029</v>
      </c>
      <c r="E30" s="5">
        <v>155.06690250274286</v>
      </c>
      <c r="F30" s="3"/>
      <c r="G30" s="43"/>
      <c r="H30" s="1"/>
      <c r="I30" s="1">
        <f t="shared" si="0"/>
        <v>2037</v>
      </c>
      <c r="J30" s="308">
        <v>2</v>
      </c>
      <c r="K30" s="2">
        <f t="shared" si="1"/>
        <v>17.005752315285434</v>
      </c>
      <c r="L30" s="2">
        <f t="shared" si="2"/>
        <v>409.71704835378523</v>
      </c>
    </row>
    <row r="31" spans="1:12" ht="12.75">
      <c r="A31" s="1"/>
      <c r="B31" s="1"/>
      <c r="C31" s="311">
        <f t="shared" si="5"/>
        <v>2015</v>
      </c>
      <c r="D31" s="313">
        <f>E31+(E31*'[3]Forecast_DSM-Nov 2013'!E45)</f>
        <v>170.70555558710103</v>
      </c>
      <c r="E31" s="5">
        <v>171.66020567177543</v>
      </c>
      <c r="F31" s="3"/>
      <c r="G31" s="43"/>
      <c r="H31" s="1"/>
      <c r="I31" s="1">
        <f t="shared" si="0"/>
        <v>2038</v>
      </c>
      <c r="J31" s="308">
        <v>2</v>
      </c>
      <c r="K31" s="2">
        <f t="shared" si="1"/>
        <v>17.345867361591143</v>
      </c>
      <c r="L31" s="2">
        <f t="shared" si="2"/>
        <v>417.91138932086096</v>
      </c>
    </row>
    <row r="32" spans="1:12" ht="12.75">
      <c r="A32" s="1"/>
      <c r="B32" s="1"/>
      <c r="C32" s="311">
        <f t="shared" si="5"/>
        <v>2016</v>
      </c>
      <c r="D32" s="313">
        <f>E32+(E32*'[3]Forecast_DSM-Nov 2013'!E46)</f>
        <v>190.60918654352704</v>
      </c>
      <c r="E32" s="5">
        <v>182.81090715044334</v>
      </c>
      <c r="F32" s="3"/>
      <c r="G32" s="301"/>
      <c r="H32" s="1"/>
      <c r="I32" s="1">
        <f t="shared" si="0"/>
        <v>2039</v>
      </c>
      <c r="J32" s="308">
        <v>2</v>
      </c>
      <c r="K32" s="2">
        <f t="shared" si="1"/>
        <v>17.692784708822966</v>
      </c>
      <c r="L32" s="2">
        <f t="shared" si="2"/>
        <v>426.26961710727818</v>
      </c>
    </row>
    <row r="33" spans="1:12" ht="12.75">
      <c r="A33" s="1"/>
      <c r="B33" s="1"/>
      <c r="C33" s="311">
        <f t="shared" si="5"/>
        <v>2017</v>
      </c>
      <c r="D33" s="313">
        <f>E33+(E33*'[3]Forecast_DSM-Nov 2013'!E47)</f>
        <v>212.62386987066748</v>
      </c>
      <c r="E33" s="5">
        <v>203.10832218337998</v>
      </c>
      <c r="F33" s="3"/>
      <c r="G33" s="301"/>
      <c r="H33" s="1"/>
      <c r="I33" s="1">
        <f t="shared" si="0"/>
        <v>2040</v>
      </c>
      <c r="J33" s="308">
        <v>2</v>
      </c>
      <c r="K33" s="2">
        <f t="shared" si="1"/>
        <v>18.046640402999426</v>
      </c>
      <c r="L33" s="2">
        <f t="shared" si="2"/>
        <v>434.79500944942373</v>
      </c>
    </row>
    <row r="34" spans="1:12" ht="12.75">
      <c r="A34" s="1"/>
      <c r="B34" s="1"/>
      <c r="C34" s="311">
        <f t="shared" si="5"/>
        <v>2018</v>
      </c>
      <c r="D34" s="313">
        <f>E34+(E34*'[3]Forecast_DSM-Nov 2013'!E48)</f>
        <v>239.05826792572992</v>
      </c>
      <c r="E34" s="5">
        <v>223.74126978633342</v>
      </c>
      <c r="F34" s="3"/>
      <c r="G34" s="301"/>
      <c r="H34" s="316"/>
      <c r="I34" s="1">
        <f t="shared" si="0"/>
        <v>2041</v>
      </c>
      <c r="J34" s="308">
        <v>2</v>
      </c>
      <c r="K34" s="2">
        <f t="shared" si="1"/>
        <v>18.407573211059415</v>
      </c>
      <c r="L34" s="2">
        <f t="shared" si="2"/>
        <v>443.49090963841223</v>
      </c>
    </row>
    <row r="35" spans="1:12" ht="12.75">
      <c r="A35" s="1"/>
      <c r="B35" s="1"/>
      <c r="C35" s="311">
        <f t="shared" si="5"/>
        <v>2019</v>
      </c>
      <c r="D35" s="313">
        <f>E35+(E35*'[3]Forecast_DSM-Nov 2013'!E49)</f>
        <v>291.29060159227623</v>
      </c>
      <c r="E35" s="5">
        <v>273.07201382400177</v>
      </c>
      <c r="F35" s="3"/>
      <c r="G35" s="301"/>
      <c r="H35" s="316"/>
      <c r="I35" s="1">
        <f t="shared" si="0"/>
        <v>2042</v>
      </c>
      <c r="J35" s="308">
        <v>2</v>
      </c>
      <c r="K35" s="2">
        <f t="shared" si="1"/>
        <v>18.775724675280603</v>
      </c>
      <c r="L35" s="2">
        <f t="shared" si="2"/>
        <v>452.3607278311805</v>
      </c>
    </row>
    <row r="36" spans="1:12" ht="12.75">
      <c r="A36" s="1"/>
      <c r="B36" s="1"/>
      <c r="C36" s="311">
        <f t="shared" si="5"/>
        <v>2020</v>
      </c>
      <c r="D36" s="313">
        <f>E36+(E36*'[3]Forecast_DSM-Nov 2013'!E50)</f>
        <v>264.70280207381938</v>
      </c>
      <c r="E36" s="5">
        <v>260.29727898342975</v>
      </c>
      <c r="F36" s="3"/>
      <c r="G36" s="301"/>
      <c r="H36" s="316"/>
      <c r="I36" s="1">
        <f t="shared" si="0"/>
        <v>2043</v>
      </c>
      <c r="J36" s="308">
        <v>2</v>
      </c>
      <c r="K36" s="2">
        <f t="shared" si="1"/>
        <v>19.151239168786216</v>
      </c>
      <c r="L36" s="2">
        <f t="shared" si="2"/>
        <v>461.4079423878041</v>
      </c>
    </row>
    <row r="37" spans="1:12" ht="12.75">
      <c r="A37" s="1"/>
      <c r="B37" s="1"/>
      <c r="C37" s="311">
        <f t="shared" si="5"/>
        <v>2021</v>
      </c>
      <c r="D37" s="313">
        <f>E37+(E37*'[3]Forecast_DSM-Nov 2013'!E51)</f>
        <v>262.98654482979163</v>
      </c>
      <c r="E37" s="5">
        <v>266.64207215843226</v>
      </c>
      <c r="F37" s="3"/>
      <c r="G37" s="301"/>
      <c r="H37" s="316"/>
      <c r="I37" s="1"/>
      <c r="J37" s="308"/>
      <c r="K37" s="1"/>
      <c r="L37" s="1"/>
    </row>
    <row r="38" spans="1:12" ht="12.75">
      <c r="A38" s="1"/>
      <c r="B38" s="1"/>
      <c r="C38" s="311">
        <f t="shared" si="5"/>
        <v>2022</v>
      </c>
      <c r="D38" s="313">
        <f>E38+(E38*'[3]Forecast_DSM-Nov 2013'!E52)</f>
        <v>264.01657846542872</v>
      </c>
      <c r="E38" s="5">
        <v>268.64652307733803</v>
      </c>
      <c r="F38" s="3"/>
      <c r="G38" s="301"/>
      <c r="H38" s="316"/>
      <c r="I38" s="1"/>
      <c r="J38" s="1"/>
      <c r="K38" s="1"/>
      <c r="L38" s="1"/>
    </row>
    <row r="39" spans="1:12" ht="12.75">
      <c r="A39" s="1"/>
      <c r="B39" s="1"/>
      <c r="C39" s="311">
        <f t="shared" si="5"/>
        <v>2023</v>
      </c>
      <c r="D39" s="313">
        <f>E39+(E39*'[3]Forecast_DSM-Nov 2013'!E53)</f>
        <v>256.47828155430545</v>
      </c>
      <c r="E39" s="5">
        <v>268.64652307733803</v>
      </c>
      <c r="F39" s="3"/>
      <c r="G39" s="301"/>
      <c r="H39" s="316"/>
      <c r="I39" s="1"/>
      <c r="J39" s="2"/>
      <c r="K39" s="294"/>
      <c r="L39" s="294"/>
    </row>
    <row r="40" spans="1:12" ht="12.75">
      <c r="A40" s="1"/>
      <c r="B40" s="1"/>
      <c r="C40" s="310"/>
      <c r="D40" s="314">
        <f>AVERAGE(D30:D39)</f>
        <v>231.3926067812597</v>
      </c>
      <c r="E40" s="315">
        <f>AVERAGE(E29:E38)</f>
        <v>217.89515642688283</v>
      </c>
      <c r="F40" s="6"/>
      <c r="G40" s="325"/>
      <c r="H40" s="316"/>
      <c r="I40" s="1"/>
      <c r="J40" s="2"/>
      <c r="K40" s="2"/>
      <c r="L40" s="2"/>
    </row>
    <row r="41" spans="1:12" ht="12.75">
      <c r="A41" s="1"/>
      <c r="B41" s="1"/>
      <c r="C41" s="1"/>
      <c r="D41" s="2"/>
      <c r="E41" s="1"/>
      <c r="F41" s="295"/>
      <c r="G41" s="1"/>
      <c r="H41" s="316"/>
      <c r="I41" s="1"/>
      <c r="J41" s="2"/>
      <c r="K41" s="2"/>
      <c r="L41" s="2"/>
    </row>
    <row r="42" spans="1:12" ht="12.75">
      <c r="A42" s="1"/>
      <c r="B42" s="1" t="s">
        <v>15</v>
      </c>
      <c r="C42" s="1"/>
      <c r="D42" s="2"/>
      <c r="E42" s="1"/>
      <c r="F42" s="295" t="s">
        <v>12</v>
      </c>
      <c r="G42" s="326">
        <v>0.02</v>
      </c>
      <c r="H42" s="316"/>
      <c r="I42" s="1"/>
      <c r="J42" s="2"/>
      <c r="K42" s="2"/>
      <c r="L42" s="2"/>
    </row>
    <row r="43" spans="1:12" ht="12.75">
      <c r="A43" s="1"/>
      <c r="B43" s="1"/>
      <c r="C43" s="1"/>
      <c r="D43" s="2"/>
      <c r="E43" s="1"/>
      <c r="F43" s="295"/>
      <c r="G43" s="1"/>
      <c r="H43" s="316"/>
      <c r="I43" s="1"/>
      <c r="J43" s="2"/>
      <c r="K43" s="294"/>
      <c r="L43" s="294"/>
    </row>
    <row r="44" spans="1:12" ht="12.75">
      <c r="A44" s="1"/>
      <c r="B44" s="1"/>
      <c r="C44" s="310" t="s">
        <v>13</v>
      </c>
      <c r="D44" s="310">
        <v>2014</v>
      </c>
      <c r="E44" s="65">
        <v>2013</v>
      </c>
      <c r="F44" s="4"/>
      <c r="G44" s="324"/>
      <c r="H44" s="1"/>
      <c r="I44" s="1"/>
      <c r="J44" s="2"/>
      <c r="K44" s="294"/>
      <c r="L44" s="294"/>
    </row>
    <row r="45" spans="1:12" ht="12.75">
      <c r="A45" s="1"/>
      <c r="B45" s="1"/>
      <c r="C45" s="311">
        <v>2013</v>
      </c>
      <c r="D45" s="313"/>
      <c r="E45" s="5">
        <v>167.86284692742265</v>
      </c>
      <c r="F45" s="6"/>
      <c r="G45" s="325"/>
      <c r="H45" s="1"/>
      <c r="I45" s="1"/>
      <c r="J45" s="2"/>
      <c r="K45" s="294"/>
      <c r="L45" s="294"/>
    </row>
    <row r="46" spans="1:12" ht="12.75">
      <c r="A46" s="1"/>
      <c r="B46" s="1"/>
      <c r="C46" s="311">
        <f t="shared" ref="C46:C55" si="6">C45+1</f>
        <v>2014</v>
      </c>
      <c r="D46" s="313">
        <f>E46+(E46*'[3]Forecast_DSM-Nov 2013'!E44)</f>
        <v>155.36363133071092</v>
      </c>
      <c r="E46" s="5">
        <v>149.21711734327454</v>
      </c>
      <c r="F46" s="6"/>
      <c r="G46" s="325"/>
      <c r="H46" s="1"/>
      <c r="I46" s="1"/>
      <c r="J46" s="2"/>
      <c r="K46" s="294"/>
      <c r="L46" s="294"/>
    </row>
    <row r="47" spans="1:12" ht="12.75">
      <c r="A47" s="1"/>
      <c r="B47" s="1"/>
      <c r="C47" s="311">
        <f t="shared" si="6"/>
        <v>2015</v>
      </c>
      <c r="D47" s="313">
        <f>E47+(E47*'[3]Forecast_DSM-Nov 2013'!E45)</f>
        <v>163.39312368028274</v>
      </c>
      <c r="E47" s="5">
        <v>164.30687987773118</v>
      </c>
      <c r="F47" s="6"/>
      <c r="G47" s="301"/>
      <c r="H47" s="1"/>
      <c r="I47" s="1"/>
      <c r="J47" s="2"/>
      <c r="K47" s="294"/>
      <c r="L47" s="294"/>
    </row>
    <row r="48" spans="1:12" ht="12.75">
      <c r="A48" s="1"/>
      <c r="B48" s="1"/>
      <c r="C48" s="311">
        <f t="shared" si="6"/>
        <v>2016</v>
      </c>
      <c r="D48" s="313">
        <f>E48+(E48*'[3]Forecast_DSM-Nov 2013'!E46)</f>
        <v>184.27922194474363</v>
      </c>
      <c r="E48" s="5">
        <v>176.73991659894892</v>
      </c>
      <c r="F48" s="6"/>
      <c r="G48" s="301"/>
      <c r="H48" s="1"/>
      <c r="I48" s="1"/>
      <c r="J48" s="2"/>
      <c r="K48" s="294"/>
      <c r="L48" s="294"/>
    </row>
    <row r="49" spans="1:12" ht="12.75">
      <c r="A49" s="1"/>
      <c r="B49" s="1"/>
      <c r="C49" s="311">
        <f t="shared" si="6"/>
        <v>2017</v>
      </c>
      <c r="D49" s="313">
        <f>E49+(E49*'[3]Forecast_DSM-Nov 2013'!E47)</f>
        <v>205.77529524794747</v>
      </c>
      <c r="E49" s="5">
        <v>196.56624155144323</v>
      </c>
      <c r="F49" s="3"/>
      <c r="G49" s="301"/>
      <c r="H49" s="316"/>
      <c r="I49" s="1"/>
      <c r="J49" s="1"/>
      <c r="K49" s="294"/>
      <c r="L49" s="294"/>
    </row>
    <row r="50" spans="1:12" ht="12.75">
      <c r="A50" s="1"/>
      <c r="B50" s="1"/>
      <c r="C50" s="311">
        <f t="shared" si="6"/>
        <v>2018</v>
      </c>
      <c r="D50" s="313">
        <f>E50+(E50*'[3]Forecast_DSM-Nov 2013'!E48)</f>
        <v>230.83083291758149</v>
      </c>
      <c r="E50" s="5">
        <v>216.0409849487491</v>
      </c>
      <c r="F50" s="3"/>
      <c r="G50" s="301"/>
      <c r="H50" s="316"/>
      <c r="I50" s="1"/>
      <c r="J50" s="2"/>
      <c r="K50" s="294"/>
      <c r="L50" s="294"/>
    </row>
    <row r="51" spans="1:12" ht="12.75">
      <c r="A51" s="1"/>
      <c r="B51" s="1"/>
      <c r="C51" s="311">
        <f t="shared" si="6"/>
        <v>2019</v>
      </c>
      <c r="D51" s="313">
        <f>E51+(E51*'[3]Forecast_DSM-Nov 2013'!E49)</f>
        <v>260.60106043236715</v>
      </c>
      <c r="E51" s="5">
        <v>244.30193074524453</v>
      </c>
      <c r="F51" s="3"/>
      <c r="G51" s="301"/>
      <c r="H51" s="316"/>
      <c r="I51" s="1"/>
      <c r="J51" s="2"/>
      <c r="K51" s="294"/>
      <c r="L51" s="294"/>
    </row>
    <row r="52" spans="1:12" ht="12.75">
      <c r="A52" s="1"/>
      <c r="B52" s="1"/>
      <c r="C52" s="311">
        <f t="shared" si="6"/>
        <v>2020</v>
      </c>
      <c r="D52" s="313">
        <f>E52+(E52*'[3]Forecast_DSM-Nov 2013'!E50)</f>
        <v>252.80001939717047</v>
      </c>
      <c r="E52" s="5">
        <v>248.59259766238057</v>
      </c>
      <c r="F52" s="3"/>
      <c r="G52" s="301"/>
      <c r="H52" s="316"/>
      <c r="I52" s="1"/>
      <c r="J52" s="2"/>
      <c r="K52" s="294"/>
      <c r="L52" s="294"/>
    </row>
    <row r="53" spans="1:12" ht="12.75">
      <c r="A53" s="1"/>
      <c r="B53" s="1"/>
      <c r="C53" s="311">
        <f t="shared" si="6"/>
        <v>2021</v>
      </c>
      <c r="D53" s="313">
        <f>E53+(E53*'[3]Forecast_DSM-Nov 2013'!E51)</f>
        <v>251.16093639093916</v>
      </c>
      <c r="E53" s="5">
        <v>254.65208711676155</v>
      </c>
      <c r="F53" s="3"/>
      <c r="G53" s="301"/>
      <c r="H53" s="316"/>
      <c r="I53" s="1"/>
      <c r="J53" s="2"/>
      <c r="K53" s="294"/>
      <c r="L53" s="294"/>
    </row>
    <row r="54" spans="1:12" ht="12.75">
      <c r="A54" s="1"/>
      <c r="B54" s="1"/>
      <c r="C54" s="311">
        <f t="shared" si="6"/>
        <v>2022</v>
      </c>
      <c r="D54" s="313">
        <f>E54+(E54*'[3]Forecast_DSM-Nov 2013'!E52)</f>
        <v>252.14465292521362</v>
      </c>
      <c r="E54" s="5">
        <v>256.56640471072018</v>
      </c>
      <c r="F54" s="3"/>
      <c r="G54" s="301"/>
      <c r="H54" s="316"/>
      <c r="I54" s="1"/>
      <c r="J54" s="2"/>
      <c r="K54" s="294"/>
      <c r="L54" s="294"/>
    </row>
    <row r="55" spans="1:12" ht="12.75">
      <c r="A55" s="1"/>
      <c r="B55" s="1"/>
      <c r="C55" s="311">
        <f t="shared" si="6"/>
        <v>2023</v>
      </c>
      <c r="D55" s="313">
        <f>E55+(E55*'[3]Forecast_DSM-Nov 2013'!E53)</f>
        <v>244.94532752924698</v>
      </c>
      <c r="E55" s="5">
        <v>256.56640471072018</v>
      </c>
      <c r="F55" s="3"/>
      <c r="G55" s="301"/>
      <c r="H55" s="316"/>
      <c r="I55" s="1"/>
      <c r="J55" s="2"/>
      <c r="K55" s="294"/>
      <c r="L55" s="294"/>
    </row>
    <row r="56" spans="1:12" ht="12.75">
      <c r="A56" s="1"/>
      <c r="B56" s="1"/>
      <c r="C56" s="310"/>
      <c r="D56" s="314">
        <f>AVERAGE(D46:D55)</f>
        <v>220.12941017962038</v>
      </c>
      <c r="E56" s="315">
        <f>AVERAGE(E45:E54)</f>
        <v>207.48470074826764</v>
      </c>
      <c r="F56" s="6"/>
      <c r="G56" s="325"/>
      <c r="H56" s="316"/>
      <c r="I56" s="1"/>
      <c r="J56" s="2"/>
      <c r="K56" s="294"/>
      <c r="L56" s="294"/>
    </row>
    <row r="57" spans="1:12" ht="12.75">
      <c r="A57" s="1"/>
      <c r="B57" s="1"/>
      <c r="C57" s="1"/>
      <c r="D57" s="2"/>
      <c r="E57" s="1"/>
      <c r="F57" s="295"/>
      <c r="G57" s="1"/>
      <c r="H57" s="316"/>
      <c r="I57" s="1"/>
      <c r="J57" s="2"/>
      <c r="K57" s="294"/>
      <c r="L57" s="294"/>
    </row>
    <row r="58" spans="1:12" ht="12.75">
      <c r="A58" s="1"/>
      <c r="B58" s="1" t="s">
        <v>16</v>
      </c>
      <c r="C58" s="1"/>
      <c r="D58" s="2"/>
      <c r="E58" s="1"/>
      <c r="F58" s="295" t="s">
        <v>12</v>
      </c>
      <c r="G58" s="326">
        <v>0.02</v>
      </c>
      <c r="H58" s="316"/>
      <c r="I58" s="1"/>
      <c r="J58" s="2"/>
      <c r="K58" s="294"/>
      <c r="L58" s="294"/>
    </row>
    <row r="59" spans="1:12" ht="12.75">
      <c r="A59" s="1"/>
      <c r="B59" s="1"/>
      <c r="C59" s="1"/>
      <c r="D59" s="2"/>
      <c r="E59" s="1"/>
      <c r="F59" s="295"/>
      <c r="G59" s="1"/>
      <c r="H59" s="1"/>
      <c r="I59" s="1"/>
      <c r="J59" s="2"/>
      <c r="K59" s="294"/>
      <c r="L59" s="294"/>
    </row>
    <row r="60" spans="1:12" ht="12.75">
      <c r="A60" s="1"/>
      <c r="B60" s="1"/>
      <c r="C60" s="310" t="s">
        <v>13</v>
      </c>
      <c r="D60" s="310">
        <v>2014</v>
      </c>
      <c r="E60" s="65">
        <v>2013</v>
      </c>
      <c r="F60" s="4"/>
      <c r="G60" s="324"/>
      <c r="H60" s="1"/>
      <c r="I60" s="1"/>
      <c r="J60" s="2"/>
      <c r="K60" s="294"/>
      <c r="L60" s="294"/>
    </row>
    <row r="61" spans="1:12" ht="12.75">
      <c r="A61" s="1"/>
      <c r="B61" s="1"/>
      <c r="C61" s="311">
        <v>2013</v>
      </c>
      <c r="D61" s="313"/>
      <c r="E61" s="5">
        <v>174.51926013208353</v>
      </c>
      <c r="F61" s="3"/>
      <c r="G61" s="325"/>
      <c r="H61" s="1"/>
      <c r="I61" s="1"/>
      <c r="J61" s="2"/>
      <c r="K61" s="294"/>
      <c r="L61" s="294"/>
    </row>
    <row r="62" spans="1:12" ht="12.75">
      <c r="A62" s="1"/>
      <c r="B62" s="1"/>
      <c r="C62" s="311">
        <f t="shared" ref="C62:C71" si="7">C61+1</f>
        <v>2014</v>
      </c>
      <c r="D62" s="313">
        <f>E62+(E62*'[3]Forecast_DSM-Nov 2013'!E44)</f>
        <v>162.66984733889197</v>
      </c>
      <c r="E62" s="5">
        <v>156.2342839870395</v>
      </c>
      <c r="F62" s="3"/>
      <c r="G62" s="301"/>
      <c r="H62" s="1"/>
      <c r="I62" s="1"/>
      <c r="J62" s="2"/>
      <c r="K62" s="294"/>
      <c r="L62" s="294"/>
    </row>
    <row r="63" spans="1:12" ht="12.75">
      <c r="A63" s="1"/>
      <c r="B63" s="1"/>
      <c r="C63" s="311">
        <f t="shared" si="7"/>
        <v>2015</v>
      </c>
      <c r="D63" s="313">
        <f>E63+(E63*'[3]Forecast_DSM-Nov 2013'!E45)</f>
        <v>172.27334851789078</v>
      </c>
      <c r="E63" s="5">
        <v>173.23676629409684</v>
      </c>
      <c r="F63" s="3"/>
      <c r="G63" s="301"/>
      <c r="H63" s="1"/>
      <c r="I63" s="1"/>
      <c r="J63" s="2"/>
      <c r="K63" s="294"/>
      <c r="L63" s="294"/>
    </row>
    <row r="64" spans="1:12" ht="12.75">
      <c r="A64" s="1"/>
      <c r="B64" s="1"/>
      <c r="C64" s="311">
        <f t="shared" si="7"/>
        <v>2016</v>
      </c>
      <c r="D64" s="313">
        <f>E64+(E64*'[3]Forecast_DSM-Nov 2013'!E46)</f>
        <v>192.285269001991</v>
      </c>
      <c r="E64" s="5">
        <v>184.41841705197041</v>
      </c>
      <c r="F64" s="3"/>
      <c r="G64" s="301"/>
      <c r="H64" s="1"/>
      <c r="I64" s="1"/>
      <c r="J64" s="2"/>
      <c r="K64" s="294"/>
      <c r="L64" s="294"/>
    </row>
    <row r="65" spans="1:12" ht="12.75">
      <c r="A65" s="1"/>
      <c r="B65" s="1"/>
      <c r="C65" s="311">
        <f t="shared" si="7"/>
        <v>2017</v>
      </c>
      <c r="D65" s="313">
        <f>E65+(E65*'[3]Forecast_DSM-Nov 2013'!E47)</f>
        <v>214.5005441833616</v>
      </c>
      <c r="E65" s="5">
        <v>204.9010097643548</v>
      </c>
      <c r="F65" s="3"/>
      <c r="G65" s="301"/>
      <c r="H65" s="1"/>
      <c r="I65" s="1"/>
      <c r="J65" s="2"/>
      <c r="K65" s="294"/>
      <c r="L65" s="294"/>
    </row>
    <row r="66" spans="1:12" ht="12.75">
      <c r="A66" s="1"/>
      <c r="B66" s="1"/>
      <c r="C66" s="311">
        <f t="shared" si="7"/>
        <v>2018</v>
      </c>
      <c r="D66" s="313">
        <f>E66+(E66*'[3]Forecast_DSM-Nov 2013'!E48)</f>
        <v>241.38224446808317</v>
      </c>
      <c r="E66" s="5">
        <v>225.91634395152107</v>
      </c>
      <c r="F66" s="3"/>
      <c r="G66" s="301"/>
      <c r="H66" s="1"/>
      <c r="I66" s="1"/>
      <c r="J66" s="2"/>
      <c r="K66" s="294"/>
      <c r="L66" s="294"/>
    </row>
    <row r="67" spans="1:12" ht="12.75">
      <c r="A67" s="1"/>
      <c r="B67" s="1"/>
      <c r="C67" s="311">
        <f t="shared" si="7"/>
        <v>2019</v>
      </c>
      <c r="D67" s="313">
        <f>E67+(E67*'[3]Forecast_DSM-Nov 2013'!E49)</f>
        <v>296.53985025503778</v>
      </c>
      <c r="E67" s="5">
        <v>277.9929515252793</v>
      </c>
      <c r="F67" s="3"/>
      <c r="G67" s="301"/>
      <c r="H67" s="1"/>
      <c r="I67" s="1"/>
      <c r="J67" s="2"/>
      <c r="K67" s="294"/>
      <c r="L67" s="294"/>
    </row>
    <row r="68" spans="1:12" ht="12.75">
      <c r="A68" s="1"/>
      <c r="B68" s="1"/>
      <c r="C68" s="311">
        <f t="shared" si="7"/>
        <v>2020</v>
      </c>
      <c r="D68" s="313">
        <f>E68+(E68*'[3]Forecast_DSM-Nov 2013'!E50)</f>
        <v>267.61202372390193</v>
      </c>
      <c r="E68" s="5">
        <v>263.15808164038458</v>
      </c>
      <c r="F68" s="3"/>
      <c r="G68" s="301"/>
      <c r="H68" s="1"/>
      <c r="I68" s="1"/>
      <c r="J68" s="2"/>
      <c r="K68" s="294"/>
      <c r="L68" s="294"/>
    </row>
    <row r="69" spans="1:12" ht="12.75">
      <c r="A69" s="1"/>
      <c r="B69" s="1"/>
      <c r="C69" s="311">
        <f t="shared" si="7"/>
        <v>2021</v>
      </c>
      <c r="D69" s="313">
        <f>E69+(E69*'[3]Forecast_DSM-Nov 2013'!E51)</f>
        <v>265.87690391894762</v>
      </c>
      <c r="E69" s="5">
        <v>269.57260739670198</v>
      </c>
      <c r="F69" s="3"/>
      <c r="G69" s="301"/>
      <c r="H69" s="1"/>
      <c r="I69" s="1"/>
      <c r="J69" s="2"/>
      <c r="K69" s="294"/>
      <c r="L69" s="294"/>
    </row>
    <row r="70" spans="1:12" ht="12.75">
      <c r="A70" s="1"/>
      <c r="B70" s="1"/>
      <c r="C70" s="311">
        <f t="shared" si="7"/>
        <v>2022</v>
      </c>
      <c r="D70" s="313">
        <f>E70+(E70*'[3]Forecast_DSM-Nov 2013'!E52)</f>
        <v>266.91825816067433</v>
      </c>
      <c r="E70" s="5">
        <v>271.59908827510998</v>
      </c>
      <c r="F70" s="3"/>
      <c r="G70" s="301"/>
      <c r="H70" s="1"/>
      <c r="I70" s="1"/>
      <c r="J70" s="2"/>
      <c r="K70" s="294"/>
      <c r="L70" s="294"/>
    </row>
    <row r="71" spans="1:12" ht="12.75">
      <c r="A71" s="1"/>
      <c r="B71" s="1"/>
      <c r="C71" s="311">
        <f t="shared" si="7"/>
        <v>2023</v>
      </c>
      <c r="D71" s="313">
        <f>E71+(E71*'[3]Forecast_DSM-Nov 2013'!E53)</f>
        <v>259.29711144060775</v>
      </c>
      <c r="E71" s="5">
        <v>271.59908827510998</v>
      </c>
      <c r="F71" s="3"/>
      <c r="G71" s="301"/>
      <c r="H71" s="1"/>
      <c r="I71" s="1"/>
      <c r="J71" s="2"/>
      <c r="K71" s="294"/>
      <c r="L71" s="294"/>
    </row>
    <row r="72" spans="1:12" ht="12.75">
      <c r="A72" s="1"/>
      <c r="B72" s="1"/>
      <c r="C72" s="310"/>
      <c r="D72" s="314">
        <f>AVERAGE(D62:D71)</f>
        <v>233.93554010093879</v>
      </c>
      <c r="E72" s="315">
        <f>AVERAGE(E61:E70)</f>
        <v>220.15488100185416</v>
      </c>
      <c r="F72" s="6"/>
      <c r="G72" s="325"/>
      <c r="H72" s="1"/>
      <c r="I72" s="1"/>
      <c r="J72" s="2"/>
      <c r="K72" s="294"/>
      <c r="L72" s="294"/>
    </row>
    <row r="73" spans="1:12">
      <c r="K73" s="8"/>
      <c r="L73" s="8"/>
    </row>
    <row r="74" spans="1:12">
      <c r="K74" s="8"/>
      <c r="L74" s="8"/>
    </row>
    <row r="75" spans="1:12">
      <c r="K75" s="8"/>
      <c r="L75" s="8"/>
    </row>
    <row r="76" spans="1:12">
      <c r="K76" s="8"/>
      <c r="L76" s="8"/>
    </row>
    <row r="77" spans="1:12">
      <c r="K77" s="8"/>
      <c r="L77" s="8"/>
    </row>
    <row r="78" spans="1:12">
      <c r="K78" s="8"/>
      <c r="L78" s="8"/>
    </row>
    <row r="79" spans="1:12">
      <c r="K79" s="8"/>
      <c r="L79" s="8"/>
    </row>
    <row r="80" spans="1:12">
      <c r="K80" s="8"/>
      <c r="L80" s="8"/>
    </row>
    <row r="81" spans="11:12">
      <c r="K81" s="8"/>
      <c r="L81" s="8"/>
    </row>
    <row r="82" spans="11:12">
      <c r="K82" s="8"/>
      <c r="L82" s="8"/>
    </row>
    <row r="83" spans="11:12">
      <c r="K83" s="8"/>
      <c r="L83" s="8"/>
    </row>
    <row r="84" spans="11:12">
      <c r="K84" s="8"/>
      <c r="L84" s="8"/>
    </row>
    <row r="85" spans="11:12">
      <c r="K85" s="8"/>
      <c r="L85" s="8"/>
    </row>
    <row r="86" spans="11:12">
      <c r="K86" s="8"/>
      <c r="L86" s="8"/>
    </row>
    <row r="87" spans="11:12">
      <c r="K87" s="8"/>
      <c r="L87" s="8"/>
    </row>
    <row r="88" spans="11:12">
      <c r="K88" s="8"/>
      <c r="L88" s="8"/>
    </row>
    <row r="89" spans="11:12">
      <c r="K89" s="8"/>
      <c r="L89" s="8"/>
    </row>
    <row r="90" spans="11:12">
      <c r="K90" s="8"/>
      <c r="L90" s="8"/>
    </row>
    <row r="91" spans="11:12">
      <c r="K91" s="8"/>
      <c r="L91" s="8"/>
    </row>
    <row r="92" spans="11:12">
      <c r="K92" s="8"/>
      <c r="L92" s="8"/>
    </row>
    <row r="93" spans="11:12">
      <c r="K93" s="8"/>
      <c r="L93" s="8"/>
    </row>
    <row r="94" spans="11:12">
      <c r="K94" s="8"/>
      <c r="L94" s="8"/>
    </row>
    <row r="95" spans="11:12">
      <c r="K95" s="8"/>
      <c r="L95" s="8"/>
    </row>
    <row r="96" spans="11:12">
      <c r="K96" s="8"/>
      <c r="L96" s="8"/>
    </row>
    <row r="97" spans="11:12">
      <c r="K97" s="8"/>
      <c r="L97" s="8"/>
    </row>
    <row r="98" spans="11:12">
      <c r="K98" s="8"/>
      <c r="L98" s="8"/>
    </row>
    <row r="99" spans="11:12">
      <c r="K99" s="8"/>
      <c r="L99" s="8"/>
    </row>
    <row r="100" spans="11:12">
      <c r="K100" s="8"/>
      <c r="L100" s="8"/>
    </row>
    <row r="101" spans="11:12">
      <c r="K101" s="8"/>
      <c r="L101" s="8"/>
    </row>
    <row r="102" spans="11:12">
      <c r="K102" s="8"/>
      <c r="L102" s="8"/>
    </row>
    <row r="103" spans="11:12">
      <c r="K103" s="8"/>
      <c r="L103" s="8"/>
    </row>
    <row r="104" spans="11:12">
      <c r="K104" s="8"/>
      <c r="L104" s="8"/>
    </row>
    <row r="105" spans="11:12">
      <c r="K105" s="8"/>
      <c r="L105" s="8"/>
    </row>
    <row r="106" spans="11:12">
      <c r="K106" s="8"/>
      <c r="L106" s="8"/>
    </row>
    <row r="107" spans="11:12">
      <c r="K107" s="8"/>
      <c r="L107" s="8"/>
    </row>
    <row r="108" spans="11:12">
      <c r="K108" s="8"/>
      <c r="L108" s="8"/>
    </row>
    <row r="109" spans="11:12">
      <c r="K109" s="8"/>
      <c r="L109" s="8"/>
    </row>
    <row r="110" spans="11:12">
      <c r="K110" s="8"/>
      <c r="L110" s="8"/>
    </row>
    <row r="111" spans="11:12">
      <c r="K111" s="8"/>
      <c r="L111" s="8"/>
    </row>
    <row r="112" spans="11:12">
      <c r="K112" s="8"/>
      <c r="L112" s="8"/>
    </row>
    <row r="113" spans="11:12">
      <c r="K113" s="8"/>
      <c r="L113" s="8"/>
    </row>
    <row r="114" spans="11:12">
      <c r="K114" s="8"/>
      <c r="L114" s="8"/>
    </row>
    <row r="115" spans="11:12">
      <c r="K115" s="8"/>
      <c r="L115" s="8"/>
    </row>
    <row r="116" spans="11:12">
      <c r="K116" s="8"/>
      <c r="L116" s="8"/>
    </row>
    <row r="117" spans="11:12">
      <c r="K117" s="8"/>
      <c r="L117" s="8"/>
    </row>
    <row r="118" spans="11:12">
      <c r="K118" s="8"/>
      <c r="L118" s="8"/>
    </row>
    <row r="119" spans="11:12">
      <c r="K119" s="8"/>
      <c r="L119" s="8"/>
    </row>
    <row r="120" spans="11:12">
      <c r="K120" s="8"/>
      <c r="L120" s="8"/>
    </row>
    <row r="121" spans="11:12">
      <c r="K121" s="8"/>
      <c r="L121" s="8"/>
    </row>
    <row r="122" spans="11:12">
      <c r="K122" s="8"/>
      <c r="L122" s="8"/>
    </row>
    <row r="123" spans="11:12">
      <c r="K123" s="8"/>
      <c r="L123" s="8"/>
    </row>
    <row r="124" spans="11:12">
      <c r="K124" s="8"/>
      <c r="L124" s="8"/>
    </row>
    <row r="125" spans="11:12">
      <c r="K125" s="8"/>
      <c r="L125" s="8"/>
    </row>
    <row r="126" spans="11:12">
      <c r="K126" s="8"/>
      <c r="L126" s="8"/>
    </row>
    <row r="127" spans="11:12">
      <c r="K127" s="8"/>
      <c r="L127" s="8"/>
    </row>
    <row r="128" spans="11:12">
      <c r="K128" s="8"/>
      <c r="L128" s="8"/>
    </row>
    <row r="129" spans="11:12">
      <c r="K129" s="8"/>
      <c r="L129" s="8"/>
    </row>
    <row r="130" spans="11:12">
      <c r="K130" s="8"/>
      <c r="L130" s="8"/>
    </row>
    <row r="131" spans="11:12">
      <c r="K131" s="8"/>
      <c r="L131" s="8"/>
    </row>
    <row r="132" spans="11:12">
      <c r="K132" s="8"/>
      <c r="L132" s="8"/>
    </row>
    <row r="133" spans="11:12">
      <c r="K133" s="8"/>
      <c r="L133" s="8"/>
    </row>
    <row r="134" spans="11:12">
      <c r="K134" s="8"/>
      <c r="L134" s="8"/>
    </row>
    <row r="135" spans="11:12">
      <c r="K135" s="8"/>
      <c r="L135" s="8"/>
    </row>
    <row r="136" spans="11:12">
      <c r="K136" s="8"/>
      <c r="L136" s="8"/>
    </row>
    <row r="137" spans="11:12">
      <c r="K137" s="8"/>
      <c r="L137" s="8"/>
    </row>
    <row r="138" spans="11:12">
      <c r="K138" s="8"/>
      <c r="L138" s="8"/>
    </row>
    <row r="139" spans="11:12">
      <c r="K139" s="8"/>
      <c r="L139" s="8"/>
    </row>
    <row r="140" spans="11:12">
      <c r="K140" s="8"/>
      <c r="L140" s="8"/>
    </row>
  </sheetData>
  <sheetProtection formatCells="0" formatColumns="0" formatRows="0" insertColumns="0" insertRows="0"/>
  <pageMargins left="0.26" right="0.22" top="0.5" bottom="0.48" header="0.32" footer="0.28999999999999998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500"/>
  <sheetViews>
    <sheetView workbookViewId="0"/>
  </sheetViews>
  <sheetFormatPr defaultRowHeight="12.75"/>
  <cols>
    <col min="1" max="1" width="4.28515625" style="8" bestFit="1" customWidth="1"/>
    <col min="2" max="2" width="15.7109375" style="284" bestFit="1" customWidth="1"/>
    <col min="3" max="3" width="7.140625" style="284" customWidth="1"/>
    <col min="4" max="4" width="9.7109375" style="284" bestFit="1" customWidth="1"/>
    <col min="5" max="6" width="9.140625" style="284"/>
    <col min="7" max="7" width="12.85546875" style="284" bestFit="1" customWidth="1"/>
    <col min="8" max="9" width="12.7109375" style="284" bestFit="1" customWidth="1"/>
    <col min="10" max="11" width="9.140625" style="284"/>
    <col min="12" max="12" width="10.5703125" style="284" customWidth="1"/>
    <col min="13" max="16384" width="9.140625" style="284"/>
  </cols>
  <sheetData>
    <row r="1" spans="1:16">
      <c r="B1" s="8" t="s">
        <v>17</v>
      </c>
      <c r="C1" s="268">
        <v>7.0000000000000007E-2</v>
      </c>
      <c r="D1" s="7">
        <v>2014</v>
      </c>
      <c r="E1" s="8">
        <v>4</v>
      </c>
      <c r="F1" s="8"/>
      <c r="G1" s="8"/>
      <c r="H1" s="8"/>
      <c r="I1" s="8"/>
      <c r="J1" s="7" t="s">
        <v>18</v>
      </c>
      <c r="K1" s="8">
        <v>10</v>
      </c>
      <c r="L1" s="7" t="s">
        <v>19</v>
      </c>
      <c r="M1" s="8">
        <v>12</v>
      </c>
    </row>
    <row r="2" spans="1:16">
      <c r="B2" s="8" t="s">
        <v>20</v>
      </c>
      <c r="C2" s="268"/>
      <c r="D2" s="7" t="s">
        <v>21</v>
      </c>
      <c r="E2" s="8"/>
      <c r="F2" s="8"/>
      <c r="G2" s="8"/>
      <c r="H2" s="8"/>
      <c r="I2" s="8"/>
      <c r="J2" s="7" t="s">
        <v>22</v>
      </c>
      <c r="K2" s="8"/>
      <c r="L2" s="7" t="s">
        <v>23</v>
      </c>
      <c r="M2" s="8"/>
    </row>
    <row r="3" spans="1:16">
      <c r="B3" s="8"/>
      <c r="C3" s="268"/>
      <c r="D3" s="7" t="s">
        <v>24</v>
      </c>
      <c r="E3" s="8"/>
      <c r="F3" s="285"/>
      <c r="G3" s="8"/>
      <c r="H3" s="7"/>
      <c r="I3" s="7"/>
      <c r="J3" s="7" t="s">
        <v>25</v>
      </c>
      <c r="K3" s="8"/>
      <c r="L3" s="7" t="s">
        <v>26</v>
      </c>
      <c r="M3" s="8"/>
    </row>
    <row r="4" spans="1:16">
      <c r="B4" s="8" t="s">
        <v>27</v>
      </c>
      <c r="C4" s="269"/>
      <c r="D4" s="7" t="s">
        <v>28</v>
      </c>
      <c r="E4" s="7" t="s">
        <v>29</v>
      </c>
      <c r="F4" s="270"/>
      <c r="G4" s="7"/>
      <c r="H4" s="7"/>
      <c r="I4" s="7"/>
      <c r="J4" s="7" t="s">
        <v>28</v>
      </c>
      <c r="K4" s="7" t="s">
        <v>29</v>
      </c>
      <c r="L4" s="7" t="s">
        <v>28</v>
      </c>
      <c r="M4" s="7" t="s">
        <v>29</v>
      </c>
    </row>
    <row r="5" spans="1:16">
      <c r="A5" s="8" t="str">
        <f>+"w"&amp;B5</f>
        <v>w1</v>
      </c>
      <c r="B5" s="8">
        <v>1</v>
      </c>
      <c r="C5" s="8">
        <v>2014</v>
      </c>
      <c r="D5" s="271">
        <f>'Avoided Cost inputs'!D13/1000</f>
        <v>0.154880592213783</v>
      </c>
      <c r="E5" s="272">
        <f>+D5</f>
        <v>0.154880592213783</v>
      </c>
      <c r="F5" s="272">
        <f>+D5</f>
        <v>0.154880592213783</v>
      </c>
      <c r="G5" s="273"/>
      <c r="H5" s="274"/>
      <c r="I5" s="274"/>
      <c r="J5" s="286">
        <f>'Avoided Cost inputs'!K7/100</f>
        <v>0.10769999999999999</v>
      </c>
      <c r="K5" s="275">
        <f>+J5</f>
        <v>0.10769999999999999</v>
      </c>
      <c r="L5" s="286">
        <f>'Avoided Cost inputs'!L7/100</f>
        <v>2.5948000000000002</v>
      </c>
      <c r="M5" s="275">
        <f>+L5</f>
        <v>2.5948000000000002</v>
      </c>
      <c r="N5" s="287"/>
      <c r="O5" s="288"/>
    </row>
    <row r="6" spans="1:16">
      <c r="A6" s="8" t="str">
        <f t="shared" ref="A6:A34" si="0">+"w"&amp;B6</f>
        <v>w2</v>
      </c>
      <c r="B6" s="8">
        <v>2</v>
      </c>
      <c r="C6" s="8">
        <f t="shared" ref="C6:C34" si="1">+C5+1</f>
        <v>2015</v>
      </c>
      <c r="D6" s="271">
        <f>'Avoided Cost inputs'!D14/1000</f>
        <v>0.16264109641776298</v>
      </c>
      <c r="E6" s="275">
        <f>NPV($C$1,$D$6:D6)+D$5</f>
        <v>0.30688161690328108</v>
      </c>
      <c r="F6" s="276">
        <f>NPV($C$1,F5)</f>
        <v>0.14474821702222709</v>
      </c>
      <c r="G6" s="277"/>
      <c r="H6" s="274"/>
      <c r="I6" s="274"/>
      <c r="J6" s="286">
        <f>'Avoided Cost inputs'!K8/100</f>
        <v>0.10999814654588162</v>
      </c>
      <c r="K6" s="275">
        <f>NPV($C$1,$J$6:J6)+J$5</f>
        <v>0.21050200611764636</v>
      </c>
      <c r="L6" s="286">
        <f>'Avoided Cost inputs'!L8/100</f>
        <v>2.6501689011815568</v>
      </c>
      <c r="M6" s="275">
        <f>NPV($C$1,$L$6:L6)+L$5</f>
        <v>5.0715933655902399</v>
      </c>
      <c r="N6" s="287"/>
      <c r="O6" s="288"/>
    </row>
    <row r="7" spans="1:16">
      <c r="A7" s="8" t="str">
        <f t="shared" si="0"/>
        <v>w3</v>
      </c>
      <c r="B7" s="8">
        <v>3</v>
      </c>
      <c r="C7" s="8">
        <f t="shared" si="1"/>
        <v>2016</v>
      </c>
      <c r="D7" s="271">
        <f>'Avoided Cost inputs'!D15/1000</f>
        <v>0.18315830693708549</v>
      </c>
      <c r="E7" s="275">
        <f>NPV($C$1,$D$6:D7)+D$5</f>
        <v>0.46685917558708367</v>
      </c>
      <c r="F7" s="276">
        <f t="shared" ref="F7:F34" si="2">NPV($C$1,F6)</f>
        <v>0.1352787074974085</v>
      </c>
      <c r="G7" s="277"/>
      <c r="H7" s="274"/>
      <c r="I7" s="274"/>
      <c r="J7" s="286">
        <f>'Avoided Cost inputs'!K9/100</f>
        <v>0.11221061126367472</v>
      </c>
      <c r="K7" s="275">
        <f>NPV($C$1,$J$6:J7)+J$5</f>
        <v>0.30851109971855012</v>
      </c>
      <c r="L7" s="286">
        <f>'Avoided Cost inputs'!L9/100</f>
        <v>2.7034734828874951</v>
      </c>
      <c r="M7" s="275">
        <f>NPV($C$1,$L$6:L7)+L$5</f>
        <v>7.432911806403844</v>
      </c>
      <c r="N7" s="287"/>
      <c r="O7" s="288"/>
    </row>
    <row r="8" spans="1:16">
      <c r="A8" s="8" t="str">
        <f t="shared" si="0"/>
        <v>w4</v>
      </c>
      <c r="B8" s="8">
        <v>4</v>
      </c>
      <c r="C8" s="8">
        <f t="shared" si="1"/>
        <v>2017</v>
      </c>
      <c r="D8" s="271">
        <f>'Avoided Cost inputs'!D16/1000</f>
        <v>0.20436641450595089</v>
      </c>
      <c r="E8" s="275">
        <f>NPV($C$1,$D$6:D8)+D$5</f>
        <v>0.63368304585608715</v>
      </c>
      <c r="F8" s="276">
        <f t="shared" si="2"/>
        <v>0.12642869859570888</v>
      </c>
      <c r="G8" s="277"/>
      <c r="H8" s="274"/>
      <c r="I8" s="274"/>
      <c r="J8" s="286">
        <f>'Avoided Cost inputs'!K10/100</f>
        <v>0.1144621762202553</v>
      </c>
      <c r="K8" s="275">
        <f>NPV($C$1,$J$6:J8)+J$5</f>
        <v>0.40194633115145106</v>
      </c>
      <c r="L8" s="286">
        <f>'Avoided Cost inputs'!L10/100</f>
        <v>2.757720100801472</v>
      </c>
      <c r="M8" s="275">
        <f>NPV($C$1,$L$6:L8)+L$5</f>
        <v>9.6840328697473126</v>
      </c>
      <c r="N8" s="287"/>
      <c r="O8" s="288"/>
    </row>
    <row r="9" spans="1:16">
      <c r="A9" s="8" t="str">
        <f t="shared" si="0"/>
        <v>w5</v>
      </c>
      <c r="B9" s="8">
        <v>5</v>
      </c>
      <c r="C9" s="8">
        <f t="shared" si="1"/>
        <v>2018</v>
      </c>
      <c r="D9" s="271">
        <f>'Avoided Cost inputs'!D17/1000</f>
        <v>0.2294477522631346</v>
      </c>
      <c r="E9" s="275">
        <f>NPV($C$1,$D$6:D9)+D$5</f>
        <v>0.80872763747269927</v>
      </c>
      <c r="F9" s="276">
        <f t="shared" si="2"/>
        <v>0.11815766223898025</v>
      </c>
      <c r="G9" s="277"/>
      <c r="H9" s="274"/>
      <c r="I9" s="274"/>
      <c r="J9" s="286">
        <f>'Avoided Cost inputs'!K11/100</f>
        <v>0.11677119108908939</v>
      </c>
      <c r="K9" s="275">
        <f>NPV($C$1,$J$6:J9)+J$5</f>
        <v>0.49103051373840401</v>
      </c>
      <c r="L9" s="286">
        <f>'Avoided Cost inputs'!L11/100</f>
        <v>2.8133508508632237</v>
      </c>
      <c r="M9" s="275">
        <f>NPV($C$1,$L$6:L9)+L$5</f>
        <v>11.830324763680697</v>
      </c>
      <c r="N9" s="287"/>
      <c r="O9" s="288"/>
    </row>
    <row r="10" spans="1:16">
      <c r="A10" s="8" t="str">
        <f t="shared" si="0"/>
        <v>w6</v>
      </c>
      <c r="B10" s="8">
        <v>6</v>
      </c>
      <c r="C10" s="8">
        <f t="shared" si="1"/>
        <v>2019</v>
      </c>
      <c r="D10" s="271">
        <f>'Avoided Cost inputs'!D18/1000</f>
        <v>0.25833992012800788</v>
      </c>
      <c r="E10" s="275">
        <f>NPV($C$1,$D$6:D10)+D$5</f>
        <v>0.99292043013288367</v>
      </c>
      <c r="F10" s="276">
        <f t="shared" si="2"/>
        <v>0.11042772171867313</v>
      </c>
      <c r="G10" s="277"/>
      <c r="H10" s="274"/>
      <c r="I10" s="274"/>
      <c r="J10" s="286">
        <f>'Avoided Cost inputs'!K12/100</f>
        <v>0.11916434435553355</v>
      </c>
      <c r="K10" s="275">
        <f>NPV($C$1,$J$6:J10)+J$5</f>
        <v>0.57599304435113208</v>
      </c>
      <c r="L10" s="286">
        <f>'Avoided Cost inputs'!L12/100</f>
        <v>2.871008734760804</v>
      </c>
      <c r="M10" s="275">
        <f>NPV($C$1,$L$6:L10)+L$5</f>
        <v>13.87731431274204</v>
      </c>
      <c r="N10" s="287"/>
      <c r="O10" s="288"/>
    </row>
    <row r="11" spans="1:16">
      <c r="A11" s="8" t="str">
        <f t="shared" si="0"/>
        <v>w7</v>
      </c>
      <c r="B11" s="8">
        <v>7</v>
      </c>
      <c r="C11" s="8">
        <f t="shared" si="1"/>
        <v>2020</v>
      </c>
      <c r="D11" s="271">
        <f>'Avoided Cost inputs'!D19/1000</f>
        <v>0.25100831665509499</v>
      </c>
      <c r="E11" s="275">
        <f>NPV($C$1,$D$6:D11)+D$5</f>
        <v>1.1601778700492791</v>
      </c>
      <c r="F11" s="276">
        <f t="shared" si="2"/>
        <v>0.10320347824175058</v>
      </c>
      <c r="G11" s="277"/>
      <c r="H11" s="274"/>
      <c r="I11" s="274"/>
      <c r="J11" s="286">
        <f>'Avoided Cost inputs'!K13/100</f>
        <v>0.12161057448120899</v>
      </c>
      <c r="K11" s="275">
        <f>NPV($C$1,$J$6:J11)+J$5</f>
        <v>0.65702730499054451</v>
      </c>
      <c r="L11" s="286">
        <f>'Avoided Cost inputs'!L13/100</f>
        <v>2.9299453914934186</v>
      </c>
      <c r="M11" s="275">
        <f>NPV($C$1,$L$6:L11)+L$5</f>
        <v>15.829660640570708</v>
      </c>
      <c r="N11" s="287"/>
      <c r="O11" s="288"/>
    </row>
    <row r="12" spans="1:16">
      <c r="A12" s="8" t="str">
        <f t="shared" si="0"/>
        <v>w8</v>
      </c>
      <c r="B12" s="8">
        <v>8</v>
      </c>
      <c r="C12" s="8">
        <f t="shared" si="1"/>
        <v>2021</v>
      </c>
      <c r="D12" s="271">
        <f>'Avoided Cost inputs'!D20/1000</f>
        <v>0.2493808505368838</v>
      </c>
      <c r="E12" s="275">
        <f>NPV($C$1,$D$6:D12)+D$5</f>
        <v>1.3154797303520831</v>
      </c>
      <c r="F12" s="276">
        <f t="shared" si="2"/>
        <v>9.6451848824065961E-2</v>
      </c>
      <c r="G12" s="277"/>
      <c r="H12" s="274"/>
      <c r="I12" s="274"/>
      <c r="J12" s="286">
        <f>'Avoided Cost inputs'!K14/100</f>
        <v>0.12403210971922915</v>
      </c>
      <c r="K12" s="275">
        <f>NPV($C$1,$J$6:J12)+J$5</f>
        <v>0.73426826930359579</v>
      </c>
      <c r="L12" s="286">
        <f>'Avoided Cost inputs'!L14/100</f>
        <v>2.9882870779893769</v>
      </c>
      <c r="M12" s="275">
        <f>NPV($C$1,$L$6:L12)+L$5</f>
        <v>17.690615647065652</v>
      </c>
      <c r="N12" s="287"/>
      <c r="O12" s="288"/>
    </row>
    <row r="13" spans="1:16">
      <c r="A13" s="8" t="str">
        <f t="shared" si="0"/>
        <v>w9</v>
      </c>
      <c r="B13" s="8">
        <v>9</v>
      </c>
      <c r="C13" s="8">
        <f t="shared" si="1"/>
        <v>2022</v>
      </c>
      <c r="D13" s="271">
        <f>'Avoided Cost inputs'!D21/1000</f>
        <v>0.250357595047912</v>
      </c>
      <c r="E13" s="275">
        <f>NPV($C$1,$D$6:D13)+D$5</f>
        <v>1.4611901300669747</v>
      </c>
      <c r="F13" s="276">
        <f t="shared" si="2"/>
        <v>9.0141914788846686E-2</v>
      </c>
      <c r="G13" s="277"/>
      <c r="H13" s="274"/>
      <c r="I13" s="274"/>
      <c r="J13" s="286">
        <f>'Avoided Cost inputs'!K15/100</f>
        <v>0.12644417000903438</v>
      </c>
      <c r="K13" s="275">
        <f>NPV($C$1,$J$6:J13)+J$5</f>
        <v>0.80785992746802338</v>
      </c>
      <c r="L13" s="286">
        <f>'Avoided Cost inputs'!L15/100</f>
        <v>3.0464004859743965</v>
      </c>
      <c r="M13" s="275">
        <f>NPV($C$1,$L$6:L13)+L$5</f>
        <v>19.463648466054106</v>
      </c>
      <c r="N13" s="287"/>
      <c r="O13" s="288"/>
      <c r="P13" s="289"/>
    </row>
    <row r="14" spans="1:16">
      <c r="A14" s="8" t="str">
        <f t="shared" si="0"/>
        <v>w10</v>
      </c>
      <c r="B14" s="8">
        <v>10</v>
      </c>
      <c r="C14" s="8">
        <f t="shared" si="1"/>
        <v>2023</v>
      </c>
      <c r="D14" s="271">
        <f>'Avoided Cost inputs'!D22/1000</f>
        <v>0.24320929437529706</v>
      </c>
      <c r="E14" s="275">
        <f>NPV($C$1,$D$6:D14)+D$5</f>
        <v>1.5934798717877798</v>
      </c>
      <c r="F14" s="276">
        <f t="shared" si="2"/>
        <v>8.4244780176492229E-2</v>
      </c>
      <c r="G14" s="277"/>
      <c r="H14" s="274"/>
      <c r="I14" s="274"/>
      <c r="J14" s="286">
        <f>'Avoided Cost inputs'!K16/100</f>
        <v>0.12897117299641553</v>
      </c>
      <c r="K14" s="275">
        <f>NPV($C$1,$J$6:J14)+J$5</f>
        <v>0.87801170028143116</v>
      </c>
      <c r="L14" s="286">
        <f>'Avoided Cost inputs'!L16/100</f>
        <v>3.1072831911894063</v>
      </c>
      <c r="M14" s="275">
        <f>NPV($C$1,$L$6:L14)+L$5</f>
        <v>21.153804641506575</v>
      </c>
      <c r="N14" s="287"/>
      <c r="O14" s="286"/>
      <c r="P14" s="289"/>
    </row>
    <row r="15" spans="1:16">
      <c r="A15" s="8" t="str">
        <f t="shared" si="0"/>
        <v>w11</v>
      </c>
      <c r="B15" s="8">
        <v>11</v>
      </c>
      <c r="C15" s="8">
        <f t="shared" si="1"/>
        <v>2024</v>
      </c>
      <c r="D15" s="286">
        <f>D14*(1+'Avoided Cost inputs'!$G$9)</f>
        <v>0.24807348026280301</v>
      </c>
      <c r="E15" s="275">
        <f>NPV($C$1,$D$6:D15)+D$5</f>
        <v>1.7195878498767716</v>
      </c>
      <c r="F15" s="276">
        <f t="shared" si="2"/>
        <v>7.8733439417282447E-2</v>
      </c>
      <c r="G15" s="277"/>
      <c r="H15" s="274"/>
      <c r="I15" s="274"/>
      <c r="J15" s="286">
        <f>'Avoided Cost inputs'!K17/100</f>
        <v>0.13153230294659793</v>
      </c>
      <c r="K15" s="275">
        <f>NPV($C$1,$J$6:J15)+J$5</f>
        <v>0.9448760533771835</v>
      </c>
      <c r="L15" s="286">
        <f>'Avoided Cost inputs'!L17/100</f>
        <v>3.1689881122175709</v>
      </c>
      <c r="M15" s="275">
        <f>NPV($C$1,$L$6:L15)+L$5</f>
        <v>22.764757505135712</v>
      </c>
      <c r="N15" s="287"/>
      <c r="O15" s="286"/>
      <c r="P15" s="289"/>
    </row>
    <row r="16" spans="1:16">
      <c r="A16" s="8" t="str">
        <f t="shared" si="0"/>
        <v>w12</v>
      </c>
      <c r="B16" s="8">
        <v>12</v>
      </c>
      <c r="C16" s="8">
        <f t="shared" si="1"/>
        <v>2025</v>
      </c>
      <c r="D16" s="286">
        <f>D15*(1+'Avoided Cost inputs'!$G$9)</f>
        <v>0.25303494986805908</v>
      </c>
      <c r="E16" s="275">
        <f>NPV($C$1,$D$6:D16)+D$5</f>
        <v>1.8398029317933806</v>
      </c>
      <c r="F16" s="276">
        <f t="shared" si="2"/>
        <v>7.3582653661011632E-2</v>
      </c>
      <c r="G16" s="277"/>
      <c r="H16" s="274"/>
      <c r="I16" s="274"/>
      <c r="J16" s="286">
        <f>'Avoided Cost inputs'!K18/100</f>
        <v>0.13415778537311809</v>
      </c>
      <c r="K16" s="275">
        <f>NPV($C$1,$J$6:J16)+J$5</f>
        <v>1.0086134507872637</v>
      </c>
      <c r="L16" s="286">
        <f>'Avoided Cost inputs'!L18/100</f>
        <v>3.2322434678381331</v>
      </c>
      <c r="M16" s="275">
        <f>NPV($C$1,$L$6:L16)+L$5</f>
        <v>24.300373092876441</v>
      </c>
      <c r="N16" s="287"/>
      <c r="O16" s="286"/>
      <c r="P16" s="289"/>
    </row>
    <row r="17" spans="1:16">
      <c r="A17" s="8" t="str">
        <f t="shared" si="0"/>
        <v>w13</v>
      </c>
      <c r="B17" s="8">
        <v>13</v>
      </c>
      <c r="C17" s="8">
        <f t="shared" si="1"/>
        <v>2026</v>
      </c>
      <c r="D17" s="286">
        <f>D16*(1+'Avoided Cost inputs'!$G$9)</f>
        <v>0.25809564886542025</v>
      </c>
      <c r="E17" s="275">
        <f>NPV($C$1,$D$6:D17)+D$5</f>
        <v>1.9544004865176248</v>
      </c>
      <c r="F17" s="276">
        <f t="shared" si="2"/>
        <v>6.8768835197207126E-2</v>
      </c>
      <c r="G17" s="277"/>
      <c r="H17" s="274"/>
      <c r="I17" s="274"/>
      <c r="J17" s="286">
        <f>'Avoided Cost inputs'!K19/100</f>
        <v>0.13683630178580064</v>
      </c>
      <c r="K17" s="275">
        <f>NPV($C$1,$J$6:J17)+J$5</f>
        <v>1.0693704052384334</v>
      </c>
      <c r="L17" s="286">
        <f>'Avoided Cost inputs'!L19/100</f>
        <v>3.2967765633592911</v>
      </c>
      <c r="M17" s="275">
        <f>NPV($C$1,$L$6:L17)+L$5</f>
        <v>25.764181313952538</v>
      </c>
      <c r="N17" s="287"/>
      <c r="O17" s="286"/>
      <c r="P17" s="289"/>
    </row>
    <row r="18" spans="1:16">
      <c r="A18" s="8" t="str">
        <f t="shared" si="0"/>
        <v>w14</v>
      </c>
      <c r="B18" s="8">
        <v>14</v>
      </c>
      <c r="C18" s="8">
        <f t="shared" si="1"/>
        <v>2027</v>
      </c>
      <c r="D18" s="286">
        <f>D17*(1+'Avoided Cost inputs'!$G$9)</f>
        <v>0.26325756184272864</v>
      </c>
      <c r="E18" s="275">
        <f>NPV($C$1,$D$6:D18)+D$5</f>
        <v>2.0636430153201752</v>
      </c>
      <c r="F18" s="276">
        <f t="shared" si="2"/>
        <v>6.4269939436642165E-2</v>
      </c>
      <c r="G18" s="277"/>
      <c r="H18" s="274"/>
      <c r="I18" s="274"/>
      <c r="J18" s="286">
        <f>'Avoided Cost inputs'!K20/100</f>
        <v>0.13955505457359507</v>
      </c>
      <c r="K18" s="275">
        <f>NPV($C$1,$J$6:J18)+J$5</f>
        <v>1.1272807914096199</v>
      </c>
      <c r="L18" s="286">
        <f>'Avoided Cost inputs'!L20/100</f>
        <v>3.3622790678511105</v>
      </c>
      <c r="M18" s="275">
        <f>NPV($C$1,$L$6:L18)+L$5</f>
        <v>27.159407590990561</v>
      </c>
      <c r="N18" s="287"/>
      <c r="O18" s="286"/>
      <c r="P18" s="289"/>
    </row>
    <row r="19" spans="1:16">
      <c r="A19" s="8" t="str">
        <f t="shared" si="0"/>
        <v>w15</v>
      </c>
      <c r="B19" s="8">
        <v>15</v>
      </c>
      <c r="C19" s="8">
        <f t="shared" si="1"/>
        <v>2028</v>
      </c>
      <c r="D19" s="286">
        <f>D18*(1+'Avoided Cost inputs'!$G$9)</f>
        <v>0.2685227130795832</v>
      </c>
      <c r="E19" s="275">
        <f>NPV($C$1,$D$6:D19)+D$5</f>
        <v>2.1677807530571855</v>
      </c>
      <c r="F19" s="276">
        <f>NPV($C$1,F18)</f>
        <v>6.0065363959478653E-2</v>
      </c>
      <c r="G19" s="277"/>
      <c r="H19" s="274"/>
      <c r="I19" s="274"/>
      <c r="J19" s="286">
        <f>'Avoided Cost inputs'!K21/100</f>
        <v>0.14233397971351475</v>
      </c>
      <c r="K19" s="275">
        <f>NPV($C$1,$J$6:J19)+J$5</f>
        <v>1.182480362725131</v>
      </c>
      <c r="L19" s="286">
        <f>'Avoided Cost inputs'!L21/100</f>
        <v>3.4292312958275595</v>
      </c>
      <c r="M19" s="275">
        <f>NPV($C$1,$L$6:L19)+L$5</f>
        <v>28.489322610948669</v>
      </c>
      <c r="N19" s="287"/>
      <c r="O19" s="286"/>
      <c r="P19" s="289"/>
    </row>
    <row r="20" spans="1:16">
      <c r="A20" s="8" t="str">
        <f t="shared" si="0"/>
        <v>w16</v>
      </c>
      <c r="B20" s="8">
        <v>16</v>
      </c>
      <c r="C20" s="8">
        <f t="shared" si="1"/>
        <v>2029</v>
      </c>
      <c r="D20" s="286">
        <f>D19*(1+'Avoided Cost inputs'!$G$9)</f>
        <v>0.27389316734117486</v>
      </c>
      <c r="E20" s="275">
        <f>NPV($C$1,$D$6:D20)+D$5</f>
        <v>2.2670522413672334</v>
      </c>
      <c r="F20" s="276">
        <f t="shared" si="2"/>
        <v>5.6135854167737052E-2</v>
      </c>
      <c r="G20" s="277"/>
      <c r="H20" s="274"/>
      <c r="I20" s="274"/>
      <c r="J20" s="286">
        <f>'Avoided Cost inputs'!K22/100</f>
        <v>0.14518323812287612</v>
      </c>
      <c r="K20" s="275">
        <f>NPV($C$1,$J$6:J20)+J$5</f>
        <v>1.2351014495015562</v>
      </c>
      <c r="L20" s="286">
        <f>'Avoided Cost inputs'!L22/100</f>
        <v>3.497878052750595</v>
      </c>
      <c r="M20" s="275">
        <f>NPV($C$1,$L$6:L20)+L$5</f>
        <v>29.757114588362487</v>
      </c>
      <c r="N20" s="287"/>
      <c r="O20" s="286"/>
      <c r="P20" s="289"/>
    </row>
    <row r="21" spans="1:16">
      <c r="A21" s="8" t="str">
        <f t="shared" si="0"/>
        <v>w17</v>
      </c>
      <c r="B21" s="8">
        <v>17</v>
      </c>
      <c r="C21" s="8">
        <f t="shared" si="1"/>
        <v>2030</v>
      </c>
      <c r="D21" s="286">
        <f>D20*(1+'Avoided Cost inputs'!$G$9)</f>
        <v>0.27937103068799835</v>
      </c>
      <c r="E21" s="275">
        <f>NPV($C$1,$D$6:D21)+D$5</f>
        <v>2.3616848750833532</v>
      </c>
      <c r="F21" s="276">
        <f t="shared" si="2"/>
        <v>5.2463415110034627E-2</v>
      </c>
      <c r="G21" s="277"/>
      <c r="H21" s="274"/>
      <c r="I21" s="274"/>
      <c r="J21" s="286">
        <f>'Avoided Cost inputs'!K23/100</f>
        <v>0.1480842657628689</v>
      </c>
      <c r="K21" s="275">
        <f>NPV($C$1,$J$6:J21)+J$5</f>
        <v>1.2852627137047461</v>
      </c>
      <c r="L21" s="286">
        <f>'Avoided Cost inputs'!L23/100</f>
        <v>3.5677720780082858</v>
      </c>
      <c r="M21" s="275">
        <f>NPV($C$1,$L$6:L21)+L$5</f>
        <v>30.965642428236556</v>
      </c>
      <c r="N21" s="287"/>
      <c r="O21" s="286"/>
      <c r="P21" s="289"/>
    </row>
    <row r="22" spans="1:16">
      <c r="A22" s="8" t="str">
        <f t="shared" si="0"/>
        <v>w18</v>
      </c>
      <c r="B22" s="8">
        <v>18</v>
      </c>
      <c r="C22" s="8">
        <f t="shared" si="1"/>
        <v>2031</v>
      </c>
      <c r="D22" s="286">
        <f>D21*(1+'Avoided Cost inputs'!$G$9)</f>
        <v>0.28495845130175834</v>
      </c>
      <c r="E22" s="275">
        <f>NPV($C$1,$D$6:D22)+D$5</f>
        <v>2.4518954231118046</v>
      </c>
      <c r="F22" s="276">
        <f t="shared" si="2"/>
        <v>4.9031229074798711E-2</v>
      </c>
      <c r="G22" s="277"/>
      <c r="H22" s="274"/>
      <c r="I22" s="274"/>
      <c r="J22" s="286">
        <f>'Avoided Cost inputs'!K24/100</f>
        <v>0.15105071770592057</v>
      </c>
      <c r="K22" s="275">
        <f>NPV($C$1,$J$6:J22)+J$5</f>
        <v>1.333081502591664</v>
      </c>
      <c r="L22" s="286">
        <f>'Avoided Cost inputs'!L24/100</f>
        <v>3.6392423612193392</v>
      </c>
      <c r="M22" s="275">
        <f>NPV($C$1,$L$6:L22)+L$5</f>
        <v>32.117733360490739</v>
      </c>
      <c r="N22" s="287"/>
      <c r="O22" s="286"/>
      <c r="P22" s="289"/>
    </row>
    <row r="23" spans="1:16">
      <c r="A23" s="8" t="str">
        <f t="shared" si="0"/>
        <v>w19</v>
      </c>
      <c r="B23" s="8">
        <v>19</v>
      </c>
      <c r="C23" s="8">
        <f t="shared" si="1"/>
        <v>2032</v>
      </c>
      <c r="D23" s="286">
        <f>D22*(1+'Avoided Cost inputs'!$G$9)</f>
        <v>0.29065762032779352</v>
      </c>
      <c r="E23" s="275">
        <f>NPV($C$1,$D$6:D23)+D$5</f>
        <v>2.5378905249707016</v>
      </c>
      <c r="F23" s="276">
        <f t="shared" si="2"/>
        <v>4.5823578574578229E-2</v>
      </c>
      <c r="G23" s="277"/>
      <c r="H23" s="274"/>
      <c r="I23" s="274"/>
      <c r="J23" s="286">
        <f>'Avoided Cost inputs'!K25/100</f>
        <v>0.15405699872993009</v>
      </c>
      <c r="K23" s="275">
        <f>NPV($C$1,$J$6:J23)+J$5</f>
        <v>1.3786614095726526</v>
      </c>
      <c r="L23" s="286">
        <f>'Avoided Cost inputs'!L25/100</f>
        <v>3.711672240523888</v>
      </c>
      <c r="M23" s="275">
        <f>NPV($C$1,$L$6:L23)+L$5</f>
        <v>33.215883245674299</v>
      </c>
      <c r="N23" s="287"/>
      <c r="O23" s="286"/>
      <c r="P23" s="289"/>
    </row>
    <row r="24" spans="1:16">
      <c r="A24" s="8" t="str">
        <f t="shared" si="0"/>
        <v>w20</v>
      </c>
      <c r="B24" s="8">
        <v>20</v>
      </c>
      <c r="C24" s="8">
        <f t="shared" si="1"/>
        <v>2033</v>
      </c>
      <c r="D24" s="286">
        <f>D23*(1+'Avoided Cost inputs'!$G$9)</f>
        <v>0.29647077273434941</v>
      </c>
      <c r="E24" s="275">
        <f>NPV($C$1,$D$6:D24)+D$5</f>
        <v>2.6198671641259121</v>
      </c>
      <c r="F24" s="276">
        <f t="shared" si="2"/>
        <v>4.2825774368764696E-2</v>
      </c>
      <c r="G24" s="277"/>
      <c r="H24" s="274"/>
      <c r="I24" s="274"/>
      <c r="J24" s="286">
        <f>'Avoided Cost inputs'!K26/100</f>
        <v>0.15712274470042886</v>
      </c>
      <c r="K24" s="275">
        <f>NPV($C$1,$J$6:J24)+J$5</f>
        <v>1.4221071577878559</v>
      </c>
      <c r="L24" s="286">
        <f>'Avoided Cost inputs'!L26/100</f>
        <v>3.7855347998948279</v>
      </c>
      <c r="M24" s="275">
        <f>NPV($C$1,$L$6:L24)+L$5</f>
        <v>34.262615162747743</v>
      </c>
      <c r="N24" s="287"/>
      <c r="O24" s="286"/>
      <c r="P24" s="289"/>
    </row>
    <row r="25" spans="1:16">
      <c r="A25" s="8" t="str">
        <f t="shared" si="0"/>
        <v>w21</v>
      </c>
      <c r="B25" s="8">
        <v>21</v>
      </c>
      <c r="C25" s="8">
        <f t="shared" si="1"/>
        <v>2034</v>
      </c>
      <c r="D25" s="286">
        <f>D24*(1+'Avoided Cost inputs'!$G$9)</f>
        <v>0.30240018818903641</v>
      </c>
      <c r="E25" s="275">
        <f>NPV($C$1,$D$6:D25)+D$5</f>
        <v>2.6980131192084489</v>
      </c>
      <c r="F25" s="276">
        <f t="shared" si="2"/>
        <v>4.0024088195107194E-2</v>
      </c>
      <c r="G25" s="277"/>
      <c r="H25" s="274"/>
      <c r="I25" s="274"/>
      <c r="J25" s="286">
        <f>'Avoided Cost inputs'!K27/100</f>
        <v>0.16024915606334456</v>
      </c>
      <c r="K25" s="275">
        <f>NPV($C$1,$J$6:J25)+J$5</f>
        <v>1.4635185848995094</v>
      </c>
      <c r="L25" s="286">
        <f>'Avoided Cost inputs'!L27/100</f>
        <v>3.860858961496441</v>
      </c>
      <c r="M25" s="275">
        <f>NPV($C$1,$L$6:L25)+L$5</f>
        <v>35.260334485582639</v>
      </c>
      <c r="N25" s="287"/>
      <c r="O25" s="286"/>
      <c r="P25" s="289"/>
    </row>
    <row r="26" spans="1:16">
      <c r="A26" s="8" t="str">
        <f t="shared" si="0"/>
        <v>w22</v>
      </c>
      <c r="B26" s="8">
        <v>22</v>
      </c>
      <c r="C26" s="8">
        <f t="shared" si="1"/>
        <v>2035</v>
      </c>
      <c r="D26" s="286">
        <f>D25*(1+'Avoided Cost inputs'!$G$9)</f>
        <v>0.30844819195281714</v>
      </c>
      <c r="E26" s="275">
        <f>NPV($C$1,$D$6:D26)+D$5</f>
        <v>2.7725073941469423</v>
      </c>
      <c r="F26" s="276">
        <f t="shared" si="2"/>
        <v>3.7405689901969338E-2</v>
      </c>
      <c r="G26" s="277"/>
      <c r="H26" s="274"/>
      <c r="I26" s="274"/>
      <c r="J26" s="286">
        <f>'Avoided Cost inputs'!K28/100</f>
        <v>0.16345398226917948</v>
      </c>
      <c r="K26" s="275">
        <f>NPV($C$1,$J$6:J26)+J$5</f>
        <v>1.5029948606976</v>
      </c>
      <c r="L26" s="286">
        <f>'Avoided Cost inputs'!L28/100</f>
        <v>3.9380723601863248</v>
      </c>
      <c r="M26" s="275">
        <f>NPV($C$1,$L$6:L26)+L$5</f>
        <v>36.211430497104331</v>
      </c>
      <c r="N26" s="287"/>
      <c r="O26" s="286"/>
      <c r="P26" s="289"/>
    </row>
    <row r="27" spans="1:16">
      <c r="A27" s="8" t="str">
        <f t="shared" si="0"/>
        <v>w23</v>
      </c>
      <c r="B27" s="8">
        <v>23</v>
      </c>
      <c r="C27" s="8">
        <f t="shared" si="1"/>
        <v>2036</v>
      </c>
      <c r="D27" s="286">
        <f>D26*(1+'Avoided Cost inputs'!$G$9)</f>
        <v>0.31461715579187349</v>
      </c>
      <c r="E27" s="275">
        <f>NPV($C$1,$D$6:D27)+D$5</f>
        <v>2.843520628200459</v>
      </c>
      <c r="F27" s="276">
        <f t="shared" si="2"/>
        <v>3.4958588693429285E-2</v>
      </c>
      <c r="G27" s="277"/>
      <c r="H27" s="274"/>
      <c r="I27" s="274"/>
      <c r="J27" s="286">
        <f>'Avoided Cost inputs'!K29/100</f>
        <v>0.16672306191456307</v>
      </c>
      <c r="K27" s="275">
        <f>NPV($C$1,$J$6:J27)+J$5</f>
        <v>1.5406264507107332</v>
      </c>
      <c r="L27" s="286">
        <f>'Avoided Cost inputs'!L29/100</f>
        <v>4.0168338073900518</v>
      </c>
      <c r="M27" s="275">
        <f>NPV($C$1,$L$6:L27)+L$5</f>
        <v>37.118082769769863</v>
      </c>
      <c r="N27" s="287"/>
      <c r="O27" s="286"/>
      <c r="P27" s="289"/>
    </row>
    <row r="28" spans="1:16">
      <c r="A28" s="8" t="str">
        <f t="shared" si="0"/>
        <v>w24</v>
      </c>
      <c r="B28" s="8">
        <v>24</v>
      </c>
      <c r="C28" s="8">
        <f t="shared" si="1"/>
        <v>2037</v>
      </c>
      <c r="D28" s="286">
        <f>D27*(1+'Avoided Cost inputs'!$G$9)</f>
        <v>0.32090949890771098</v>
      </c>
      <c r="E28" s="275">
        <f>NPV($C$1,$D$6:D28)+D$5</f>
        <v>2.9112154868309141</v>
      </c>
      <c r="F28" s="276">
        <f t="shared" si="2"/>
        <v>3.2671578218158207E-2</v>
      </c>
      <c r="G28" s="277"/>
      <c r="H28" s="274"/>
      <c r="I28" s="274"/>
      <c r="J28" s="286">
        <f>'Avoided Cost inputs'!K30/100</f>
        <v>0.17005752315285436</v>
      </c>
      <c r="K28" s="275">
        <f>NPV($C$1,$J$6:J28)+J$5</f>
        <v>1.576499555209234</v>
      </c>
      <c r="L28" s="286">
        <f>'Avoided Cost inputs'!L30/100</f>
        <v>4.0971704835378526</v>
      </c>
      <c r="M28" s="275">
        <f>NPV($C$1,$L$6:L28)+L$5</f>
        <v>37.982368113806167</v>
      </c>
      <c r="N28" s="287"/>
      <c r="O28" s="286"/>
      <c r="P28" s="289"/>
    </row>
    <row r="29" spans="1:16">
      <c r="A29" s="8" t="str">
        <f t="shared" si="0"/>
        <v>w25</v>
      </c>
      <c r="B29" s="8">
        <v>25</v>
      </c>
      <c r="C29" s="8">
        <f t="shared" si="1"/>
        <v>2038</v>
      </c>
      <c r="D29" s="286">
        <f>D28*(1+'Avoided Cost inputs'!$G$9)</f>
        <v>0.32732768888586522</v>
      </c>
      <c r="E29" s="275">
        <f>NPV($C$1,$D$6:D29)+D$5</f>
        <v>2.9757470343104138</v>
      </c>
      <c r="F29" s="276">
        <f t="shared" si="2"/>
        <v>3.0534185250615145E-2</v>
      </c>
      <c r="G29" s="277"/>
      <c r="H29" s="274"/>
      <c r="I29" s="274"/>
      <c r="J29" s="286">
        <f>'Avoided Cost inputs'!K31/100</f>
        <v>0.17345867361591144</v>
      </c>
      <c r="K29" s="275">
        <f>NPV($C$1,$J$6:J29)+J$5</f>
        <v>1.6106963464134123</v>
      </c>
      <c r="L29" s="286">
        <f>'Avoided Cost inputs'!L31/100</f>
        <v>4.1791138932086094</v>
      </c>
      <c r="M29" s="275">
        <f>NPV($C$1,$L$6:L29)+L$5</f>
        <v>38.806266292233296</v>
      </c>
      <c r="N29" s="287"/>
      <c r="O29" s="286"/>
      <c r="P29" s="289"/>
    </row>
    <row r="30" spans="1:16">
      <c r="A30" s="8" t="str">
        <f t="shared" si="0"/>
        <v>w26</v>
      </c>
      <c r="B30" s="8">
        <v>26</v>
      </c>
      <c r="C30" s="8">
        <f t="shared" si="1"/>
        <v>2039</v>
      </c>
      <c r="D30" s="286">
        <f>D29*(1+'Avoided Cost inputs'!$G$9)</f>
        <v>0.33387424266358251</v>
      </c>
      <c r="E30" s="275">
        <f>NPV($C$1,$D$6:D30)+D$5</f>
        <v>3.0372630889170398</v>
      </c>
      <c r="F30" s="276">
        <f t="shared" si="2"/>
        <v>2.8536621729546862E-2</v>
      </c>
      <c r="G30" s="277"/>
      <c r="H30" s="274"/>
      <c r="I30" s="274"/>
      <c r="J30" s="286">
        <f>'Avoided Cost inputs'!K32/100</f>
        <v>0.17692784708822967</v>
      </c>
      <c r="K30" s="275">
        <f>NPV($C$1,$J$6:J30)+J$5</f>
        <v>1.6432951567201992</v>
      </c>
      <c r="L30" s="286">
        <f>'Avoided Cost inputs'!L32/100</f>
        <v>4.2626961710727818</v>
      </c>
      <c r="M30" s="275">
        <f>NPV($C$1,$L$6:L30)+L$5</f>
        <v>39.59166455578066</v>
      </c>
      <c r="N30" s="287"/>
      <c r="O30" s="290"/>
      <c r="P30" s="289"/>
    </row>
    <row r="31" spans="1:16">
      <c r="A31" s="8" t="str">
        <f t="shared" si="0"/>
        <v>w27</v>
      </c>
      <c r="B31" s="8">
        <v>27</v>
      </c>
      <c r="C31" s="8">
        <f t="shared" si="1"/>
        <v>2040</v>
      </c>
      <c r="D31" s="286">
        <f>D30*(1+'Avoided Cost inputs'!$G$9)</f>
        <v>0.34055172751685414</v>
      </c>
      <c r="E31" s="275">
        <f>NPV($C$1,$D$6:D31)+D$5</f>
        <v>3.0959045615327012</v>
      </c>
      <c r="F31" s="276">
        <f t="shared" si="2"/>
        <v>2.6669739934155945E-2</v>
      </c>
      <c r="G31" s="277"/>
      <c r="H31" s="274"/>
      <c r="I31" s="274"/>
      <c r="J31" s="286">
        <f>'Avoided Cost inputs'!K33/100</f>
        <v>0.18046640402999425</v>
      </c>
      <c r="K31" s="275">
        <f>NPV($C$1,$J$6:J31)+J$5</f>
        <v>1.6743706581341455</v>
      </c>
      <c r="L31" s="286">
        <f>'Avoided Cost inputs'!L33/100</f>
        <v>4.3479500944942373</v>
      </c>
      <c r="M31" s="275">
        <f>NPV($C$1,$L$6:L31)+L$5</f>
        <v>40.340361965891226</v>
      </c>
      <c r="N31" s="287"/>
      <c r="O31" s="290"/>
      <c r="P31" s="289"/>
    </row>
    <row r="32" spans="1:16">
      <c r="A32" s="8" t="str">
        <f t="shared" si="0"/>
        <v>w28</v>
      </c>
      <c r="B32" s="8">
        <v>28</v>
      </c>
      <c r="C32" s="8">
        <f t="shared" si="1"/>
        <v>2041</v>
      </c>
      <c r="D32" s="286">
        <f>D31*(1+'Avoided Cost inputs'!$G$9)</f>
        <v>0.34736276206719124</v>
      </c>
      <c r="E32" s="275">
        <f>NPV($C$1,$D$6:D32)+D$5</f>
        <v>3.1518057784186593</v>
      </c>
      <c r="F32" s="276">
        <f t="shared" si="2"/>
        <v>2.4924990592669106E-2</v>
      </c>
      <c r="G32" s="277"/>
      <c r="H32" s="274"/>
      <c r="I32" s="274"/>
      <c r="J32" s="286">
        <f>'Avoided Cost inputs'!K34/100</f>
        <v>0.18407573211059414</v>
      </c>
      <c r="K32" s="275">
        <f>NPV($C$1,$J$6:J32)+J$5</f>
        <v>1.7039940333137953</v>
      </c>
      <c r="L32" s="286">
        <f>'Avoided Cost inputs'!L34/100</f>
        <v>4.4349090963841222</v>
      </c>
      <c r="M32" s="275">
        <f>NPV($C$1,$L$6:L32)+L$5</f>
        <v>41.054073515716247</v>
      </c>
      <c r="N32" s="287"/>
      <c r="O32" s="290"/>
      <c r="P32" s="289"/>
    </row>
    <row r="33" spans="1:16">
      <c r="A33" s="8" t="str">
        <f t="shared" si="0"/>
        <v>w29</v>
      </c>
      <c r="B33" s="8">
        <v>29</v>
      </c>
      <c r="C33" s="8">
        <f t="shared" si="1"/>
        <v>2042</v>
      </c>
      <c r="D33" s="286">
        <f>D32*(1+'Avoided Cost inputs'!$G$9)</f>
        <v>0.35431001730853506</v>
      </c>
      <c r="E33" s="275">
        <f>NPV($C$1,$D$6:D33)+D$5</f>
        <v>3.205094788908077</v>
      </c>
      <c r="F33" s="276">
        <f t="shared" si="2"/>
        <v>2.3294383731466452E-2</v>
      </c>
      <c r="G33" s="277"/>
      <c r="H33" s="274"/>
      <c r="I33" s="274"/>
      <c r="J33" s="286">
        <f>'Avoided Cost inputs'!K35/100</f>
        <v>0.18775724675280603</v>
      </c>
      <c r="K33" s="275">
        <f>NPV($C$1,$J$6:J33)+J$5</f>
        <v>1.7322331386252372</v>
      </c>
      <c r="L33" s="286">
        <f>'Avoided Cost inputs'!L35/100</f>
        <v>4.5236072783118049</v>
      </c>
      <c r="M33" s="275">
        <f>NPV($C$1,$L$6:L33)+L$5</f>
        <v>41.73443405854011</v>
      </c>
      <c r="N33" s="287"/>
      <c r="O33" s="287"/>
      <c r="P33" s="289"/>
    </row>
    <row r="34" spans="1:16">
      <c r="A34" s="8" t="str">
        <f t="shared" si="0"/>
        <v>w30</v>
      </c>
      <c r="B34" s="8">
        <v>30</v>
      </c>
      <c r="C34" s="8">
        <f t="shared" si="1"/>
        <v>2043</v>
      </c>
      <c r="D34" s="286">
        <f>D33*(1+'Avoided Cost inputs'!$G$9)</f>
        <v>0.36139621765470575</v>
      </c>
      <c r="E34" s="275">
        <f>NPV($C$1,$D$6:D34)+D$5</f>
        <v>3.255893658720419</v>
      </c>
      <c r="F34" s="276">
        <f t="shared" si="2"/>
        <v>2.1770452085482665E-2</v>
      </c>
      <c r="G34" s="277"/>
      <c r="H34" s="274"/>
      <c r="I34" s="274"/>
      <c r="J34" s="286">
        <f>'Avoided Cost inputs'!K36/100</f>
        <v>0.19151239168786216</v>
      </c>
      <c r="K34" s="275">
        <f>NPV($C$1,$J$6:J34)+J$5</f>
        <v>1.7591526595763312</v>
      </c>
      <c r="L34" s="286">
        <f>'Avoided Cost inputs'!L36/100</f>
        <v>4.6140794238780414</v>
      </c>
      <c r="M34" s="275">
        <f>NPV($C$1,$L$6:L34)+L$5</f>
        <v>42.383002052633877</v>
      </c>
      <c r="N34" s="287"/>
      <c r="O34" s="287"/>
      <c r="P34" s="289"/>
    </row>
    <row r="35" spans="1:16">
      <c r="B35" s="8"/>
      <c r="C35" s="8"/>
      <c r="D35" s="8"/>
      <c r="E35" s="8"/>
      <c r="F35" s="8"/>
      <c r="G35" s="8"/>
      <c r="H35" s="8"/>
      <c r="I35" s="8"/>
      <c r="J35" s="8"/>
      <c r="K35" s="8"/>
      <c r="L35" s="278"/>
      <c r="M35" s="8"/>
      <c r="N35" s="287"/>
    </row>
    <row r="36" spans="1:16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6">
      <c r="B37" s="8"/>
      <c r="C37" s="8"/>
      <c r="D37" s="8"/>
      <c r="E37" s="8">
        <v>4</v>
      </c>
      <c r="F37" s="8"/>
      <c r="G37" s="8"/>
      <c r="H37" s="8"/>
      <c r="I37" s="8"/>
      <c r="J37" s="8"/>
      <c r="K37" s="8">
        <v>10</v>
      </c>
      <c r="L37" s="8"/>
      <c r="M37" s="8">
        <v>12</v>
      </c>
    </row>
    <row r="38" spans="1:16">
      <c r="B38" s="8" t="s">
        <v>30</v>
      </c>
      <c r="C38" s="268"/>
      <c r="D38" s="8" t="s">
        <v>21</v>
      </c>
      <c r="E38" s="8"/>
      <c r="F38" s="8"/>
      <c r="G38" s="8"/>
      <c r="H38" s="8"/>
      <c r="I38" s="8"/>
      <c r="J38" s="8"/>
      <c r="K38" s="8"/>
      <c r="L38" s="8"/>
      <c r="M38" s="8"/>
    </row>
    <row r="39" spans="1:16">
      <c r="B39" s="8"/>
      <c r="C39" s="268"/>
      <c r="D39" s="8" t="s">
        <v>24</v>
      </c>
      <c r="E39" s="8"/>
      <c r="F39" s="8"/>
      <c r="G39" s="8"/>
      <c r="H39" s="8"/>
      <c r="I39" s="8"/>
      <c r="J39" s="8"/>
      <c r="K39" s="8"/>
      <c r="L39" s="8"/>
      <c r="M39" s="8"/>
    </row>
    <row r="40" spans="1:16">
      <c r="B40" s="8" t="s">
        <v>27</v>
      </c>
      <c r="C40" s="268"/>
      <c r="D40" s="7" t="s">
        <v>28</v>
      </c>
      <c r="E40" s="7" t="s">
        <v>29</v>
      </c>
      <c r="F40" s="270"/>
      <c r="G40" s="7"/>
      <c r="H40" s="7"/>
      <c r="I40" s="7"/>
      <c r="J40" s="7" t="s">
        <v>28</v>
      </c>
      <c r="K40" s="7" t="s">
        <v>29</v>
      </c>
      <c r="L40" s="7" t="s">
        <v>28</v>
      </c>
      <c r="M40" s="7" t="s">
        <v>29</v>
      </c>
    </row>
    <row r="41" spans="1:16">
      <c r="A41" s="8" t="str">
        <f>+"s"&amp;B41</f>
        <v>s1</v>
      </c>
      <c r="B41" s="8">
        <v>1</v>
      </c>
      <c r="C41" s="8">
        <v>2014</v>
      </c>
      <c r="D41" s="271">
        <f>'Avoided Cost inputs'!D62/1000</f>
        <v>0.16266984733889198</v>
      </c>
      <c r="E41" s="275">
        <f>+D41</f>
        <v>0.16266984733889198</v>
      </c>
      <c r="F41" s="274">
        <f>E41</f>
        <v>0.16266984733889198</v>
      </c>
      <c r="G41" s="279"/>
      <c r="H41" s="277"/>
      <c r="I41" s="272"/>
      <c r="J41" s="286">
        <f t="shared" ref="J41:J70" si="3">J5</f>
        <v>0.10769999999999999</v>
      </c>
      <c r="K41" s="280">
        <f>+J41</f>
        <v>0.10769999999999999</v>
      </c>
      <c r="L41" s="286">
        <f t="shared" ref="L41:L70" si="4">+L5</f>
        <v>2.5948000000000002</v>
      </c>
      <c r="M41" s="281">
        <f>+L41</f>
        <v>2.5948000000000002</v>
      </c>
      <c r="O41" s="287"/>
    </row>
    <row r="42" spans="1:16">
      <c r="A42" s="8" t="str">
        <f t="shared" ref="A42:A70" si="5">+"s"&amp;B42</f>
        <v>s2</v>
      </c>
      <c r="B42" s="8">
        <v>2</v>
      </c>
      <c r="C42" s="8">
        <f t="shared" ref="C42:C69" si="6">+C41+1</f>
        <v>2015</v>
      </c>
      <c r="D42" s="271">
        <f>'Avoided Cost inputs'!D63/1000</f>
        <v>0.17227334851789078</v>
      </c>
      <c r="E42" s="275">
        <f>NPV($C$1,$D$42:D42)+D$41</f>
        <v>0.32367297679486462</v>
      </c>
      <c r="F42" s="274">
        <f>NPV($C$1,D42)</f>
        <v>0.16100312945597267</v>
      </c>
      <c r="G42" s="279"/>
      <c r="H42" s="277"/>
      <c r="I42" s="272"/>
      <c r="J42" s="286">
        <f t="shared" si="3"/>
        <v>0.10999814654588162</v>
      </c>
      <c r="K42" s="275">
        <f>NPV($C$1,J$42:J42)+J$41</f>
        <v>0.21050200611764636</v>
      </c>
      <c r="L42" s="286">
        <f t="shared" si="4"/>
        <v>2.6501689011815568</v>
      </c>
      <c r="M42" s="281">
        <f>NPV($C$1,L$42:L42)+L$41</f>
        <v>5.0715933655902399</v>
      </c>
      <c r="O42" s="287"/>
    </row>
    <row r="43" spans="1:16">
      <c r="A43" s="8" t="str">
        <f t="shared" si="5"/>
        <v>s3</v>
      </c>
      <c r="B43" s="8">
        <v>3</v>
      </c>
      <c r="C43" s="8">
        <f t="shared" si="6"/>
        <v>2016</v>
      </c>
      <c r="D43" s="271">
        <f>'Avoided Cost inputs'!D64/1000</f>
        <v>0.192285269001991</v>
      </c>
      <c r="E43" s="275">
        <f>NPV($C$1,$D$42:D43)+D$41</f>
        <v>0.49162237761763605</v>
      </c>
      <c r="F43" s="274">
        <f t="shared" ref="F43:F70" si="7">NPV($C$1,D43)</f>
        <v>0.17970585888036542</v>
      </c>
      <c r="G43" s="279"/>
      <c r="H43" s="277"/>
      <c r="I43" s="272"/>
      <c r="J43" s="286">
        <f t="shared" si="3"/>
        <v>0.11221061126367472</v>
      </c>
      <c r="K43" s="275">
        <f>NPV($C$1,J$42:J43)+J$41</f>
        <v>0.30851109971855012</v>
      </c>
      <c r="L43" s="286">
        <f t="shared" si="4"/>
        <v>2.7034734828874951</v>
      </c>
      <c r="M43" s="281">
        <f>NPV($C$1,L$42:L43)+L$41</f>
        <v>7.432911806403844</v>
      </c>
      <c r="O43" s="287"/>
    </row>
    <row r="44" spans="1:16">
      <c r="A44" s="8" t="str">
        <f t="shared" si="5"/>
        <v>s4</v>
      </c>
      <c r="B44" s="8">
        <v>4</v>
      </c>
      <c r="C44" s="8">
        <f t="shared" si="6"/>
        <v>2017</v>
      </c>
      <c r="D44" s="271">
        <f>'Avoided Cost inputs'!D65/1000</f>
        <v>0.21450054418336159</v>
      </c>
      <c r="E44" s="275">
        <f>NPV($C$1,$D$42:D44)+D$41</f>
        <v>0.66671871642644642</v>
      </c>
      <c r="F44" s="274">
        <f t="shared" si="7"/>
        <v>0.2004677983022071</v>
      </c>
      <c r="G44" s="279"/>
      <c r="H44" s="277"/>
      <c r="I44" s="272"/>
      <c r="J44" s="286">
        <f t="shared" si="3"/>
        <v>0.1144621762202553</v>
      </c>
      <c r="K44" s="275">
        <f>NPV($C$1,J$42:J44)+J$41</f>
        <v>0.40194633115145106</v>
      </c>
      <c r="L44" s="286">
        <f t="shared" si="4"/>
        <v>2.757720100801472</v>
      </c>
      <c r="M44" s="281">
        <f>NPV($C$1,L$42:L44)+L$41</f>
        <v>9.6840328697473126</v>
      </c>
      <c r="O44" s="287"/>
    </row>
    <row r="45" spans="1:16">
      <c r="A45" s="8" t="str">
        <f t="shared" si="5"/>
        <v>s5</v>
      </c>
      <c r="B45" s="8">
        <v>5</v>
      </c>
      <c r="C45" s="8">
        <f t="shared" si="6"/>
        <v>2018</v>
      </c>
      <c r="D45" s="271">
        <f>'Avoided Cost inputs'!D66/1000</f>
        <v>0.24138224446808318</v>
      </c>
      <c r="E45" s="275">
        <f>NPV($C$1,$D$42:D45)+D$41</f>
        <v>0.8508680750044324</v>
      </c>
      <c r="F45" s="274">
        <f t="shared" si="7"/>
        <v>0.22559088268045155</v>
      </c>
      <c r="G45" s="279"/>
      <c r="H45" s="277"/>
      <c r="I45" s="272"/>
      <c r="J45" s="286">
        <f t="shared" si="3"/>
        <v>0.11677119108908939</v>
      </c>
      <c r="K45" s="275">
        <f>NPV($C$1,J$42:J45)+J$41</f>
        <v>0.49103051373840401</v>
      </c>
      <c r="L45" s="286">
        <f t="shared" si="4"/>
        <v>2.8133508508632237</v>
      </c>
      <c r="M45" s="281">
        <f>NPV($C$1,L$42:L45)+L$41</f>
        <v>11.830324763680697</v>
      </c>
      <c r="O45" s="287"/>
    </row>
    <row r="46" spans="1:16">
      <c r="A46" s="8" t="str">
        <f t="shared" si="5"/>
        <v>s6</v>
      </c>
      <c r="B46" s="8">
        <v>6</v>
      </c>
      <c r="C46" s="8">
        <f t="shared" si="6"/>
        <v>2019</v>
      </c>
      <c r="D46" s="271">
        <f>'Avoided Cost inputs'!D67/1000</f>
        <v>0.29653985025503776</v>
      </c>
      <c r="E46" s="275">
        <f>NPV($C$1,$D$42:D46)+D$41</f>
        <v>1.0622968899024308</v>
      </c>
      <c r="F46" s="274">
        <f t="shared" si="7"/>
        <v>0.27714004696732497</v>
      </c>
      <c r="G46" s="279"/>
      <c r="H46" s="277"/>
      <c r="I46" s="272"/>
      <c r="J46" s="286">
        <f t="shared" si="3"/>
        <v>0.11916434435553355</v>
      </c>
      <c r="K46" s="275">
        <f>NPV($C$1,J$42:J46)+J$41</f>
        <v>0.57599304435113208</v>
      </c>
      <c r="L46" s="286">
        <f t="shared" si="4"/>
        <v>2.871008734760804</v>
      </c>
      <c r="M46" s="281">
        <f>NPV($C$1,L$42:L46)+L$41</f>
        <v>13.87731431274204</v>
      </c>
      <c r="O46" s="287"/>
    </row>
    <row r="47" spans="1:16">
      <c r="A47" s="8" t="str">
        <f t="shared" si="5"/>
        <v>s7</v>
      </c>
      <c r="B47" s="8">
        <v>7</v>
      </c>
      <c r="C47" s="8">
        <f t="shared" si="6"/>
        <v>2020</v>
      </c>
      <c r="D47" s="271">
        <f>'Avoided Cost inputs'!D68/1000</f>
        <v>0.26761202372390192</v>
      </c>
      <c r="E47" s="275">
        <f>NPV($C$1,$D$42:D47)+D$41</f>
        <v>1.2406180809106528</v>
      </c>
      <c r="F47" s="274">
        <f t="shared" si="7"/>
        <v>0.25010469506906718</v>
      </c>
      <c r="G47" s="279"/>
      <c r="H47" s="277"/>
      <c r="I47" s="272"/>
      <c r="J47" s="286">
        <f t="shared" si="3"/>
        <v>0.12161057448120899</v>
      </c>
      <c r="K47" s="275">
        <f>NPV($C$1,J$42:J47)+J$41</f>
        <v>0.65702730499054451</v>
      </c>
      <c r="L47" s="286">
        <f t="shared" si="4"/>
        <v>2.9299453914934186</v>
      </c>
      <c r="M47" s="281">
        <f>NPV($C$1,L$42:L47)+L$41</f>
        <v>15.829660640570708</v>
      </c>
      <c r="O47" s="287"/>
    </row>
    <row r="48" spans="1:16">
      <c r="A48" s="8" t="str">
        <f t="shared" si="5"/>
        <v>s8</v>
      </c>
      <c r="B48" s="8">
        <v>8</v>
      </c>
      <c r="C48" s="8">
        <f t="shared" si="6"/>
        <v>2021</v>
      </c>
      <c r="D48" s="271">
        <f>'Avoided Cost inputs'!D69/1000</f>
        <v>0.26587690391894764</v>
      </c>
      <c r="E48" s="275">
        <f>NPV($C$1,$D$42:D48)+D$41</f>
        <v>1.4061928541992517</v>
      </c>
      <c r="F48" s="274">
        <f t="shared" si="7"/>
        <v>0.24848308777471739</v>
      </c>
      <c r="G48" s="279"/>
      <c r="H48" s="277"/>
      <c r="I48" s="272"/>
      <c r="J48" s="286">
        <f t="shared" si="3"/>
        <v>0.12403210971922915</v>
      </c>
      <c r="K48" s="275">
        <f>NPV($C$1,J$42:J48)+J$41</f>
        <v>0.73426826930359579</v>
      </c>
      <c r="L48" s="286">
        <f t="shared" si="4"/>
        <v>2.9882870779893769</v>
      </c>
      <c r="M48" s="281">
        <f>NPV($C$1,L$42:L48)+L$41</f>
        <v>17.690615647065652</v>
      </c>
      <c r="O48" s="287"/>
    </row>
    <row r="49" spans="1:16">
      <c r="A49" s="8" t="str">
        <f t="shared" si="5"/>
        <v>s9</v>
      </c>
      <c r="B49" s="8">
        <v>9</v>
      </c>
      <c r="C49" s="8">
        <f t="shared" si="6"/>
        <v>2022</v>
      </c>
      <c r="D49" s="271">
        <f>'Avoided Cost inputs'!D70/1000</f>
        <v>0.26691825816067433</v>
      </c>
      <c r="E49" s="275">
        <f>NPV($C$1,$D$42:D49)+D$41</f>
        <v>1.5615417106234053</v>
      </c>
      <c r="F49" s="274">
        <f t="shared" si="7"/>
        <v>0.24945631603801338</v>
      </c>
      <c r="G49" s="282"/>
      <c r="H49" s="277"/>
      <c r="I49" s="272"/>
      <c r="J49" s="286">
        <f t="shared" si="3"/>
        <v>0.12644417000903438</v>
      </c>
      <c r="K49" s="275">
        <f>NPV($C$1,J$42:J49)+J$41</f>
        <v>0.80785992746802338</v>
      </c>
      <c r="L49" s="286">
        <f t="shared" si="4"/>
        <v>3.0464004859743965</v>
      </c>
      <c r="M49" s="281">
        <f>NPV($C$1,L$42:L49)+L$41</f>
        <v>19.463648466054106</v>
      </c>
      <c r="O49" s="287"/>
      <c r="P49" s="289"/>
    </row>
    <row r="50" spans="1:16">
      <c r="A50" s="8" t="str">
        <f t="shared" si="5"/>
        <v>s10</v>
      </c>
      <c r="B50" s="8">
        <v>10</v>
      </c>
      <c r="C50" s="8">
        <f t="shared" si="6"/>
        <v>2023</v>
      </c>
      <c r="D50" s="271">
        <f>'Avoided Cost inputs'!D71/1000</f>
        <v>0.25929711144060774</v>
      </c>
      <c r="E50" s="275">
        <f>NPV($C$1,$D$42:D50)+D$41</f>
        <v>1.7025821588905539</v>
      </c>
      <c r="F50" s="274">
        <f t="shared" si="7"/>
        <v>0.24233374900991375</v>
      </c>
      <c r="G50" s="274"/>
      <c r="H50" s="277"/>
      <c r="I50" s="272"/>
      <c r="J50" s="286">
        <f t="shared" si="3"/>
        <v>0.12897117299641553</v>
      </c>
      <c r="K50" s="275">
        <f>NPV($C$1,J$42:J50)+J$41</f>
        <v>0.87801170028143116</v>
      </c>
      <c r="L50" s="286">
        <f t="shared" si="4"/>
        <v>3.1072831911894063</v>
      </c>
      <c r="M50" s="281">
        <f>NPV($C$1,L$42:L50)+L$41</f>
        <v>21.153804641506575</v>
      </c>
      <c r="O50" s="287"/>
      <c r="P50" s="289"/>
    </row>
    <row r="51" spans="1:16">
      <c r="A51" s="8" t="str">
        <f t="shared" si="5"/>
        <v>s11</v>
      </c>
      <c r="B51" s="8">
        <v>11</v>
      </c>
      <c r="C51" s="8">
        <f t="shared" si="6"/>
        <v>2024</v>
      </c>
      <c r="D51" s="286">
        <f>D50*(1+'Avoided Cost inputs'!$G$58)</f>
        <v>0.26448305366941988</v>
      </c>
      <c r="E51" s="275">
        <f>NPV($C$1,$D$42:D51)+D$41</f>
        <v>1.8370319320050319</v>
      </c>
      <c r="F51" s="274">
        <f t="shared" si="7"/>
        <v>0.24718042399011203</v>
      </c>
      <c r="G51" s="274"/>
      <c r="H51" s="277"/>
      <c r="I51" s="272"/>
      <c r="J51" s="286">
        <f t="shared" si="3"/>
        <v>0.13153230294659793</v>
      </c>
      <c r="K51" s="275">
        <f>NPV($C$1,J$42:J51)+J$41</f>
        <v>0.9448760533771835</v>
      </c>
      <c r="L51" s="286">
        <f t="shared" si="4"/>
        <v>3.1689881122175709</v>
      </c>
      <c r="M51" s="281">
        <f>NPV($C$1,L$42:L51)+L$41</f>
        <v>22.764757505135712</v>
      </c>
      <c r="O51" s="287"/>
      <c r="P51" s="289"/>
    </row>
    <row r="52" spans="1:16">
      <c r="A52" s="8" t="str">
        <f t="shared" si="5"/>
        <v>s12</v>
      </c>
      <c r="B52" s="8">
        <v>12</v>
      </c>
      <c r="C52" s="8">
        <f t="shared" si="6"/>
        <v>2025</v>
      </c>
      <c r="D52" s="286">
        <f>D51*(1+'Avoided Cost inputs'!$G$58)</f>
        <v>0.26977271474280828</v>
      </c>
      <c r="E52" s="275">
        <f>NPV($C$1,$D$42:D52)+D$41</f>
        <v>1.9651990054412636</v>
      </c>
      <c r="F52" s="274">
        <f t="shared" si="7"/>
        <v>0.25212403246991427</v>
      </c>
      <c r="G52" s="274"/>
      <c r="H52" s="277"/>
      <c r="I52" s="272"/>
      <c r="J52" s="286">
        <f t="shared" si="3"/>
        <v>0.13415778537311809</v>
      </c>
      <c r="K52" s="275">
        <f>NPV($C$1,J$42:J52)+J$41</f>
        <v>1.0086134507872637</v>
      </c>
      <c r="L52" s="286">
        <f t="shared" si="4"/>
        <v>3.2322434678381331</v>
      </c>
      <c r="M52" s="281">
        <f>NPV($C$1,L$42:L52)+L$41</f>
        <v>24.300373092876441</v>
      </c>
      <c r="O52" s="287"/>
      <c r="P52" s="289"/>
    </row>
    <row r="53" spans="1:16">
      <c r="A53" s="8" t="str">
        <f t="shared" si="5"/>
        <v>s13</v>
      </c>
      <c r="B53" s="8">
        <v>13</v>
      </c>
      <c r="C53" s="8">
        <f t="shared" si="6"/>
        <v>2026</v>
      </c>
      <c r="D53" s="286">
        <f>D52*(1+'Avoided Cost inputs'!$G$58)</f>
        <v>0.27516816903766445</v>
      </c>
      <c r="E53" s="275">
        <f>NPV($C$1,$D$42:D53)+D$41</f>
        <v>2.0873769632963626</v>
      </c>
      <c r="F53" s="274">
        <f t="shared" si="7"/>
        <v>0.25716651311931255</v>
      </c>
      <c r="G53" s="274"/>
      <c r="H53" s="277"/>
      <c r="I53" s="272"/>
      <c r="J53" s="286">
        <f t="shared" si="3"/>
        <v>0.13683630178580064</v>
      </c>
      <c r="K53" s="275">
        <f>NPV($C$1,J$42:J53)+J$41</f>
        <v>1.0693704052384334</v>
      </c>
      <c r="L53" s="286">
        <f t="shared" si="4"/>
        <v>3.2967765633592911</v>
      </c>
      <c r="M53" s="281">
        <f>NPV($C$1,L$42:L53)+L$41</f>
        <v>25.764181313952538</v>
      </c>
      <c r="O53" s="287"/>
      <c r="P53" s="289"/>
    </row>
    <row r="54" spans="1:16">
      <c r="A54" s="8" t="str">
        <f t="shared" si="5"/>
        <v>s14</v>
      </c>
      <c r="B54" s="8">
        <v>14</v>
      </c>
      <c r="C54" s="8">
        <f t="shared" si="6"/>
        <v>2027</v>
      </c>
      <c r="D54" s="286">
        <f>D53*(1+'Avoided Cost inputs'!$G$58)</f>
        <v>0.28067153241841775</v>
      </c>
      <c r="E54" s="275">
        <f>NPV($C$1,$D$42:D54)+D$41</f>
        <v>2.2038456707844012</v>
      </c>
      <c r="F54" s="274">
        <f t="shared" si="7"/>
        <v>0.26230984338169883</v>
      </c>
      <c r="G54" s="274"/>
      <c r="H54" s="277"/>
      <c r="I54" s="272"/>
      <c r="J54" s="286">
        <f t="shared" si="3"/>
        <v>0.13955505457359507</v>
      </c>
      <c r="K54" s="275">
        <f>NPV($C$1,J$42:J54)+J$41</f>
        <v>1.1272807914096199</v>
      </c>
      <c r="L54" s="286">
        <f t="shared" si="4"/>
        <v>3.3622790678511105</v>
      </c>
      <c r="M54" s="281">
        <f>NPV($C$1,L$42:L54)+L$41</f>
        <v>27.159407590990561</v>
      </c>
      <c r="O54" s="287"/>
      <c r="P54" s="289"/>
    </row>
    <row r="55" spans="1:16">
      <c r="A55" s="8" t="str">
        <f t="shared" si="5"/>
        <v>s15</v>
      </c>
      <c r="B55" s="8">
        <v>15</v>
      </c>
      <c r="C55" s="8">
        <f t="shared" si="6"/>
        <v>2028</v>
      </c>
      <c r="D55" s="286">
        <f>D54*(1+'Avoided Cost inputs'!$G$58)</f>
        <v>0.28628496306678608</v>
      </c>
      <c r="E55" s="275">
        <f>NPV($C$1,$D$42:D55)+D$41</f>
        <v>2.3148719153057087</v>
      </c>
      <c r="F55" s="274">
        <f t="shared" si="7"/>
        <v>0.26755604024933277</v>
      </c>
      <c r="G55" s="274"/>
      <c r="H55" s="277"/>
      <c r="I55" s="272"/>
      <c r="J55" s="286">
        <f t="shared" si="3"/>
        <v>0.14233397971351475</v>
      </c>
      <c r="K55" s="275">
        <f>NPV($C$1,J$42:J55)+J$41</f>
        <v>1.182480362725131</v>
      </c>
      <c r="L55" s="286">
        <f t="shared" si="4"/>
        <v>3.4292312958275595</v>
      </c>
      <c r="M55" s="281">
        <f>NPV($C$1,L$42:L55)+L$41</f>
        <v>28.489322610948669</v>
      </c>
      <c r="O55" s="287"/>
      <c r="P55" s="289"/>
    </row>
    <row r="56" spans="1:16">
      <c r="A56" s="8" t="str">
        <f t="shared" si="5"/>
        <v>s16</v>
      </c>
      <c r="B56" s="8">
        <v>16</v>
      </c>
      <c r="C56" s="8">
        <f t="shared" si="6"/>
        <v>2029</v>
      </c>
      <c r="D56" s="286">
        <f>D55*(1+'Avoided Cost inputs'!$G$58)</f>
        <v>0.29201066232812178</v>
      </c>
      <c r="E56" s="275">
        <f>NPV($C$1,$D$42:D56)+D$41</f>
        <v>2.4207100175596654</v>
      </c>
      <c r="F56" s="274">
        <f t="shared" si="7"/>
        <v>0.27290716105431939</v>
      </c>
      <c r="G56" s="274"/>
      <c r="H56" s="277"/>
      <c r="I56" s="272"/>
      <c r="J56" s="286">
        <f t="shared" si="3"/>
        <v>0.14518323812287612</v>
      </c>
      <c r="K56" s="275">
        <f>NPV($C$1,J$42:J56)+J$41</f>
        <v>1.2351014495015562</v>
      </c>
      <c r="L56" s="286">
        <f t="shared" si="4"/>
        <v>3.497878052750595</v>
      </c>
      <c r="M56" s="281">
        <f>NPV($C$1,L$42:L56)+L$41</f>
        <v>29.757114588362487</v>
      </c>
      <c r="O56" s="287"/>
      <c r="P56" s="289"/>
    </row>
    <row r="57" spans="1:16">
      <c r="A57" s="8" t="str">
        <f t="shared" si="5"/>
        <v>s17</v>
      </c>
      <c r="B57" s="8">
        <v>17</v>
      </c>
      <c r="C57" s="8">
        <f t="shared" si="6"/>
        <v>2030</v>
      </c>
      <c r="D57" s="286">
        <f>D56*(1+'Avoided Cost inputs'!$G$58)</f>
        <v>0.2978508755746842</v>
      </c>
      <c r="E57" s="275">
        <f>NPV($C$1,$D$42:D57)+D$41</f>
        <v>2.5216024141008204</v>
      </c>
      <c r="F57" s="274">
        <f t="shared" si="7"/>
        <v>0.27836530427540579</v>
      </c>
      <c r="G57" s="274"/>
      <c r="H57" s="277"/>
      <c r="I57" s="272"/>
      <c r="J57" s="286">
        <f t="shared" si="3"/>
        <v>0.1480842657628689</v>
      </c>
      <c r="K57" s="275">
        <f>NPV($C$1,J$42:J57)+J$41</f>
        <v>1.2852627137047461</v>
      </c>
      <c r="L57" s="286">
        <f t="shared" si="4"/>
        <v>3.5677720780082858</v>
      </c>
      <c r="M57" s="281">
        <f>NPV($C$1,L$42:L57)+L$41</f>
        <v>30.965642428236556</v>
      </c>
      <c r="O57" s="287"/>
      <c r="P57" s="289"/>
    </row>
    <row r="58" spans="1:16">
      <c r="A58" s="8" t="str">
        <f t="shared" si="5"/>
        <v>s18</v>
      </c>
      <c r="B58" s="8">
        <v>18</v>
      </c>
      <c r="C58" s="8">
        <f t="shared" si="6"/>
        <v>2031</v>
      </c>
      <c r="D58" s="286">
        <f>D57*(1+'Avoided Cost inputs'!$G$58)</f>
        <v>0.30380789308617789</v>
      </c>
      <c r="E58" s="275">
        <f>NPV($C$1,$D$42:D58)+D$41</f>
        <v>2.6177802126727627</v>
      </c>
      <c r="F58" s="274">
        <f t="shared" si="7"/>
        <v>0.28393261036091388</v>
      </c>
      <c r="G58" s="274"/>
      <c r="H58" s="277"/>
      <c r="I58" s="272"/>
      <c r="J58" s="286">
        <f t="shared" si="3"/>
        <v>0.15105071770592057</v>
      </c>
      <c r="K58" s="275">
        <f>NPV($C$1,J$42:J58)+J$41</f>
        <v>1.333081502591664</v>
      </c>
      <c r="L58" s="286">
        <f t="shared" si="4"/>
        <v>3.6392423612193392</v>
      </c>
      <c r="M58" s="281">
        <f>NPV($C$1,L$42:L58)+L$41</f>
        <v>32.117733360490739</v>
      </c>
      <c r="O58" s="287"/>
      <c r="P58" s="289"/>
    </row>
    <row r="59" spans="1:16">
      <c r="A59" s="8" t="str">
        <f t="shared" si="5"/>
        <v>s19</v>
      </c>
      <c r="B59" s="8">
        <v>19</v>
      </c>
      <c r="C59" s="8">
        <f t="shared" si="6"/>
        <v>2032</v>
      </c>
      <c r="D59" s="286">
        <f>D58*(1+'Avoided Cost inputs'!$G$58)</f>
        <v>0.30988405094790145</v>
      </c>
      <c r="E59" s="275">
        <f>NPV($C$1,$D$42:D59)+D$41</f>
        <v>2.7094637215918103</v>
      </c>
      <c r="F59" s="274">
        <f t="shared" si="7"/>
        <v>0.28961126256813219</v>
      </c>
      <c r="G59" s="274"/>
      <c r="H59" s="277"/>
      <c r="I59" s="272"/>
      <c r="J59" s="286">
        <f t="shared" si="3"/>
        <v>0.15405699872993009</v>
      </c>
      <c r="K59" s="275">
        <f>NPV($C$1,J$42:J59)+J$41</f>
        <v>1.3786614095726526</v>
      </c>
      <c r="L59" s="286">
        <f t="shared" si="4"/>
        <v>3.711672240523888</v>
      </c>
      <c r="M59" s="281">
        <f>NPV($C$1,L$42:L59)+L$41</f>
        <v>33.215883245674299</v>
      </c>
      <c r="O59" s="287"/>
      <c r="P59" s="289"/>
    </row>
    <row r="60" spans="1:16">
      <c r="A60" s="8" t="str">
        <f t="shared" si="5"/>
        <v>s20</v>
      </c>
      <c r="B60" s="8">
        <v>20</v>
      </c>
      <c r="C60" s="8">
        <f t="shared" si="6"/>
        <v>2033</v>
      </c>
      <c r="D60" s="286">
        <f>D59*(1+'Avoided Cost inputs'!$G$58)</f>
        <v>0.31608173196685946</v>
      </c>
      <c r="E60" s="275">
        <f>NPV($C$1,$D$42:D60)+D$41</f>
        <v>2.7968629543931454</v>
      </c>
      <c r="F60" s="274">
        <f t="shared" si="7"/>
        <v>0.29540348781949483</v>
      </c>
      <c r="G60" s="274"/>
      <c r="H60" s="277"/>
      <c r="I60" s="272"/>
      <c r="J60" s="286">
        <f t="shared" si="3"/>
        <v>0.15712274470042886</v>
      </c>
      <c r="K60" s="275">
        <f>NPV($C$1,J$42:J60)+J$41</f>
        <v>1.4221071577878559</v>
      </c>
      <c r="L60" s="286">
        <f t="shared" si="4"/>
        <v>3.7855347998948279</v>
      </c>
      <c r="M60" s="281">
        <f>NPV($C$1,L$42:L60)+L$41</f>
        <v>34.262615162747743</v>
      </c>
      <c r="O60" s="287"/>
      <c r="P60" s="289"/>
    </row>
    <row r="61" spans="1:16">
      <c r="A61" s="8" t="str">
        <f t="shared" si="5"/>
        <v>s21</v>
      </c>
      <c r="B61" s="8">
        <v>21</v>
      </c>
      <c r="C61" s="8">
        <f t="shared" si="6"/>
        <v>2034</v>
      </c>
      <c r="D61" s="286">
        <f>D60*(1+'Avoided Cost inputs'!$G$58)</f>
        <v>0.32240336660619667</v>
      </c>
      <c r="E61" s="275">
        <f>NPV($C$1,$D$42:D61)+D$41</f>
        <v>2.8801781108953528</v>
      </c>
      <c r="F61" s="274">
        <f t="shared" si="7"/>
        <v>0.30131155757588474</v>
      </c>
      <c r="G61" s="274"/>
      <c r="H61" s="277"/>
      <c r="I61" s="272"/>
      <c r="J61" s="286">
        <f t="shared" si="3"/>
        <v>0.16024915606334456</v>
      </c>
      <c r="K61" s="275">
        <f>NPV($C$1,J$42:J61)+J$41</f>
        <v>1.4635185848995094</v>
      </c>
      <c r="L61" s="286">
        <f t="shared" si="4"/>
        <v>3.860858961496441</v>
      </c>
      <c r="M61" s="281">
        <f>NPV($C$1,L$42:L61)+L$41</f>
        <v>35.260334485582639</v>
      </c>
      <c r="O61" s="287"/>
      <c r="P61" s="289"/>
    </row>
    <row r="62" spans="1:16">
      <c r="A62" s="8" t="str">
        <f t="shared" si="5"/>
        <v>s22</v>
      </c>
      <c r="B62" s="8">
        <v>22</v>
      </c>
      <c r="C62" s="8">
        <f t="shared" si="6"/>
        <v>2035</v>
      </c>
      <c r="D62" s="286">
        <f>D61*(1+'Avoided Cost inputs'!$G$58)</f>
        <v>0.32885143393832061</v>
      </c>
      <c r="E62" s="275">
        <f>NPV($C$1,$D$42:D62)+D$41</f>
        <v>2.9596000357853076</v>
      </c>
      <c r="F62" s="274">
        <f t="shared" si="7"/>
        <v>0.30733778872740242</v>
      </c>
      <c r="G62" s="274"/>
      <c r="H62" s="277"/>
      <c r="I62" s="272"/>
      <c r="J62" s="286">
        <f t="shared" si="3"/>
        <v>0.16345398226917948</v>
      </c>
      <c r="K62" s="275">
        <f>NPV($C$1,J$42:J62)+J$41</f>
        <v>1.5029948606976</v>
      </c>
      <c r="L62" s="286">
        <f t="shared" si="4"/>
        <v>3.9380723601863248</v>
      </c>
      <c r="M62" s="281">
        <f>NPV($C$1,L$42:L62)+L$41</f>
        <v>36.211430497104331</v>
      </c>
      <c r="O62" s="287"/>
      <c r="P62" s="289"/>
    </row>
    <row r="63" spans="1:16">
      <c r="A63" s="8" t="str">
        <f t="shared" si="5"/>
        <v>s23</v>
      </c>
      <c r="B63" s="8">
        <v>23</v>
      </c>
      <c r="C63" s="8">
        <f t="shared" si="6"/>
        <v>2036</v>
      </c>
      <c r="D63" s="286">
        <f>D62*(1+'Avoided Cost inputs'!$G$58)</f>
        <v>0.33542846261708703</v>
      </c>
      <c r="E63" s="275">
        <f>NPV($C$1,$D$42:D63)+D$41</f>
        <v>3.0353106557738623</v>
      </c>
      <c r="F63" s="274">
        <f t="shared" si="7"/>
        <v>0.31348454450195046</v>
      </c>
      <c r="G63" s="274"/>
      <c r="H63" s="277"/>
      <c r="I63" s="272"/>
      <c r="J63" s="286">
        <f t="shared" si="3"/>
        <v>0.16672306191456307</v>
      </c>
      <c r="K63" s="275">
        <f>NPV($C$1,J$42:J63)+J$41</f>
        <v>1.5406264507107332</v>
      </c>
      <c r="L63" s="286">
        <f t="shared" si="4"/>
        <v>4.0168338073900518</v>
      </c>
      <c r="M63" s="281">
        <f>NPV($C$1,L$42:L63)+L$41</f>
        <v>37.118082769769863</v>
      </c>
      <c r="O63" s="287"/>
      <c r="P63" s="289"/>
    </row>
    <row r="64" spans="1:16">
      <c r="A64" s="8" t="str">
        <f t="shared" si="5"/>
        <v>s24</v>
      </c>
      <c r="B64" s="8">
        <v>24</v>
      </c>
      <c r="C64" s="8">
        <f t="shared" si="6"/>
        <v>2037</v>
      </c>
      <c r="D64" s="286">
        <f>D63*(1+'Avoided Cost inputs'!$G$58)</f>
        <v>0.34213703186942879</v>
      </c>
      <c r="E64" s="275">
        <f>NPV($C$1,$D$42:D64)+D$41</f>
        <v>3.1074833963236999</v>
      </c>
      <c r="F64" s="274">
        <f t="shared" si="7"/>
        <v>0.31975423539198949</v>
      </c>
      <c r="G64" s="274"/>
      <c r="H64" s="277"/>
      <c r="I64" s="272"/>
      <c r="J64" s="286">
        <f t="shared" si="3"/>
        <v>0.17005752315285436</v>
      </c>
      <c r="K64" s="275">
        <f>NPV($C$1,J$42:J64)+J$41</f>
        <v>1.576499555209234</v>
      </c>
      <c r="L64" s="286">
        <f t="shared" si="4"/>
        <v>4.0971704835378526</v>
      </c>
      <c r="M64" s="281">
        <f>NPV($C$1,L$42:L64)+L$41</f>
        <v>37.982368113806167</v>
      </c>
      <c r="O64" s="287"/>
      <c r="P64" s="289"/>
    </row>
    <row r="65" spans="1:16">
      <c r="A65" s="8" t="str">
        <f t="shared" si="5"/>
        <v>s25</v>
      </c>
      <c r="B65" s="8">
        <v>25</v>
      </c>
      <c r="C65" s="8">
        <f t="shared" si="6"/>
        <v>2038</v>
      </c>
      <c r="D65" s="286">
        <f>D64*(1+'Avoided Cost inputs'!$G$58)</f>
        <v>0.34897977250681739</v>
      </c>
      <c r="E65" s="275">
        <f>NPV($C$1,$D$42:D65)+D$41</f>
        <v>3.1762835789039183</v>
      </c>
      <c r="F65" s="274">
        <f t="shared" si="7"/>
        <v>0.32614932009982933</v>
      </c>
      <c r="G65" s="274"/>
      <c r="H65" s="277"/>
      <c r="I65" s="272"/>
      <c r="J65" s="286">
        <f t="shared" si="3"/>
        <v>0.17345867361591144</v>
      </c>
      <c r="K65" s="275">
        <f>NPV($C$1,J$42:J65)+J$41</f>
        <v>1.6106963464134123</v>
      </c>
      <c r="L65" s="286">
        <f t="shared" si="4"/>
        <v>4.1791138932086094</v>
      </c>
      <c r="M65" s="281">
        <f>NPV($C$1,L$42:L65)+L$41</f>
        <v>38.806266292233296</v>
      </c>
      <c r="O65" s="287"/>
      <c r="P65" s="289"/>
    </row>
    <row r="66" spans="1:16">
      <c r="A66" s="8" t="str">
        <f t="shared" si="5"/>
        <v>s26</v>
      </c>
      <c r="B66" s="8">
        <v>26</v>
      </c>
      <c r="C66" s="8">
        <f t="shared" si="6"/>
        <v>2039</v>
      </c>
      <c r="D66" s="286">
        <f>D65*(1+'Avoided Cost inputs'!$G$58)</f>
        <v>0.35595936795695376</v>
      </c>
      <c r="E66" s="275">
        <f>NPV($C$1,$D$42:D66)+D$41</f>
        <v>3.2418687996813236</v>
      </c>
      <c r="F66" s="274">
        <f t="shared" si="7"/>
        <v>0.33267230650182594</v>
      </c>
      <c r="G66" s="274"/>
      <c r="H66" s="277"/>
      <c r="I66" s="272"/>
      <c r="J66" s="286">
        <f t="shared" si="3"/>
        <v>0.17692784708822967</v>
      </c>
      <c r="K66" s="275">
        <f>NPV($C$1,J$42:J66)+J$41</f>
        <v>1.6432951567201992</v>
      </c>
      <c r="L66" s="286">
        <f t="shared" si="4"/>
        <v>4.2626961710727818</v>
      </c>
      <c r="M66" s="281">
        <f>NPV($C$1,L$42:L66)+L$41</f>
        <v>39.59166455578066</v>
      </c>
      <c r="O66" s="287"/>
      <c r="P66" s="289"/>
    </row>
    <row r="67" spans="1:16">
      <c r="A67" s="8" t="str">
        <f t="shared" si="5"/>
        <v>s27</v>
      </c>
      <c r="B67" s="8">
        <v>27</v>
      </c>
      <c r="C67" s="8">
        <f t="shared" si="6"/>
        <v>2040</v>
      </c>
      <c r="D67" s="286">
        <f>D66*(1+'Avoided Cost inputs'!$G$58)</f>
        <v>0.36307855531609284</v>
      </c>
      <c r="E67" s="275">
        <f>NPV($C$1,$D$42:D67)+D$41</f>
        <v>3.3043892905158589</v>
      </c>
      <c r="F67" s="274">
        <f t="shared" si="7"/>
        <v>0.33932575263186243</v>
      </c>
      <c r="G67" s="274"/>
      <c r="H67" s="277"/>
      <c r="I67" s="272"/>
      <c r="J67" s="286">
        <f t="shared" si="3"/>
        <v>0.18046640402999425</v>
      </c>
      <c r="K67" s="275">
        <f>NPV($C$1,J$42:J67)+J$41</f>
        <v>1.6743706581341455</v>
      </c>
      <c r="L67" s="286">
        <f t="shared" si="4"/>
        <v>4.3479500944942373</v>
      </c>
      <c r="M67" s="281">
        <f>NPV($C$1,L$42:L67)+L$41</f>
        <v>40.340361965891226</v>
      </c>
      <c r="O67" s="287"/>
      <c r="P67" s="289"/>
    </row>
    <row r="68" spans="1:16">
      <c r="A68" s="8" t="str">
        <f t="shared" si="5"/>
        <v>s28</v>
      </c>
      <c r="B68" s="8">
        <v>28</v>
      </c>
      <c r="C68" s="8">
        <f t="shared" si="6"/>
        <v>2041</v>
      </c>
      <c r="D68" s="286">
        <f>D67*(1+'Avoided Cost inputs'!$G$58)</f>
        <v>0.37034012642241471</v>
      </c>
      <c r="E68" s="275">
        <f>NPV($C$1,$D$42:D68)+D$41</f>
        <v>3.3639882630870983</v>
      </c>
      <c r="F68" s="274">
        <f t="shared" si="7"/>
        <v>0.34611226768449971</v>
      </c>
      <c r="G68" s="274"/>
      <c r="H68" s="277"/>
      <c r="I68" s="272"/>
      <c r="J68" s="286">
        <f t="shared" si="3"/>
        <v>0.18407573211059414</v>
      </c>
      <c r="K68" s="275">
        <f>NPV($C$1,J$42:J68)+J$41</f>
        <v>1.7039940333137953</v>
      </c>
      <c r="L68" s="286">
        <f t="shared" si="4"/>
        <v>4.4349090963841222</v>
      </c>
      <c r="M68" s="281">
        <f>NPV($C$1,L$42:L68)+L$41</f>
        <v>41.054073515716247</v>
      </c>
      <c r="O68" s="287"/>
      <c r="P68" s="289"/>
    </row>
    <row r="69" spans="1:16">
      <c r="A69" s="8" t="str">
        <f t="shared" si="5"/>
        <v>s29</v>
      </c>
      <c r="B69" s="8">
        <v>29</v>
      </c>
      <c r="C69" s="8">
        <f t="shared" si="6"/>
        <v>2042</v>
      </c>
      <c r="D69" s="286">
        <f>D68*(1+'Avoided Cost inputs'!$G$58)</f>
        <v>0.37774692895086298</v>
      </c>
      <c r="E69" s="275">
        <f>NPV($C$1,$D$42:D69)+D$41</f>
        <v>3.4208022369400557</v>
      </c>
      <c r="F69" s="274">
        <f t="shared" si="7"/>
        <v>0.35303451303818967</v>
      </c>
      <c r="G69" s="274"/>
      <c r="H69" s="277"/>
      <c r="I69" s="272"/>
      <c r="J69" s="286">
        <f t="shared" si="3"/>
        <v>0.18775724675280603</v>
      </c>
      <c r="K69" s="275">
        <f>NPV($C$1,J$42:J69)+J$41</f>
        <v>1.7322331386252372</v>
      </c>
      <c r="L69" s="286">
        <f t="shared" si="4"/>
        <v>4.5236072783118049</v>
      </c>
      <c r="M69" s="281">
        <f>NPV($C$1,L$42:L69)+L$41</f>
        <v>41.73443405854011</v>
      </c>
      <c r="O69" s="287"/>
      <c r="P69" s="289"/>
    </row>
    <row r="70" spans="1:16">
      <c r="A70" s="8" t="str">
        <f t="shared" si="5"/>
        <v>s30</v>
      </c>
      <c r="B70" s="8">
        <v>30</v>
      </c>
      <c r="C70" s="8">
        <f>+C69+1</f>
        <v>2043</v>
      </c>
      <c r="D70" s="286">
        <f>D69*(1+'Avoided Cost inputs'!$G$58)</f>
        <v>0.38530186752988027</v>
      </c>
      <c r="E70" s="275">
        <f>NPV($C$1,$D$42:D70)+D$41</f>
        <v>3.4749613522017531</v>
      </c>
      <c r="F70" s="274">
        <f t="shared" si="7"/>
        <v>0.3600952032989535</v>
      </c>
      <c r="G70" s="274"/>
      <c r="H70" s="277"/>
      <c r="I70" s="272"/>
      <c r="J70" s="286">
        <f t="shared" si="3"/>
        <v>0.19151239168786216</v>
      </c>
      <c r="K70" s="275">
        <f>NPV($C$1,J$42:J70)+J$41</f>
        <v>1.7591526595763312</v>
      </c>
      <c r="L70" s="286">
        <f t="shared" si="4"/>
        <v>4.6140794238780414</v>
      </c>
      <c r="M70" s="281">
        <f>NPV($C$1,L$42:L70)+L$41</f>
        <v>42.383002052633877</v>
      </c>
      <c r="O70" s="287"/>
      <c r="P70" s="289"/>
    </row>
    <row r="71" spans="1:16">
      <c r="B71" s="8"/>
      <c r="C71" s="8"/>
      <c r="D71" s="286"/>
      <c r="E71" s="8"/>
      <c r="F71" s="8"/>
      <c r="G71" s="8"/>
      <c r="H71" s="8"/>
      <c r="I71" s="8"/>
      <c r="J71" s="8"/>
      <c r="K71" s="8"/>
      <c r="L71" s="8"/>
      <c r="M71" s="8"/>
    </row>
    <row r="72" spans="1:16">
      <c r="B72" s="8"/>
      <c r="C72" s="8"/>
      <c r="D72" s="286"/>
      <c r="E72" s="8"/>
      <c r="F72" s="8"/>
      <c r="G72" s="8"/>
      <c r="H72" s="8"/>
      <c r="I72" s="8"/>
      <c r="J72" s="8"/>
      <c r="K72" s="8"/>
      <c r="L72" s="8"/>
      <c r="M72" s="8"/>
    </row>
    <row r="73" spans="1:16">
      <c r="B73" s="8"/>
      <c r="C73" s="8"/>
      <c r="D73" s="8"/>
      <c r="E73" s="8">
        <v>4</v>
      </c>
      <c r="F73" s="8"/>
      <c r="G73" s="8"/>
      <c r="H73" s="8"/>
      <c r="I73" s="8"/>
      <c r="J73" s="8"/>
      <c r="K73" s="8">
        <v>10</v>
      </c>
      <c r="L73" s="8"/>
      <c r="M73" s="8">
        <v>12</v>
      </c>
    </row>
    <row r="74" spans="1:16">
      <c r="B74" s="8" t="s">
        <v>31</v>
      </c>
      <c r="C74" s="268"/>
      <c r="D74" s="8" t="s">
        <v>21</v>
      </c>
      <c r="E74" s="8"/>
      <c r="F74" s="8"/>
      <c r="G74" s="8"/>
      <c r="H74" s="8"/>
      <c r="I74" s="8"/>
      <c r="J74" s="8"/>
      <c r="K74" s="8"/>
      <c r="L74" s="8"/>
      <c r="M74" s="8"/>
    </row>
    <row r="75" spans="1:16">
      <c r="B75" s="8" t="s">
        <v>32</v>
      </c>
      <c r="C75" s="268"/>
      <c r="D75" s="8" t="s">
        <v>24</v>
      </c>
      <c r="E75" s="8"/>
      <c r="F75" s="8"/>
      <c r="G75" s="8"/>
      <c r="H75" s="8"/>
      <c r="I75" s="8"/>
      <c r="J75" s="8"/>
      <c r="K75" s="8"/>
      <c r="L75" s="8"/>
      <c r="M75" s="8"/>
    </row>
    <row r="76" spans="1:16">
      <c r="B76" s="8" t="s">
        <v>27</v>
      </c>
      <c r="C76" s="268"/>
      <c r="D76" s="7" t="s">
        <v>28</v>
      </c>
      <c r="E76" s="7" t="s">
        <v>29</v>
      </c>
      <c r="F76" s="270"/>
      <c r="G76" s="7"/>
      <c r="H76" s="7"/>
      <c r="I76" s="7"/>
      <c r="J76" s="7" t="s">
        <v>28</v>
      </c>
      <c r="K76" s="7" t="s">
        <v>29</v>
      </c>
      <c r="L76" s="7" t="s">
        <v>28</v>
      </c>
      <c r="M76" s="7" t="s">
        <v>29</v>
      </c>
    </row>
    <row r="77" spans="1:16">
      <c r="A77" s="8" t="str">
        <f>+"c"&amp;B77</f>
        <v>c1</v>
      </c>
      <c r="B77" s="8">
        <v>1</v>
      </c>
      <c r="C77" s="8">
        <v>2014</v>
      </c>
      <c r="D77" s="271">
        <f>'Avoided Cost inputs'!D30/1000</f>
        <v>0.1614543793699503</v>
      </c>
      <c r="E77" s="275">
        <f>+D77</f>
        <v>0.1614543793699503</v>
      </c>
      <c r="F77" s="274">
        <f>E77</f>
        <v>0.1614543793699503</v>
      </c>
      <c r="G77" s="279"/>
      <c r="H77" s="277"/>
      <c r="I77" s="272"/>
      <c r="J77" s="286">
        <f t="shared" ref="J77:J106" si="8">J5</f>
        <v>0.10769999999999999</v>
      </c>
      <c r="K77" s="275">
        <f>+J77</f>
        <v>0.10769999999999999</v>
      </c>
      <c r="L77" s="286">
        <f t="shared" ref="L77:L106" si="9">+L41</f>
        <v>2.5948000000000002</v>
      </c>
      <c r="M77" s="275">
        <f>+L77</f>
        <v>2.5948000000000002</v>
      </c>
      <c r="O77" s="287"/>
    </row>
    <row r="78" spans="1:16">
      <c r="A78" s="8" t="str">
        <f t="shared" ref="A78:A106" si="10">+"c"&amp;B78</f>
        <v>c2</v>
      </c>
      <c r="B78" s="8">
        <v>2</v>
      </c>
      <c r="C78" s="8">
        <f t="shared" ref="C78:C105" si="11">+C77+1</f>
        <v>2015</v>
      </c>
      <c r="D78" s="271">
        <f>'Avoided Cost inputs'!D31/1000</f>
        <v>0.17070555558710104</v>
      </c>
      <c r="E78" s="275">
        <f>NPV($C$1,D$78:D78)+D$77</f>
        <v>0.3209922817878017</v>
      </c>
      <c r="F78" s="274">
        <f>NPV($C$1,D78)</f>
        <v>0.15953790241785143</v>
      </c>
      <c r="G78" s="279"/>
      <c r="H78" s="277"/>
      <c r="I78" s="272"/>
      <c r="J78" s="286">
        <f t="shared" si="8"/>
        <v>0.10999814654588162</v>
      </c>
      <c r="K78" s="275">
        <f>NPV($C$1,$J$78:J78)+J$77</f>
        <v>0.21050200611764636</v>
      </c>
      <c r="L78" s="286">
        <f t="shared" si="9"/>
        <v>2.6501689011815568</v>
      </c>
      <c r="M78" s="275">
        <f>NPV($C$1,L$78:L78)+L$77</f>
        <v>5.0715933655902399</v>
      </c>
      <c r="O78" s="287"/>
    </row>
    <row r="79" spans="1:16">
      <c r="A79" s="8" t="str">
        <f t="shared" si="10"/>
        <v>c3</v>
      </c>
      <c r="B79" s="8">
        <v>3</v>
      </c>
      <c r="C79" s="8">
        <f t="shared" si="11"/>
        <v>2016</v>
      </c>
      <c r="D79" s="271">
        <f>'Avoided Cost inputs'!D32/1000</f>
        <v>0.19060918654352704</v>
      </c>
      <c r="E79" s="275">
        <f>NPV($C$1,D$78:D79)+D$77</f>
        <v>0.48747772727957128</v>
      </c>
      <c r="F79" s="274">
        <f t="shared" ref="F79:F106" si="12">NPV($C$1,D79)</f>
        <v>0.17813942667619348</v>
      </c>
      <c r="G79" s="279"/>
      <c r="H79" s="277"/>
      <c r="I79" s="272"/>
      <c r="J79" s="286">
        <f t="shared" si="8"/>
        <v>0.11221061126367472</v>
      </c>
      <c r="K79" s="275">
        <f>NPV($C$1,$J$78:J79)+J$77</f>
        <v>0.30851109971855012</v>
      </c>
      <c r="L79" s="286">
        <f t="shared" si="9"/>
        <v>2.7034734828874951</v>
      </c>
      <c r="M79" s="275">
        <f>NPV($C$1,L$78:L79)+L$77</f>
        <v>7.432911806403844</v>
      </c>
      <c r="N79" s="291"/>
      <c r="O79" s="287"/>
    </row>
    <row r="80" spans="1:16">
      <c r="A80" s="8" t="str">
        <f t="shared" si="10"/>
        <v>c4</v>
      </c>
      <c r="B80" s="8">
        <v>4</v>
      </c>
      <c r="C80" s="8">
        <f t="shared" si="11"/>
        <v>2017</v>
      </c>
      <c r="D80" s="271">
        <f>'Avoided Cost inputs'!D33/1000</f>
        <v>0.21262386987066748</v>
      </c>
      <c r="E80" s="275">
        <f>NPV($C$1,D$78:D80)+D$77</f>
        <v>0.66104214083131396</v>
      </c>
      <c r="F80" s="274">
        <f t="shared" si="12"/>
        <v>0.19871389707539014</v>
      </c>
      <c r="G80" s="279"/>
      <c r="H80" s="277"/>
      <c r="I80" s="272"/>
      <c r="J80" s="286">
        <f t="shared" si="8"/>
        <v>0.1144621762202553</v>
      </c>
      <c r="K80" s="275">
        <f>NPV($C$1,$J$78:J80)+J$77</f>
        <v>0.40194633115145106</v>
      </c>
      <c r="L80" s="286">
        <f t="shared" si="9"/>
        <v>2.757720100801472</v>
      </c>
      <c r="M80" s="275">
        <f>NPV($C$1,L$78:L80)+L$77</f>
        <v>9.6840328697473126</v>
      </c>
      <c r="N80" s="291"/>
      <c r="O80" s="287"/>
    </row>
    <row r="81" spans="1:16">
      <c r="A81" s="8" t="str">
        <f t="shared" si="10"/>
        <v>c5</v>
      </c>
      <c r="B81" s="8">
        <v>5</v>
      </c>
      <c r="C81" s="8">
        <f t="shared" si="11"/>
        <v>2018</v>
      </c>
      <c r="D81" s="271">
        <f>'Avoided Cost inputs'!D34/1000</f>
        <v>0.23905826792572993</v>
      </c>
      <c r="E81" s="275">
        <f>NPV($C$1,D$78:D81)+D$77</f>
        <v>0.84341854883222789</v>
      </c>
      <c r="F81" s="274">
        <f t="shared" si="12"/>
        <v>0.22341894198666348</v>
      </c>
      <c r="G81" s="279"/>
      <c r="H81" s="277"/>
      <c r="I81" s="272"/>
      <c r="J81" s="286">
        <f t="shared" si="8"/>
        <v>0.11677119108908939</v>
      </c>
      <c r="K81" s="275">
        <f>NPV($C$1,$J$78:J81)+J$77</f>
        <v>0.49103051373840401</v>
      </c>
      <c r="L81" s="286">
        <f t="shared" si="9"/>
        <v>2.8133508508632237</v>
      </c>
      <c r="M81" s="275">
        <f>NPV($C$1,L$78:L81)+L$77</f>
        <v>11.830324763680697</v>
      </c>
      <c r="N81" s="291"/>
      <c r="O81" s="287"/>
    </row>
    <row r="82" spans="1:16">
      <c r="A82" s="8" t="str">
        <f t="shared" si="10"/>
        <v>c6</v>
      </c>
      <c r="B82" s="8">
        <v>6</v>
      </c>
      <c r="C82" s="8">
        <f t="shared" si="11"/>
        <v>2019</v>
      </c>
      <c r="D82" s="271">
        <f>'Avoided Cost inputs'!D35/1000</f>
        <v>0.29129060159227621</v>
      </c>
      <c r="E82" s="275">
        <f>NPV($C$1,D$78:D82)+D$77</f>
        <v>1.0511047219810041</v>
      </c>
      <c r="F82" s="274">
        <f t="shared" si="12"/>
        <v>0.27223420709558521</v>
      </c>
      <c r="G82" s="279"/>
      <c r="H82" s="277"/>
      <c r="I82" s="272"/>
      <c r="J82" s="286">
        <f t="shared" si="8"/>
        <v>0.11916434435553355</v>
      </c>
      <c r="K82" s="275">
        <f>NPV($C$1,$J$78:J82)+J$77</f>
        <v>0.57599304435113208</v>
      </c>
      <c r="L82" s="286">
        <f t="shared" si="9"/>
        <v>2.871008734760804</v>
      </c>
      <c r="M82" s="275">
        <f>NPV($C$1,L$78:L82)+L$77</f>
        <v>13.87731431274204</v>
      </c>
      <c r="N82" s="291"/>
      <c r="O82" s="287"/>
    </row>
    <row r="83" spans="1:16">
      <c r="A83" s="8" t="str">
        <f t="shared" si="10"/>
        <v>c7</v>
      </c>
      <c r="B83" s="8">
        <v>7</v>
      </c>
      <c r="C83" s="8">
        <f t="shared" si="11"/>
        <v>2020</v>
      </c>
      <c r="D83" s="271">
        <f>'Avoided Cost inputs'!D36/1000</f>
        <v>0.26470280207381941</v>
      </c>
      <c r="E83" s="275">
        <f>NPV($C$1,D$78:D83)+D$77</f>
        <v>1.2274873757653351</v>
      </c>
      <c r="F83" s="274">
        <f t="shared" si="12"/>
        <v>0.24738579633067234</v>
      </c>
      <c r="G83" s="279"/>
      <c r="H83" s="277"/>
      <c r="I83" s="272"/>
      <c r="J83" s="286">
        <f t="shared" si="8"/>
        <v>0.12161057448120899</v>
      </c>
      <c r="K83" s="275">
        <f>NPV($C$1,$J$78:J83)+J$77</f>
        <v>0.65702730499054451</v>
      </c>
      <c r="L83" s="286">
        <f t="shared" si="9"/>
        <v>2.9299453914934186</v>
      </c>
      <c r="M83" s="275">
        <f>NPV($C$1,L$78:L83)+L$77</f>
        <v>15.829660640570708</v>
      </c>
      <c r="N83" s="291"/>
      <c r="O83" s="287"/>
    </row>
    <row r="84" spans="1:16">
      <c r="A84" s="8" t="str">
        <f t="shared" si="10"/>
        <v>c8</v>
      </c>
      <c r="B84" s="8">
        <v>8</v>
      </c>
      <c r="C84" s="8">
        <f t="shared" si="11"/>
        <v>2021</v>
      </c>
      <c r="D84" s="271">
        <f>'Avoided Cost inputs'!D37/1000</f>
        <v>0.26298654482979161</v>
      </c>
      <c r="E84" s="275">
        <f>NPV($C$1,D$78:D84)+D$77</f>
        <v>1.3912621786772084</v>
      </c>
      <c r="F84" s="274">
        <f t="shared" si="12"/>
        <v>0.24578181759793608</v>
      </c>
      <c r="G84" s="279"/>
      <c r="H84" s="277"/>
      <c r="I84" s="272"/>
      <c r="J84" s="286">
        <f t="shared" si="8"/>
        <v>0.12403210971922915</v>
      </c>
      <c r="K84" s="275">
        <f>NPV($C$1,$J$78:J84)+J$77</f>
        <v>0.73426826930359579</v>
      </c>
      <c r="L84" s="286">
        <f t="shared" si="9"/>
        <v>2.9882870779893769</v>
      </c>
      <c r="M84" s="275">
        <f>NPV($C$1,L$78:L84)+L$77</f>
        <v>17.690615647065652</v>
      </c>
      <c r="N84" s="291"/>
      <c r="O84" s="287"/>
    </row>
    <row r="85" spans="1:16">
      <c r="A85" s="8" t="str">
        <f t="shared" si="10"/>
        <v>c9</v>
      </c>
      <c r="B85" s="8">
        <v>9</v>
      </c>
      <c r="C85" s="8">
        <f t="shared" si="11"/>
        <v>2022</v>
      </c>
      <c r="D85" s="271">
        <f>'Avoided Cost inputs'!D38/1000</f>
        <v>0.2640165784654287</v>
      </c>
      <c r="E85" s="275">
        <f>NPV($C$1,D$78:D85)+D$77</f>
        <v>1.5449222311001976</v>
      </c>
      <c r="F85" s="274">
        <f t="shared" si="12"/>
        <v>0.24674446585554083</v>
      </c>
      <c r="G85" s="279"/>
      <c r="H85" s="277"/>
      <c r="I85" s="272"/>
      <c r="J85" s="286">
        <f t="shared" si="8"/>
        <v>0.12644417000903438</v>
      </c>
      <c r="K85" s="275">
        <f>NPV($C$1,$J$78:J85)+J$77</f>
        <v>0.80785992746802338</v>
      </c>
      <c r="L85" s="286">
        <f t="shared" si="9"/>
        <v>3.0464004859743965</v>
      </c>
      <c r="M85" s="275">
        <f>NPV($C$1,L$78:L85)+L$77</f>
        <v>19.463648466054106</v>
      </c>
      <c r="N85" s="291"/>
      <c r="O85" s="287"/>
      <c r="P85" s="289"/>
    </row>
    <row r="86" spans="1:16">
      <c r="A86" s="8" t="str">
        <f t="shared" si="10"/>
        <v>c10</v>
      </c>
      <c r="B86" s="8">
        <v>10</v>
      </c>
      <c r="C86" s="8">
        <f t="shared" si="11"/>
        <v>2023</v>
      </c>
      <c r="D86" s="271">
        <f>'Avoided Cost inputs'!D39/1000</f>
        <v>0.25647828155430547</v>
      </c>
      <c r="E86" s="275">
        <f>NPV($C$1,D$78:D86)+D$77</f>
        <v>1.684429422677582</v>
      </c>
      <c r="F86" s="274">
        <f t="shared" si="12"/>
        <v>0.23969932855542567</v>
      </c>
      <c r="G86" s="274"/>
      <c r="H86" s="277"/>
      <c r="I86" s="272"/>
      <c r="J86" s="286">
        <f t="shared" si="8"/>
        <v>0.12897117299641553</v>
      </c>
      <c r="K86" s="275">
        <f>NPV($C$1,$J$78:J86)+J$77</f>
        <v>0.87801170028143116</v>
      </c>
      <c r="L86" s="286">
        <f t="shared" si="9"/>
        <v>3.1072831911894063</v>
      </c>
      <c r="M86" s="275">
        <f>NPV($C$1,L$78:L86)+L$77</f>
        <v>21.153804641506575</v>
      </c>
      <c r="N86" s="291"/>
      <c r="O86" s="287"/>
      <c r="P86" s="289"/>
    </row>
    <row r="87" spans="1:16">
      <c r="A87" s="8" t="str">
        <f t="shared" si="10"/>
        <v>c11</v>
      </c>
      <c r="B87" s="8">
        <v>11</v>
      </c>
      <c r="C87" s="8">
        <f t="shared" si="11"/>
        <v>2024</v>
      </c>
      <c r="D87" s="286">
        <f>D86*(1+'Avoided Cost inputs'!$G$26)</f>
        <v>0.2616078471853916</v>
      </c>
      <c r="E87" s="275">
        <f>NPV($C$1,D$78:D87)+D$77</f>
        <v>1.817417586611163</v>
      </c>
      <c r="F87" s="274">
        <f t="shared" si="12"/>
        <v>0.24449331512653419</v>
      </c>
      <c r="G87" s="274"/>
      <c r="H87" s="277"/>
      <c r="I87" s="272"/>
      <c r="J87" s="286">
        <f t="shared" si="8"/>
        <v>0.13153230294659793</v>
      </c>
      <c r="K87" s="275">
        <f>NPV($C$1,$J$78:J87)+J$77</f>
        <v>0.9448760533771835</v>
      </c>
      <c r="L87" s="286">
        <f t="shared" si="9"/>
        <v>3.1689881122175709</v>
      </c>
      <c r="M87" s="275">
        <f>NPV($C$1,L$78:L87)+L$77</f>
        <v>22.764757505135712</v>
      </c>
      <c r="N87" s="291"/>
      <c r="O87" s="287"/>
      <c r="P87" s="289"/>
    </row>
    <row r="88" spans="1:16">
      <c r="A88" s="8" t="str">
        <f t="shared" si="10"/>
        <v>c12</v>
      </c>
      <c r="B88" s="8">
        <v>12</v>
      </c>
      <c r="C88" s="8">
        <f t="shared" si="11"/>
        <v>2025</v>
      </c>
      <c r="D88" s="286">
        <f>D87*(1+'Avoided Cost inputs'!$G$26)</f>
        <v>0.26684000412909942</v>
      </c>
      <c r="E88" s="275">
        <f>NPV($C$1,D$78:D88)+D$77</f>
        <v>1.944191350360932</v>
      </c>
      <c r="F88" s="274">
        <f t="shared" si="12"/>
        <v>0.24938318142906485</v>
      </c>
      <c r="G88" s="274"/>
      <c r="H88" s="277"/>
      <c r="I88" s="272"/>
      <c r="J88" s="286">
        <f t="shared" si="8"/>
        <v>0.13415778537311809</v>
      </c>
      <c r="K88" s="275">
        <f>NPV($C$1,$J$78:J88)+J$77</f>
        <v>1.0086134507872637</v>
      </c>
      <c r="L88" s="286">
        <f t="shared" si="9"/>
        <v>3.2322434678381331</v>
      </c>
      <c r="M88" s="275">
        <f>NPV($C$1,L$78:L88)+L$77</f>
        <v>24.300373092876441</v>
      </c>
      <c r="N88" s="291"/>
      <c r="O88" s="287"/>
      <c r="P88" s="289"/>
    </row>
    <row r="89" spans="1:16">
      <c r="A89" s="8" t="str">
        <f t="shared" si="10"/>
        <v>c13</v>
      </c>
      <c r="B89" s="8">
        <v>13</v>
      </c>
      <c r="C89" s="8">
        <f t="shared" si="11"/>
        <v>2026</v>
      </c>
      <c r="D89" s="286">
        <f>D88*(1+'Avoided Cost inputs'!$G$26)</f>
        <v>0.27217680421168139</v>
      </c>
      <c r="E89" s="275">
        <f>NPV($C$1,D$78:D89)+D$77</f>
        <v>2.0650411064588425</v>
      </c>
      <c r="F89" s="274">
        <f t="shared" si="12"/>
        <v>0.25437084505764612</v>
      </c>
      <c r="G89" s="274"/>
      <c r="H89" s="277"/>
      <c r="I89" s="272"/>
      <c r="J89" s="286">
        <f t="shared" si="8"/>
        <v>0.13683630178580064</v>
      </c>
      <c r="K89" s="275">
        <f>NPV($C$1,$J$78:J89)+J$77</f>
        <v>1.0693704052384334</v>
      </c>
      <c r="L89" s="286">
        <f t="shared" si="9"/>
        <v>3.2967765633592911</v>
      </c>
      <c r="M89" s="275">
        <f>NPV($C$1,L$78:L89)+L$77</f>
        <v>25.764181313952538</v>
      </c>
      <c r="N89" s="291"/>
      <c r="O89" s="287"/>
      <c r="P89" s="289"/>
    </row>
    <row r="90" spans="1:16">
      <c r="A90" s="8" t="str">
        <f t="shared" si="10"/>
        <v>c14</v>
      </c>
      <c r="B90" s="8">
        <v>14</v>
      </c>
      <c r="C90" s="8">
        <f t="shared" si="11"/>
        <v>2027</v>
      </c>
      <c r="D90" s="286">
        <f>D89*(1+'Avoided Cost inputs'!$G$26)</f>
        <v>0.27762034029591504</v>
      </c>
      <c r="E90" s="275">
        <f>NPV($C$1,D$78:D90)+D$77</f>
        <v>2.1802436776923644</v>
      </c>
      <c r="F90" s="274">
        <f t="shared" si="12"/>
        <v>0.25945826195879906</v>
      </c>
      <c r="G90" s="274"/>
      <c r="H90" s="277"/>
      <c r="I90" s="272"/>
      <c r="J90" s="286">
        <f t="shared" si="8"/>
        <v>0.13955505457359507</v>
      </c>
      <c r="K90" s="275">
        <f>NPV($C$1,$J$78:J90)+J$77</f>
        <v>1.1272807914096199</v>
      </c>
      <c r="L90" s="286">
        <f t="shared" si="9"/>
        <v>3.3622790678511105</v>
      </c>
      <c r="M90" s="275">
        <f>NPV($C$1,L$78:L90)+L$77</f>
        <v>27.159407590990561</v>
      </c>
      <c r="N90" s="291"/>
      <c r="O90" s="287"/>
      <c r="P90" s="289"/>
    </row>
    <row r="91" spans="1:16">
      <c r="A91" s="8" t="str">
        <f t="shared" si="10"/>
        <v>c15</v>
      </c>
      <c r="B91" s="8">
        <v>15</v>
      </c>
      <c r="C91" s="8">
        <f t="shared" si="11"/>
        <v>2028</v>
      </c>
      <c r="D91" s="286">
        <f>D90*(1+'Avoided Cost inputs'!$G$26)</f>
        <v>0.28317274710183332</v>
      </c>
      <c r="E91" s="275">
        <f>NPV($C$1,D$78:D91)+D$77</f>
        <v>2.2900629512046939</v>
      </c>
      <c r="F91" s="274">
        <f t="shared" si="12"/>
        <v>0.26464742719797507</v>
      </c>
      <c r="G91" s="274"/>
      <c r="H91" s="277"/>
      <c r="I91" s="272"/>
      <c r="J91" s="286">
        <f t="shared" si="8"/>
        <v>0.14233397971351475</v>
      </c>
      <c r="K91" s="275">
        <f>NPV($C$1,$J$78:J91)+J$77</f>
        <v>1.182480362725131</v>
      </c>
      <c r="L91" s="286">
        <f t="shared" si="9"/>
        <v>3.4292312958275595</v>
      </c>
      <c r="M91" s="275">
        <f>NPV($C$1,L$78:L91)+L$77</f>
        <v>28.489322610948669</v>
      </c>
      <c r="N91" s="291"/>
      <c r="O91" s="287"/>
      <c r="P91" s="289"/>
    </row>
    <row r="92" spans="1:16">
      <c r="A92" s="8" t="str">
        <f t="shared" si="10"/>
        <v>c16</v>
      </c>
      <c r="B92" s="8">
        <v>16</v>
      </c>
      <c r="C92" s="8">
        <f t="shared" si="11"/>
        <v>2029</v>
      </c>
      <c r="D92" s="286">
        <f>D91*(1+'Avoided Cost inputs'!$G$26)</f>
        <v>0.28883620204387001</v>
      </c>
      <c r="E92" s="275">
        <f>NPV($C$1,D$78:D92)+D$77</f>
        <v>2.3947504829641106</v>
      </c>
      <c r="F92" s="274">
        <f t="shared" si="12"/>
        <v>0.26994037574193458</v>
      </c>
      <c r="G92" s="274"/>
      <c r="H92" s="277"/>
      <c r="I92" s="272"/>
      <c r="J92" s="286">
        <f t="shared" si="8"/>
        <v>0.14518323812287612</v>
      </c>
      <c r="K92" s="275">
        <f>NPV($C$1,$J$78:J92)+J$77</f>
        <v>1.2351014495015562</v>
      </c>
      <c r="L92" s="286">
        <f t="shared" si="9"/>
        <v>3.497878052750595</v>
      </c>
      <c r="M92" s="275">
        <f>NPV($C$1,L$78:L92)+L$77</f>
        <v>29.757114588362487</v>
      </c>
      <c r="N92" s="291"/>
      <c r="O92" s="287"/>
      <c r="P92" s="289"/>
    </row>
    <row r="93" spans="1:16">
      <c r="A93" s="8" t="str">
        <f t="shared" si="10"/>
        <v>c17</v>
      </c>
      <c r="B93" s="8">
        <v>17</v>
      </c>
      <c r="C93" s="8">
        <f t="shared" si="11"/>
        <v>2030</v>
      </c>
      <c r="D93" s="286">
        <f>D92*(1+'Avoided Cost inputs'!$G$26)</f>
        <v>0.29461292608474743</v>
      </c>
      <c r="E93" s="275">
        <f>NPV($C$1,D$78:D93)+D$77</f>
        <v>2.4945460739871064</v>
      </c>
      <c r="F93" s="274">
        <f t="shared" si="12"/>
        <v>0.27533918325677326</v>
      </c>
      <c r="G93" s="274"/>
      <c r="H93" s="277"/>
      <c r="I93" s="272"/>
      <c r="J93" s="286">
        <f t="shared" si="8"/>
        <v>0.1480842657628689</v>
      </c>
      <c r="K93" s="275">
        <f>NPV($C$1,$J$78:J93)+J$77</f>
        <v>1.2852627137047461</v>
      </c>
      <c r="L93" s="286">
        <f t="shared" si="9"/>
        <v>3.5677720780082858</v>
      </c>
      <c r="M93" s="275">
        <f>NPV($C$1,L$78:L93)+L$77</f>
        <v>30.965642428236556</v>
      </c>
      <c r="N93" s="291"/>
      <c r="O93" s="287"/>
      <c r="P93" s="289"/>
    </row>
    <row r="94" spans="1:16">
      <c r="A94" s="8" t="str">
        <f t="shared" si="10"/>
        <v>c18</v>
      </c>
      <c r="B94" s="8">
        <v>18</v>
      </c>
      <c r="C94" s="8">
        <f t="shared" si="11"/>
        <v>2031</v>
      </c>
      <c r="D94" s="286">
        <f>D93*(1+'Avoided Cost inputs'!$G$26)</f>
        <v>0.30050518460644238</v>
      </c>
      <c r="E94" s="275">
        <f>NPV($C$1,D$78:D94)+D$77</f>
        <v>2.5896783196351958</v>
      </c>
      <c r="F94" s="274">
        <f t="shared" si="12"/>
        <v>0.28084596692190877</v>
      </c>
      <c r="G94" s="274"/>
      <c r="H94" s="277"/>
      <c r="I94" s="272"/>
      <c r="J94" s="286">
        <f t="shared" si="8"/>
        <v>0.15105071770592057</v>
      </c>
      <c r="K94" s="275">
        <f>NPV($C$1,$J$78:J94)+J$77</f>
        <v>1.333081502591664</v>
      </c>
      <c r="L94" s="286">
        <f t="shared" si="9"/>
        <v>3.6392423612193392</v>
      </c>
      <c r="M94" s="275">
        <f>NPV($C$1,L$78:L94)+L$77</f>
        <v>32.117733360490739</v>
      </c>
      <c r="N94" s="291"/>
      <c r="O94" s="287"/>
      <c r="P94" s="289"/>
    </row>
    <row r="95" spans="1:16">
      <c r="A95" s="8" t="str">
        <f t="shared" si="10"/>
        <v>c19</v>
      </c>
      <c r="B95" s="8">
        <v>19</v>
      </c>
      <c r="C95" s="8">
        <f t="shared" si="11"/>
        <v>2032</v>
      </c>
      <c r="D95" s="286">
        <f>D94*(1+'Avoided Cost inputs'!$G$26)</f>
        <v>0.30651528829857122</v>
      </c>
      <c r="E95" s="275">
        <f>NPV($C$1,D$78:D95)+D$77</f>
        <v>2.6803651332436544</v>
      </c>
      <c r="F95" s="274">
        <f t="shared" si="12"/>
        <v>0.28646288626034694</v>
      </c>
      <c r="G95" s="274"/>
      <c r="H95" s="277"/>
      <c r="I95" s="272"/>
      <c r="J95" s="286">
        <f t="shared" si="8"/>
        <v>0.15405699872993009</v>
      </c>
      <c r="K95" s="275">
        <f>NPV($C$1,$J$78:J95)+J$77</f>
        <v>1.3786614095726526</v>
      </c>
      <c r="L95" s="286">
        <f t="shared" si="9"/>
        <v>3.711672240523888</v>
      </c>
      <c r="M95" s="275">
        <f>NPV($C$1,L$78:L95)+L$77</f>
        <v>33.215883245674299</v>
      </c>
      <c r="N95" s="291"/>
      <c r="O95" s="287"/>
      <c r="P95" s="289"/>
    </row>
    <row r="96" spans="1:16">
      <c r="A96" s="8" t="str">
        <f t="shared" si="10"/>
        <v>c20</v>
      </c>
      <c r="B96" s="8">
        <v>20</v>
      </c>
      <c r="C96" s="8">
        <f t="shared" si="11"/>
        <v>2033</v>
      </c>
      <c r="D96" s="286">
        <f>D95*(1+'Avoided Cost inputs'!$G$26)</f>
        <v>0.31264559406454268</v>
      </c>
      <c r="E96" s="275">
        <f>NPV($C$1,D$78:D96)+D$77</f>
        <v>2.7668142452816245</v>
      </c>
      <c r="F96" s="274">
        <f t="shared" si="12"/>
        <v>0.29219214398555388</v>
      </c>
      <c r="G96" s="274"/>
      <c r="H96" s="277"/>
      <c r="I96" s="272"/>
      <c r="J96" s="286">
        <f t="shared" si="8"/>
        <v>0.15712274470042886</v>
      </c>
      <c r="K96" s="275">
        <f>NPV($C$1,$J$78:J96)+J$77</f>
        <v>1.4221071577878559</v>
      </c>
      <c r="L96" s="286">
        <f t="shared" si="9"/>
        <v>3.7855347998948279</v>
      </c>
      <c r="M96" s="275">
        <f>NPV($C$1,L$78:L96)+L$77</f>
        <v>34.262615162747743</v>
      </c>
      <c r="N96" s="291"/>
      <c r="O96" s="287"/>
      <c r="P96" s="289"/>
    </row>
    <row r="97" spans="1:16">
      <c r="A97" s="8" t="str">
        <f t="shared" si="10"/>
        <v>c21</v>
      </c>
      <c r="B97" s="8">
        <v>21</v>
      </c>
      <c r="C97" s="8">
        <f t="shared" si="11"/>
        <v>2034</v>
      </c>
      <c r="D97" s="286">
        <f>D96*(1+'Avoided Cost inputs'!$G$26)</f>
        <v>0.31889850594583352</v>
      </c>
      <c r="E97" s="275">
        <f>NPV($C$1,D$78:D97)+D$77</f>
        <v>2.8492236791869794</v>
      </c>
      <c r="F97" s="274">
        <f t="shared" si="12"/>
        <v>0.29803598686526495</v>
      </c>
      <c r="G97" s="274"/>
      <c r="H97" s="277"/>
      <c r="I97" s="272"/>
      <c r="J97" s="286">
        <f t="shared" si="8"/>
        <v>0.16024915606334456</v>
      </c>
      <c r="K97" s="275">
        <f>NPV($C$1,$J$78:J97)+J$77</f>
        <v>1.4635185848995094</v>
      </c>
      <c r="L97" s="286">
        <f t="shared" si="9"/>
        <v>3.860858961496441</v>
      </c>
      <c r="M97" s="275">
        <f>NPV($C$1,L$78:L97)+L$77</f>
        <v>35.260334485582639</v>
      </c>
      <c r="N97" s="291"/>
      <c r="O97" s="287"/>
      <c r="P97" s="289"/>
    </row>
    <row r="98" spans="1:16">
      <c r="A98" s="8" t="str">
        <f t="shared" si="10"/>
        <v>c22</v>
      </c>
      <c r="B98" s="8">
        <v>22</v>
      </c>
      <c r="C98" s="8">
        <f t="shared" si="11"/>
        <v>2035</v>
      </c>
      <c r="D98" s="286">
        <f>D97*(1+'Avoided Cost inputs'!$G$26)</f>
        <v>0.32527647606475019</v>
      </c>
      <c r="E98" s="275">
        <f>NPV($C$1,D$78:D98)+D$77</f>
        <v>2.9277822049659159</v>
      </c>
      <c r="F98" s="274">
        <f t="shared" si="12"/>
        <v>0.30399670660257028</v>
      </c>
      <c r="G98" s="274"/>
      <c r="H98" s="277"/>
      <c r="I98" s="272"/>
      <c r="J98" s="286">
        <f t="shared" si="8"/>
        <v>0.16345398226917948</v>
      </c>
      <c r="K98" s="275">
        <f>NPV($C$1,$J$78:J98)+J$77</f>
        <v>1.5029948606976</v>
      </c>
      <c r="L98" s="286">
        <f t="shared" si="9"/>
        <v>3.9380723601863248</v>
      </c>
      <c r="M98" s="275">
        <f>NPV($C$1,L$78:L98)+L$77</f>
        <v>36.211430497104331</v>
      </c>
      <c r="N98" s="291"/>
      <c r="O98" s="287"/>
      <c r="P98" s="289"/>
    </row>
    <row r="99" spans="1:16">
      <c r="A99" s="8" t="str">
        <f t="shared" si="10"/>
        <v>c23</v>
      </c>
      <c r="B99" s="8">
        <v>23</v>
      </c>
      <c r="C99" s="8">
        <f t="shared" si="11"/>
        <v>2036</v>
      </c>
      <c r="D99" s="286">
        <f>D98*(1+'Avoided Cost inputs'!$G$26)</f>
        <v>0.3317820055860452</v>
      </c>
      <c r="E99" s="275">
        <f>NPV($C$1,D$78:D99)+D$77</f>
        <v>3.0026697715963038</v>
      </c>
      <c r="F99" s="274">
        <f t="shared" si="12"/>
        <v>0.31007664073462166</v>
      </c>
      <c r="G99" s="274"/>
      <c r="H99" s="277"/>
      <c r="I99" s="272"/>
      <c r="J99" s="286">
        <f t="shared" si="8"/>
        <v>0.16672306191456307</v>
      </c>
      <c r="K99" s="275">
        <f>NPV($C$1,$J$78:J99)+J$77</f>
        <v>1.5406264507107332</v>
      </c>
      <c r="L99" s="286">
        <f t="shared" si="9"/>
        <v>4.0168338073900518</v>
      </c>
      <c r="M99" s="275">
        <f>NPV($C$1,L$78:L99)+L$77</f>
        <v>37.118082769769863</v>
      </c>
      <c r="N99" s="291"/>
      <c r="O99" s="287"/>
      <c r="P99" s="289"/>
    </row>
    <row r="100" spans="1:16">
      <c r="A100" s="8" t="str">
        <f t="shared" si="10"/>
        <v>c24</v>
      </c>
      <c r="B100" s="8">
        <v>24</v>
      </c>
      <c r="C100" s="8">
        <f t="shared" si="11"/>
        <v>2037</v>
      </c>
      <c r="D100" s="286">
        <f>D99*(1+'Avoided Cost inputs'!$G$26)</f>
        <v>0.33841764569776611</v>
      </c>
      <c r="E100" s="275">
        <f>NPV($C$1,D$78:D100)+D$77</f>
        <v>3.0740579192252717</v>
      </c>
      <c r="F100" s="274">
        <f t="shared" si="12"/>
        <v>0.31627817354931409</v>
      </c>
      <c r="G100" s="274"/>
      <c r="H100" s="277"/>
      <c r="I100" s="272"/>
      <c r="J100" s="286">
        <f t="shared" si="8"/>
        <v>0.17005752315285436</v>
      </c>
      <c r="K100" s="275">
        <f>NPV($C$1,$J$78:J100)+J$77</f>
        <v>1.576499555209234</v>
      </c>
      <c r="L100" s="286">
        <f t="shared" si="9"/>
        <v>4.0971704835378526</v>
      </c>
      <c r="M100" s="275">
        <f>NPV($C$1,L$78:L100)+L$77</f>
        <v>37.982368113806167</v>
      </c>
      <c r="N100" s="291"/>
      <c r="O100" s="287"/>
      <c r="P100" s="289"/>
    </row>
    <row r="101" spans="1:16">
      <c r="A101" s="8" t="str">
        <f t="shared" si="10"/>
        <v>c25</v>
      </c>
      <c r="B101" s="8">
        <v>25</v>
      </c>
      <c r="C101" s="8">
        <f t="shared" si="11"/>
        <v>2038</v>
      </c>
      <c r="D101" s="286">
        <f>D100*(1+'Avoided Cost inputs'!$G$26)</f>
        <v>0.34518599861172145</v>
      </c>
      <c r="E101" s="275">
        <f>NPV($C$1,D$78:D101)+D$77</f>
        <v>3.1421101721052227</v>
      </c>
      <c r="F101" s="274">
        <f t="shared" si="12"/>
        <v>0.32260373702030037</v>
      </c>
      <c r="G101" s="274"/>
      <c r="H101" s="277"/>
      <c r="I101" s="272"/>
      <c r="J101" s="286">
        <f t="shared" si="8"/>
        <v>0.17345867361591144</v>
      </c>
      <c r="K101" s="275">
        <f>NPV($C$1,$J$78:J101)+J$77</f>
        <v>1.6106963464134123</v>
      </c>
      <c r="L101" s="286">
        <f t="shared" si="9"/>
        <v>4.1791138932086094</v>
      </c>
      <c r="M101" s="275">
        <f>NPV($C$1,L$78:L101)+L$77</f>
        <v>38.806266292233296</v>
      </c>
      <c r="N101" s="291"/>
      <c r="O101" s="287"/>
      <c r="P101" s="289"/>
    </row>
    <row r="102" spans="1:16">
      <c r="A102" s="8" t="str">
        <f t="shared" si="10"/>
        <v>c26</v>
      </c>
      <c r="B102" s="8">
        <v>26</v>
      </c>
      <c r="C102" s="8">
        <f t="shared" si="11"/>
        <v>2039</v>
      </c>
      <c r="D102" s="286">
        <f>D101*(1+'Avoided Cost inputs'!$G$26)</f>
        <v>0.35208971858395588</v>
      </c>
      <c r="E102" s="275">
        <f>NPV($C$1,D$78:D102)+D$77</f>
        <v>3.2069824131683533</v>
      </c>
      <c r="F102" s="274">
        <f t="shared" si="12"/>
        <v>0.32905581176070642</v>
      </c>
      <c r="G102" s="274"/>
      <c r="H102" s="277"/>
      <c r="I102" s="272"/>
      <c r="J102" s="286">
        <f t="shared" si="8"/>
        <v>0.17692784708822967</v>
      </c>
      <c r="K102" s="275">
        <f>NPV($C$1,$J$78:J102)+J$77</f>
        <v>1.6432951567201992</v>
      </c>
      <c r="L102" s="286">
        <f t="shared" si="9"/>
        <v>4.2626961710727818</v>
      </c>
      <c r="M102" s="275">
        <f>NPV($C$1,L$78:L102)+L$77</f>
        <v>39.59166455578066</v>
      </c>
      <c r="N102" s="291"/>
      <c r="O102" s="287"/>
      <c r="P102" s="289"/>
    </row>
    <row r="103" spans="1:16">
      <c r="A103" s="8" t="str">
        <f t="shared" si="10"/>
        <v>c27</v>
      </c>
      <c r="B103" s="8">
        <v>27</v>
      </c>
      <c r="C103" s="8">
        <f t="shared" si="11"/>
        <v>2040</v>
      </c>
      <c r="D103" s="286">
        <f>D102*(1+'Avoided Cost inputs'!$G$26)</f>
        <v>0.359131512955635</v>
      </c>
      <c r="E103" s="275">
        <f>NPV($C$1,D$78:D103)+D$77</f>
        <v>3.2688232410976927</v>
      </c>
      <c r="F103" s="274">
        <f t="shared" si="12"/>
        <v>0.33563692799592054</v>
      </c>
      <c r="G103" s="274"/>
      <c r="H103" s="277"/>
      <c r="I103" s="272"/>
      <c r="J103" s="286">
        <f t="shared" si="8"/>
        <v>0.18046640402999425</v>
      </c>
      <c r="K103" s="275">
        <f>NPV($C$1,$J$78:J103)+J$77</f>
        <v>1.6743706581341455</v>
      </c>
      <c r="L103" s="286">
        <f t="shared" si="9"/>
        <v>4.3479500944942373</v>
      </c>
      <c r="M103" s="275">
        <f>NPV($C$1,L$78:L103)+L$77</f>
        <v>40.340361965891226</v>
      </c>
      <c r="N103" s="291"/>
      <c r="O103" s="287"/>
      <c r="P103" s="289"/>
    </row>
    <row r="104" spans="1:16">
      <c r="A104" s="8" t="str">
        <f t="shared" si="10"/>
        <v>c28</v>
      </c>
      <c r="B104" s="8">
        <v>28</v>
      </c>
      <c r="C104" s="8">
        <f t="shared" si="11"/>
        <v>2041</v>
      </c>
      <c r="D104" s="286">
        <f>D103*(1+'Avoided Cost inputs'!$G$26)</f>
        <v>0.3663141432147477</v>
      </c>
      <c r="E104" s="275">
        <f>NPV($C$1,D$78:D104)+D$77</f>
        <v>3.3277743107125772</v>
      </c>
      <c r="F104" s="274">
        <f t="shared" si="12"/>
        <v>0.34234966655583893</v>
      </c>
      <c r="G104" s="274"/>
      <c r="H104" s="277"/>
      <c r="I104" s="272"/>
      <c r="J104" s="286">
        <f t="shared" si="8"/>
        <v>0.18407573211059414</v>
      </c>
      <c r="K104" s="275">
        <f>NPV($C$1,$J$78:J104)+J$77</f>
        <v>1.7039940333137953</v>
      </c>
      <c r="L104" s="286">
        <f t="shared" si="9"/>
        <v>4.4349090963841222</v>
      </c>
      <c r="M104" s="275">
        <f>NPV($C$1,L$78:L104)+L$77</f>
        <v>41.054073515716247</v>
      </c>
      <c r="N104" s="291"/>
      <c r="O104" s="287"/>
      <c r="P104" s="289"/>
    </row>
    <row r="105" spans="1:16">
      <c r="A105" s="8" t="str">
        <f t="shared" si="10"/>
        <v>c29</v>
      </c>
      <c r="B105" s="8">
        <v>29</v>
      </c>
      <c r="C105" s="8">
        <f t="shared" si="11"/>
        <v>2042</v>
      </c>
      <c r="D105" s="286">
        <f>D104*(1+'Avoided Cost inputs'!$G$26)</f>
        <v>0.37364042607904269</v>
      </c>
      <c r="E105" s="275">
        <f>NPV($C$1,D$78:D105)+D$77</f>
        <v>3.3839706574482609</v>
      </c>
      <c r="F105" s="274">
        <f t="shared" si="12"/>
        <v>0.34919665988695575</v>
      </c>
      <c r="G105" s="274"/>
      <c r="H105" s="277"/>
      <c r="I105" s="272"/>
      <c r="J105" s="286">
        <f t="shared" si="8"/>
        <v>0.18775724675280603</v>
      </c>
      <c r="K105" s="275">
        <f>NPV($C$1,$J$78:J105)+J$77</f>
        <v>1.7322331386252372</v>
      </c>
      <c r="L105" s="286">
        <f t="shared" si="9"/>
        <v>4.5236072783118049</v>
      </c>
      <c r="M105" s="275">
        <f>NPV($C$1,L$78:L105)+L$77</f>
        <v>41.73443405854011</v>
      </c>
      <c r="N105" s="291"/>
      <c r="O105" s="287"/>
      <c r="P105" s="289"/>
    </row>
    <row r="106" spans="1:16">
      <c r="A106" s="8" t="str">
        <f t="shared" si="10"/>
        <v>c30</v>
      </c>
      <c r="B106" s="8">
        <v>30</v>
      </c>
      <c r="C106" s="8">
        <f>+C105+1</f>
        <v>2043</v>
      </c>
      <c r="D106" s="286">
        <f>D105*(1+'Avoided Cost inputs'!$G$26)</f>
        <v>0.38111323460062357</v>
      </c>
      <c r="E106" s="275">
        <f>NPV($C$1,D$78:D106)+D$77</f>
        <v>3.4375410066729315</v>
      </c>
      <c r="F106" s="274">
        <f t="shared" si="12"/>
        <v>0.35618059308469491</v>
      </c>
      <c r="G106" s="274"/>
      <c r="H106" s="277"/>
      <c r="I106" s="272"/>
      <c r="J106" s="286">
        <f t="shared" si="8"/>
        <v>0.19151239168786216</v>
      </c>
      <c r="K106" s="275">
        <f>NPV($C$1,$J$78:J106)+J$77</f>
        <v>1.7591526595763312</v>
      </c>
      <c r="L106" s="286">
        <f t="shared" si="9"/>
        <v>4.6140794238780414</v>
      </c>
      <c r="M106" s="275">
        <f>NPV($C$1,L$78:L106)+L$77</f>
        <v>42.383002052633877</v>
      </c>
      <c r="N106" s="291"/>
      <c r="O106" s="287"/>
      <c r="P106" s="289"/>
    </row>
    <row r="107" spans="1:16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290"/>
      <c r="M107" s="8"/>
    </row>
    <row r="108" spans="1:16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6">
      <c r="B109" s="8"/>
      <c r="C109" s="8"/>
      <c r="D109" s="8"/>
      <c r="E109" s="8">
        <v>4</v>
      </c>
      <c r="F109" s="8"/>
      <c r="G109" s="8"/>
      <c r="H109" s="8"/>
      <c r="I109" s="8"/>
      <c r="J109" s="8"/>
      <c r="K109" s="8">
        <v>10</v>
      </c>
      <c r="L109" s="8"/>
      <c r="M109" s="8">
        <v>12</v>
      </c>
    </row>
    <row r="110" spans="1:16">
      <c r="B110" s="8"/>
      <c r="C110" s="268"/>
      <c r="D110" s="8" t="s">
        <v>21</v>
      </c>
      <c r="E110" s="8"/>
      <c r="F110" s="8"/>
      <c r="G110" s="8"/>
      <c r="H110" s="8"/>
      <c r="I110" s="8"/>
      <c r="J110" s="8"/>
      <c r="K110" s="8"/>
      <c r="L110" s="8"/>
      <c r="M110" s="8"/>
    </row>
    <row r="111" spans="1:16">
      <c r="B111" s="8" t="s">
        <v>33</v>
      </c>
      <c r="C111" s="268"/>
      <c r="D111" s="8" t="s">
        <v>24</v>
      </c>
      <c r="E111" s="8"/>
      <c r="F111" s="8"/>
      <c r="G111" s="8"/>
      <c r="H111" s="8"/>
      <c r="I111" s="8"/>
      <c r="J111" s="8"/>
      <c r="K111" s="8"/>
      <c r="L111" s="8"/>
      <c r="M111" s="8"/>
    </row>
    <row r="112" spans="1:16">
      <c r="B112" s="8" t="s">
        <v>27</v>
      </c>
      <c r="C112" s="268"/>
      <c r="D112" s="7" t="s">
        <v>28</v>
      </c>
      <c r="E112" s="7" t="s">
        <v>29</v>
      </c>
      <c r="F112" s="270"/>
      <c r="G112" s="7"/>
      <c r="H112" s="7"/>
      <c r="I112" s="7"/>
      <c r="J112" s="7" t="s">
        <v>28</v>
      </c>
      <c r="K112" s="7" t="s">
        <v>29</v>
      </c>
      <c r="L112" s="7" t="s">
        <v>28</v>
      </c>
      <c r="M112" s="7" t="s">
        <v>29</v>
      </c>
    </row>
    <row r="113" spans="1:16">
      <c r="A113" s="8" t="str">
        <f>+"I"&amp;B113</f>
        <v>I1</v>
      </c>
      <c r="B113" s="8">
        <v>1</v>
      </c>
      <c r="C113" s="8">
        <v>2014</v>
      </c>
      <c r="D113" s="283">
        <f>'Avoided Cost inputs'!D46/1000</f>
        <v>0.15536363133071091</v>
      </c>
      <c r="E113" s="275">
        <f>+D113</f>
        <v>0.15536363133071091</v>
      </c>
      <c r="F113" s="274">
        <f>E113</f>
        <v>0.15536363133071091</v>
      </c>
      <c r="G113" s="274"/>
      <c r="H113" s="277"/>
      <c r="I113" s="275"/>
      <c r="J113" s="286">
        <f t="shared" ref="J113:J142" si="13">J5</f>
        <v>0.10769999999999999</v>
      </c>
      <c r="K113" s="280">
        <f>+J113</f>
        <v>0.10769999999999999</v>
      </c>
      <c r="L113" s="286">
        <f t="shared" ref="L113:L142" si="14">+L77</f>
        <v>2.5948000000000002</v>
      </c>
      <c r="M113" s="275">
        <f>+L113</f>
        <v>2.5948000000000002</v>
      </c>
      <c r="O113" s="287"/>
    </row>
    <row r="114" spans="1:16">
      <c r="A114" s="8" t="str">
        <f t="shared" ref="A114:A142" si="15">+"I"&amp;B114</f>
        <v>I2</v>
      </c>
      <c r="B114" s="8">
        <v>2</v>
      </c>
      <c r="C114" s="8">
        <f t="shared" ref="C114:C141" si="16">+C113+1</f>
        <v>2015</v>
      </c>
      <c r="D114" s="283">
        <f>'Avoided Cost inputs'!D47/1000</f>
        <v>0.16339312368028275</v>
      </c>
      <c r="E114" s="275">
        <f>NPV($C$1,D$114:D114)+D$113</f>
        <v>0.3080674852375172</v>
      </c>
      <c r="F114" s="274">
        <f>NPV($C$1,D114)</f>
        <v>0.1527038539068063</v>
      </c>
      <c r="G114" s="274"/>
      <c r="H114" s="277"/>
      <c r="I114" s="274"/>
      <c r="J114" s="286">
        <f t="shared" si="13"/>
        <v>0.10999814654588162</v>
      </c>
      <c r="K114" s="275">
        <f>NPV($C$1,J$114:J114)+J$113</f>
        <v>0.21050200611764636</v>
      </c>
      <c r="L114" s="286">
        <f t="shared" si="14"/>
        <v>2.6501689011815568</v>
      </c>
      <c r="M114" s="275">
        <f>NPV($C$1,L$114:L114)+L$113</f>
        <v>5.0715933655902399</v>
      </c>
      <c r="O114" s="287"/>
    </row>
    <row r="115" spans="1:16">
      <c r="A115" s="8" t="str">
        <f t="shared" si="15"/>
        <v>I3</v>
      </c>
      <c r="B115" s="8">
        <v>3</v>
      </c>
      <c r="C115" s="8">
        <f t="shared" si="16"/>
        <v>2016</v>
      </c>
      <c r="D115" s="283">
        <f>'Avoided Cost inputs'!D48/1000</f>
        <v>0.18427922194474364</v>
      </c>
      <c r="E115" s="275">
        <f>NPV($C$1,D$114:D115)+D$113</f>
        <v>0.46902409450011096</v>
      </c>
      <c r="F115" s="274">
        <f t="shared" ref="F115:F142" si="17">NPV($C$1,D115)</f>
        <v>0.17222357191097534</v>
      </c>
      <c r="G115" s="274"/>
      <c r="H115" s="277"/>
      <c r="I115" s="274"/>
      <c r="J115" s="286">
        <f t="shared" si="13"/>
        <v>0.11221061126367472</v>
      </c>
      <c r="K115" s="275">
        <f>NPV($C$1,J$114:J115)+J$113</f>
        <v>0.30851109971855012</v>
      </c>
      <c r="L115" s="286">
        <f t="shared" si="14"/>
        <v>2.7034734828874951</v>
      </c>
      <c r="M115" s="275">
        <f>NPV($C$1,L$114:L115)+L$113</f>
        <v>7.432911806403844</v>
      </c>
      <c r="O115" s="287"/>
    </row>
    <row r="116" spans="1:16">
      <c r="A116" s="8" t="str">
        <f t="shared" si="15"/>
        <v>I4</v>
      </c>
      <c r="B116" s="8">
        <v>4</v>
      </c>
      <c r="C116" s="8">
        <f t="shared" si="16"/>
        <v>2017</v>
      </c>
      <c r="D116" s="283">
        <f>'Avoided Cost inputs'!D49/1000</f>
        <v>0.20577529524794747</v>
      </c>
      <c r="E116" s="275">
        <f>NPV($C$1,D$114:D116)+D$113</f>
        <v>0.63699803112759867</v>
      </c>
      <c r="F116" s="274">
        <f t="shared" si="17"/>
        <v>0.1923133600448107</v>
      </c>
      <c r="G116" s="274"/>
      <c r="H116" s="277"/>
      <c r="I116" s="274"/>
      <c r="J116" s="286">
        <f t="shared" si="13"/>
        <v>0.1144621762202553</v>
      </c>
      <c r="K116" s="275">
        <f>NPV($C$1,J$114:J116)+J$113</f>
        <v>0.40194633115145106</v>
      </c>
      <c r="L116" s="286">
        <f t="shared" si="14"/>
        <v>2.757720100801472</v>
      </c>
      <c r="M116" s="275">
        <f>NPV($C$1,L$114:L116)+L$113</f>
        <v>9.6840328697473126</v>
      </c>
      <c r="O116" s="287"/>
    </row>
    <row r="117" spans="1:16">
      <c r="A117" s="8" t="str">
        <f t="shared" si="15"/>
        <v>I5</v>
      </c>
      <c r="B117" s="8">
        <v>5</v>
      </c>
      <c r="C117" s="8">
        <f t="shared" si="16"/>
        <v>2018</v>
      </c>
      <c r="D117" s="283">
        <f>'Avoided Cost inputs'!D50/1000</f>
        <v>0.2308308329175815</v>
      </c>
      <c r="E117" s="275">
        <f>NPV($C$1,D$114:D117)+D$113</f>
        <v>0.81309776835336378</v>
      </c>
      <c r="F117" s="274">
        <f t="shared" si="17"/>
        <v>0.21572975039026307</v>
      </c>
      <c r="G117" s="274"/>
      <c r="H117" s="277"/>
      <c r="I117" s="274"/>
      <c r="J117" s="286">
        <f t="shared" si="13"/>
        <v>0.11677119108908939</v>
      </c>
      <c r="K117" s="275">
        <f>NPV($C$1,J$114:J117)+J$113</f>
        <v>0.49103051373840401</v>
      </c>
      <c r="L117" s="286">
        <f t="shared" si="14"/>
        <v>2.8133508508632237</v>
      </c>
      <c r="M117" s="275">
        <f>NPV($C$1,L$114:L117)+L$113</f>
        <v>11.830324763680697</v>
      </c>
      <c r="O117" s="287"/>
    </row>
    <row r="118" spans="1:16">
      <c r="A118" s="8" t="str">
        <f t="shared" si="15"/>
        <v>I6</v>
      </c>
      <c r="B118" s="8">
        <v>6</v>
      </c>
      <c r="C118" s="8">
        <f t="shared" si="16"/>
        <v>2019</v>
      </c>
      <c r="D118" s="283">
        <f>'Avoided Cost inputs'!D51/1000</f>
        <v>0.26060106043236714</v>
      </c>
      <c r="E118" s="275">
        <f>NPV($C$1,D$114:D118)+D$113</f>
        <v>0.99890272280042991</v>
      </c>
      <c r="F118" s="274">
        <f t="shared" si="17"/>
        <v>0.2435523929274459</v>
      </c>
      <c r="G118" s="274"/>
      <c r="H118" s="277"/>
      <c r="I118" s="274"/>
      <c r="J118" s="286">
        <f t="shared" si="13"/>
        <v>0.11916434435553355</v>
      </c>
      <c r="K118" s="275">
        <f>NPV($C$1,J$114:J118)+J$113</f>
        <v>0.57599304435113208</v>
      </c>
      <c r="L118" s="286">
        <f t="shared" si="14"/>
        <v>2.871008734760804</v>
      </c>
      <c r="M118" s="275">
        <f>NPV($C$1,L$114:L118)+L$113</f>
        <v>13.87731431274204</v>
      </c>
      <c r="O118" s="287"/>
    </row>
    <row r="119" spans="1:16">
      <c r="A119" s="8" t="str">
        <f t="shared" si="15"/>
        <v>I7</v>
      </c>
      <c r="B119" s="8">
        <v>7</v>
      </c>
      <c r="C119" s="8">
        <f t="shared" si="16"/>
        <v>2020</v>
      </c>
      <c r="D119" s="283">
        <f>'Avoided Cost inputs'!D52/1000</f>
        <v>0.25280001939717045</v>
      </c>
      <c r="E119" s="275">
        <f>NPV($C$1,D$114:D119)+D$113</f>
        <v>1.1673540499063979</v>
      </c>
      <c r="F119" s="274">
        <f t="shared" si="17"/>
        <v>0.23626170037118732</v>
      </c>
      <c r="G119" s="274"/>
      <c r="H119" s="277"/>
      <c r="I119" s="274"/>
      <c r="J119" s="286">
        <f t="shared" si="13"/>
        <v>0.12161057448120899</v>
      </c>
      <c r="K119" s="275">
        <f>NPV($C$1,J$114:J119)+J$113</f>
        <v>0.65702730499054451</v>
      </c>
      <c r="L119" s="286">
        <f t="shared" si="14"/>
        <v>2.9299453914934186</v>
      </c>
      <c r="M119" s="275">
        <f>NPV($C$1,L$114:L119)+L$113</f>
        <v>15.829660640570708</v>
      </c>
      <c r="O119" s="287"/>
    </row>
    <row r="120" spans="1:16">
      <c r="A120" s="8" t="str">
        <f t="shared" si="15"/>
        <v>I8</v>
      </c>
      <c r="B120" s="8">
        <v>8</v>
      </c>
      <c r="C120" s="8">
        <f t="shared" si="16"/>
        <v>2021</v>
      </c>
      <c r="D120" s="283">
        <f>'Avoided Cost inputs'!D53/1000</f>
        <v>0.25116093639093917</v>
      </c>
      <c r="E120" s="275">
        <f>NPV($C$1,D$114:D120)+D$113</f>
        <v>1.3237644582153476</v>
      </c>
      <c r="F120" s="274">
        <f t="shared" si="17"/>
        <v>0.23472984709433567</v>
      </c>
      <c r="G120" s="274"/>
      <c r="H120" s="277"/>
      <c r="I120" s="274"/>
      <c r="J120" s="286">
        <f t="shared" si="13"/>
        <v>0.12403210971922915</v>
      </c>
      <c r="K120" s="275">
        <f>NPV($C$1,J$114:J120)+J$113</f>
        <v>0.73426826930359579</v>
      </c>
      <c r="L120" s="286">
        <f t="shared" si="14"/>
        <v>2.9882870779893769</v>
      </c>
      <c r="M120" s="275">
        <f>NPV($C$1,L$114:L120)+L$113</f>
        <v>17.690615647065652</v>
      </c>
      <c r="O120" s="287"/>
    </row>
    <row r="121" spans="1:16">
      <c r="A121" s="8" t="str">
        <f t="shared" si="15"/>
        <v>I9</v>
      </c>
      <c r="B121" s="8">
        <v>9</v>
      </c>
      <c r="C121" s="8">
        <f t="shared" si="16"/>
        <v>2022</v>
      </c>
      <c r="D121" s="283">
        <f>'Avoided Cost inputs'!D54/1000</f>
        <v>0.2521446529252136</v>
      </c>
      <c r="E121" s="275">
        <f>NPV($C$1,D$114:D121)+D$113</f>
        <v>1.4705149418852135</v>
      </c>
      <c r="F121" s="274">
        <f t="shared" si="17"/>
        <v>0.23564920834132111</v>
      </c>
      <c r="G121" s="274"/>
      <c r="H121" s="277"/>
      <c r="I121" s="274"/>
      <c r="J121" s="286">
        <f t="shared" si="13"/>
        <v>0.12644417000903438</v>
      </c>
      <c r="K121" s="275">
        <f>NPV($C$1,J$114:J121)+J$113</f>
        <v>0.80785992746802338</v>
      </c>
      <c r="L121" s="286">
        <f t="shared" si="14"/>
        <v>3.0464004859743965</v>
      </c>
      <c r="M121" s="275">
        <f>NPV($C$1,L$114:L121)+L$113</f>
        <v>19.463648466054106</v>
      </c>
      <c r="O121" s="287"/>
      <c r="P121" s="289"/>
    </row>
    <row r="122" spans="1:16">
      <c r="A122" s="8" t="str">
        <f t="shared" si="15"/>
        <v>I10</v>
      </c>
      <c r="B122" s="8">
        <v>10</v>
      </c>
      <c r="C122" s="8">
        <f t="shared" si="16"/>
        <v>2023</v>
      </c>
      <c r="D122" s="283">
        <f>'Avoided Cost inputs'!D55/1000</f>
        <v>0.24494532752924697</v>
      </c>
      <c r="E122" s="275">
        <f>NPV($C$1,D$114:D122)+D$113</f>
        <v>1.6037489706166967</v>
      </c>
      <c r="F122" s="274">
        <f t="shared" si="17"/>
        <v>0.22892086684976351</v>
      </c>
      <c r="G122" s="274"/>
      <c r="H122" s="277"/>
      <c r="I122" s="274"/>
      <c r="J122" s="286">
        <f t="shared" si="13"/>
        <v>0.12897117299641553</v>
      </c>
      <c r="K122" s="275">
        <f>NPV($C$1,J$114:J122)+J$113</f>
        <v>0.87801170028143116</v>
      </c>
      <c r="L122" s="286">
        <f t="shared" si="14"/>
        <v>3.1072831911894063</v>
      </c>
      <c r="M122" s="275">
        <f>NPV($C$1,L$114:L122)+L$113</f>
        <v>21.153804641506575</v>
      </c>
      <c r="O122" s="287"/>
      <c r="P122" s="289"/>
    </row>
    <row r="123" spans="1:16">
      <c r="A123" s="8" t="str">
        <f t="shared" si="15"/>
        <v>I11</v>
      </c>
      <c r="B123" s="8">
        <v>11</v>
      </c>
      <c r="C123" s="8">
        <f t="shared" si="16"/>
        <v>2024</v>
      </c>
      <c r="D123" s="286">
        <f>D122*(1+'Avoided Cost inputs'!$G$42)</f>
        <v>0.24984423407983192</v>
      </c>
      <c r="E123" s="275">
        <f>NPV($C$1,D$114:D123)+D$113</f>
        <v>1.7307571101551198</v>
      </c>
      <c r="F123" s="274">
        <f t="shared" si="17"/>
        <v>0.23349928418675878</v>
      </c>
      <c r="G123" s="274"/>
      <c r="H123" s="277"/>
      <c r="I123" s="274"/>
      <c r="J123" s="286">
        <f t="shared" si="13"/>
        <v>0.13153230294659793</v>
      </c>
      <c r="K123" s="275">
        <f>NPV($C$1,J$114:J123)+J$113</f>
        <v>0.9448760533771835</v>
      </c>
      <c r="L123" s="286">
        <f t="shared" si="14"/>
        <v>3.1689881122175709</v>
      </c>
      <c r="M123" s="275">
        <f>NPV($C$1,L$114:L123)+L$113</f>
        <v>22.764757505135712</v>
      </c>
      <c r="O123" s="287"/>
      <c r="P123" s="289"/>
    </row>
    <row r="124" spans="1:16">
      <c r="A124" s="8" t="str">
        <f t="shared" si="15"/>
        <v>I12</v>
      </c>
      <c r="B124" s="8">
        <v>12</v>
      </c>
      <c r="C124" s="8">
        <f t="shared" si="16"/>
        <v>2025</v>
      </c>
      <c r="D124" s="286">
        <f>D123*(1+'Avoided Cost inputs'!$G$42)</f>
        <v>0.25484111876142856</v>
      </c>
      <c r="E124" s="275">
        <f>NPV($C$1,D$114:D124)+D$113</f>
        <v>1.851830289902028</v>
      </c>
      <c r="F124" s="274">
        <f t="shared" si="17"/>
        <v>0.23816926987049397</v>
      </c>
      <c r="G124" s="274"/>
      <c r="H124" s="277"/>
      <c r="I124" s="274"/>
      <c r="J124" s="286">
        <f t="shared" si="13"/>
        <v>0.13415778537311809</v>
      </c>
      <c r="K124" s="275">
        <f>NPV($C$1,J$114:J124)+J$113</f>
        <v>1.0086134507872637</v>
      </c>
      <c r="L124" s="286">
        <f t="shared" si="14"/>
        <v>3.2322434678381331</v>
      </c>
      <c r="M124" s="275">
        <f>NPV($C$1,L$114:L124)+L$113</f>
        <v>24.300373092876441</v>
      </c>
      <c r="O124" s="287"/>
      <c r="P124" s="289"/>
    </row>
    <row r="125" spans="1:16">
      <c r="A125" s="8" t="str">
        <f t="shared" si="15"/>
        <v>I13</v>
      </c>
      <c r="B125" s="8">
        <v>13</v>
      </c>
      <c r="C125" s="8">
        <f t="shared" si="16"/>
        <v>2026</v>
      </c>
      <c r="D125" s="286">
        <f>D124*(1+'Avoided Cost inputs'!$G$42)</f>
        <v>0.25993794113665714</v>
      </c>
      <c r="E125" s="275">
        <f>NPV($C$1,D$114:D125)+D$113</f>
        <v>1.9672458444271179</v>
      </c>
      <c r="F125" s="274">
        <f t="shared" si="17"/>
        <v>0.24293265526790386</v>
      </c>
      <c r="G125" s="274"/>
      <c r="H125" s="277"/>
      <c r="I125" s="274"/>
      <c r="J125" s="286">
        <f t="shared" si="13"/>
        <v>0.13683630178580064</v>
      </c>
      <c r="K125" s="275">
        <f>NPV($C$1,J$114:J125)+J$113</f>
        <v>1.0693704052384334</v>
      </c>
      <c r="L125" s="286">
        <f t="shared" si="14"/>
        <v>3.2967765633592911</v>
      </c>
      <c r="M125" s="275">
        <f>NPV($C$1,L$114:L125)+L$113</f>
        <v>25.764181313952538</v>
      </c>
      <c r="O125" s="287"/>
      <c r="P125" s="289"/>
    </row>
    <row r="126" spans="1:16">
      <c r="A126" s="8" t="str">
        <f t="shared" si="15"/>
        <v>I14</v>
      </c>
      <c r="B126" s="8">
        <v>14</v>
      </c>
      <c r="C126" s="8">
        <f t="shared" si="16"/>
        <v>2027</v>
      </c>
      <c r="D126" s="286">
        <f>D125*(1+'Avoided Cost inputs'!$G$42)</f>
        <v>0.26513669995939027</v>
      </c>
      <c r="E126" s="275">
        <f>NPV($C$1,D$114:D126)+D$113</f>
        <v>2.0772681487407549</v>
      </c>
      <c r="F126" s="274">
        <f t="shared" si="17"/>
        <v>0.24779130837326191</v>
      </c>
      <c r="G126" s="274"/>
      <c r="H126" s="277"/>
      <c r="I126" s="274"/>
      <c r="J126" s="286">
        <f t="shared" si="13"/>
        <v>0.13955505457359507</v>
      </c>
      <c r="K126" s="275">
        <f>NPV($C$1,J$114:J126)+J$113</f>
        <v>1.1272807914096199</v>
      </c>
      <c r="L126" s="286">
        <f t="shared" si="14"/>
        <v>3.3622790678511105</v>
      </c>
      <c r="M126" s="275">
        <f>NPV($C$1,L$114:L126)+L$113</f>
        <v>27.159407590990561</v>
      </c>
      <c r="O126" s="287"/>
      <c r="P126" s="289"/>
    </row>
    <row r="127" spans="1:16">
      <c r="A127" s="8" t="str">
        <f t="shared" si="15"/>
        <v>I15</v>
      </c>
      <c r="B127" s="8">
        <v>15</v>
      </c>
      <c r="C127" s="8">
        <f t="shared" si="16"/>
        <v>2028</v>
      </c>
      <c r="D127" s="286">
        <f>D126*(1+'Avoided Cost inputs'!$G$42)</f>
        <v>0.27043943395857806</v>
      </c>
      <c r="E127" s="275">
        <f>NPV($C$1,D$114:D127)+D$113</f>
        <v>2.1821492238808573</v>
      </c>
      <c r="F127" s="274">
        <f t="shared" si="17"/>
        <v>0.25274713454072711</v>
      </c>
      <c r="G127" s="274"/>
      <c r="H127" s="277"/>
      <c r="I127" s="274"/>
      <c r="J127" s="286">
        <f t="shared" si="13"/>
        <v>0.14233397971351475</v>
      </c>
      <c r="K127" s="275">
        <f>NPV($C$1,J$114:J127)+J$113</f>
        <v>1.182480362725131</v>
      </c>
      <c r="L127" s="286">
        <f t="shared" si="14"/>
        <v>3.4292312958275595</v>
      </c>
      <c r="M127" s="275">
        <f>NPV($C$1,L$114:L127)+L$113</f>
        <v>28.489322610948669</v>
      </c>
      <c r="O127" s="287"/>
      <c r="P127" s="289"/>
    </row>
    <row r="128" spans="1:16">
      <c r="A128" s="8" t="str">
        <f t="shared" si="15"/>
        <v>I16</v>
      </c>
      <c r="B128" s="8">
        <v>16</v>
      </c>
      <c r="C128" s="8">
        <f t="shared" si="16"/>
        <v>2029</v>
      </c>
      <c r="D128" s="286">
        <f>D127*(1+'Avoided Cost inputs'!$G$42)</f>
        <v>0.27584822263774961</v>
      </c>
      <c r="E128" s="275">
        <f>NPV($C$1,D$114:D128)+D$113</f>
        <v>2.2821293142013293</v>
      </c>
      <c r="F128" s="274">
        <f t="shared" si="17"/>
        <v>0.25780207723154169</v>
      </c>
      <c r="G128" s="274"/>
      <c r="H128" s="277"/>
      <c r="I128" s="274"/>
      <c r="J128" s="286">
        <f t="shared" si="13"/>
        <v>0.14518323812287612</v>
      </c>
      <c r="K128" s="275">
        <f>NPV($C$1,J$114:J128)+J$113</f>
        <v>1.2351014495015562</v>
      </c>
      <c r="L128" s="286">
        <f t="shared" si="14"/>
        <v>3.497878052750595</v>
      </c>
      <c r="M128" s="275">
        <f>NPV($C$1,L$114:L128)+L$113</f>
        <v>29.757114588362487</v>
      </c>
      <c r="O128" s="287"/>
      <c r="P128" s="289"/>
    </row>
    <row r="129" spans="1:16">
      <c r="A129" s="8" t="str">
        <f t="shared" si="15"/>
        <v>I17</v>
      </c>
      <c r="B129" s="8">
        <v>17</v>
      </c>
      <c r="C129" s="8">
        <f t="shared" si="16"/>
        <v>2030</v>
      </c>
      <c r="D129" s="286">
        <f>D128*(1+'Avoided Cost inputs'!$G$42)</f>
        <v>0.28136518709050462</v>
      </c>
      <c r="E129" s="275">
        <f>NPV($C$1,D$114:D129)+D$113</f>
        <v>2.3774374376843959</v>
      </c>
      <c r="F129" s="274">
        <f t="shared" si="17"/>
        <v>0.26295811877617253</v>
      </c>
      <c r="G129" s="274"/>
      <c r="H129" s="277"/>
      <c r="I129" s="274"/>
      <c r="J129" s="286">
        <f t="shared" si="13"/>
        <v>0.1480842657628689</v>
      </c>
      <c r="K129" s="275">
        <f>NPV($C$1,J$114:J129)+J$113</f>
        <v>1.2852627137047461</v>
      </c>
      <c r="L129" s="286">
        <f t="shared" si="14"/>
        <v>3.5677720780082858</v>
      </c>
      <c r="M129" s="275">
        <f>NPV($C$1,L$114:L129)+L$113</f>
        <v>30.965642428236556</v>
      </c>
      <c r="O129" s="287"/>
      <c r="P129" s="289"/>
    </row>
    <row r="130" spans="1:16">
      <c r="A130" s="8" t="str">
        <f t="shared" si="15"/>
        <v>I18</v>
      </c>
      <c r="B130" s="8">
        <v>18</v>
      </c>
      <c r="C130" s="8">
        <f t="shared" si="16"/>
        <v>2031</v>
      </c>
      <c r="D130" s="286">
        <f>D129*(1+'Avoided Cost inputs'!$G$42)</f>
        <v>0.28699249083231471</v>
      </c>
      <c r="E130" s="275">
        <f>NPV($C$1,D$114:D130)+D$113</f>
        <v>2.4682919105374124</v>
      </c>
      <c r="F130" s="274">
        <f t="shared" si="17"/>
        <v>0.26821728115169596</v>
      </c>
      <c r="G130" s="274"/>
      <c r="H130" s="277"/>
      <c r="I130" s="274"/>
      <c r="J130" s="286">
        <f t="shared" si="13"/>
        <v>0.15105071770592057</v>
      </c>
      <c r="K130" s="275">
        <f>NPV($C$1,J$114:J130)+J$113</f>
        <v>1.333081502591664</v>
      </c>
      <c r="L130" s="286">
        <f t="shared" si="14"/>
        <v>3.6392423612193392</v>
      </c>
      <c r="M130" s="275">
        <f>NPV($C$1,L$114:L130)+L$113</f>
        <v>32.117733360490739</v>
      </c>
      <c r="O130" s="287"/>
      <c r="P130" s="289"/>
    </row>
    <row r="131" spans="1:16">
      <c r="A131" s="8" t="str">
        <f t="shared" si="15"/>
        <v>I19</v>
      </c>
      <c r="B131" s="8">
        <v>19</v>
      </c>
      <c r="C131" s="8">
        <f t="shared" si="16"/>
        <v>2032</v>
      </c>
      <c r="D131" s="286">
        <f>D130*(1+'Avoided Cost inputs'!$G$42)</f>
        <v>0.29273234064896103</v>
      </c>
      <c r="E131" s="275">
        <f>NPV($C$1,D$114:D131)+D$113</f>
        <v>2.5549008472758019</v>
      </c>
      <c r="F131" s="274">
        <f t="shared" si="17"/>
        <v>0.27358162677472991</v>
      </c>
      <c r="G131" s="274"/>
      <c r="H131" s="277"/>
      <c r="I131" s="274"/>
      <c r="J131" s="286">
        <f t="shared" si="13"/>
        <v>0.15405699872993009</v>
      </c>
      <c r="K131" s="275">
        <f>NPV($C$1,J$114:J131)+J$113</f>
        <v>1.3786614095726526</v>
      </c>
      <c r="L131" s="286">
        <f t="shared" si="14"/>
        <v>3.711672240523888</v>
      </c>
      <c r="M131" s="275">
        <f>NPV($C$1,L$114:L131)+L$113</f>
        <v>33.215883245674299</v>
      </c>
      <c r="O131" s="287"/>
      <c r="P131" s="289"/>
    </row>
    <row r="132" spans="1:16">
      <c r="A132" s="8" t="str">
        <f t="shared" si="15"/>
        <v>I20</v>
      </c>
      <c r="B132" s="8">
        <v>20</v>
      </c>
      <c r="C132" s="8">
        <f t="shared" si="16"/>
        <v>2033</v>
      </c>
      <c r="D132" s="286">
        <f>D131*(1+'Avoided Cost inputs'!$G$42)</f>
        <v>0.29858698746194023</v>
      </c>
      <c r="E132" s="275">
        <f>NPV($C$1,D$114:D132)+D$113</f>
        <v>2.6374626374376313</v>
      </c>
      <c r="F132" s="274">
        <f t="shared" si="17"/>
        <v>0.27905325931022451</v>
      </c>
      <c r="G132" s="274"/>
      <c r="H132" s="277"/>
      <c r="I132" s="274"/>
      <c r="J132" s="286">
        <f t="shared" si="13"/>
        <v>0.15712274470042886</v>
      </c>
      <c r="K132" s="275">
        <f>NPV($C$1,J$114:J132)+J$113</f>
        <v>1.4221071577878559</v>
      </c>
      <c r="L132" s="286">
        <f t="shared" si="14"/>
        <v>3.7855347998948279</v>
      </c>
      <c r="M132" s="275">
        <f>NPV($C$1,L$114:L132)+L$113</f>
        <v>34.262615162747743</v>
      </c>
      <c r="O132" s="287"/>
      <c r="P132" s="289"/>
    </row>
    <row r="133" spans="1:16">
      <c r="A133" s="8" t="str">
        <f t="shared" si="15"/>
        <v>I21</v>
      </c>
      <c r="B133" s="8">
        <v>21</v>
      </c>
      <c r="C133" s="8">
        <f t="shared" si="16"/>
        <v>2034</v>
      </c>
      <c r="D133" s="286">
        <f>D132*(1+'Avoided Cost inputs'!$G$42)</f>
        <v>0.30455872721117905</v>
      </c>
      <c r="E133" s="275">
        <f>NPV($C$1,D$114:D133)+D$113</f>
        <v>2.7161664000218053</v>
      </c>
      <c r="F133" s="274">
        <f t="shared" si="17"/>
        <v>0.284634324496429</v>
      </c>
      <c r="G133" s="274"/>
      <c r="H133" s="277"/>
      <c r="I133" s="274"/>
      <c r="J133" s="286">
        <f t="shared" si="13"/>
        <v>0.16024915606334456</v>
      </c>
      <c r="K133" s="275">
        <f>NPV($C$1,J$114:J133)+J$113</f>
        <v>1.4635185848995094</v>
      </c>
      <c r="L133" s="286">
        <f t="shared" si="14"/>
        <v>3.860858961496441</v>
      </c>
      <c r="M133" s="275">
        <f>NPV($C$1,L$114:L133)+L$113</f>
        <v>35.260334485582639</v>
      </c>
      <c r="O133" s="287"/>
      <c r="P133" s="289"/>
    </row>
    <row r="134" spans="1:16">
      <c r="A134" s="8" t="str">
        <f t="shared" si="15"/>
        <v>I22</v>
      </c>
      <c r="B134" s="8">
        <v>22</v>
      </c>
      <c r="C134" s="8">
        <f t="shared" si="16"/>
        <v>2035</v>
      </c>
      <c r="D134" s="286">
        <f>D133*(1+'Avoided Cost inputs'!$G$42)</f>
        <v>0.31064990175540264</v>
      </c>
      <c r="E134" s="275">
        <f>NPV($C$1,D$114:D134)+D$113</f>
        <v>2.7911924166908308</v>
      </c>
      <c r="F134" s="274">
        <f t="shared" si="17"/>
        <v>0.2903270109863576</v>
      </c>
      <c r="G134" s="274"/>
      <c r="H134" s="277"/>
      <c r="I134" s="274"/>
      <c r="J134" s="286">
        <f t="shared" si="13"/>
        <v>0.16345398226917948</v>
      </c>
      <c r="K134" s="275">
        <f>NPV($C$1,J$114:J134)+J$113</f>
        <v>1.5029948606976</v>
      </c>
      <c r="L134" s="286">
        <f t="shared" si="14"/>
        <v>3.9380723601863248</v>
      </c>
      <c r="M134" s="275">
        <f>NPV($C$1,L$114:L134)+L$113</f>
        <v>36.211430497104331</v>
      </c>
      <c r="O134" s="287"/>
      <c r="P134" s="289"/>
    </row>
    <row r="135" spans="1:16">
      <c r="A135" s="8" t="str">
        <f t="shared" si="15"/>
        <v>I23</v>
      </c>
      <c r="B135" s="8">
        <v>23</v>
      </c>
      <c r="C135" s="8">
        <f t="shared" si="16"/>
        <v>2036</v>
      </c>
      <c r="D135" s="286">
        <f>D134*(1+'Avoided Cost inputs'!$G$42)</f>
        <v>0.31686289979051069</v>
      </c>
      <c r="E135" s="275">
        <f>NPV($C$1,D$114:D135)+D$113</f>
        <v>2.8627125447304627</v>
      </c>
      <c r="F135" s="274">
        <f t="shared" si="17"/>
        <v>0.29613355120608476</v>
      </c>
      <c r="G135" s="274"/>
      <c r="H135" s="277"/>
      <c r="I135" s="274"/>
      <c r="J135" s="286">
        <f t="shared" si="13"/>
        <v>0.16672306191456307</v>
      </c>
      <c r="K135" s="275">
        <f>NPV($C$1,J$114:J135)+J$113</f>
        <v>1.5406264507107332</v>
      </c>
      <c r="L135" s="286">
        <f t="shared" si="14"/>
        <v>4.0168338073900518</v>
      </c>
      <c r="M135" s="275">
        <f>NPV($C$1,L$114:L135)+L$113</f>
        <v>37.118082769769863</v>
      </c>
      <c r="O135" s="287"/>
      <c r="P135" s="289"/>
    </row>
    <row r="136" spans="1:16">
      <c r="A136" s="8" t="str">
        <f t="shared" si="15"/>
        <v>I24</v>
      </c>
      <c r="B136" s="8">
        <v>24</v>
      </c>
      <c r="C136" s="8">
        <f t="shared" si="16"/>
        <v>2037</v>
      </c>
      <c r="D136" s="286">
        <f>D135*(1+'Avoided Cost inputs'!$G$42)</f>
        <v>0.32320015778632089</v>
      </c>
      <c r="E136" s="275">
        <f>NPV($C$1,D$114:D136)+D$113</f>
        <v>2.9308906107121677</v>
      </c>
      <c r="F136" s="274">
        <f t="shared" si="17"/>
        <v>0.30205622223020639</v>
      </c>
      <c r="G136" s="274"/>
      <c r="H136" s="277"/>
      <c r="I136" s="274"/>
      <c r="J136" s="286">
        <f t="shared" si="13"/>
        <v>0.17005752315285436</v>
      </c>
      <c r="K136" s="275">
        <f>NPV($C$1,J$114:J136)+J$113</f>
        <v>1.576499555209234</v>
      </c>
      <c r="L136" s="286">
        <f t="shared" si="14"/>
        <v>4.0971704835378526</v>
      </c>
      <c r="M136" s="275">
        <f>NPV($C$1,L$114:L136)+L$113</f>
        <v>37.982368113806167</v>
      </c>
      <c r="O136" s="287"/>
      <c r="P136" s="289"/>
    </row>
    <row r="137" spans="1:16">
      <c r="A137" s="8" t="str">
        <f t="shared" si="15"/>
        <v>I25</v>
      </c>
      <c r="B137" s="8">
        <v>25</v>
      </c>
      <c r="C137" s="8">
        <f t="shared" si="16"/>
        <v>2038</v>
      </c>
      <c r="D137" s="286">
        <f>D136*(1+'Avoided Cost inputs'!$G$42)</f>
        <v>0.32966416094204731</v>
      </c>
      <c r="E137" s="275">
        <f>NPV($C$1,D$114:D137)+D$113</f>
        <v>2.9958827857601489</v>
      </c>
      <c r="F137" s="274">
        <f t="shared" si="17"/>
        <v>0.30809734667481053</v>
      </c>
      <c r="G137" s="274"/>
      <c r="H137" s="277"/>
      <c r="I137" s="274"/>
      <c r="J137" s="286">
        <f t="shared" si="13"/>
        <v>0.17345867361591144</v>
      </c>
      <c r="K137" s="275">
        <f>NPV($C$1,J$114:J137)+J$113</f>
        <v>1.6106963464134123</v>
      </c>
      <c r="L137" s="286">
        <f t="shared" si="14"/>
        <v>4.1791138932086094</v>
      </c>
      <c r="M137" s="275">
        <f>NPV($C$1,L$114:L137)+L$113</f>
        <v>38.806266292233296</v>
      </c>
      <c r="O137" s="287"/>
      <c r="P137" s="289"/>
    </row>
    <row r="138" spans="1:16">
      <c r="A138" s="8" t="str">
        <f t="shared" si="15"/>
        <v>I26</v>
      </c>
      <c r="B138" s="8">
        <v>26</v>
      </c>
      <c r="C138" s="8">
        <f t="shared" si="16"/>
        <v>2039</v>
      </c>
      <c r="D138" s="286">
        <f>D137*(1+'Avoided Cost inputs'!$G$42)</f>
        <v>0.33625744416088826</v>
      </c>
      <c r="E138" s="275">
        <f>NPV($C$1,D$114:D138)+D$113</f>
        <v>3.0578379432825225</v>
      </c>
      <c r="F138" s="274">
        <f t="shared" si="17"/>
        <v>0.31425929360830679</v>
      </c>
      <c r="G138" s="274"/>
      <c r="H138" s="277"/>
      <c r="I138" s="274"/>
      <c r="J138" s="286">
        <f t="shared" si="13"/>
        <v>0.17692784708822967</v>
      </c>
      <c r="K138" s="275">
        <f>NPV($C$1,J$114:J138)+J$113</f>
        <v>1.6432951567201992</v>
      </c>
      <c r="L138" s="286">
        <f t="shared" si="14"/>
        <v>4.2626961710727818</v>
      </c>
      <c r="M138" s="275">
        <f>NPV($C$1,L$114:L138)+L$113</f>
        <v>39.59166455578066</v>
      </c>
      <c r="O138" s="287"/>
      <c r="P138" s="289"/>
    </row>
    <row r="139" spans="1:16">
      <c r="A139" s="8" t="str">
        <f t="shared" si="15"/>
        <v>I27</v>
      </c>
      <c r="B139" s="8">
        <v>27</v>
      </c>
      <c r="C139" s="8">
        <f t="shared" si="16"/>
        <v>2040</v>
      </c>
      <c r="D139" s="286">
        <f>D138*(1+'Avoided Cost inputs'!$G$42)</f>
        <v>0.34298259304410605</v>
      </c>
      <c r="E139" s="275">
        <f>NPV($C$1,D$114:D139)+D$113</f>
        <v>3.1168979999860937</v>
      </c>
      <c r="F139" s="274">
        <f t="shared" si="17"/>
        <v>0.32054447948047293</v>
      </c>
      <c r="G139" s="274"/>
      <c r="H139" s="277"/>
      <c r="I139" s="274"/>
      <c r="J139" s="286">
        <f t="shared" si="13"/>
        <v>0.18046640402999425</v>
      </c>
      <c r="K139" s="275">
        <f>NPV($C$1,J$114:J139)+J$113</f>
        <v>1.6743706581341455</v>
      </c>
      <c r="L139" s="286">
        <f t="shared" si="14"/>
        <v>4.3479500944942373</v>
      </c>
      <c r="M139" s="275">
        <f>NPV($C$1,L$114:L139)+L$113</f>
        <v>40.340361965891226</v>
      </c>
      <c r="O139" s="287"/>
      <c r="P139" s="289"/>
    </row>
    <row r="140" spans="1:16">
      <c r="A140" s="8" t="str">
        <f t="shared" si="15"/>
        <v>I28</v>
      </c>
      <c r="B140" s="8">
        <v>28</v>
      </c>
      <c r="C140" s="8">
        <f t="shared" si="16"/>
        <v>2041</v>
      </c>
      <c r="D140" s="286">
        <f>D139*(1+'Avoided Cost inputs'!$G$42)</f>
        <v>0.34984224490498816</v>
      </c>
      <c r="E140" s="275">
        <f>NPV($C$1,D$114:D140)+D$113</f>
        <v>3.1731982409558532</v>
      </c>
      <c r="F140" s="274">
        <f t="shared" si="17"/>
        <v>0.32695536907008238</v>
      </c>
      <c r="G140" s="274"/>
      <c r="H140" s="277"/>
      <c r="I140" s="274"/>
      <c r="J140" s="286">
        <f t="shared" si="13"/>
        <v>0.18407573211059414</v>
      </c>
      <c r="K140" s="275">
        <f>NPV($C$1,J$114:J140)+J$113</f>
        <v>1.7039940333137953</v>
      </c>
      <c r="L140" s="286">
        <f t="shared" si="14"/>
        <v>4.4349090963841222</v>
      </c>
      <c r="M140" s="275">
        <f>NPV($C$1,L$114:L140)+L$113</f>
        <v>41.054073515716247</v>
      </c>
      <c r="O140" s="287"/>
      <c r="P140" s="289"/>
    </row>
    <row r="141" spans="1:16">
      <c r="A141" s="8" t="str">
        <f t="shared" si="15"/>
        <v>I29</v>
      </c>
      <c r="B141" s="8">
        <v>29</v>
      </c>
      <c r="C141" s="8">
        <f t="shared" si="16"/>
        <v>2042</v>
      </c>
      <c r="D141" s="286">
        <f>D140*(1+'Avoided Cost inputs'!$G$42)</f>
        <v>0.35683908980308793</v>
      </c>
      <c r="E141" s="275">
        <f>NPV($C$1,D$114:D141)+D$113</f>
        <v>3.2268676295438485</v>
      </c>
      <c r="F141" s="274">
        <f t="shared" si="17"/>
        <v>0.333494476451484</v>
      </c>
      <c r="G141" s="274"/>
      <c r="H141" s="277"/>
      <c r="I141" s="274"/>
      <c r="J141" s="286">
        <f t="shared" si="13"/>
        <v>0.18775724675280603</v>
      </c>
      <c r="K141" s="275">
        <f>NPV($C$1,J$114:J141)+J$113</f>
        <v>1.7322331386252372</v>
      </c>
      <c r="L141" s="286">
        <f t="shared" si="14"/>
        <v>4.5236072783118049</v>
      </c>
      <c r="M141" s="275">
        <f>NPV($C$1,L$114:L141)+L$113</f>
        <v>41.73443405854011</v>
      </c>
      <c r="O141" s="287"/>
      <c r="P141" s="289"/>
    </row>
    <row r="142" spans="1:16">
      <c r="A142" s="8" t="str">
        <f t="shared" si="15"/>
        <v>I30</v>
      </c>
      <c r="B142" s="8">
        <v>30</v>
      </c>
      <c r="C142" s="8">
        <f>+C141+1</f>
        <v>2043</v>
      </c>
      <c r="D142" s="286">
        <f>D141*(1+'Avoided Cost inputs'!$G$42)</f>
        <v>0.36397587159914968</v>
      </c>
      <c r="E142" s="275">
        <f>NPV($C$1,D$114:D142)+D$113</f>
        <v>3.2780291027772646</v>
      </c>
      <c r="F142" s="274">
        <f t="shared" si="17"/>
        <v>0.34016436598051369</v>
      </c>
      <c r="G142" s="274"/>
      <c r="H142" s="277"/>
      <c r="I142" s="274"/>
      <c r="J142" s="286">
        <f t="shared" si="13"/>
        <v>0.19151239168786216</v>
      </c>
      <c r="K142" s="275">
        <f>NPV($C$1,J$114:J142)+J$113</f>
        <v>1.7591526595763312</v>
      </c>
      <c r="L142" s="286">
        <f t="shared" si="14"/>
        <v>4.6140794238780414</v>
      </c>
      <c r="M142" s="275">
        <f>NPV($C$1,L$114:L142)+L$113</f>
        <v>42.383002052633877</v>
      </c>
      <c r="O142" s="287"/>
      <c r="P142" s="289"/>
    </row>
    <row r="143" spans="1:16">
      <c r="D143" s="292"/>
      <c r="I143" s="293"/>
    </row>
    <row r="144" spans="1:16">
      <c r="I144" s="293"/>
    </row>
    <row r="145" spans="9:9">
      <c r="I145" s="293"/>
    </row>
    <row r="146" spans="9:9">
      <c r="I146" s="293"/>
    </row>
    <row r="147" spans="9:9">
      <c r="I147" s="293"/>
    </row>
    <row r="148" spans="9:9">
      <c r="I148" s="293"/>
    </row>
    <row r="149" spans="9:9">
      <c r="I149" s="293"/>
    </row>
    <row r="150" spans="9:9">
      <c r="I150" s="293"/>
    </row>
    <row r="151" spans="9:9">
      <c r="I151" s="293"/>
    </row>
    <row r="152" spans="9:9">
      <c r="I152" s="293"/>
    </row>
    <row r="153" spans="9:9">
      <c r="I153" s="293"/>
    </row>
    <row r="154" spans="9:9">
      <c r="I154" s="293"/>
    </row>
    <row r="155" spans="9:9">
      <c r="I155" s="293"/>
    </row>
    <row r="156" spans="9:9">
      <c r="I156" s="293"/>
    </row>
    <row r="157" spans="9:9">
      <c r="I157" s="293"/>
    </row>
    <row r="158" spans="9:9">
      <c r="I158" s="293"/>
    </row>
    <row r="159" spans="9:9">
      <c r="I159" s="293"/>
    </row>
    <row r="160" spans="9:9">
      <c r="I160" s="293"/>
    </row>
    <row r="161" spans="9:9">
      <c r="I161" s="293"/>
    </row>
    <row r="162" spans="9:9">
      <c r="I162" s="293"/>
    </row>
    <row r="163" spans="9:9">
      <c r="I163" s="293"/>
    </row>
    <row r="164" spans="9:9">
      <c r="I164" s="293"/>
    </row>
    <row r="165" spans="9:9">
      <c r="I165" s="293"/>
    </row>
    <row r="166" spans="9:9">
      <c r="I166" s="293"/>
    </row>
    <row r="167" spans="9:9">
      <c r="I167" s="293"/>
    </row>
    <row r="168" spans="9:9">
      <c r="I168" s="293"/>
    </row>
    <row r="169" spans="9:9">
      <c r="I169" s="293"/>
    </row>
    <row r="170" spans="9:9">
      <c r="I170" s="293"/>
    </row>
    <row r="171" spans="9:9">
      <c r="I171" s="293"/>
    </row>
    <row r="172" spans="9:9">
      <c r="I172" s="293"/>
    </row>
    <row r="173" spans="9:9">
      <c r="I173" s="293"/>
    </row>
    <row r="174" spans="9:9">
      <c r="I174" s="293"/>
    </row>
    <row r="175" spans="9:9">
      <c r="I175" s="293"/>
    </row>
    <row r="176" spans="9:9">
      <c r="I176" s="293"/>
    </row>
    <row r="177" spans="9:9">
      <c r="I177" s="293"/>
    </row>
    <row r="178" spans="9:9">
      <c r="I178" s="293"/>
    </row>
    <row r="179" spans="9:9">
      <c r="I179" s="293"/>
    </row>
    <row r="180" spans="9:9">
      <c r="I180" s="293"/>
    </row>
    <row r="181" spans="9:9">
      <c r="I181" s="293"/>
    </row>
    <row r="182" spans="9:9">
      <c r="I182" s="293"/>
    </row>
    <row r="183" spans="9:9">
      <c r="I183" s="293"/>
    </row>
    <row r="184" spans="9:9">
      <c r="I184" s="293"/>
    </row>
    <row r="185" spans="9:9">
      <c r="I185" s="293"/>
    </row>
    <row r="186" spans="9:9">
      <c r="I186" s="293"/>
    </row>
    <row r="187" spans="9:9">
      <c r="I187" s="293"/>
    </row>
    <row r="188" spans="9:9">
      <c r="I188" s="293"/>
    </row>
    <row r="189" spans="9:9">
      <c r="I189" s="293"/>
    </row>
    <row r="190" spans="9:9">
      <c r="I190" s="293"/>
    </row>
    <row r="191" spans="9:9">
      <c r="I191" s="293"/>
    </row>
    <row r="192" spans="9:9">
      <c r="I192" s="293"/>
    </row>
    <row r="193" spans="9:9">
      <c r="I193" s="293"/>
    </row>
    <row r="194" spans="9:9">
      <c r="I194" s="293"/>
    </row>
    <row r="195" spans="9:9">
      <c r="I195" s="293"/>
    </row>
    <row r="196" spans="9:9">
      <c r="I196" s="293"/>
    </row>
    <row r="197" spans="9:9">
      <c r="I197" s="293"/>
    </row>
    <row r="198" spans="9:9">
      <c r="I198" s="293"/>
    </row>
    <row r="199" spans="9:9">
      <c r="I199" s="293"/>
    </row>
    <row r="200" spans="9:9">
      <c r="I200" s="293"/>
    </row>
    <row r="201" spans="9:9">
      <c r="I201" s="293"/>
    </row>
    <row r="202" spans="9:9">
      <c r="I202" s="293"/>
    </row>
    <row r="203" spans="9:9">
      <c r="I203" s="293"/>
    </row>
    <row r="204" spans="9:9">
      <c r="I204" s="293"/>
    </row>
    <row r="205" spans="9:9">
      <c r="I205" s="293"/>
    </row>
    <row r="206" spans="9:9">
      <c r="I206" s="293"/>
    </row>
    <row r="207" spans="9:9">
      <c r="I207" s="293"/>
    </row>
    <row r="208" spans="9:9">
      <c r="I208" s="293"/>
    </row>
    <row r="209" spans="9:9">
      <c r="I209" s="293"/>
    </row>
    <row r="210" spans="9:9">
      <c r="I210" s="293"/>
    </row>
    <row r="211" spans="9:9">
      <c r="I211" s="293"/>
    </row>
    <row r="212" spans="9:9">
      <c r="I212" s="293"/>
    </row>
    <row r="213" spans="9:9">
      <c r="I213" s="293"/>
    </row>
    <row r="214" spans="9:9">
      <c r="I214" s="293"/>
    </row>
    <row r="215" spans="9:9">
      <c r="I215" s="293"/>
    </row>
    <row r="216" spans="9:9">
      <c r="I216" s="293"/>
    </row>
    <row r="217" spans="9:9">
      <c r="I217" s="293"/>
    </row>
    <row r="218" spans="9:9">
      <c r="I218" s="293"/>
    </row>
    <row r="219" spans="9:9">
      <c r="I219" s="293"/>
    </row>
    <row r="220" spans="9:9">
      <c r="I220" s="293"/>
    </row>
    <row r="221" spans="9:9">
      <c r="I221" s="293"/>
    </row>
    <row r="222" spans="9:9">
      <c r="I222" s="293"/>
    </row>
    <row r="223" spans="9:9">
      <c r="I223" s="293"/>
    </row>
    <row r="224" spans="9:9">
      <c r="I224" s="293"/>
    </row>
    <row r="225" spans="9:9">
      <c r="I225" s="293"/>
    </row>
    <row r="226" spans="9:9">
      <c r="I226" s="293"/>
    </row>
    <row r="227" spans="9:9">
      <c r="I227" s="293"/>
    </row>
    <row r="228" spans="9:9">
      <c r="I228" s="293"/>
    </row>
    <row r="229" spans="9:9">
      <c r="I229" s="293"/>
    </row>
    <row r="230" spans="9:9">
      <c r="I230" s="293"/>
    </row>
    <row r="231" spans="9:9">
      <c r="I231" s="293"/>
    </row>
    <row r="232" spans="9:9">
      <c r="I232" s="293"/>
    </row>
    <row r="233" spans="9:9">
      <c r="I233" s="293"/>
    </row>
    <row r="234" spans="9:9">
      <c r="I234" s="293"/>
    </row>
    <row r="235" spans="9:9">
      <c r="I235" s="293"/>
    </row>
    <row r="236" spans="9:9">
      <c r="I236" s="293"/>
    </row>
    <row r="237" spans="9:9">
      <c r="I237" s="293"/>
    </row>
    <row r="238" spans="9:9">
      <c r="I238" s="293"/>
    </row>
    <row r="239" spans="9:9">
      <c r="I239" s="293"/>
    </row>
    <row r="240" spans="9:9">
      <c r="I240" s="293"/>
    </row>
    <row r="241" spans="9:9">
      <c r="I241" s="293"/>
    </row>
    <row r="242" spans="9:9">
      <c r="I242" s="293"/>
    </row>
    <row r="243" spans="9:9">
      <c r="I243" s="293"/>
    </row>
    <row r="244" spans="9:9">
      <c r="I244" s="293"/>
    </row>
    <row r="245" spans="9:9">
      <c r="I245" s="293"/>
    </row>
    <row r="246" spans="9:9">
      <c r="I246" s="293"/>
    </row>
    <row r="247" spans="9:9">
      <c r="I247" s="293"/>
    </row>
    <row r="248" spans="9:9">
      <c r="I248" s="293"/>
    </row>
    <row r="249" spans="9:9">
      <c r="I249" s="293"/>
    </row>
    <row r="250" spans="9:9">
      <c r="I250" s="293"/>
    </row>
    <row r="251" spans="9:9">
      <c r="I251" s="293"/>
    </row>
    <row r="252" spans="9:9">
      <c r="I252" s="293"/>
    </row>
    <row r="253" spans="9:9">
      <c r="I253" s="293"/>
    </row>
    <row r="254" spans="9:9">
      <c r="I254" s="293"/>
    </row>
    <row r="255" spans="9:9">
      <c r="I255" s="293"/>
    </row>
    <row r="256" spans="9:9">
      <c r="I256" s="293"/>
    </row>
    <row r="257" spans="9:9">
      <c r="I257" s="293"/>
    </row>
    <row r="258" spans="9:9">
      <c r="I258" s="293"/>
    </row>
    <row r="259" spans="9:9">
      <c r="I259" s="293"/>
    </row>
    <row r="260" spans="9:9">
      <c r="I260" s="293"/>
    </row>
    <row r="261" spans="9:9">
      <c r="I261" s="293"/>
    </row>
    <row r="262" spans="9:9">
      <c r="I262" s="293"/>
    </row>
    <row r="263" spans="9:9">
      <c r="I263" s="293"/>
    </row>
    <row r="264" spans="9:9">
      <c r="I264" s="293"/>
    </row>
    <row r="265" spans="9:9">
      <c r="I265" s="293"/>
    </row>
    <row r="266" spans="9:9">
      <c r="I266" s="293"/>
    </row>
    <row r="267" spans="9:9">
      <c r="I267" s="293"/>
    </row>
    <row r="268" spans="9:9">
      <c r="I268" s="293"/>
    </row>
    <row r="269" spans="9:9">
      <c r="I269" s="293"/>
    </row>
    <row r="270" spans="9:9">
      <c r="I270" s="293"/>
    </row>
    <row r="271" spans="9:9">
      <c r="I271" s="293"/>
    </row>
    <row r="272" spans="9:9">
      <c r="I272" s="293"/>
    </row>
    <row r="273" spans="9:9">
      <c r="I273" s="293"/>
    </row>
    <row r="274" spans="9:9">
      <c r="I274" s="293"/>
    </row>
    <row r="275" spans="9:9">
      <c r="I275" s="293"/>
    </row>
    <row r="276" spans="9:9">
      <c r="I276" s="293"/>
    </row>
    <row r="277" spans="9:9">
      <c r="I277" s="293"/>
    </row>
    <row r="278" spans="9:9">
      <c r="I278" s="293"/>
    </row>
    <row r="279" spans="9:9">
      <c r="I279" s="293"/>
    </row>
    <row r="280" spans="9:9">
      <c r="I280" s="293"/>
    </row>
    <row r="281" spans="9:9">
      <c r="I281" s="293"/>
    </row>
    <row r="282" spans="9:9">
      <c r="I282" s="293"/>
    </row>
    <row r="283" spans="9:9">
      <c r="I283" s="293"/>
    </row>
    <row r="284" spans="9:9">
      <c r="I284" s="293"/>
    </row>
    <row r="285" spans="9:9">
      <c r="I285" s="293"/>
    </row>
    <row r="286" spans="9:9">
      <c r="I286" s="293"/>
    </row>
    <row r="287" spans="9:9">
      <c r="I287" s="293"/>
    </row>
    <row r="288" spans="9:9">
      <c r="I288" s="293"/>
    </row>
    <row r="289" spans="9:9">
      <c r="I289" s="293"/>
    </row>
    <row r="290" spans="9:9">
      <c r="I290" s="293"/>
    </row>
    <row r="291" spans="9:9">
      <c r="I291" s="293"/>
    </row>
    <row r="292" spans="9:9">
      <c r="I292" s="293"/>
    </row>
    <row r="293" spans="9:9">
      <c r="I293" s="293"/>
    </row>
    <row r="294" spans="9:9">
      <c r="I294" s="293"/>
    </row>
    <row r="295" spans="9:9">
      <c r="I295" s="293"/>
    </row>
    <row r="296" spans="9:9">
      <c r="I296" s="293"/>
    </row>
    <row r="297" spans="9:9">
      <c r="I297" s="293"/>
    </row>
    <row r="298" spans="9:9">
      <c r="I298" s="293"/>
    </row>
    <row r="299" spans="9:9">
      <c r="I299" s="293"/>
    </row>
    <row r="300" spans="9:9">
      <c r="I300" s="293"/>
    </row>
    <row r="301" spans="9:9">
      <c r="I301" s="293"/>
    </row>
    <row r="302" spans="9:9">
      <c r="I302" s="293"/>
    </row>
    <row r="303" spans="9:9">
      <c r="I303" s="293"/>
    </row>
    <row r="304" spans="9:9">
      <c r="I304" s="293"/>
    </row>
    <row r="305" spans="9:9">
      <c r="I305" s="293"/>
    </row>
    <row r="306" spans="9:9">
      <c r="I306" s="293"/>
    </row>
    <row r="307" spans="9:9">
      <c r="I307" s="293"/>
    </row>
    <row r="308" spans="9:9">
      <c r="I308" s="293"/>
    </row>
    <row r="309" spans="9:9">
      <c r="I309" s="293"/>
    </row>
    <row r="310" spans="9:9">
      <c r="I310" s="293"/>
    </row>
    <row r="311" spans="9:9">
      <c r="I311" s="293"/>
    </row>
    <row r="312" spans="9:9">
      <c r="I312" s="293"/>
    </row>
    <row r="313" spans="9:9">
      <c r="I313" s="293"/>
    </row>
    <row r="314" spans="9:9">
      <c r="I314" s="293"/>
    </row>
    <row r="315" spans="9:9">
      <c r="I315" s="293"/>
    </row>
    <row r="316" spans="9:9">
      <c r="I316" s="293"/>
    </row>
    <row r="317" spans="9:9">
      <c r="I317" s="293"/>
    </row>
    <row r="318" spans="9:9">
      <c r="I318" s="293"/>
    </row>
    <row r="319" spans="9:9">
      <c r="I319" s="293"/>
    </row>
    <row r="320" spans="9:9">
      <c r="I320" s="293"/>
    </row>
    <row r="321" spans="9:9">
      <c r="I321" s="293"/>
    </row>
    <row r="322" spans="9:9">
      <c r="I322" s="293"/>
    </row>
    <row r="323" spans="9:9">
      <c r="I323" s="293"/>
    </row>
    <row r="324" spans="9:9">
      <c r="I324" s="293"/>
    </row>
    <row r="325" spans="9:9">
      <c r="I325" s="293"/>
    </row>
    <row r="326" spans="9:9">
      <c r="I326" s="293"/>
    </row>
    <row r="327" spans="9:9">
      <c r="I327" s="293"/>
    </row>
    <row r="328" spans="9:9">
      <c r="I328" s="293"/>
    </row>
    <row r="329" spans="9:9">
      <c r="I329" s="293"/>
    </row>
    <row r="330" spans="9:9">
      <c r="I330" s="293"/>
    </row>
    <row r="331" spans="9:9">
      <c r="I331" s="293"/>
    </row>
    <row r="332" spans="9:9">
      <c r="I332" s="293"/>
    </row>
    <row r="333" spans="9:9">
      <c r="I333" s="293"/>
    </row>
    <row r="334" spans="9:9">
      <c r="I334" s="293"/>
    </row>
    <row r="335" spans="9:9">
      <c r="I335" s="293"/>
    </row>
    <row r="336" spans="9:9">
      <c r="I336" s="293"/>
    </row>
    <row r="337" spans="9:9">
      <c r="I337" s="293"/>
    </row>
    <row r="338" spans="9:9">
      <c r="I338" s="293"/>
    </row>
    <row r="339" spans="9:9">
      <c r="I339" s="293"/>
    </row>
    <row r="340" spans="9:9">
      <c r="I340" s="293"/>
    </row>
    <row r="341" spans="9:9">
      <c r="I341" s="293"/>
    </row>
    <row r="342" spans="9:9">
      <c r="I342" s="293"/>
    </row>
    <row r="343" spans="9:9">
      <c r="I343" s="293"/>
    </row>
    <row r="344" spans="9:9">
      <c r="I344" s="293"/>
    </row>
    <row r="345" spans="9:9">
      <c r="I345" s="293"/>
    </row>
    <row r="346" spans="9:9">
      <c r="I346" s="293"/>
    </row>
    <row r="347" spans="9:9">
      <c r="I347" s="293"/>
    </row>
    <row r="348" spans="9:9">
      <c r="I348" s="293"/>
    </row>
    <row r="349" spans="9:9">
      <c r="I349" s="293"/>
    </row>
    <row r="350" spans="9:9">
      <c r="I350" s="293"/>
    </row>
    <row r="351" spans="9:9">
      <c r="I351" s="293"/>
    </row>
    <row r="352" spans="9:9">
      <c r="I352" s="293"/>
    </row>
    <row r="353" spans="9:9">
      <c r="I353" s="293"/>
    </row>
    <row r="354" spans="9:9">
      <c r="I354" s="293"/>
    </row>
    <row r="355" spans="9:9">
      <c r="I355" s="293"/>
    </row>
    <row r="356" spans="9:9">
      <c r="I356" s="293"/>
    </row>
    <row r="357" spans="9:9">
      <c r="I357" s="293"/>
    </row>
    <row r="358" spans="9:9">
      <c r="I358" s="293"/>
    </row>
    <row r="359" spans="9:9">
      <c r="I359" s="293"/>
    </row>
    <row r="360" spans="9:9">
      <c r="I360" s="293"/>
    </row>
    <row r="361" spans="9:9">
      <c r="I361" s="293"/>
    </row>
    <row r="362" spans="9:9">
      <c r="I362" s="293"/>
    </row>
    <row r="363" spans="9:9">
      <c r="I363" s="293"/>
    </row>
    <row r="364" spans="9:9">
      <c r="I364" s="293"/>
    </row>
    <row r="365" spans="9:9">
      <c r="I365" s="293"/>
    </row>
    <row r="366" spans="9:9">
      <c r="I366" s="293"/>
    </row>
    <row r="367" spans="9:9">
      <c r="I367" s="293"/>
    </row>
    <row r="368" spans="9:9">
      <c r="I368" s="293"/>
    </row>
    <row r="369" spans="9:9">
      <c r="I369" s="293"/>
    </row>
    <row r="370" spans="9:9">
      <c r="I370" s="293"/>
    </row>
    <row r="371" spans="9:9">
      <c r="I371" s="293"/>
    </row>
    <row r="372" spans="9:9">
      <c r="I372" s="293"/>
    </row>
    <row r="373" spans="9:9">
      <c r="I373" s="293"/>
    </row>
    <row r="374" spans="9:9">
      <c r="I374" s="293"/>
    </row>
    <row r="375" spans="9:9">
      <c r="I375" s="293"/>
    </row>
    <row r="376" spans="9:9">
      <c r="I376" s="293"/>
    </row>
    <row r="377" spans="9:9">
      <c r="I377" s="293"/>
    </row>
    <row r="378" spans="9:9">
      <c r="I378" s="293"/>
    </row>
    <row r="379" spans="9:9">
      <c r="I379" s="293"/>
    </row>
    <row r="380" spans="9:9">
      <c r="I380" s="293"/>
    </row>
    <row r="381" spans="9:9">
      <c r="I381" s="293"/>
    </row>
    <row r="382" spans="9:9">
      <c r="I382" s="293"/>
    </row>
    <row r="383" spans="9:9">
      <c r="I383" s="293"/>
    </row>
    <row r="384" spans="9:9">
      <c r="I384" s="293"/>
    </row>
    <row r="385" spans="9:9">
      <c r="I385" s="293"/>
    </row>
    <row r="386" spans="9:9">
      <c r="I386" s="293"/>
    </row>
    <row r="387" spans="9:9">
      <c r="I387" s="293"/>
    </row>
    <row r="388" spans="9:9">
      <c r="I388" s="293"/>
    </row>
    <row r="389" spans="9:9">
      <c r="I389" s="293"/>
    </row>
    <row r="390" spans="9:9">
      <c r="I390" s="293"/>
    </row>
    <row r="391" spans="9:9">
      <c r="I391" s="293"/>
    </row>
    <row r="392" spans="9:9">
      <c r="I392" s="293"/>
    </row>
    <row r="393" spans="9:9">
      <c r="I393" s="293"/>
    </row>
    <row r="394" spans="9:9">
      <c r="I394" s="293"/>
    </row>
    <row r="395" spans="9:9">
      <c r="I395" s="293"/>
    </row>
    <row r="396" spans="9:9">
      <c r="I396" s="293"/>
    </row>
    <row r="397" spans="9:9">
      <c r="I397" s="293"/>
    </row>
    <row r="398" spans="9:9">
      <c r="I398" s="293"/>
    </row>
    <row r="399" spans="9:9">
      <c r="I399" s="293"/>
    </row>
    <row r="400" spans="9:9">
      <c r="I400" s="293"/>
    </row>
    <row r="401" spans="9:9">
      <c r="I401" s="293"/>
    </row>
    <row r="402" spans="9:9">
      <c r="I402" s="293"/>
    </row>
    <row r="403" spans="9:9">
      <c r="I403" s="293"/>
    </row>
    <row r="404" spans="9:9">
      <c r="I404" s="293"/>
    </row>
    <row r="405" spans="9:9">
      <c r="I405" s="293"/>
    </row>
    <row r="406" spans="9:9">
      <c r="I406" s="293"/>
    </row>
    <row r="407" spans="9:9">
      <c r="I407" s="293"/>
    </row>
    <row r="408" spans="9:9">
      <c r="I408" s="293"/>
    </row>
    <row r="409" spans="9:9">
      <c r="I409" s="293"/>
    </row>
    <row r="410" spans="9:9">
      <c r="I410" s="293"/>
    </row>
    <row r="411" spans="9:9">
      <c r="I411" s="293"/>
    </row>
    <row r="412" spans="9:9">
      <c r="I412" s="293"/>
    </row>
    <row r="413" spans="9:9">
      <c r="I413" s="293"/>
    </row>
    <row r="414" spans="9:9">
      <c r="I414" s="293"/>
    </row>
    <row r="415" spans="9:9">
      <c r="I415" s="293"/>
    </row>
    <row r="416" spans="9:9">
      <c r="I416" s="293"/>
    </row>
    <row r="417" spans="9:9">
      <c r="I417" s="293"/>
    </row>
    <row r="418" spans="9:9">
      <c r="I418" s="293"/>
    </row>
    <row r="419" spans="9:9">
      <c r="I419" s="293"/>
    </row>
    <row r="420" spans="9:9">
      <c r="I420" s="293"/>
    </row>
    <row r="421" spans="9:9">
      <c r="I421" s="293"/>
    </row>
    <row r="422" spans="9:9">
      <c r="I422" s="293"/>
    </row>
    <row r="423" spans="9:9">
      <c r="I423" s="293"/>
    </row>
    <row r="424" spans="9:9">
      <c r="I424" s="293"/>
    </row>
    <row r="425" spans="9:9">
      <c r="I425" s="293"/>
    </row>
    <row r="426" spans="9:9">
      <c r="I426" s="293"/>
    </row>
    <row r="427" spans="9:9">
      <c r="I427" s="293"/>
    </row>
    <row r="428" spans="9:9">
      <c r="I428" s="293"/>
    </row>
    <row r="429" spans="9:9">
      <c r="I429" s="293"/>
    </row>
    <row r="430" spans="9:9">
      <c r="I430" s="293"/>
    </row>
    <row r="431" spans="9:9">
      <c r="I431" s="293"/>
    </row>
    <row r="432" spans="9:9">
      <c r="I432" s="293"/>
    </row>
    <row r="433" spans="9:9">
      <c r="I433" s="293"/>
    </row>
    <row r="434" spans="9:9">
      <c r="I434" s="293"/>
    </row>
    <row r="435" spans="9:9">
      <c r="I435" s="293"/>
    </row>
    <row r="436" spans="9:9">
      <c r="I436" s="293"/>
    </row>
    <row r="437" spans="9:9">
      <c r="I437" s="293"/>
    </row>
    <row r="438" spans="9:9">
      <c r="I438" s="293"/>
    </row>
    <row r="439" spans="9:9">
      <c r="I439" s="293"/>
    </row>
    <row r="440" spans="9:9">
      <c r="I440" s="293"/>
    </row>
    <row r="441" spans="9:9">
      <c r="I441" s="293"/>
    </row>
    <row r="442" spans="9:9">
      <c r="I442" s="293"/>
    </row>
    <row r="443" spans="9:9">
      <c r="I443" s="293"/>
    </row>
    <row r="444" spans="9:9">
      <c r="I444" s="293"/>
    </row>
    <row r="445" spans="9:9">
      <c r="I445" s="293"/>
    </row>
    <row r="446" spans="9:9">
      <c r="I446" s="293"/>
    </row>
    <row r="447" spans="9:9">
      <c r="I447" s="293"/>
    </row>
    <row r="448" spans="9:9">
      <c r="I448" s="293"/>
    </row>
    <row r="449" spans="9:9">
      <c r="I449" s="293"/>
    </row>
    <row r="450" spans="9:9">
      <c r="I450" s="293"/>
    </row>
    <row r="451" spans="9:9">
      <c r="I451" s="293"/>
    </row>
    <row r="452" spans="9:9">
      <c r="I452" s="293"/>
    </row>
    <row r="453" spans="9:9">
      <c r="I453" s="293"/>
    </row>
    <row r="454" spans="9:9">
      <c r="I454" s="293"/>
    </row>
    <row r="455" spans="9:9">
      <c r="I455" s="293"/>
    </row>
    <row r="456" spans="9:9">
      <c r="I456" s="293"/>
    </row>
    <row r="457" spans="9:9">
      <c r="I457" s="293"/>
    </row>
    <row r="458" spans="9:9">
      <c r="I458" s="293"/>
    </row>
    <row r="459" spans="9:9">
      <c r="I459" s="293"/>
    </row>
    <row r="460" spans="9:9">
      <c r="I460" s="293"/>
    </row>
    <row r="461" spans="9:9">
      <c r="I461" s="293"/>
    </row>
    <row r="462" spans="9:9">
      <c r="I462" s="293"/>
    </row>
    <row r="463" spans="9:9">
      <c r="I463" s="293"/>
    </row>
    <row r="464" spans="9:9">
      <c r="I464" s="293"/>
    </row>
    <row r="465" spans="9:9">
      <c r="I465" s="293"/>
    </row>
    <row r="466" spans="9:9">
      <c r="I466" s="293"/>
    </row>
    <row r="467" spans="9:9">
      <c r="I467" s="293"/>
    </row>
    <row r="468" spans="9:9">
      <c r="I468" s="293"/>
    </row>
    <row r="469" spans="9:9">
      <c r="I469" s="293"/>
    </row>
    <row r="470" spans="9:9">
      <c r="I470" s="293"/>
    </row>
    <row r="471" spans="9:9">
      <c r="I471" s="293"/>
    </row>
    <row r="472" spans="9:9">
      <c r="I472" s="293"/>
    </row>
    <row r="473" spans="9:9">
      <c r="I473" s="293"/>
    </row>
    <row r="474" spans="9:9">
      <c r="I474" s="293"/>
    </row>
    <row r="475" spans="9:9">
      <c r="I475" s="293"/>
    </row>
    <row r="476" spans="9:9">
      <c r="I476" s="293"/>
    </row>
    <row r="477" spans="9:9">
      <c r="I477" s="293"/>
    </row>
    <row r="478" spans="9:9">
      <c r="I478" s="293"/>
    </row>
    <row r="479" spans="9:9">
      <c r="I479" s="293"/>
    </row>
    <row r="480" spans="9:9">
      <c r="I480" s="293"/>
    </row>
    <row r="481" spans="9:9">
      <c r="I481" s="293"/>
    </row>
    <row r="482" spans="9:9">
      <c r="I482" s="293"/>
    </row>
    <row r="483" spans="9:9">
      <c r="I483" s="293"/>
    </row>
    <row r="484" spans="9:9">
      <c r="I484" s="293"/>
    </row>
    <row r="485" spans="9:9">
      <c r="I485" s="293"/>
    </row>
    <row r="486" spans="9:9">
      <c r="I486" s="293"/>
    </row>
    <row r="487" spans="9:9">
      <c r="I487" s="293"/>
    </row>
    <row r="488" spans="9:9">
      <c r="I488" s="293"/>
    </row>
    <row r="489" spans="9:9">
      <c r="I489" s="293"/>
    </row>
    <row r="490" spans="9:9">
      <c r="I490" s="293"/>
    </row>
    <row r="491" spans="9:9">
      <c r="I491" s="293"/>
    </row>
    <row r="492" spans="9:9">
      <c r="I492" s="293"/>
    </row>
    <row r="493" spans="9:9">
      <c r="I493" s="293"/>
    </row>
    <row r="494" spans="9:9">
      <c r="I494" s="293"/>
    </row>
    <row r="495" spans="9:9">
      <c r="I495" s="293"/>
    </row>
    <row r="496" spans="9:9">
      <c r="I496" s="293"/>
    </row>
    <row r="497" spans="9:9">
      <c r="I497" s="293"/>
    </row>
    <row r="498" spans="9:9">
      <c r="I498" s="293"/>
    </row>
    <row r="499" spans="9:9">
      <c r="I499" s="293"/>
    </row>
    <row r="500" spans="9:9">
      <c r="I500" s="293"/>
    </row>
  </sheetData>
  <sheetProtection formatCells="0" formatColumns="0" formatRows="0" insertColumns="0" insertRows="0"/>
  <pageMargins left="0.33" right="0.28000000000000003" top="0.52" bottom="0.39" header="0.34" footer="0.16"/>
  <pageSetup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980"/>
  <sheetViews>
    <sheetView tabSelected="1" zoomScale="85" zoomScaleNormal="85" workbookViewId="0">
      <pane xSplit="3" ySplit="4" topLeftCell="D528" activePane="bottomRight" state="frozen"/>
      <selection activeCell="L45" sqref="L45"/>
      <selection pane="topRight" activeCell="L45" sqref="L45"/>
      <selection pane="bottomLeft" activeCell="L45" sqref="L45"/>
      <selection pane="bottomRight" activeCell="D572" sqref="D572"/>
    </sheetView>
  </sheetViews>
  <sheetFormatPr defaultColWidth="9.140625" defaultRowHeight="12.75"/>
  <cols>
    <col min="1" max="1" width="31.42578125" style="9" customWidth="1"/>
    <col min="2" max="2" width="16.85546875" style="9" customWidth="1"/>
    <col min="3" max="3" width="8.5703125" style="10" customWidth="1"/>
    <col min="4" max="4" width="11" style="10" customWidth="1"/>
    <col min="5" max="5" width="12.28515625" style="16" customWidth="1"/>
    <col min="6" max="6" width="11.140625" style="15" customWidth="1"/>
    <col min="7" max="7" width="7.7109375" style="36" customWidth="1"/>
    <col min="8" max="8" width="10.28515625" style="37" customWidth="1"/>
    <col min="9" max="9" width="12.42578125" style="16" customWidth="1"/>
    <col min="10" max="10" width="16.140625" style="16" customWidth="1"/>
    <col min="11" max="11" width="13.42578125" style="16" customWidth="1"/>
    <col min="12" max="12" width="11.140625" style="15" customWidth="1"/>
    <col min="13" max="13" width="11.7109375" style="16" customWidth="1"/>
    <col min="14" max="14" width="12.5703125" style="16" customWidth="1"/>
    <col min="15" max="15" width="11.7109375" style="16" customWidth="1"/>
    <col min="16" max="16" width="11" style="17" customWidth="1"/>
    <col min="17" max="17" width="10.28515625" style="16" customWidth="1"/>
    <col min="18" max="18" width="12.5703125" style="16" customWidth="1"/>
    <col min="19" max="19" width="12.42578125" style="16" customWidth="1"/>
    <col min="20" max="20" width="13.7109375" style="18" customWidth="1"/>
    <col min="21" max="21" width="8.7109375" style="10" customWidth="1"/>
    <col min="22" max="22" width="12.7109375" style="19" customWidth="1"/>
    <col min="23" max="23" width="12.28515625" style="19" customWidth="1"/>
    <col min="24" max="24" width="11.28515625" style="19" customWidth="1"/>
    <col min="25" max="25" width="12.7109375" style="19" customWidth="1"/>
    <col min="26" max="26" width="13.5703125" style="20" customWidth="1"/>
    <col min="27" max="27" width="16.140625" style="19" customWidth="1"/>
    <col min="28" max="28" width="14.5703125" style="19" customWidth="1"/>
    <col min="29" max="29" width="17.28515625" style="19" customWidth="1"/>
    <col min="30" max="30" width="13" style="19" customWidth="1"/>
    <col min="31" max="31" width="14.28515625" style="19" customWidth="1"/>
    <col min="32" max="32" width="16.42578125" style="19" customWidth="1"/>
    <col min="33" max="33" width="15.42578125" style="16" customWidth="1"/>
    <col min="34" max="34" width="14.7109375" style="16" customWidth="1"/>
    <col min="35" max="16384" width="9.140625" style="9"/>
  </cols>
  <sheetData>
    <row r="1" spans="1:34" ht="18.75">
      <c r="A1" s="168" t="s">
        <v>34</v>
      </c>
      <c r="E1" s="11"/>
      <c r="F1" s="12"/>
      <c r="G1" s="13"/>
      <c r="H1" s="14"/>
      <c r="I1" s="11"/>
      <c r="J1" s="11"/>
      <c r="K1" s="11"/>
      <c r="N1" s="11"/>
      <c r="R1" s="11"/>
      <c r="AC1" s="21"/>
      <c r="AD1" s="21"/>
    </row>
    <row r="2" spans="1:34" ht="13.5" thickBot="1">
      <c r="A2" s="9" t="s">
        <v>37</v>
      </c>
      <c r="E2" s="169"/>
      <c r="F2" s="170" t="s">
        <v>38</v>
      </c>
      <c r="G2" s="171"/>
      <c r="H2" s="171"/>
      <c r="I2" s="172"/>
      <c r="J2" s="173"/>
      <c r="K2" s="173"/>
      <c r="L2" s="174" t="s">
        <v>39</v>
      </c>
      <c r="M2" s="169"/>
      <c r="N2" s="173"/>
      <c r="O2" s="173"/>
      <c r="P2" s="175" t="s">
        <v>40</v>
      </c>
      <c r="Q2" s="169"/>
      <c r="R2" s="173"/>
      <c r="S2" s="173"/>
      <c r="V2" s="176"/>
      <c r="W2" s="176"/>
      <c r="X2" s="176"/>
      <c r="Y2" s="176"/>
      <c r="AA2" s="176"/>
      <c r="AE2" s="176"/>
      <c r="AF2" s="176"/>
      <c r="AG2" s="176"/>
      <c r="AH2" s="177"/>
    </row>
    <row r="3" spans="1:34" ht="18.75" customHeight="1" thickBot="1">
      <c r="A3" s="134"/>
      <c r="B3" s="178" t="s">
        <v>36</v>
      </c>
      <c r="C3" s="178"/>
      <c r="D3" s="178"/>
      <c r="E3" s="24"/>
      <c r="F3" s="25"/>
      <c r="G3" s="26"/>
      <c r="H3" s="27"/>
      <c r="I3" s="24"/>
      <c r="J3" s="179" t="s">
        <v>41</v>
      </c>
      <c r="K3" s="180" t="s">
        <v>41</v>
      </c>
      <c r="L3" s="28"/>
      <c r="M3" s="29"/>
      <c r="N3" s="179" t="s">
        <v>41</v>
      </c>
      <c r="O3" s="180" t="s">
        <v>41</v>
      </c>
      <c r="P3" s="30"/>
      <c r="Q3" s="29"/>
      <c r="R3" s="179" t="s">
        <v>41</v>
      </c>
      <c r="S3" s="180" t="s">
        <v>41</v>
      </c>
      <c r="T3" s="31"/>
      <c r="U3" s="32"/>
      <c r="V3" s="33" t="s">
        <v>42</v>
      </c>
      <c r="W3" s="33"/>
      <c r="X3" s="34"/>
      <c r="Y3" s="181" t="s">
        <v>35</v>
      </c>
      <c r="Z3" s="35"/>
      <c r="AA3" s="179" t="s">
        <v>41</v>
      </c>
      <c r="AB3" s="328" t="s">
        <v>43</v>
      </c>
      <c r="AC3" s="329"/>
      <c r="AD3" s="330"/>
      <c r="AE3" s="179" t="s">
        <v>41</v>
      </c>
      <c r="AF3" s="180" t="s">
        <v>41</v>
      </c>
      <c r="AG3" s="179" t="s">
        <v>41</v>
      </c>
      <c r="AH3" s="180" t="s">
        <v>41</v>
      </c>
    </row>
    <row r="4" spans="1:34" ht="77.25" thickBot="1">
      <c r="A4" s="182" t="s">
        <v>44</v>
      </c>
      <c r="B4" s="183" t="s">
        <v>45</v>
      </c>
      <c r="C4" s="184" t="s">
        <v>46</v>
      </c>
      <c r="D4" s="185" t="s">
        <v>47</v>
      </c>
      <c r="E4" s="186" t="s">
        <v>48</v>
      </c>
      <c r="F4" s="187" t="s">
        <v>49</v>
      </c>
      <c r="G4" s="188" t="s">
        <v>50</v>
      </c>
      <c r="H4" s="189" t="s">
        <v>51</v>
      </c>
      <c r="I4" s="186" t="s">
        <v>52</v>
      </c>
      <c r="J4" s="186" t="s">
        <v>53</v>
      </c>
      <c r="K4" s="186" t="s">
        <v>54</v>
      </c>
      <c r="L4" s="190" t="s">
        <v>55</v>
      </c>
      <c r="M4" s="191" t="s">
        <v>56</v>
      </c>
      <c r="N4" s="186" t="s">
        <v>57</v>
      </c>
      <c r="O4" s="192" t="s">
        <v>58</v>
      </c>
      <c r="P4" s="193" t="s">
        <v>59</v>
      </c>
      <c r="Q4" s="191" t="s">
        <v>60</v>
      </c>
      <c r="R4" s="186" t="s">
        <v>61</v>
      </c>
      <c r="S4" s="192" t="s">
        <v>62</v>
      </c>
      <c r="T4" s="194" t="s">
        <v>63</v>
      </c>
      <c r="U4" s="195" t="s">
        <v>64</v>
      </c>
      <c r="V4" s="196" t="s">
        <v>65</v>
      </c>
      <c r="W4" s="196" t="s">
        <v>66</v>
      </c>
      <c r="X4" s="196" t="s">
        <v>67</v>
      </c>
      <c r="Y4" s="197" t="s">
        <v>68</v>
      </c>
      <c r="Z4" s="198" t="s">
        <v>69</v>
      </c>
      <c r="AA4" s="199" t="s">
        <v>70</v>
      </c>
      <c r="AB4" s="197" t="s">
        <v>71</v>
      </c>
      <c r="AC4" s="197" t="s">
        <v>72</v>
      </c>
      <c r="AD4" s="197" t="s">
        <v>73</v>
      </c>
      <c r="AE4" s="200" t="s">
        <v>74</v>
      </c>
      <c r="AF4" s="199" t="s">
        <v>75</v>
      </c>
      <c r="AG4" s="201" t="s">
        <v>76</v>
      </c>
      <c r="AH4" s="201" t="s">
        <v>77</v>
      </c>
    </row>
    <row r="5" spans="1:34">
      <c r="A5" s="69"/>
      <c r="B5" s="9" t="s">
        <v>78</v>
      </c>
      <c r="AG5" s="38"/>
      <c r="AH5" s="38"/>
    </row>
    <row r="6" spans="1:34">
      <c r="A6" s="135" t="s">
        <v>79</v>
      </c>
      <c r="B6" s="9" t="s">
        <v>80</v>
      </c>
      <c r="E6" s="16">
        <v>69</v>
      </c>
      <c r="F6" s="15">
        <f>I6/E6</f>
        <v>1649.3449275362318</v>
      </c>
      <c r="G6" s="39">
        <v>0.15</v>
      </c>
      <c r="H6" s="37">
        <v>0</v>
      </c>
      <c r="I6" s="16">
        <v>113804.79999999999</v>
      </c>
      <c r="J6" s="16">
        <f>I6</f>
        <v>113804.79999999999</v>
      </c>
      <c r="K6" s="11">
        <f>(F6*E6)*(1-G6)*(1-H6)</f>
        <v>96734.079999999987</v>
      </c>
      <c r="L6" s="17">
        <v>157.80193295077001</v>
      </c>
      <c r="M6" s="16">
        <v>0</v>
      </c>
      <c r="N6" s="17">
        <v>0</v>
      </c>
      <c r="O6" s="16">
        <f>(L6*E6)*(1-G6)*(1-H6)</f>
        <v>9255.0833675626618</v>
      </c>
      <c r="P6" s="17">
        <v>0</v>
      </c>
      <c r="Q6" s="16">
        <v>0</v>
      </c>
      <c r="R6" s="16">
        <v>0</v>
      </c>
      <c r="S6" s="16">
        <v>0</v>
      </c>
      <c r="T6" s="18">
        <v>25</v>
      </c>
      <c r="U6" s="10" t="s">
        <v>81</v>
      </c>
      <c r="V6" s="19">
        <f>SUMIF('Avoided Costs 2014-2023'!$A:$A,'2014 Actuals'!U6&amp;ROUNDDOWN('2014 Actuals'!T6,0),'Avoided Costs 2014-2023'!$E:$E)*K6</f>
        <v>307254.86982437788</v>
      </c>
      <c r="W6" s="19">
        <f>SUMIF('Avoided Costs 2014-2023'!$A:$A,'2014 Actuals'!U6&amp;ROUNDDOWN('2014 Actuals'!T6,0),'Avoided Costs 2014-2023'!$K:$K)*O6</f>
        <v>14907.12896588472</v>
      </c>
      <c r="X6" s="19">
        <f>SUMIF('Avoided Costs 2014-2023'!$A:$A,'2014 Actuals'!U6&amp;ROUNDDOWN('2014 Actuals'!T6,0),'Avoided Costs 2014-2023'!$M:$M)*S6</f>
        <v>0</v>
      </c>
      <c r="Y6" s="19">
        <f>SUM(V6:X6)</f>
        <v>322161.99879026262</v>
      </c>
      <c r="Z6" s="19">
        <v>1450</v>
      </c>
      <c r="AA6" s="40">
        <f>(Z6*E6)*(1-G6)</f>
        <v>85042.5</v>
      </c>
      <c r="AB6" s="115">
        <f>7581587.48*(E6/$E$8)</f>
        <v>100350.95647803569</v>
      </c>
      <c r="AC6" s="115">
        <f>1024069.92*(E6/$E$8)</f>
        <v>13554.733259159793</v>
      </c>
      <c r="AD6" s="19">
        <f>AB6+AC6</f>
        <v>113905.68973719548</v>
      </c>
      <c r="AE6" s="40">
        <f>AA6+AC6</f>
        <v>98597.233259159795</v>
      </c>
      <c r="AF6" s="40">
        <f>Y6-AE6</f>
        <v>223564.76553110284</v>
      </c>
      <c r="AG6" s="38">
        <f>K6*T6</f>
        <v>2418351.9999999995</v>
      </c>
      <c r="AH6" s="38">
        <f>(J6*T6)</f>
        <v>2845119.9999999995</v>
      </c>
    </row>
    <row r="7" spans="1:34">
      <c r="A7" s="135" t="s">
        <v>79</v>
      </c>
      <c r="B7" s="9" t="s">
        <v>82</v>
      </c>
      <c r="E7" s="41">
        <v>5144</v>
      </c>
      <c r="F7" s="15">
        <f>I7/E7</f>
        <v>1330.6530393886869</v>
      </c>
      <c r="G7" s="39">
        <v>0.15</v>
      </c>
      <c r="H7" s="37">
        <v>0</v>
      </c>
      <c r="I7" s="16">
        <v>6844879.2346154051</v>
      </c>
      <c r="J7" s="16">
        <f>I7</f>
        <v>6844879.2346154051</v>
      </c>
      <c r="K7" s="11">
        <f>(F7*E7)*(1-G7)*(1-H7)</f>
        <v>5818147.3494230937</v>
      </c>
      <c r="L7" s="17">
        <v>157.80193295077001</v>
      </c>
      <c r="M7" s="11">
        <v>0</v>
      </c>
      <c r="N7" s="17">
        <v>0</v>
      </c>
      <c r="O7" s="16">
        <f>(L7*E7)*(1-G7)*(1-H7)</f>
        <v>689973.17163394683</v>
      </c>
      <c r="P7" s="15">
        <f>Q7/I7</f>
        <v>0</v>
      </c>
      <c r="Q7" s="11">
        <v>0</v>
      </c>
      <c r="R7" s="16">
        <f>Q7</f>
        <v>0</v>
      </c>
      <c r="S7" s="11">
        <f>(P7*E7)*(1-G7)*(1-H7)</f>
        <v>0</v>
      </c>
      <c r="T7" s="42">
        <v>15</v>
      </c>
      <c r="U7" s="43" t="s">
        <v>81</v>
      </c>
      <c r="V7" s="19">
        <f>SUMIF('Avoided Costs 2014-2023'!$A:$A,'2014 Actuals'!U7&amp;ROUNDDOWN('2014 Actuals'!T7,0),'Avoided Costs 2014-2023'!$E:$E)*K7</f>
        <v>13468265.898289869</v>
      </c>
      <c r="W7" s="19">
        <f>SUMIF('Avoided Costs 2014-2023'!$A:$A,'2014 Actuals'!U7&amp;ROUNDDOWN('2014 Actuals'!T7,0),'Avoided Costs 2014-2023'!$K:$K)*O7</f>
        <v>815879.72626431857</v>
      </c>
      <c r="X7" s="19">
        <f>SUMIF('Avoided Costs 2014-2023'!$A:$A,'2014 Actuals'!U7&amp;ROUNDDOWN('2014 Actuals'!T7,0),'Avoided Costs 2014-2023'!$M:$M)*S7</f>
        <v>0</v>
      </c>
      <c r="Y7" s="19">
        <f>SUM(V7:X7)</f>
        <v>14284145.624554187</v>
      </c>
      <c r="Z7" s="19">
        <v>1450</v>
      </c>
      <c r="AA7" s="40">
        <f>(Z7*E7)*(1-G7)</f>
        <v>6339980</v>
      </c>
      <c r="AB7" s="115">
        <f>7581587.48*(E7/$E$8)</f>
        <v>7481236.5235219644</v>
      </c>
      <c r="AC7" s="115">
        <f>1024069.92*(E7/$E$8)</f>
        <v>1010515.1867408402</v>
      </c>
      <c r="AD7" s="19">
        <f>AB7+AC7</f>
        <v>8491751.7102628052</v>
      </c>
      <c r="AE7" s="40">
        <f>AA7+AC7</f>
        <v>7350495.1867408399</v>
      </c>
      <c r="AF7" s="40">
        <f>Y7-AE7</f>
        <v>6933650.4378133472</v>
      </c>
      <c r="AG7" s="38">
        <f>K7*T7</f>
        <v>87272210.241346404</v>
      </c>
      <c r="AH7" s="38">
        <f>(J7*T7)</f>
        <v>102673188.51923108</v>
      </c>
    </row>
    <row r="8" spans="1:34">
      <c r="A8" s="202" t="s">
        <v>83</v>
      </c>
      <c r="B8" s="202"/>
      <c r="C8" s="121"/>
      <c r="D8" s="121"/>
      <c r="E8" s="203">
        <f>SUM(E6:E7)</f>
        <v>5213</v>
      </c>
      <c r="F8" s="116">
        <f>I8/E8</f>
        <v>1334.8712899703444</v>
      </c>
      <c r="G8" s="117"/>
      <c r="H8" s="118"/>
      <c r="I8" s="203">
        <f>SUM(I6:I7)</f>
        <v>6958684.0346154049</v>
      </c>
      <c r="J8" s="203">
        <f>SUM(J6:J7)</f>
        <v>6958684.0346154049</v>
      </c>
      <c r="K8" s="203">
        <f>SUM(K6:K7)</f>
        <v>5914881.4294230938</v>
      </c>
      <c r="L8" s="116"/>
      <c r="M8" s="203">
        <f>SUM(M6:M7)</f>
        <v>0</v>
      </c>
      <c r="N8" s="119">
        <f>SUM(N6:N7)</f>
        <v>0</v>
      </c>
      <c r="O8" s="203">
        <f>SUM(O6:O7)</f>
        <v>699228.25500150945</v>
      </c>
      <c r="P8" s="119"/>
      <c r="Q8" s="203">
        <f>SUM(Q6:Q7)</f>
        <v>0</v>
      </c>
      <c r="R8" s="203">
        <f>SUM(R6:R7)</f>
        <v>0</v>
      </c>
      <c r="S8" s="203">
        <f>SUM(S6:S7)</f>
        <v>0</v>
      </c>
      <c r="T8" s="120"/>
      <c r="U8" s="121"/>
      <c r="V8" s="204">
        <f t="shared" ref="V8:AA8" si="0">SUM(V6:V7)</f>
        <v>13775520.768114246</v>
      </c>
      <c r="W8" s="204">
        <f t="shared" si="0"/>
        <v>830786.85523020325</v>
      </c>
      <c r="X8" s="204">
        <f t="shared" si="0"/>
        <v>0</v>
      </c>
      <c r="Y8" s="204">
        <f t="shared" si="0"/>
        <v>14606307.623344449</v>
      </c>
      <c r="Z8" s="122"/>
      <c r="AA8" s="204">
        <f t="shared" si="0"/>
        <v>6425022.5</v>
      </c>
      <c r="AB8" s="205">
        <f t="shared" ref="AB8:AH8" si="1">SUM(AB6:AB7)</f>
        <v>7581587.4800000004</v>
      </c>
      <c r="AC8" s="205">
        <f t="shared" si="1"/>
        <v>1024069.92</v>
      </c>
      <c r="AD8" s="205">
        <f t="shared" si="1"/>
        <v>8605657.4000000004</v>
      </c>
      <c r="AE8" s="205">
        <f t="shared" si="1"/>
        <v>7449092.4199999999</v>
      </c>
      <c r="AF8" s="205">
        <f t="shared" si="1"/>
        <v>7157215.2033444503</v>
      </c>
      <c r="AG8" s="206">
        <f t="shared" si="1"/>
        <v>89690562.241346404</v>
      </c>
      <c r="AH8" s="206">
        <f t="shared" si="1"/>
        <v>105518308.51923108</v>
      </c>
    </row>
    <row r="9" spans="1:34">
      <c r="A9" s="135"/>
      <c r="B9" s="9" t="s">
        <v>84</v>
      </c>
      <c r="AG9" s="38"/>
      <c r="AH9" s="38"/>
    </row>
    <row r="10" spans="1:34">
      <c r="A10" s="135" t="s">
        <v>85</v>
      </c>
      <c r="B10" s="44" t="s">
        <v>86</v>
      </c>
      <c r="D10" s="16">
        <v>10</v>
      </c>
      <c r="E10" s="16">
        <v>8</v>
      </c>
      <c r="F10" s="15">
        <f>J10/D10</f>
        <v>667</v>
      </c>
      <c r="G10" s="39">
        <v>0.05</v>
      </c>
      <c r="H10" s="37">
        <v>0</v>
      </c>
      <c r="I10" s="16">
        <v>6670</v>
      </c>
      <c r="J10" s="16">
        <f t="shared" ref="J10:J38" si="2">I10</f>
        <v>6670</v>
      </c>
      <c r="K10" s="11">
        <f>J10*(1-G10)*(1-H10)</f>
        <v>6336.5</v>
      </c>
      <c r="L10" s="15">
        <v>172</v>
      </c>
      <c r="M10" s="11">
        <v>1720</v>
      </c>
      <c r="N10" s="16">
        <f t="shared" ref="N10:N38" si="3">M10</f>
        <v>1720</v>
      </c>
      <c r="O10" s="16">
        <f>(L10*D10)*(1-G10)*(1-H10)</f>
        <v>1634</v>
      </c>
      <c r="P10" s="17">
        <v>0</v>
      </c>
      <c r="Q10" s="11">
        <v>0</v>
      </c>
      <c r="R10" s="16">
        <f t="shared" ref="R10:R38" si="4">Q10</f>
        <v>0</v>
      </c>
      <c r="S10" s="11">
        <f>(P10*D10)*(1-G10)*(1-H10)</f>
        <v>0</v>
      </c>
      <c r="T10" s="18">
        <v>15</v>
      </c>
      <c r="U10" s="10" t="s">
        <v>81</v>
      </c>
      <c r="V10" s="19">
        <f>SUMIF('Avoided Costs 2014-2023'!$A:$A,'2014 Actuals'!U10&amp;ROUNDDOWN('2014 Actuals'!T10,0),'Avoided Costs 2014-2023'!$E:$E)*K10</f>
        <v>14668.185891334622</v>
      </c>
      <c r="W10" s="19">
        <f>SUMIF('Avoided Costs 2014-2023'!$A:$A,'2014 Actuals'!U10&amp;ROUNDDOWN('2014 Actuals'!T10,0),'Avoided Costs 2014-2023'!$K:$K)*O10</f>
        <v>1932.172912692864</v>
      </c>
      <c r="X10" s="19">
        <f>SUMIF('Avoided Costs 2014-2023'!$A:$A,'2014 Actuals'!U10&amp;ROUNDDOWN('2014 Actuals'!T10,0),'Avoided Costs 2014-2023'!$M:$M)*S10</f>
        <v>0</v>
      </c>
      <c r="Y10" s="19">
        <f>SUM(V10:X10)</f>
        <v>16600.358804027484</v>
      </c>
      <c r="Z10" s="19">
        <v>1650</v>
      </c>
      <c r="AA10" s="40">
        <f>(Z10*D10)*(1-G10)</f>
        <v>15675</v>
      </c>
      <c r="AB10" s="19">
        <v>0</v>
      </c>
      <c r="AC10" s="19">
        <v>0</v>
      </c>
      <c r="AD10" s="40">
        <f>AB10+AC10</f>
        <v>0</v>
      </c>
      <c r="AE10" s="40">
        <f t="shared" ref="AE10:AE22" si="5">AA10+AC10</f>
        <v>15675</v>
      </c>
      <c r="AF10" s="40">
        <f t="shared" ref="AF10:AF22" si="6">Y10-AE10</f>
        <v>925.35880402748444</v>
      </c>
      <c r="AG10" s="38">
        <f t="shared" ref="AG10:AG22" si="7">K10*T10</f>
        <v>95047.5</v>
      </c>
      <c r="AH10" s="38">
        <f t="shared" ref="AH10:AH22" si="8">(J10*T10)</f>
        <v>100050</v>
      </c>
    </row>
    <row r="11" spans="1:34">
      <c r="A11" s="135" t="s">
        <v>87</v>
      </c>
      <c r="B11" s="44" t="s">
        <v>88</v>
      </c>
      <c r="D11" s="16">
        <f>1+14</f>
        <v>15</v>
      </c>
      <c r="E11" s="16">
        <v>10</v>
      </c>
      <c r="F11" s="15">
        <v>1529</v>
      </c>
      <c r="G11" s="39">
        <v>0.05</v>
      </c>
      <c r="H11" s="37">
        <v>0</v>
      </c>
      <c r="I11" s="16">
        <f>F11*D11</f>
        <v>22935</v>
      </c>
      <c r="J11" s="16">
        <f t="shared" si="2"/>
        <v>22935</v>
      </c>
      <c r="K11" s="11">
        <f t="shared" ref="K11:K38" si="9">J11*(1-G11)*(1-H11)</f>
        <v>21788.25</v>
      </c>
      <c r="L11" s="15">
        <v>1023</v>
      </c>
      <c r="M11" s="11">
        <v>14322</v>
      </c>
      <c r="N11" s="16">
        <f t="shared" si="3"/>
        <v>14322</v>
      </c>
      <c r="O11" s="16">
        <f t="shared" ref="O11:O38" si="10">(L11*D11)*(1-G11)*(1-H11)</f>
        <v>14577.75</v>
      </c>
      <c r="P11" s="17">
        <v>0</v>
      </c>
      <c r="Q11" s="11">
        <v>0</v>
      </c>
      <c r="R11" s="16">
        <f t="shared" si="4"/>
        <v>0</v>
      </c>
      <c r="S11" s="11">
        <f t="shared" ref="S11:S38" si="11">(P11*D11)*(1-G11)*(1-H11)</f>
        <v>0</v>
      </c>
      <c r="T11" s="18">
        <v>15</v>
      </c>
      <c r="U11" s="10" t="s">
        <v>81</v>
      </c>
      <c r="V11" s="19">
        <f>SUMIF('Avoided Costs 2014-2023'!$A:$A,'2014 Actuals'!U11&amp;ROUNDDOWN('2014 Actuals'!T11,0),'Avoided Costs 2014-2023'!$E:$E)*K11</f>
        <v>50437.008008659606</v>
      </c>
      <c r="W11" s="19">
        <f>SUMIF('Avoided Costs 2014-2023'!$A:$A,'2014 Actuals'!U11&amp;ROUNDDOWN('2014 Actuals'!T11,0),'Avoided Costs 2014-2023'!$K:$K)*O11</f>
        <v>17237.90310771628</v>
      </c>
      <c r="X11" s="19">
        <f>SUMIF('Avoided Costs 2014-2023'!$A:$A,'2014 Actuals'!U11&amp;ROUNDDOWN('2014 Actuals'!T11,0),'Avoided Costs 2014-2023'!$M:$M)*S11</f>
        <v>0</v>
      </c>
      <c r="Y11" s="19">
        <f t="shared" ref="Y11:Y28" si="12">SUM(V11:X11)</f>
        <v>67674.911116375879</v>
      </c>
      <c r="Z11" s="19">
        <v>2500</v>
      </c>
      <c r="AA11" s="40">
        <f t="shared" ref="AA11:AA38" si="13">(Z11*D11)*(1-G11)</f>
        <v>35625</v>
      </c>
      <c r="AB11" s="19">
        <v>0</v>
      </c>
      <c r="AC11" s="19">
        <v>0</v>
      </c>
      <c r="AD11" s="40">
        <f t="shared" ref="AD11:AD38" si="14">AB11+AC11</f>
        <v>0</v>
      </c>
      <c r="AE11" s="40">
        <f t="shared" si="5"/>
        <v>35625</v>
      </c>
      <c r="AF11" s="40">
        <f t="shared" si="6"/>
        <v>32049.911116375879</v>
      </c>
      <c r="AG11" s="38">
        <f t="shared" si="7"/>
        <v>326823.75</v>
      </c>
      <c r="AH11" s="38">
        <f t="shared" si="8"/>
        <v>344025</v>
      </c>
    </row>
    <row r="12" spans="1:34">
      <c r="A12" s="135" t="s">
        <v>89</v>
      </c>
      <c r="B12" s="44" t="s">
        <v>90</v>
      </c>
      <c r="D12" s="16">
        <v>5</v>
      </c>
      <c r="E12" s="16">
        <v>2</v>
      </c>
      <c r="F12" s="15">
        <f t="shared" ref="F12:F28" si="15">I12/D12</f>
        <v>20605</v>
      </c>
      <c r="G12" s="45">
        <v>0.05</v>
      </c>
      <c r="H12" s="37">
        <v>0</v>
      </c>
      <c r="I12" s="16">
        <v>103025</v>
      </c>
      <c r="J12" s="16">
        <f>I12</f>
        <v>103025</v>
      </c>
      <c r="K12" s="11">
        <f t="shared" si="9"/>
        <v>97873.75</v>
      </c>
      <c r="L12" s="15">
        <v>-936</v>
      </c>
      <c r="M12" s="11">
        <v>-4680</v>
      </c>
      <c r="N12" s="16">
        <f t="shared" si="3"/>
        <v>-4680</v>
      </c>
      <c r="O12" s="16">
        <f t="shared" si="10"/>
        <v>-4446</v>
      </c>
      <c r="P12" s="17">
        <v>0</v>
      </c>
      <c r="Q12" s="11">
        <v>0</v>
      </c>
      <c r="R12" s="16">
        <f t="shared" si="4"/>
        <v>0</v>
      </c>
      <c r="S12" s="11">
        <f t="shared" si="11"/>
        <v>0</v>
      </c>
      <c r="T12" s="18">
        <v>15</v>
      </c>
      <c r="U12" s="10" t="s">
        <v>81</v>
      </c>
      <c r="V12" s="19">
        <f>SUMIF('Avoided Costs 2014-2023'!$A:$A,'2014 Actuals'!U12&amp;ROUNDDOWN('2014 Actuals'!T12,0),'Avoided Costs 2014-2023'!$E:$E)*K12</f>
        <v>226565.19512065212</v>
      </c>
      <c r="W12" s="19">
        <f>SUMIF('Avoided Costs 2014-2023'!$A:$A,'2014 Actuals'!U12&amp;ROUNDDOWN('2014 Actuals'!T12,0),'Avoided Costs 2014-2023'!$K:$K)*O12</f>
        <v>-5257.3076926759322</v>
      </c>
      <c r="X12" s="19">
        <f>SUMIF('Avoided Costs 2014-2023'!$A:$A,'2014 Actuals'!U12&amp;ROUNDDOWN('2014 Actuals'!T12,0),'Avoided Costs 2014-2023'!$M:$M)*S12</f>
        <v>0</v>
      </c>
      <c r="Y12" s="19">
        <f t="shared" si="12"/>
        <v>221307.88742797618</v>
      </c>
      <c r="Z12" s="19">
        <v>10170</v>
      </c>
      <c r="AA12" s="40">
        <f t="shared" si="13"/>
        <v>48307.5</v>
      </c>
      <c r="AB12" s="19">
        <v>0</v>
      </c>
      <c r="AC12" s="19">
        <v>0</v>
      </c>
      <c r="AD12" s="40">
        <f t="shared" si="14"/>
        <v>0</v>
      </c>
      <c r="AE12" s="40">
        <f t="shared" si="5"/>
        <v>48307.5</v>
      </c>
      <c r="AF12" s="40">
        <f t="shared" si="6"/>
        <v>173000.38742797618</v>
      </c>
      <c r="AG12" s="38">
        <f t="shared" si="7"/>
        <v>1468106.25</v>
      </c>
      <c r="AH12" s="38">
        <f t="shared" si="8"/>
        <v>1545375</v>
      </c>
    </row>
    <row r="13" spans="1:34">
      <c r="A13" s="135" t="s">
        <v>91</v>
      </c>
      <c r="B13" s="44" t="s">
        <v>92</v>
      </c>
      <c r="D13" s="46">
        <v>11</v>
      </c>
      <c r="E13" s="16">
        <v>8</v>
      </c>
      <c r="F13" s="15">
        <f>I13/D13</f>
        <v>2536.181818181818</v>
      </c>
      <c r="G13" s="45">
        <v>0.05</v>
      </c>
      <c r="H13" s="37">
        <v>0</v>
      </c>
      <c r="I13" s="16">
        <v>27898</v>
      </c>
      <c r="J13" s="16">
        <f t="shared" si="2"/>
        <v>27898</v>
      </c>
      <c r="K13" s="11">
        <f t="shared" si="9"/>
        <v>26503.1</v>
      </c>
      <c r="M13" s="11">
        <v>0</v>
      </c>
      <c r="N13" s="16">
        <f t="shared" si="3"/>
        <v>0</v>
      </c>
      <c r="O13" s="16">
        <f t="shared" si="10"/>
        <v>0</v>
      </c>
      <c r="Q13" s="11">
        <v>0</v>
      </c>
      <c r="R13" s="16">
        <f t="shared" si="4"/>
        <v>0</v>
      </c>
      <c r="S13" s="11">
        <f t="shared" si="11"/>
        <v>0</v>
      </c>
      <c r="T13" s="18">
        <v>25</v>
      </c>
      <c r="U13" s="10" t="s">
        <v>81</v>
      </c>
      <c r="V13" s="19">
        <f>SUMIF('Avoided Costs 2014-2023'!$A:$A,'2014 Actuals'!U13&amp;ROUNDDOWN('2014 Actuals'!T13,0),'Avoided Costs 2014-2023'!$E:$E)*K13</f>
        <v>84181.36132004844</v>
      </c>
      <c r="W13" s="19">
        <f>SUMIF('Avoided Costs 2014-2023'!$A:$A,'2014 Actuals'!U13&amp;ROUNDDOWN('2014 Actuals'!T13,0),'Avoided Costs 2014-2023'!$K:$K)*O13</f>
        <v>0</v>
      </c>
      <c r="X13" s="19">
        <f>SUMIF('Avoided Costs 2014-2023'!$A:$A,'2014 Actuals'!U13&amp;ROUNDDOWN('2014 Actuals'!T13,0),'Avoided Costs 2014-2023'!$M:$M)*S13</f>
        <v>0</v>
      </c>
      <c r="Y13" s="19">
        <f t="shared" si="12"/>
        <v>84181.36132004844</v>
      </c>
      <c r="Z13" s="19">
        <f>43125/D13</f>
        <v>3920.4545454545455</v>
      </c>
      <c r="AA13" s="40">
        <f t="shared" si="13"/>
        <v>40968.75</v>
      </c>
      <c r="AB13" s="19">
        <v>0</v>
      </c>
      <c r="AC13" s="19">
        <v>0</v>
      </c>
      <c r="AD13" s="40">
        <f t="shared" si="14"/>
        <v>0</v>
      </c>
      <c r="AE13" s="40">
        <f t="shared" si="5"/>
        <v>40968.75</v>
      </c>
      <c r="AF13" s="40">
        <f t="shared" si="6"/>
        <v>43212.61132004844</v>
      </c>
      <c r="AG13" s="38">
        <f t="shared" si="7"/>
        <v>662577.5</v>
      </c>
      <c r="AH13" s="38">
        <f t="shared" si="8"/>
        <v>697450</v>
      </c>
    </row>
    <row r="14" spans="1:34">
      <c r="A14" s="135" t="s">
        <v>93</v>
      </c>
      <c r="B14" s="44" t="s">
        <v>92</v>
      </c>
      <c r="D14" s="16">
        <v>17</v>
      </c>
      <c r="E14" s="16">
        <v>13</v>
      </c>
      <c r="F14" s="15">
        <f t="shared" si="15"/>
        <v>2216.5294117647059</v>
      </c>
      <c r="G14" s="45">
        <v>0.05</v>
      </c>
      <c r="H14" s="37">
        <v>0</v>
      </c>
      <c r="I14" s="16">
        <v>37681</v>
      </c>
      <c r="J14" s="16">
        <f t="shared" si="2"/>
        <v>37681</v>
      </c>
      <c r="K14" s="11">
        <f t="shared" si="9"/>
        <v>35796.949999999997</v>
      </c>
      <c r="M14" s="11">
        <v>0</v>
      </c>
      <c r="N14" s="16">
        <f t="shared" si="3"/>
        <v>0</v>
      </c>
      <c r="O14" s="16">
        <f t="shared" si="10"/>
        <v>0</v>
      </c>
      <c r="Q14" s="11">
        <v>0</v>
      </c>
      <c r="R14" s="16">
        <f t="shared" si="4"/>
        <v>0</v>
      </c>
      <c r="S14" s="11">
        <f t="shared" si="11"/>
        <v>0</v>
      </c>
      <c r="T14" s="18">
        <v>25</v>
      </c>
      <c r="U14" s="10" t="s">
        <v>94</v>
      </c>
      <c r="V14" s="19">
        <f>SUMIF('Avoided Costs 2014-2023'!$A:$A,'2014 Actuals'!U14&amp;ROUNDDOWN('2014 Actuals'!T14,0),'Avoided Costs 2014-2023'!$E:$E)*K14</f>
        <v>106522.66779985816</v>
      </c>
      <c r="W14" s="19">
        <f>SUMIF('Avoided Costs 2014-2023'!$A:$A,'2014 Actuals'!U14&amp;ROUNDDOWN('2014 Actuals'!T14,0),'Avoided Costs 2014-2023'!$K:$K)*O14</f>
        <v>0</v>
      </c>
      <c r="X14" s="19">
        <f>SUMIF('Avoided Costs 2014-2023'!$A:$A,'2014 Actuals'!U14&amp;ROUNDDOWN('2014 Actuals'!T14,0),'Avoided Costs 2014-2023'!$M:$M)*S14</f>
        <v>0</v>
      </c>
      <c r="Y14" s="19">
        <f t="shared" si="12"/>
        <v>106522.66779985816</v>
      </c>
      <c r="Z14" s="19">
        <f>52622/D14</f>
        <v>3095.4117647058824</v>
      </c>
      <c r="AA14" s="40">
        <f t="shared" si="13"/>
        <v>49990.899999999994</v>
      </c>
      <c r="AB14" s="19">
        <v>0</v>
      </c>
      <c r="AC14" s="19">
        <v>0</v>
      </c>
      <c r="AD14" s="40">
        <f t="shared" si="14"/>
        <v>0</v>
      </c>
      <c r="AE14" s="40">
        <f t="shared" si="5"/>
        <v>49990.899999999994</v>
      </c>
      <c r="AF14" s="40">
        <f t="shared" si="6"/>
        <v>56531.767799858164</v>
      </c>
      <c r="AG14" s="38">
        <f t="shared" si="7"/>
        <v>894923.74999999988</v>
      </c>
      <c r="AH14" s="38">
        <f t="shared" si="8"/>
        <v>942025</v>
      </c>
    </row>
    <row r="15" spans="1:34">
      <c r="A15" s="135" t="s">
        <v>95</v>
      </c>
      <c r="B15" s="44" t="s">
        <v>96</v>
      </c>
      <c r="D15" s="16">
        <v>4</v>
      </c>
      <c r="E15" s="16">
        <v>4</v>
      </c>
      <c r="F15" s="15">
        <f t="shared" si="15"/>
        <v>16513</v>
      </c>
      <c r="G15" s="45">
        <v>0.05</v>
      </c>
      <c r="H15" s="37">
        <v>0</v>
      </c>
      <c r="I15" s="16">
        <v>66052</v>
      </c>
      <c r="J15" s="16">
        <f t="shared" si="2"/>
        <v>66052</v>
      </c>
      <c r="K15" s="11">
        <f t="shared" si="9"/>
        <v>62749.399999999994</v>
      </c>
      <c r="M15" s="11">
        <v>3</v>
      </c>
      <c r="N15" s="16">
        <f t="shared" si="3"/>
        <v>3</v>
      </c>
      <c r="O15" s="16">
        <f t="shared" si="10"/>
        <v>0</v>
      </c>
      <c r="Q15" s="11">
        <v>0</v>
      </c>
      <c r="R15" s="16">
        <f t="shared" si="4"/>
        <v>0</v>
      </c>
      <c r="S15" s="11">
        <f t="shared" si="11"/>
        <v>0</v>
      </c>
      <c r="T15" s="18">
        <v>15</v>
      </c>
      <c r="U15" s="10" t="s">
        <v>81</v>
      </c>
      <c r="V15" s="19">
        <f>SUMIF('Avoided Costs 2014-2023'!$A:$A,'2014 Actuals'!U15&amp;ROUNDDOWN('2014 Actuals'!T15,0),'Avoided Costs 2014-2023'!$E:$E)*K15</f>
        <v>145256.82376228401</v>
      </c>
      <c r="W15" s="19">
        <f>SUMIF('Avoided Costs 2014-2023'!$A:$A,'2014 Actuals'!U15&amp;ROUNDDOWN('2014 Actuals'!T15,0),'Avoided Costs 2014-2023'!$K:$K)*O15</f>
        <v>0</v>
      </c>
      <c r="X15" s="19">
        <f>SUMIF('Avoided Costs 2014-2023'!$A:$A,'2014 Actuals'!U15&amp;ROUNDDOWN('2014 Actuals'!T15,0),'Avoided Costs 2014-2023'!$M:$M)*S15</f>
        <v>0</v>
      </c>
      <c r="Y15" s="19">
        <f t="shared" si="12"/>
        <v>145256.82376228401</v>
      </c>
      <c r="Z15" s="19">
        <f>28758/D15</f>
        <v>7189.5</v>
      </c>
      <c r="AA15" s="40">
        <f t="shared" si="13"/>
        <v>27320.1</v>
      </c>
      <c r="AB15" s="19">
        <v>0</v>
      </c>
      <c r="AC15" s="19">
        <v>0</v>
      </c>
      <c r="AD15" s="40">
        <f t="shared" si="14"/>
        <v>0</v>
      </c>
      <c r="AE15" s="40">
        <f t="shared" si="5"/>
        <v>27320.1</v>
      </c>
      <c r="AF15" s="40">
        <f t="shared" si="6"/>
        <v>117936.723762284</v>
      </c>
      <c r="AG15" s="38">
        <f t="shared" si="7"/>
        <v>941240.99999999988</v>
      </c>
      <c r="AH15" s="38">
        <f t="shared" si="8"/>
        <v>990780</v>
      </c>
    </row>
    <row r="16" spans="1:34">
      <c r="A16" s="135" t="s">
        <v>97</v>
      </c>
      <c r="B16" s="9" t="s">
        <v>98</v>
      </c>
      <c r="D16" s="16">
        <v>21</v>
      </c>
      <c r="E16" s="16">
        <v>21</v>
      </c>
      <c r="F16" s="15">
        <f>I16/D16</f>
        <v>9035.6666666666661</v>
      </c>
      <c r="G16" s="45">
        <v>0.05</v>
      </c>
      <c r="H16" s="37">
        <v>0</v>
      </c>
      <c r="I16" s="16">
        <v>189749</v>
      </c>
      <c r="J16" s="16">
        <f t="shared" si="2"/>
        <v>189749</v>
      </c>
      <c r="K16" s="11">
        <f t="shared" si="9"/>
        <v>180261.55</v>
      </c>
      <c r="M16" s="11">
        <v>0</v>
      </c>
      <c r="N16" s="16">
        <f t="shared" si="3"/>
        <v>0</v>
      </c>
      <c r="O16" s="16">
        <f t="shared" si="10"/>
        <v>0</v>
      </c>
      <c r="Q16" s="11">
        <v>0</v>
      </c>
      <c r="R16" s="16">
        <f t="shared" si="4"/>
        <v>0</v>
      </c>
      <c r="S16" s="11">
        <f t="shared" si="11"/>
        <v>0</v>
      </c>
      <c r="T16" s="18">
        <v>15</v>
      </c>
      <c r="U16" s="10" t="s">
        <v>81</v>
      </c>
      <c r="V16" s="19">
        <f>SUMIF('Avoided Costs 2014-2023'!$A:$A,'2014 Actuals'!U16&amp;ROUNDDOWN('2014 Actuals'!T16,0),'Avoided Costs 2014-2023'!$E:$E)*K16</f>
        <v>417282.39950447576</v>
      </c>
      <c r="W16" s="19">
        <f>SUMIF('Avoided Costs 2014-2023'!$A:$A,'2014 Actuals'!U16&amp;ROUNDDOWN('2014 Actuals'!T16,0),'Avoided Costs 2014-2023'!$K:$K)*O16</f>
        <v>0</v>
      </c>
      <c r="X16" s="19">
        <f>SUMIF('Avoided Costs 2014-2023'!$A:$A,'2014 Actuals'!U16&amp;ROUNDDOWN('2014 Actuals'!T16,0),'Avoided Costs 2014-2023'!$M:$M)*S16</f>
        <v>0</v>
      </c>
      <c r="Y16" s="19">
        <f t="shared" si="12"/>
        <v>417282.39950447576</v>
      </c>
      <c r="Z16" s="19">
        <f>34650/D16</f>
        <v>1650</v>
      </c>
      <c r="AA16" s="40">
        <f t="shared" si="13"/>
        <v>32917.5</v>
      </c>
      <c r="AB16" s="19">
        <v>0</v>
      </c>
      <c r="AC16" s="19">
        <v>0</v>
      </c>
      <c r="AD16" s="40">
        <f t="shared" si="14"/>
        <v>0</v>
      </c>
      <c r="AE16" s="40">
        <f t="shared" si="5"/>
        <v>32917.5</v>
      </c>
      <c r="AF16" s="40">
        <f t="shared" si="6"/>
        <v>384364.89950447576</v>
      </c>
      <c r="AG16" s="38">
        <f t="shared" si="7"/>
        <v>2703923.25</v>
      </c>
      <c r="AH16" s="38">
        <f t="shared" si="8"/>
        <v>2846235</v>
      </c>
    </row>
    <row r="17" spans="1:34">
      <c r="A17" s="135" t="s">
        <v>99</v>
      </c>
      <c r="B17" s="9" t="s">
        <v>100</v>
      </c>
      <c r="D17" s="16">
        <v>15</v>
      </c>
      <c r="E17" s="16">
        <v>14</v>
      </c>
      <c r="F17" s="15">
        <f t="shared" si="15"/>
        <v>4801</v>
      </c>
      <c r="G17" s="39">
        <v>0.05</v>
      </c>
      <c r="H17" s="37">
        <v>0</v>
      </c>
      <c r="I17" s="16">
        <v>72015</v>
      </c>
      <c r="J17" s="16">
        <f t="shared" si="2"/>
        <v>72015</v>
      </c>
      <c r="K17" s="11">
        <f t="shared" si="9"/>
        <v>68414.25</v>
      </c>
      <c r="L17" s="15">
        <v>13521</v>
      </c>
      <c r="M17" s="11">
        <v>202815</v>
      </c>
      <c r="N17" s="16">
        <f t="shared" si="3"/>
        <v>202815</v>
      </c>
      <c r="O17" s="16">
        <f t="shared" si="10"/>
        <v>192674.25</v>
      </c>
      <c r="P17" s="17">
        <v>0</v>
      </c>
      <c r="Q17" s="11">
        <v>0</v>
      </c>
      <c r="R17" s="16">
        <f t="shared" si="4"/>
        <v>0</v>
      </c>
      <c r="S17" s="11">
        <f t="shared" si="11"/>
        <v>0</v>
      </c>
      <c r="T17" s="18">
        <v>15</v>
      </c>
      <c r="U17" s="10" t="s">
        <v>81</v>
      </c>
      <c r="V17" s="19">
        <f>SUMIF('Avoided Costs 2014-2023'!$A:$A,'2014 Actuals'!U17&amp;ROUNDDOWN('2014 Actuals'!T17,0),'Avoided Costs 2014-2023'!$E:$E)*K17</f>
        <v>158370.22593170358</v>
      </c>
      <c r="W17" s="19">
        <f>SUMIF('Avoided Costs 2014-2023'!$A:$A,'2014 Actuals'!U17&amp;ROUNDDOWN('2014 Actuals'!T17,0),'Avoided Costs 2014-2023'!$K:$K)*O17</f>
        <v>227833.51702779258</v>
      </c>
      <c r="X17" s="19">
        <f>SUMIF('Avoided Costs 2014-2023'!$A:$A,'2014 Actuals'!U17&amp;ROUNDDOWN('2014 Actuals'!T17,0),'Avoided Costs 2014-2023'!$M:$M)*S17</f>
        <v>0</v>
      </c>
      <c r="Y17" s="19">
        <f t="shared" si="12"/>
        <v>386203.74295949616</v>
      </c>
      <c r="Z17" s="19">
        <f>10000</f>
        <v>10000</v>
      </c>
      <c r="AA17" s="40">
        <f t="shared" si="13"/>
        <v>142500</v>
      </c>
      <c r="AB17" s="19">
        <v>0</v>
      </c>
      <c r="AC17" s="19">
        <v>0</v>
      </c>
      <c r="AD17" s="40">
        <f t="shared" si="14"/>
        <v>0</v>
      </c>
      <c r="AE17" s="40">
        <f t="shared" si="5"/>
        <v>142500</v>
      </c>
      <c r="AF17" s="40">
        <f t="shared" si="6"/>
        <v>243703.74295949616</v>
      </c>
      <c r="AG17" s="38">
        <f t="shared" si="7"/>
        <v>1026213.75</v>
      </c>
      <c r="AH17" s="38">
        <f t="shared" si="8"/>
        <v>1080225</v>
      </c>
    </row>
    <row r="18" spans="1:34">
      <c r="A18" s="135" t="s">
        <v>101</v>
      </c>
      <c r="B18" s="9" t="s">
        <v>102</v>
      </c>
      <c r="D18" s="16">
        <v>42</v>
      </c>
      <c r="E18" s="16">
        <v>40</v>
      </c>
      <c r="F18" s="15">
        <f t="shared" si="15"/>
        <v>11486</v>
      </c>
      <c r="G18" s="39">
        <v>0.05</v>
      </c>
      <c r="H18" s="37">
        <v>0</v>
      </c>
      <c r="I18" s="16">
        <v>482412</v>
      </c>
      <c r="J18" s="16">
        <f t="shared" si="2"/>
        <v>482412</v>
      </c>
      <c r="K18" s="11">
        <f t="shared" si="9"/>
        <v>458291.39999999997</v>
      </c>
      <c r="L18" s="15">
        <v>30901</v>
      </c>
      <c r="M18" s="11">
        <v>1297842</v>
      </c>
      <c r="N18" s="16">
        <f t="shared" si="3"/>
        <v>1297842</v>
      </c>
      <c r="O18" s="16">
        <f t="shared" si="10"/>
        <v>1232949.8999999999</v>
      </c>
      <c r="P18" s="17">
        <v>0</v>
      </c>
      <c r="Q18" s="11">
        <v>0</v>
      </c>
      <c r="R18" s="16">
        <f t="shared" si="4"/>
        <v>0</v>
      </c>
      <c r="S18" s="11">
        <f t="shared" si="11"/>
        <v>0</v>
      </c>
      <c r="T18" s="18">
        <v>15</v>
      </c>
      <c r="U18" s="10" t="s">
        <v>81</v>
      </c>
      <c r="V18" s="19">
        <f>SUMIF('Avoided Costs 2014-2023'!$A:$A,'2014 Actuals'!U18&amp;ROUNDDOWN('2014 Actuals'!T18,0),'Avoided Costs 2014-2023'!$E:$E)*K18</f>
        <v>1060885.8908861345</v>
      </c>
      <c r="W18" s="19">
        <f>SUMIF('Avoided Costs 2014-2023'!$A:$A,'2014 Actuals'!U18&amp;ROUNDDOWN('2014 Actuals'!T18,0),'Avoided Costs 2014-2023'!$K:$K)*O18</f>
        <v>1457939.0449739138</v>
      </c>
      <c r="X18" s="19">
        <f>SUMIF('Avoided Costs 2014-2023'!$A:$A,'2014 Actuals'!U18&amp;ROUNDDOWN('2014 Actuals'!T18,0),'Avoided Costs 2014-2023'!$M:$M)*S18</f>
        <v>0</v>
      </c>
      <c r="Y18" s="19">
        <f t="shared" si="12"/>
        <v>2518824.935860048</v>
      </c>
      <c r="Z18" s="19">
        <f>15000</f>
        <v>15000</v>
      </c>
      <c r="AA18" s="40">
        <f t="shared" si="13"/>
        <v>598500</v>
      </c>
      <c r="AB18" s="19">
        <v>0</v>
      </c>
      <c r="AC18" s="19">
        <v>0</v>
      </c>
      <c r="AD18" s="40">
        <f t="shared" si="14"/>
        <v>0</v>
      </c>
      <c r="AE18" s="40">
        <f t="shared" si="5"/>
        <v>598500</v>
      </c>
      <c r="AF18" s="40">
        <f t="shared" si="6"/>
        <v>1920324.935860048</v>
      </c>
      <c r="AG18" s="38">
        <f t="shared" si="7"/>
        <v>6874370.9999999991</v>
      </c>
      <c r="AH18" s="38">
        <f t="shared" si="8"/>
        <v>7236180</v>
      </c>
    </row>
    <row r="19" spans="1:34">
      <c r="A19" s="135" t="s">
        <v>103</v>
      </c>
      <c r="B19" s="9" t="s">
        <v>104</v>
      </c>
      <c r="D19" s="16">
        <v>8</v>
      </c>
      <c r="E19" s="16">
        <v>7</v>
      </c>
      <c r="F19" s="15">
        <f t="shared" si="15"/>
        <v>18924</v>
      </c>
      <c r="G19" s="39">
        <v>0.05</v>
      </c>
      <c r="H19" s="37">
        <v>0</v>
      </c>
      <c r="I19" s="16">
        <v>151392</v>
      </c>
      <c r="J19" s="16">
        <f t="shared" si="2"/>
        <v>151392</v>
      </c>
      <c r="K19" s="11">
        <f t="shared" si="9"/>
        <v>143822.39999999999</v>
      </c>
      <c r="L19" s="15">
        <v>49102</v>
      </c>
      <c r="M19" s="11">
        <v>392816</v>
      </c>
      <c r="N19" s="16">
        <f t="shared" si="3"/>
        <v>392816</v>
      </c>
      <c r="O19" s="16">
        <f t="shared" si="10"/>
        <v>373175.2</v>
      </c>
      <c r="P19" s="17">
        <v>0</v>
      </c>
      <c r="Q19" s="11">
        <v>0</v>
      </c>
      <c r="R19" s="16">
        <f t="shared" si="4"/>
        <v>0</v>
      </c>
      <c r="S19" s="11">
        <f t="shared" si="11"/>
        <v>0</v>
      </c>
      <c r="T19" s="18">
        <v>15</v>
      </c>
      <c r="U19" s="10" t="s">
        <v>81</v>
      </c>
      <c r="V19" s="19">
        <f>SUMIF('Avoided Costs 2014-2023'!$A:$A,'2014 Actuals'!U19&amp;ROUNDDOWN('2014 Actuals'!T19,0),'Avoided Costs 2014-2023'!$E:$E)*K19</f>
        <v>332930.43455186376</v>
      </c>
      <c r="W19" s="19">
        <f>SUMIF('Avoided Costs 2014-2023'!$A:$A,'2014 Actuals'!U19&amp;ROUNDDOWN('2014 Actuals'!T19,0),'Avoided Costs 2014-2023'!$K:$K)*O19</f>
        <v>441272.34585602331</v>
      </c>
      <c r="X19" s="19">
        <f>SUMIF('Avoided Costs 2014-2023'!$A:$A,'2014 Actuals'!U19&amp;ROUNDDOWN('2014 Actuals'!T19,0),'Avoided Costs 2014-2023'!$M:$M)*S19</f>
        <v>0</v>
      </c>
      <c r="Y19" s="19">
        <f t="shared" si="12"/>
        <v>774202.78040788707</v>
      </c>
      <c r="Z19" s="19">
        <f>20000</f>
        <v>20000</v>
      </c>
      <c r="AA19" s="40">
        <f t="shared" si="13"/>
        <v>152000</v>
      </c>
      <c r="AB19" s="19">
        <v>0</v>
      </c>
      <c r="AC19" s="19">
        <v>0</v>
      </c>
      <c r="AD19" s="40">
        <f t="shared" si="14"/>
        <v>0</v>
      </c>
      <c r="AE19" s="40">
        <f t="shared" si="5"/>
        <v>152000</v>
      </c>
      <c r="AF19" s="40">
        <f t="shared" si="6"/>
        <v>622202.78040788707</v>
      </c>
      <c r="AG19" s="38">
        <f t="shared" si="7"/>
        <v>2157336</v>
      </c>
      <c r="AH19" s="38">
        <f t="shared" si="8"/>
        <v>2270880</v>
      </c>
    </row>
    <row r="20" spans="1:34">
      <c r="A20" s="135" t="s">
        <v>105</v>
      </c>
      <c r="B20" s="9" t="s">
        <v>106</v>
      </c>
      <c r="D20" s="46">
        <v>22</v>
      </c>
      <c r="E20" s="16">
        <v>13</v>
      </c>
      <c r="F20" s="15">
        <f t="shared" si="15"/>
        <v>13140.681818181818</v>
      </c>
      <c r="G20" s="39">
        <v>0.05</v>
      </c>
      <c r="H20" s="37">
        <v>0</v>
      </c>
      <c r="I20" s="16">
        <v>289095</v>
      </c>
      <c r="J20" s="16">
        <v>315135</v>
      </c>
      <c r="K20" s="11">
        <f>J20*(1-G20)*(1-H20)</f>
        <v>299378.25</v>
      </c>
      <c r="M20" s="11">
        <v>0</v>
      </c>
      <c r="N20" s="16">
        <f t="shared" si="3"/>
        <v>0</v>
      </c>
      <c r="O20" s="16">
        <f t="shared" si="10"/>
        <v>0</v>
      </c>
      <c r="Q20" s="11">
        <v>0</v>
      </c>
      <c r="R20" s="16">
        <f t="shared" si="4"/>
        <v>0</v>
      </c>
      <c r="S20" s="11">
        <f t="shared" si="11"/>
        <v>0</v>
      </c>
      <c r="T20" s="18">
        <v>14</v>
      </c>
      <c r="U20" s="47" t="s">
        <v>81</v>
      </c>
      <c r="V20" s="19">
        <f>SUMIF('Avoided Costs 2014-2023'!$A:$A,'2014 Actuals'!U20&amp;ROUNDDOWN('2014 Actuals'!T20,0),'Avoided Costs 2014-2023'!$E:$E)*K20</f>
        <v>659783.46018951014</v>
      </c>
      <c r="W20" s="19">
        <f>SUMIF('Avoided Costs 2014-2023'!$A:$A,'2014 Actuals'!U20&amp;ROUNDDOWN('2014 Actuals'!T20,0),'Avoided Costs 2014-2023'!$K:$K)*O20</f>
        <v>0</v>
      </c>
      <c r="X20" s="19">
        <f>SUMIF('Avoided Costs 2014-2023'!$A:$A,'2014 Actuals'!U20&amp;ROUNDDOWN('2014 Actuals'!T20,0),'Avoided Costs 2014-2023'!$M:$M)*S20</f>
        <v>0</v>
      </c>
      <c r="Y20" s="19">
        <f t="shared" si="12"/>
        <v>659783.46018951014</v>
      </c>
      <c r="Z20" s="19">
        <f>16563.5937272727/(1-0.05)</f>
        <v>17435.361818181787</v>
      </c>
      <c r="AA20" s="40">
        <f t="shared" si="13"/>
        <v>364399.06199999934</v>
      </c>
      <c r="AB20" s="19">
        <v>0</v>
      </c>
      <c r="AC20" s="19">
        <v>0</v>
      </c>
      <c r="AD20" s="40">
        <f t="shared" si="14"/>
        <v>0</v>
      </c>
      <c r="AE20" s="40">
        <f t="shared" si="5"/>
        <v>364399.06199999934</v>
      </c>
      <c r="AF20" s="40">
        <f t="shared" si="6"/>
        <v>295384.3981895108</v>
      </c>
      <c r="AG20" s="38">
        <f t="shared" si="7"/>
        <v>4191295.5</v>
      </c>
      <c r="AH20" s="38">
        <f t="shared" si="8"/>
        <v>4411890</v>
      </c>
    </row>
    <row r="21" spans="1:34">
      <c r="A21" s="135" t="s">
        <v>107</v>
      </c>
      <c r="B21" s="9" t="s">
        <v>108</v>
      </c>
      <c r="D21" s="16">
        <f>27+6</f>
        <v>33</v>
      </c>
      <c r="E21" s="16">
        <v>15</v>
      </c>
      <c r="F21" s="15">
        <f t="shared" si="15"/>
        <v>11075.545454545454</v>
      </c>
      <c r="G21" s="39">
        <v>0.08</v>
      </c>
      <c r="H21" s="37">
        <v>0</v>
      </c>
      <c r="I21" s="16">
        <v>365493</v>
      </c>
      <c r="J21" s="16">
        <v>408952</v>
      </c>
      <c r="K21" s="11">
        <f t="shared" si="9"/>
        <v>376235.84</v>
      </c>
      <c r="M21" s="11">
        <v>24401</v>
      </c>
      <c r="N21" s="16">
        <f t="shared" si="3"/>
        <v>24401</v>
      </c>
      <c r="O21" s="16">
        <f t="shared" si="10"/>
        <v>0</v>
      </c>
      <c r="P21" s="16">
        <f>Q21/D21</f>
        <v>678.72727272727275</v>
      </c>
      <c r="Q21" s="11">
        <v>22398</v>
      </c>
      <c r="R21" s="16">
        <f t="shared" si="4"/>
        <v>22398</v>
      </c>
      <c r="S21" s="11">
        <f t="shared" si="11"/>
        <v>20606.16</v>
      </c>
      <c r="T21" s="18">
        <v>15</v>
      </c>
      <c r="U21" s="47" t="s">
        <v>94</v>
      </c>
      <c r="V21" s="19">
        <f>SUMIF('Avoided Costs 2014-2023'!$A:$A,'2014 Actuals'!U21&amp;ROUNDDOWN('2014 Actuals'!T21,0),'Avoided Costs 2014-2023'!$E:$E)*K21</f>
        <v>815596.8125623028</v>
      </c>
      <c r="W21" s="19">
        <f>SUMIF('Avoided Costs 2014-2023'!$A:$A,'2014 Actuals'!U21&amp;ROUNDDOWN('2014 Actuals'!T21,0),'Avoided Costs 2014-2023'!$K:$K)*O21</f>
        <v>0</v>
      </c>
      <c r="X21" s="19">
        <f>SUMIF('Avoided Costs 2014-2023'!$A:$A,'2014 Actuals'!U21&amp;ROUNDDOWN('2014 Actuals'!T21,0),'Avoided Costs 2014-2023'!$M:$M)*S21</f>
        <v>587055.54001282598</v>
      </c>
      <c r="Y21" s="19">
        <f t="shared" si="12"/>
        <v>1402652.3525751289</v>
      </c>
      <c r="Z21" s="19">
        <f>12461.8181818182/(1-G21)</f>
        <v>13545.454545454564</v>
      </c>
      <c r="AA21" s="40">
        <f t="shared" si="13"/>
        <v>411240.00000000058</v>
      </c>
      <c r="AB21" s="19">
        <v>0</v>
      </c>
      <c r="AC21" s="19">
        <v>0</v>
      </c>
      <c r="AD21" s="40">
        <f t="shared" si="14"/>
        <v>0</v>
      </c>
      <c r="AE21" s="40">
        <f t="shared" si="5"/>
        <v>411240.00000000058</v>
      </c>
      <c r="AF21" s="40">
        <f t="shared" si="6"/>
        <v>991412.35257512832</v>
      </c>
      <c r="AG21" s="38">
        <f t="shared" si="7"/>
        <v>5643537.6000000006</v>
      </c>
      <c r="AH21" s="38">
        <f t="shared" si="8"/>
        <v>6134280</v>
      </c>
    </row>
    <row r="22" spans="1:34">
      <c r="A22" s="135" t="s">
        <v>109</v>
      </c>
      <c r="B22" s="9" t="s">
        <v>110</v>
      </c>
      <c r="D22" s="16">
        <v>3</v>
      </c>
      <c r="E22" s="16">
        <v>2</v>
      </c>
      <c r="F22" s="15">
        <f t="shared" si="15"/>
        <v>742</v>
      </c>
      <c r="G22" s="39">
        <v>0.05</v>
      </c>
      <c r="H22" s="37">
        <v>0</v>
      </c>
      <c r="I22" s="16">
        <v>2226</v>
      </c>
      <c r="J22" s="16">
        <f t="shared" si="2"/>
        <v>2226</v>
      </c>
      <c r="K22" s="11">
        <f t="shared" si="9"/>
        <v>2114.6999999999998</v>
      </c>
      <c r="M22" s="11">
        <v>0</v>
      </c>
      <c r="N22" s="16">
        <f t="shared" si="3"/>
        <v>0</v>
      </c>
      <c r="O22" s="16">
        <f t="shared" si="10"/>
        <v>0</v>
      </c>
      <c r="Q22" s="11">
        <v>0</v>
      </c>
      <c r="R22" s="16">
        <f t="shared" si="4"/>
        <v>0</v>
      </c>
      <c r="S22" s="11">
        <f t="shared" si="11"/>
        <v>0</v>
      </c>
      <c r="T22" s="18">
        <v>25</v>
      </c>
      <c r="U22" s="47" t="s">
        <v>81</v>
      </c>
      <c r="V22" s="19">
        <f>SUMIF('Avoided Costs 2014-2023'!$A:$A,'2014 Actuals'!U22&amp;ROUNDDOWN('2014 Actuals'!T22,0),'Avoided Costs 2014-2023'!$E:$E)*K22</f>
        <v>6716.8868843081154</v>
      </c>
      <c r="W22" s="19">
        <f>SUMIF('Avoided Costs 2014-2023'!$A:$A,'2014 Actuals'!U22&amp;ROUNDDOWN('2014 Actuals'!T22,0),'Avoided Costs 2014-2023'!$K:$K)*O22</f>
        <v>0</v>
      </c>
      <c r="X22" s="19">
        <f>SUMIF('Avoided Costs 2014-2023'!$A:$A,'2014 Actuals'!U22&amp;ROUNDDOWN('2014 Actuals'!T22,0),'Avoided Costs 2014-2023'!$M:$M)*S22</f>
        <v>0</v>
      </c>
      <c r="Y22" s="19">
        <f t="shared" si="12"/>
        <v>6716.8868843081154</v>
      </c>
      <c r="Z22" s="19">
        <f>5874/D22</f>
        <v>1958</v>
      </c>
      <c r="AA22" s="40">
        <f t="shared" si="13"/>
        <v>5580.3</v>
      </c>
      <c r="AB22" s="19">
        <v>0</v>
      </c>
      <c r="AC22" s="19">
        <v>0</v>
      </c>
      <c r="AD22" s="40">
        <f t="shared" si="14"/>
        <v>0</v>
      </c>
      <c r="AE22" s="40">
        <f t="shared" si="5"/>
        <v>5580.3</v>
      </c>
      <c r="AF22" s="40">
        <f t="shared" si="6"/>
        <v>1136.5868843081153</v>
      </c>
      <c r="AG22" s="38">
        <f t="shared" si="7"/>
        <v>52867.499999999993</v>
      </c>
      <c r="AH22" s="38">
        <f t="shared" si="8"/>
        <v>55650</v>
      </c>
    </row>
    <row r="23" spans="1:34">
      <c r="A23" s="135" t="s">
        <v>111</v>
      </c>
      <c r="B23" s="9" t="s">
        <v>112</v>
      </c>
      <c r="D23" s="16">
        <v>11</v>
      </c>
      <c r="E23" s="16">
        <v>10</v>
      </c>
      <c r="F23" s="15">
        <f>I23/D23</f>
        <v>7952.818181818182</v>
      </c>
      <c r="G23" s="39">
        <v>0.12</v>
      </c>
      <c r="H23" s="37">
        <v>0</v>
      </c>
      <c r="I23" s="16">
        <v>87481</v>
      </c>
      <c r="J23" s="16">
        <f>I23</f>
        <v>87481</v>
      </c>
      <c r="K23" s="11">
        <f t="shared" si="9"/>
        <v>76983.28</v>
      </c>
      <c r="L23" s="15">
        <v>0</v>
      </c>
      <c r="M23" s="11">
        <v>0</v>
      </c>
      <c r="N23" s="16">
        <v>0</v>
      </c>
      <c r="O23" s="16">
        <f t="shared" si="10"/>
        <v>0</v>
      </c>
      <c r="P23" s="17">
        <v>0</v>
      </c>
      <c r="Q23" s="11">
        <v>0</v>
      </c>
      <c r="R23" s="16">
        <v>0</v>
      </c>
      <c r="S23" s="11">
        <f t="shared" si="11"/>
        <v>0</v>
      </c>
      <c r="T23" s="18">
        <v>25</v>
      </c>
      <c r="U23" s="47" t="s">
        <v>81</v>
      </c>
      <c r="V23" s="19">
        <f>SUMIF('Avoided Costs 2014-2023'!$A:$A,'2014 Actuals'!U23&amp;ROUNDDOWN('2014 Actuals'!T23,0),'Avoided Costs 2014-2023'!$E:$E)*K23</f>
        <v>244520.72811416243</v>
      </c>
      <c r="W23" s="19">
        <f>SUMIF('Avoided Costs 2014-2023'!$A:$A,'2014 Actuals'!U23&amp;ROUNDDOWN('2014 Actuals'!T23,0),'Avoided Costs 2014-2023'!$K:$K)*O23</f>
        <v>0</v>
      </c>
      <c r="X23" s="19">
        <f>SUMIF('Avoided Costs 2014-2023'!$A:$A,'2014 Actuals'!U23&amp;ROUNDDOWN('2014 Actuals'!T23,0),'Avoided Costs 2014-2023'!$M:$M)*S23</f>
        <v>0</v>
      </c>
      <c r="Y23" s="19">
        <v>244520.72811416246</v>
      </c>
      <c r="Z23" s="19">
        <f>74500/D23</f>
        <v>6772.727272727273</v>
      </c>
      <c r="AA23" s="40">
        <f t="shared" si="13"/>
        <v>65560</v>
      </c>
      <c r="AB23" s="19">
        <v>0</v>
      </c>
      <c r="AC23" s="19">
        <v>0</v>
      </c>
      <c r="AD23" s="40">
        <f t="shared" si="14"/>
        <v>0</v>
      </c>
      <c r="AE23" s="40">
        <v>65560</v>
      </c>
      <c r="AF23" s="40">
        <v>178960.72811416246</v>
      </c>
      <c r="AG23" s="38">
        <v>1924582</v>
      </c>
      <c r="AH23" s="38">
        <v>2187025</v>
      </c>
    </row>
    <row r="24" spans="1:34">
      <c r="A24" s="135" t="s">
        <v>113</v>
      </c>
      <c r="B24" s="9" t="s">
        <v>112</v>
      </c>
      <c r="D24" s="16">
        <v>6</v>
      </c>
      <c r="E24" s="16">
        <v>5</v>
      </c>
      <c r="F24" s="15">
        <f t="shared" si="15"/>
        <v>5831.166666666667</v>
      </c>
      <c r="G24" s="39">
        <v>0.12</v>
      </c>
      <c r="H24" s="37">
        <v>0</v>
      </c>
      <c r="I24" s="16">
        <v>34987</v>
      </c>
      <c r="J24" s="16">
        <v>36848</v>
      </c>
      <c r="K24" s="11">
        <f>(F24*D24)*(1-G24)*(1-H24)</f>
        <v>30788.560000000001</v>
      </c>
      <c r="L24" s="15">
        <v>0</v>
      </c>
      <c r="M24" s="11">
        <v>0</v>
      </c>
      <c r="N24" s="16">
        <v>0</v>
      </c>
      <c r="O24" s="16">
        <f t="shared" si="10"/>
        <v>0</v>
      </c>
      <c r="P24" s="17">
        <v>0</v>
      </c>
      <c r="Q24" s="11">
        <v>0</v>
      </c>
      <c r="R24" s="16">
        <v>0</v>
      </c>
      <c r="S24" s="11">
        <f t="shared" si="11"/>
        <v>0</v>
      </c>
      <c r="T24" s="18">
        <v>25</v>
      </c>
      <c r="U24" s="47" t="s">
        <v>94</v>
      </c>
      <c r="V24" s="19">
        <f>SUMIF('Avoided Costs 2014-2023'!$A:$A,'2014 Actuals'!U24&amp;ROUNDDOWN('2014 Actuals'!T24,0),'Avoided Costs 2014-2023'!$E:$E)*K24</f>
        <v>91618.966110688241</v>
      </c>
      <c r="W24" s="19">
        <f>SUMIF('Avoided Costs 2014-2023'!$A:$A,'2014 Actuals'!U24&amp;ROUNDDOWN('2014 Actuals'!T24,0),'Avoided Costs 2014-2023'!$K:$K)*O24</f>
        <v>0</v>
      </c>
      <c r="X24" s="19">
        <f>SUMIF('Avoided Costs 2014-2023'!$A:$A,'2014 Actuals'!U24&amp;ROUNDDOWN('2014 Actuals'!T24,0),'Avoided Costs 2014-2023'!$M:$M)*S24</f>
        <v>0</v>
      </c>
      <c r="Y24" s="19">
        <v>91618.966110688227</v>
      </c>
      <c r="Z24" s="19">
        <f>AA24/D24</f>
        <v>6231.2266666666665</v>
      </c>
      <c r="AA24" s="40">
        <v>37387.360000000001</v>
      </c>
      <c r="AB24" s="19">
        <v>0</v>
      </c>
      <c r="AC24" s="19">
        <v>0</v>
      </c>
      <c r="AD24" s="40">
        <f t="shared" si="14"/>
        <v>0</v>
      </c>
      <c r="AE24" s="40">
        <v>32887.360000000001</v>
      </c>
      <c r="AF24" s="40">
        <v>58731.606110688233</v>
      </c>
      <c r="AG24" s="38">
        <v>769714</v>
      </c>
      <c r="AH24" s="38">
        <v>874675</v>
      </c>
    </row>
    <row r="25" spans="1:34">
      <c r="A25" s="135" t="s">
        <v>114</v>
      </c>
      <c r="B25" s="9" t="s">
        <v>115</v>
      </c>
      <c r="D25" s="16">
        <v>28</v>
      </c>
      <c r="E25" s="16">
        <v>18</v>
      </c>
      <c r="F25" s="15">
        <f t="shared" si="15"/>
        <v>15623.107142857143</v>
      </c>
      <c r="G25" s="39">
        <v>0.2</v>
      </c>
      <c r="H25" s="37">
        <v>0</v>
      </c>
      <c r="I25" s="16">
        <v>437447</v>
      </c>
      <c r="J25" s="16">
        <f t="shared" si="2"/>
        <v>437447</v>
      </c>
      <c r="K25" s="11">
        <f t="shared" si="9"/>
        <v>349957.60000000003</v>
      </c>
      <c r="L25" s="15">
        <v>0</v>
      </c>
      <c r="M25" s="11">
        <v>0</v>
      </c>
      <c r="N25" s="16">
        <v>0</v>
      </c>
      <c r="O25" s="16">
        <f t="shared" si="10"/>
        <v>0</v>
      </c>
      <c r="P25" s="17">
        <v>0</v>
      </c>
      <c r="Q25" s="11">
        <v>0</v>
      </c>
      <c r="R25" s="16">
        <v>0</v>
      </c>
      <c r="S25" s="11">
        <f t="shared" si="11"/>
        <v>0</v>
      </c>
      <c r="T25" s="18">
        <v>25</v>
      </c>
      <c r="U25" s="47" t="s">
        <v>81</v>
      </c>
      <c r="V25" s="19">
        <f>SUMIF('Avoided Costs 2014-2023'!$A:$A,'2014 Actuals'!U25&amp;ROUNDDOWN('2014 Actuals'!T25,0),'Avoided Costs 2014-2023'!$E:$E)*K25</f>
        <v>1111564.5781926259</v>
      </c>
      <c r="W25" s="19">
        <f>SUMIF('Avoided Costs 2014-2023'!$A:$A,'2014 Actuals'!U25&amp;ROUNDDOWN('2014 Actuals'!T25,0),'Avoided Costs 2014-2023'!$K:$K)*O25</f>
        <v>0</v>
      </c>
      <c r="X25" s="19">
        <f>SUMIF('Avoided Costs 2014-2023'!$A:$A,'2014 Actuals'!U25&amp;ROUNDDOWN('2014 Actuals'!T25,0),'Avoided Costs 2014-2023'!$M:$M)*S25</f>
        <v>0</v>
      </c>
      <c r="Y25" s="19">
        <v>1111564.5781926261</v>
      </c>
      <c r="Z25" s="19">
        <f>209150/D25</f>
        <v>7469.6428571428569</v>
      </c>
      <c r="AA25" s="40">
        <f t="shared" si="13"/>
        <v>167320</v>
      </c>
      <c r="AB25" s="19">
        <v>0</v>
      </c>
      <c r="AC25" s="19">
        <v>0</v>
      </c>
      <c r="AD25" s="40">
        <f t="shared" si="14"/>
        <v>0</v>
      </c>
      <c r="AE25" s="40">
        <v>167320</v>
      </c>
      <c r="AF25" s="40">
        <v>944244.57819262601</v>
      </c>
      <c r="AG25" s="38">
        <v>8748940</v>
      </c>
      <c r="AH25" s="38">
        <v>10936175</v>
      </c>
    </row>
    <row r="26" spans="1:34">
      <c r="A26" s="135" t="s">
        <v>116</v>
      </c>
      <c r="B26" s="9" t="s">
        <v>115</v>
      </c>
      <c r="D26" s="16">
        <v>8</v>
      </c>
      <c r="E26" s="16">
        <v>7</v>
      </c>
      <c r="F26" s="15">
        <f t="shared" si="15"/>
        <v>4010.125</v>
      </c>
      <c r="G26" s="39">
        <v>0.2</v>
      </c>
      <c r="H26" s="37">
        <v>0</v>
      </c>
      <c r="I26" s="16">
        <v>32081</v>
      </c>
      <c r="J26" s="16">
        <f t="shared" si="2"/>
        <v>32081</v>
      </c>
      <c r="K26" s="11">
        <f t="shared" si="9"/>
        <v>25664.800000000003</v>
      </c>
      <c r="L26" s="15">
        <v>0</v>
      </c>
      <c r="M26" s="11">
        <v>0</v>
      </c>
      <c r="N26" s="16">
        <v>0</v>
      </c>
      <c r="O26" s="16">
        <f t="shared" si="10"/>
        <v>0</v>
      </c>
      <c r="P26" s="17">
        <v>0</v>
      </c>
      <c r="Q26" s="11">
        <v>0</v>
      </c>
      <c r="R26" s="16">
        <v>0</v>
      </c>
      <c r="S26" s="11">
        <f t="shared" si="11"/>
        <v>0</v>
      </c>
      <c r="T26" s="18">
        <v>25</v>
      </c>
      <c r="U26" s="47" t="s">
        <v>94</v>
      </c>
      <c r="V26" s="19">
        <f>SUMIF('Avoided Costs 2014-2023'!$A:$A,'2014 Actuals'!U26&amp;ROUNDDOWN('2014 Actuals'!T26,0),'Avoided Costs 2014-2023'!$E:$E)*K26</f>
        <v>76371.952486169917</v>
      </c>
      <c r="W26" s="19">
        <f>SUMIF('Avoided Costs 2014-2023'!$A:$A,'2014 Actuals'!U26&amp;ROUNDDOWN('2014 Actuals'!T26,0),'Avoided Costs 2014-2023'!$K:$K)*O26</f>
        <v>0</v>
      </c>
      <c r="X26" s="19">
        <f>SUMIF('Avoided Costs 2014-2023'!$A:$A,'2014 Actuals'!U26&amp;ROUNDDOWN('2014 Actuals'!T26,0),'Avoided Costs 2014-2023'!$M:$M)*S26</f>
        <v>0</v>
      </c>
      <c r="Y26" s="19">
        <v>76371.952486169917</v>
      </c>
      <c r="Z26" s="19">
        <f>53600/D26</f>
        <v>6700</v>
      </c>
      <c r="AA26" s="40">
        <f t="shared" si="13"/>
        <v>42880</v>
      </c>
      <c r="AB26" s="19">
        <v>0</v>
      </c>
      <c r="AC26" s="19">
        <v>0</v>
      </c>
      <c r="AD26" s="40">
        <f t="shared" si="14"/>
        <v>0</v>
      </c>
      <c r="AE26" s="40">
        <v>42880</v>
      </c>
      <c r="AF26" s="40">
        <v>33491.952486169917</v>
      </c>
      <c r="AG26" s="38">
        <v>641620</v>
      </c>
      <c r="AH26" s="38">
        <v>802025</v>
      </c>
    </row>
    <row r="27" spans="1:34">
      <c r="A27" s="135" t="s">
        <v>117</v>
      </c>
      <c r="B27" s="9" t="s">
        <v>118</v>
      </c>
      <c r="D27" s="16">
        <v>5</v>
      </c>
      <c r="E27" s="16">
        <v>4</v>
      </c>
      <c r="F27" s="15">
        <f t="shared" si="15"/>
        <v>2434.6</v>
      </c>
      <c r="G27" s="39">
        <v>0.05</v>
      </c>
      <c r="H27" s="37">
        <v>0</v>
      </c>
      <c r="I27" s="16">
        <v>12173</v>
      </c>
      <c r="J27" s="16">
        <f t="shared" si="2"/>
        <v>12173</v>
      </c>
      <c r="K27" s="11">
        <f t="shared" si="9"/>
        <v>11564.35</v>
      </c>
      <c r="M27" s="11">
        <v>0</v>
      </c>
      <c r="N27" s="16">
        <f t="shared" si="3"/>
        <v>0</v>
      </c>
      <c r="O27" s="16">
        <f t="shared" si="10"/>
        <v>0</v>
      </c>
      <c r="Q27" s="11">
        <v>0</v>
      </c>
      <c r="R27" s="16">
        <f t="shared" si="4"/>
        <v>0</v>
      </c>
      <c r="S27" s="11">
        <f t="shared" si="11"/>
        <v>0</v>
      </c>
      <c r="T27" s="18">
        <v>14</v>
      </c>
      <c r="U27" s="10" t="s">
        <v>81</v>
      </c>
      <c r="V27" s="19">
        <f>SUMIF('Avoided Costs 2014-2023'!$A:$A,'2014 Actuals'!U27&amp;ROUNDDOWN('2014 Actuals'!T27,0),'Avoided Costs 2014-2023'!$E:$E)*K27</f>
        <v>25486.042682935589</v>
      </c>
      <c r="W27" s="19">
        <f>SUMIF('Avoided Costs 2014-2023'!$A:$A,'2014 Actuals'!U27&amp;ROUNDDOWN('2014 Actuals'!T27,0),'Avoided Costs 2014-2023'!$K:$K)*O27</f>
        <v>0</v>
      </c>
      <c r="X27" s="19">
        <f>SUMIF('Avoided Costs 2014-2023'!$A:$A,'2014 Actuals'!U27&amp;ROUNDDOWN('2014 Actuals'!T27,0),'Avoided Costs 2014-2023'!$M:$M)*S27</f>
        <v>0</v>
      </c>
      <c r="Y27" s="19">
        <f t="shared" si="12"/>
        <v>25486.042682935589</v>
      </c>
      <c r="Z27" s="19">
        <f>19422/D27</f>
        <v>3884.4</v>
      </c>
      <c r="AA27" s="40">
        <f t="shared" si="13"/>
        <v>18450.899999999998</v>
      </c>
      <c r="AB27" s="19">
        <v>0</v>
      </c>
      <c r="AC27" s="19">
        <v>0</v>
      </c>
      <c r="AD27" s="40">
        <f t="shared" si="14"/>
        <v>0</v>
      </c>
      <c r="AE27" s="40">
        <f t="shared" ref="AE27:AE38" si="16">AA27+AC27</f>
        <v>18450.899999999998</v>
      </c>
      <c r="AF27" s="40">
        <f t="shared" ref="AF27:AF38" si="17">Y27-AE27</f>
        <v>7035.1426829355914</v>
      </c>
      <c r="AG27" s="38">
        <f>K27*T27</f>
        <v>161900.9</v>
      </c>
      <c r="AH27" s="38">
        <f>(J27*T27)</f>
        <v>170422</v>
      </c>
    </row>
    <row r="28" spans="1:34">
      <c r="A28" s="135" t="s">
        <v>119</v>
      </c>
      <c r="B28" s="9" t="s">
        <v>120</v>
      </c>
      <c r="D28" s="16">
        <f>536-2</f>
        <v>534</v>
      </c>
      <c r="E28" s="16">
        <v>163</v>
      </c>
      <c r="F28" s="15">
        <f t="shared" si="15"/>
        <v>2655.9868913857676</v>
      </c>
      <c r="G28" s="39">
        <v>0.33</v>
      </c>
      <c r="H28" s="37">
        <v>0</v>
      </c>
      <c r="I28" s="16">
        <v>1418297</v>
      </c>
      <c r="J28" s="16">
        <v>1167161</v>
      </c>
      <c r="K28" s="11">
        <f t="shared" si="9"/>
        <v>781997.86999999988</v>
      </c>
      <c r="M28" s="11">
        <v>261677</v>
      </c>
      <c r="N28" s="16">
        <f t="shared" si="3"/>
        <v>261677</v>
      </c>
      <c r="O28" s="16">
        <f t="shared" si="10"/>
        <v>0</v>
      </c>
      <c r="Q28" s="11">
        <v>0</v>
      </c>
      <c r="R28" s="16">
        <f t="shared" si="4"/>
        <v>0</v>
      </c>
      <c r="S28" s="11">
        <f t="shared" si="11"/>
        <v>0</v>
      </c>
      <c r="T28" s="18">
        <v>20</v>
      </c>
      <c r="U28" s="10" t="s">
        <v>81</v>
      </c>
      <c r="V28" s="19">
        <f>SUMIF('Avoided Costs 2014-2023'!$A:$A,'2014 Actuals'!U28&amp;ROUNDDOWN('2014 Actuals'!T28,0),'Avoided Costs 2014-2023'!$E:$E)*K28</f>
        <v>2187140.8730173465</v>
      </c>
      <c r="W28" s="19">
        <f>SUMIF('Avoided Costs 2014-2023'!$A:$A,'2014 Actuals'!U28&amp;ROUNDDOWN('2014 Actuals'!T28,0),'Avoided Costs 2014-2023'!$K:$K)*O28</f>
        <v>0</v>
      </c>
      <c r="X28" s="19">
        <f>SUMIF('Avoided Costs 2014-2023'!$A:$A,'2014 Actuals'!U28&amp;ROUNDDOWN('2014 Actuals'!T28,0),'Avoided Costs 2014-2023'!$M:$M)*S28</f>
        <v>0</v>
      </c>
      <c r="Y28" s="19">
        <f t="shared" si="12"/>
        <v>2187140.8730173465</v>
      </c>
      <c r="Z28" s="19">
        <v>1642.5489965900897</v>
      </c>
      <c r="AA28" s="40">
        <f t="shared" si="13"/>
        <v>587671.18000000226</v>
      </c>
      <c r="AB28" s="19">
        <v>0</v>
      </c>
      <c r="AC28" s="19">
        <v>0</v>
      </c>
      <c r="AD28" s="40">
        <f t="shared" si="14"/>
        <v>0</v>
      </c>
      <c r="AE28" s="40">
        <f t="shared" si="16"/>
        <v>587671.18000000226</v>
      </c>
      <c r="AF28" s="40">
        <f t="shared" si="17"/>
        <v>1599469.6930173442</v>
      </c>
      <c r="AG28" s="38">
        <f>K28*T28</f>
        <v>15639957.399999999</v>
      </c>
      <c r="AH28" s="38">
        <f>(J28*T28)</f>
        <v>23343220</v>
      </c>
    </row>
    <row r="29" spans="1:34">
      <c r="A29" s="135" t="s">
        <v>121</v>
      </c>
      <c r="B29" s="9" t="s">
        <v>122</v>
      </c>
      <c r="D29" s="16">
        <f>E29</f>
        <v>1</v>
      </c>
      <c r="E29" s="16">
        <v>1</v>
      </c>
      <c r="F29" s="15">
        <v>12217</v>
      </c>
      <c r="G29" s="39">
        <v>0.12</v>
      </c>
      <c r="H29" s="37">
        <v>0</v>
      </c>
      <c r="I29" s="16">
        <f t="shared" ref="I29:I38" si="18">F29*D29</f>
        <v>12217</v>
      </c>
      <c r="J29" s="16">
        <f>I29</f>
        <v>12217</v>
      </c>
      <c r="K29" s="11">
        <f t="shared" si="9"/>
        <v>10750.960000000001</v>
      </c>
      <c r="L29" s="15">
        <v>0</v>
      </c>
      <c r="M29" s="11">
        <v>0</v>
      </c>
      <c r="N29" s="16">
        <v>0</v>
      </c>
      <c r="O29" s="16">
        <f t="shared" si="10"/>
        <v>0</v>
      </c>
      <c r="P29" s="17">
        <v>0</v>
      </c>
      <c r="Q29" s="11">
        <v>0</v>
      </c>
      <c r="R29" s="16">
        <v>0</v>
      </c>
      <c r="S29" s="11">
        <f t="shared" si="11"/>
        <v>0</v>
      </c>
      <c r="T29" s="18">
        <v>25</v>
      </c>
      <c r="U29" s="10" t="s">
        <v>81</v>
      </c>
      <c r="V29" s="19">
        <f>SUMIF('Avoided Costs 2014-2023'!$A:$A,'2014 Actuals'!U29&amp;ROUNDDOWN('2014 Actuals'!T29,0),'Avoided Costs 2014-2023'!$E:$E)*K29</f>
        <v>34148.09770545287</v>
      </c>
      <c r="W29" s="19">
        <f>SUMIF('Avoided Costs 2014-2023'!$A:$A,'2014 Actuals'!U29&amp;ROUNDDOWN('2014 Actuals'!T29,0),'Avoided Costs 2014-2023'!$K:$K)*O29</f>
        <v>0</v>
      </c>
      <c r="X29" s="19">
        <f>SUMIF('Avoided Costs 2014-2023'!$A:$A,'2014 Actuals'!U29&amp;ROUNDDOWN('2014 Actuals'!T29,0),'Avoided Costs 2014-2023'!$M:$M)*S29</f>
        <v>0</v>
      </c>
      <c r="Y29" s="19">
        <v>752946.40776782203</v>
      </c>
      <c r="Z29" s="19">
        <v>8646</v>
      </c>
      <c r="AA29" s="40">
        <f>(Z29*D29)*(1-G29)</f>
        <v>7608.4800000000005</v>
      </c>
      <c r="AB29" s="19">
        <v>0</v>
      </c>
      <c r="AC29" s="19">
        <v>0</v>
      </c>
      <c r="AD29" s="40">
        <v>0</v>
      </c>
      <c r="AE29" s="40">
        <f t="shared" si="16"/>
        <v>7608.4800000000005</v>
      </c>
      <c r="AF29" s="40">
        <f t="shared" si="17"/>
        <v>745337.92776782205</v>
      </c>
      <c r="AG29" s="38">
        <v>1088472</v>
      </c>
      <c r="AH29" s="38">
        <v>1236900</v>
      </c>
    </row>
    <row r="30" spans="1:34">
      <c r="A30" s="135" t="s">
        <v>123</v>
      </c>
      <c r="B30" s="9" t="s">
        <v>124</v>
      </c>
      <c r="D30" s="16">
        <f>E30</f>
        <v>18</v>
      </c>
      <c r="E30" s="16">
        <v>18</v>
      </c>
      <c r="F30" s="15">
        <v>49476</v>
      </c>
      <c r="G30" s="39">
        <v>0.12</v>
      </c>
      <c r="H30" s="37">
        <v>0</v>
      </c>
      <c r="I30" s="16">
        <f t="shared" si="18"/>
        <v>890568</v>
      </c>
      <c r="J30" s="16">
        <f>I30</f>
        <v>890568</v>
      </c>
      <c r="K30" s="11">
        <f t="shared" si="9"/>
        <v>783699.84</v>
      </c>
      <c r="L30" s="15">
        <v>0</v>
      </c>
      <c r="M30" s="11">
        <v>0</v>
      </c>
      <c r="N30" s="16">
        <v>0</v>
      </c>
      <c r="O30" s="16">
        <f t="shared" si="10"/>
        <v>0</v>
      </c>
      <c r="P30" s="17">
        <v>0</v>
      </c>
      <c r="Q30" s="11">
        <v>0</v>
      </c>
      <c r="R30" s="16">
        <v>0</v>
      </c>
      <c r="S30" s="11">
        <f t="shared" si="11"/>
        <v>0</v>
      </c>
      <c r="T30" s="18">
        <v>25</v>
      </c>
      <c r="U30" s="10" t="s">
        <v>81</v>
      </c>
      <c r="V30" s="19">
        <f>SUMIF('Avoided Costs 2014-2023'!$A:$A,'2014 Actuals'!U30&amp;ROUNDDOWN('2014 Actuals'!T30,0),'Avoided Costs 2014-2023'!$E:$E)*K30</f>
        <v>2489252.9325816282</v>
      </c>
      <c r="W30" s="19">
        <f>SUMIF('Avoided Costs 2014-2023'!$A:$A,'2014 Actuals'!U30&amp;ROUNDDOWN('2014 Actuals'!T30,0),'Avoided Costs 2014-2023'!$K:$K)*O30</f>
        <v>0</v>
      </c>
      <c r="X30" s="19">
        <f>SUMIF('Avoided Costs 2014-2023'!$A:$A,'2014 Actuals'!U30&amp;ROUNDDOWN('2014 Actuals'!T30,0),'Avoided Costs 2014-2023'!$M:$M)*S30</f>
        <v>0</v>
      </c>
      <c r="Y30" s="19">
        <v>752946.40776782203</v>
      </c>
      <c r="Z30" s="19">
        <v>14470</v>
      </c>
      <c r="AA30" s="40">
        <f>(Z30*D30)*(1-G30)</f>
        <v>229204.8</v>
      </c>
      <c r="AB30" s="19">
        <v>0</v>
      </c>
      <c r="AC30" s="19">
        <v>0</v>
      </c>
      <c r="AD30" s="40">
        <f t="shared" si="14"/>
        <v>0</v>
      </c>
      <c r="AE30" s="40">
        <f t="shared" si="16"/>
        <v>229204.8</v>
      </c>
      <c r="AF30" s="40">
        <f t="shared" si="17"/>
        <v>523741.60776782205</v>
      </c>
      <c r="AG30" s="38">
        <f>5926316-AG29</f>
        <v>4837844</v>
      </c>
      <c r="AH30" s="38">
        <f>6734450-AH29</f>
        <v>5497550</v>
      </c>
    </row>
    <row r="31" spans="1:34">
      <c r="A31" s="135" t="s">
        <v>125</v>
      </c>
      <c r="B31" s="9" t="s">
        <v>126</v>
      </c>
      <c r="D31" s="16">
        <v>72</v>
      </c>
      <c r="E31" s="16">
        <v>59</v>
      </c>
      <c r="F31" s="15">
        <v>142</v>
      </c>
      <c r="G31" s="39">
        <v>0.4</v>
      </c>
      <c r="H31" s="37">
        <v>0</v>
      </c>
      <c r="I31" s="16">
        <f t="shared" si="18"/>
        <v>10224</v>
      </c>
      <c r="J31" s="16">
        <f>I31</f>
        <v>10224</v>
      </c>
      <c r="K31" s="11">
        <f>J31*(1-G31)*(1-H31)</f>
        <v>6134.4</v>
      </c>
      <c r="L31" s="15">
        <v>1790</v>
      </c>
      <c r="M31" s="11">
        <f t="shared" ref="M31:M38" si="19">L31*D31</f>
        <v>128880</v>
      </c>
      <c r="N31" s="16">
        <f>M31</f>
        <v>128880</v>
      </c>
      <c r="O31" s="16">
        <f>(L31*D31)*(1-G31)*(1-H31)</f>
        <v>77328</v>
      </c>
      <c r="P31" s="17">
        <v>20.370999999999999</v>
      </c>
      <c r="Q31" s="11">
        <f t="shared" ref="Q31:Q38" si="20">P31*D31</f>
        <v>1466.712</v>
      </c>
      <c r="R31" s="16">
        <f t="shared" si="4"/>
        <v>1466.712</v>
      </c>
      <c r="S31" s="11">
        <f>(P31*D31)*(1-G31)*(1-H31)</f>
        <v>880.02719999999999</v>
      </c>
      <c r="T31" s="18">
        <v>10</v>
      </c>
      <c r="U31" s="10" t="s">
        <v>94</v>
      </c>
      <c r="V31" s="19">
        <f>SUMIF('Avoided Costs 2014-2023'!$A:$A,'2014 Actuals'!U31&amp;ROUNDDOWN('2014 Actuals'!T31,0),'Avoided Costs 2014-2023'!$E:$E)*K31</f>
        <v>9775.0429254949559</v>
      </c>
      <c r="W31" s="19">
        <f>SUMIF('Avoided Costs 2014-2023'!$A:$A,'2014 Actuals'!U31&amp;ROUNDDOWN('2014 Actuals'!T31,0),'Avoided Costs 2014-2023'!$K:$K)*O31</f>
        <v>67894.888759362511</v>
      </c>
      <c r="X31" s="19">
        <f>SUMIF('Avoided Costs 2014-2023'!$A:$A,'2014 Actuals'!U31&amp;ROUNDDOWN('2014 Actuals'!T31,0),'Avoided Costs 2014-2023'!$M:$M)*S31</f>
        <v>18615.923468012035</v>
      </c>
      <c r="Y31" s="19">
        <f t="shared" ref="Y31:Y38" si="21">SUM(V31:X31)</f>
        <v>96285.85515286951</v>
      </c>
      <c r="Z31" s="19">
        <v>120</v>
      </c>
      <c r="AA31" s="40">
        <f>(Z31*D31)*(1-G31)</f>
        <v>5184</v>
      </c>
      <c r="AB31" s="19">
        <v>0</v>
      </c>
      <c r="AC31" s="19">
        <v>0</v>
      </c>
      <c r="AD31" s="40">
        <f t="shared" si="14"/>
        <v>0</v>
      </c>
      <c r="AE31" s="40">
        <f t="shared" si="16"/>
        <v>5184</v>
      </c>
      <c r="AF31" s="40">
        <f t="shared" si="17"/>
        <v>91101.85515286951</v>
      </c>
      <c r="AG31" s="38">
        <f t="shared" ref="AG31:AG38" si="22">K31*T31</f>
        <v>61344</v>
      </c>
      <c r="AH31" s="38">
        <f t="shared" ref="AH31:AH38" si="23">(J31*T31)</f>
        <v>102240</v>
      </c>
    </row>
    <row r="32" spans="1:34">
      <c r="A32" s="135" t="s">
        <v>127</v>
      </c>
      <c r="B32" s="9" t="s">
        <v>128</v>
      </c>
      <c r="D32" s="16">
        <v>6</v>
      </c>
      <c r="E32" s="16">
        <v>6</v>
      </c>
      <c r="F32" s="15">
        <v>2124</v>
      </c>
      <c r="G32" s="39">
        <v>0.27</v>
      </c>
      <c r="H32" s="37">
        <v>0</v>
      </c>
      <c r="I32" s="16">
        <f t="shared" si="18"/>
        <v>12744</v>
      </c>
      <c r="J32" s="16">
        <f t="shared" si="2"/>
        <v>12744</v>
      </c>
      <c r="K32" s="11">
        <f t="shared" si="9"/>
        <v>9303.119999999999</v>
      </c>
      <c r="L32" s="15">
        <v>9668</v>
      </c>
      <c r="M32" s="11">
        <f t="shared" si="19"/>
        <v>58008</v>
      </c>
      <c r="N32" s="16">
        <f t="shared" si="3"/>
        <v>58008</v>
      </c>
      <c r="O32" s="16">
        <f t="shared" si="10"/>
        <v>42345.84</v>
      </c>
      <c r="P32" s="17">
        <v>304.67700000000002</v>
      </c>
      <c r="Q32" s="11">
        <f t="shared" si="20"/>
        <v>1828.0620000000001</v>
      </c>
      <c r="R32" s="16">
        <f t="shared" si="4"/>
        <v>1828.0620000000001</v>
      </c>
      <c r="S32" s="11">
        <f t="shared" si="11"/>
        <v>1334.4852600000002</v>
      </c>
      <c r="T32" s="18">
        <v>20</v>
      </c>
      <c r="U32" s="10" t="s">
        <v>94</v>
      </c>
      <c r="V32" s="19">
        <f>SUMIF('Avoided Costs 2014-2023'!$A:$A,'2014 Actuals'!U32&amp;ROUNDDOWN('2014 Actuals'!T32,0),'Avoided Costs 2014-2023'!$E:$E)*K32</f>
        <v>24372.938611923055</v>
      </c>
      <c r="W32" s="19">
        <f>SUMIF('Avoided Costs 2014-2023'!$A:$A,'2014 Actuals'!U32&amp;ROUNDDOWN('2014 Actuals'!T32,0),'Avoided Costs 2014-2023'!$K:$K)*O32</f>
        <v>60220.322166539292</v>
      </c>
      <c r="X32" s="19">
        <f>SUMIF('Avoided Costs 2014-2023'!$A:$A,'2014 Actuals'!U32&amp;ROUNDDOWN('2014 Actuals'!T32,0),'Avoided Costs 2014-2023'!$M:$M)*S32</f>
        <v>45722.954903739366</v>
      </c>
      <c r="Y32" s="19">
        <f t="shared" si="21"/>
        <v>130316.2156822017</v>
      </c>
      <c r="Z32" s="19">
        <v>970</v>
      </c>
      <c r="AA32" s="40">
        <f t="shared" si="13"/>
        <v>4248.5999999999995</v>
      </c>
      <c r="AB32" s="19">
        <v>0</v>
      </c>
      <c r="AC32" s="19">
        <v>0</v>
      </c>
      <c r="AD32" s="40">
        <f t="shared" si="14"/>
        <v>0</v>
      </c>
      <c r="AE32" s="40">
        <f t="shared" si="16"/>
        <v>4248.5999999999995</v>
      </c>
      <c r="AF32" s="40">
        <f t="shared" si="17"/>
        <v>126067.61568220169</v>
      </c>
      <c r="AG32" s="38">
        <f t="shared" si="22"/>
        <v>186062.39999999997</v>
      </c>
      <c r="AH32" s="38">
        <f t="shared" si="23"/>
        <v>254880</v>
      </c>
    </row>
    <row r="33" spans="1:34">
      <c r="A33" s="135" t="s">
        <v>129</v>
      </c>
      <c r="B33" s="9" t="s">
        <v>130</v>
      </c>
      <c r="D33" s="16">
        <f>3+178</f>
        <v>181</v>
      </c>
      <c r="E33" s="16">
        <v>52</v>
      </c>
      <c r="F33" s="15">
        <v>1408</v>
      </c>
      <c r="G33" s="39">
        <v>0.2</v>
      </c>
      <c r="H33" s="37">
        <v>0</v>
      </c>
      <c r="I33" s="16">
        <f t="shared" si="18"/>
        <v>254848</v>
      </c>
      <c r="J33" s="16">
        <f t="shared" si="2"/>
        <v>254848</v>
      </c>
      <c r="K33" s="11">
        <f t="shared" si="9"/>
        <v>203878.40000000002</v>
      </c>
      <c r="L33" s="15">
        <v>0</v>
      </c>
      <c r="M33" s="11">
        <f t="shared" si="19"/>
        <v>0</v>
      </c>
      <c r="N33" s="16">
        <f t="shared" si="3"/>
        <v>0</v>
      </c>
      <c r="O33" s="16">
        <f t="shared" si="10"/>
        <v>0</v>
      </c>
      <c r="P33" s="16">
        <v>0</v>
      </c>
      <c r="Q33" s="11">
        <f t="shared" si="20"/>
        <v>0</v>
      </c>
      <c r="R33" s="16">
        <f t="shared" si="4"/>
        <v>0</v>
      </c>
      <c r="S33" s="11">
        <f t="shared" si="11"/>
        <v>0</v>
      </c>
      <c r="T33" s="18">
        <v>12</v>
      </c>
      <c r="U33" s="10" t="s">
        <v>81</v>
      </c>
      <c r="V33" s="19">
        <f>SUMIF('Avoided Costs 2014-2023'!$A:$A,'2014 Actuals'!U33&amp;ROUNDDOWN('2014 Actuals'!T33,0),'Avoided Costs 2014-2023'!$E:$E)*K33</f>
        <v>400661.62891095615</v>
      </c>
      <c r="W33" s="19">
        <f>SUMIF('Avoided Costs 2014-2023'!$A:$A,'2014 Actuals'!U33&amp;ROUNDDOWN('2014 Actuals'!T33,0),'Avoided Costs 2014-2023'!$K:$K)*O33</f>
        <v>0</v>
      </c>
      <c r="X33" s="19">
        <f>SUMIF('Avoided Costs 2014-2023'!$A:$A,'2014 Actuals'!U33&amp;ROUNDDOWN('2014 Actuals'!T33,0),'Avoided Costs 2014-2023'!$M:$M)*S33</f>
        <v>0</v>
      </c>
      <c r="Y33" s="19">
        <f t="shared" si="21"/>
        <v>400661.62891095615</v>
      </c>
      <c r="Z33" s="19">
        <v>3405</v>
      </c>
      <c r="AA33" s="40">
        <f>(Z33*D33)*(1-G33)</f>
        <v>493044</v>
      </c>
      <c r="AB33" s="19">
        <v>0</v>
      </c>
      <c r="AC33" s="19">
        <v>0</v>
      </c>
      <c r="AD33" s="40">
        <f t="shared" si="14"/>
        <v>0</v>
      </c>
      <c r="AE33" s="40">
        <f t="shared" si="16"/>
        <v>493044</v>
      </c>
      <c r="AF33" s="40">
        <f t="shared" si="17"/>
        <v>-92382.371089043852</v>
      </c>
      <c r="AG33" s="38">
        <f t="shared" si="22"/>
        <v>2446540.8000000003</v>
      </c>
      <c r="AH33" s="38">
        <f t="shared" si="23"/>
        <v>3058176</v>
      </c>
    </row>
    <row r="34" spans="1:34">
      <c r="A34" s="135" t="s">
        <v>131</v>
      </c>
      <c r="B34" s="9" t="s">
        <v>132</v>
      </c>
      <c r="D34" s="16">
        <v>105</v>
      </c>
      <c r="E34" s="16">
        <v>82</v>
      </c>
      <c r="F34" s="15">
        <v>922</v>
      </c>
      <c r="G34" s="39">
        <v>0.2</v>
      </c>
      <c r="H34" s="37">
        <v>0</v>
      </c>
      <c r="I34" s="16">
        <f t="shared" si="18"/>
        <v>96810</v>
      </c>
      <c r="J34" s="16">
        <f>I34</f>
        <v>96810</v>
      </c>
      <c r="K34" s="11">
        <f t="shared" si="9"/>
        <v>77448</v>
      </c>
      <c r="L34" s="15">
        <v>4167</v>
      </c>
      <c r="M34" s="11">
        <f t="shared" si="19"/>
        <v>437535</v>
      </c>
      <c r="N34" s="16">
        <f>M34</f>
        <v>437535</v>
      </c>
      <c r="O34" s="16">
        <f>(L34*D34)*(1-G34)*(1-H34)</f>
        <v>350028</v>
      </c>
      <c r="P34" s="17">
        <v>132.26300000000001</v>
      </c>
      <c r="Q34" s="11">
        <f t="shared" si="20"/>
        <v>13887.615</v>
      </c>
      <c r="R34" s="16">
        <f>Q34</f>
        <v>13887.615</v>
      </c>
      <c r="S34" s="11">
        <f>(P34*D34)*(1-G34)*(1-H34)</f>
        <v>11110.092000000001</v>
      </c>
      <c r="T34" s="18">
        <v>15</v>
      </c>
      <c r="U34" s="10" t="s">
        <v>94</v>
      </c>
      <c r="V34" s="19">
        <f>SUMIF('Avoided Costs 2014-2023'!$A:$A,'2014 Actuals'!U34&amp;ROUNDDOWN('2014 Actuals'!T34,0),'Avoided Costs 2014-2023'!$E:$E)*K34</f>
        <v>167890.28376277292</v>
      </c>
      <c r="W34" s="19">
        <f>SUMIF('Avoided Costs 2014-2023'!$A:$A,'2014 Actuals'!U34&amp;ROUNDDOWN('2014 Actuals'!T34,0),'Avoided Costs 2014-2023'!$K:$K)*O34</f>
        <v>413901.23640395218</v>
      </c>
      <c r="X34" s="19">
        <f>SUMIF('Avoided Costs 2014-2023'!$A:$A,'2014 Actuals'!U34&amp;ROUNDDOWN('2014 Actuals'!T34,0),'Avoided Costs 2014-2023'!$M:$M)*S34</f>
        <v>316518.99522531993</v>
      </c>
      <c r="Y34" s="19">
        <f t="shared" si="21"/>
        <v>898310.51539204502</v>
      </c>
      <c r="Z34" s="19">
        <v>770</v>
      </c>
      <c r="AA34" s="40">
        <f t="shared" si="13"/>
        <v>64680</v>
      </c>
      <c r="AB34" s="19">
        <v>0</v>
      </c>
      <c r="AC34" s="19">
        <v>0</v>
      </c>
      <c r="AD34" s="40">
        <f t="shared" si="14"/>
        <v>0</v>
      </c>
      <c r="AE34" s="40">
        <f t="shared" si="16"/>
        <v>64680</v>
      </c>
      <c r="AF34" s="40">
        <f t="shared" si="17"/>
        <v>833630.51539204502</v>
      </c>
      <c r="AG34" s="38">
        <f t="shared" si="22"/>
        <v>1161720</v>
      </c>
      <c r="AH34" s="38">
        <f t="shared" si="23"/>
        <v>1452150</v>
      </c>
    </row>
    <row r="35" spans="1:34">
      <c r="A35" s="135" t="s">
        <v>133</v>
      </c>
      <c r="B35" s="9" t="s">
        <v>134</v>
      </c>
      <c r="D35" s="16">
        <v>194</v>
      </c>
      <c r="E35" s="16">
        <v>151</v>
      </c>
      <c r="F35" s="15">
        <v>2120</v>
      </c>
      <c r="G35" s="39">
        <v>0.2</v>
      </c>
      <c r="H35" s="37">
        <v>0</v>
      </c>
      <c r="I35" s="16">
        <f t="shared" si="18"/>
        <v>411280</v>
      </c>
      <c r="J35" s="16">
        <f>I35</f>
        <v>411280</v>
      </c>
      <c r="K35" s="11">
        <f t="shared" si="9"/>
        <v>329024</v>
      </c>
      <c r="L35" s="15">
        <v>0</v>
      </c>
      <c r="M35" s="11">
        <f t="shared" si="19"/>
        <v>0</v>
      </c>
      <c r="N35" s="16">
        <f t="shared" si="3"/>
        <v>0</v>
      </c>
      <c r="O35" s="16">
        <f t="shared" si="10"/>
        <v>0</v>
      </c>
      <c r="P35" s="17">
        <v>304.20499999999998</v>
      </c>
      <c r="Q35" s="11">
        <f t="shared" si="20"/>
        <v>59015.77</v>
      </c>
      <c r="R35" s="16">
        <f>Q35</f>
        <v>59015.77</v>
      </c>
      <c r="S35" s="11">
        <f>(P35*D35)*(1-G35)*(1-H35)</f>
        <v>47212.616000000002</v>
      </c>
      <c r="T35" s="18">
        <v>15</v>
      </c>
      <c r="U35" s="10" t="s">
        <v>94</v>
      </c>
      <c r="V35" s="19">
        <f>SUMIF('Avoided Costs 2014-2023'!$A:$A,'2014 Actuals'!U35&amp;ROUNDDOWN('2014 Actuals'!T35,0),'Avoided Costs 2014-2023'!$E:$E)*K35</f>
        <v>713251.89449388743</v>
      </c>
      <c r="W35" s="19">
        <f>SUMIF('Avoided Costs 2014-2023'!$A:$A,'2014 Actuals'!U35&amp;ROUNDDOWN('2014 Actuals'!T35,0),'Avoided Costs 2014-2023'!$K:$K)*O35</f>
        <v>0</v>
      </c>
      <c r="X35" s="19">
        <f>SUMIF('Avoided Costs 2014-2023'!$A:$A,'2014 Actuals'!U35&amp;ROUNDDOWN('2014 Actuals'!T35,0),'Avoided Costs 2014-2023'!$M:$M)*S35</f>
        <v>1345055.448530837</v>
      </c>
      <c r="Y35" s="19">
        <f t="shared" si="21"/>
        <v>2058307.3430247244</v>
      </c>
      <c r="Z35" s="19">
        <v>0</v>
      </c>
      <c r="AA35" s="40">
        <f t="shared" si="13"/>
        <v>0</v>
      </c>
      <c r="AB35" s="19">
        <v>0</v>
      </c>
      <c r="AC35" s="19">
        <v>0</v>
      </c>
      <c r="AD35" s="40">
        <f t="shared" si="14"/>
        <v>0</v>
      </c>
      <c r="AE35" s="40">
        <f t="shared" si="16"/>
        <v>0</v>
      </c>
      <c r="AF35" s="40">
        <f t="shared" si="17"/>
        <v>2058307.3430247244</v>
      </c>
      <c r="AG35" s="38">
        <f t="shared" si="22"/>
        <v>4935360</v>
      </c>
      <c r="AH35" s="38">
        <f t="shared" si="23"/>
        <v>6169200</v>
      </c>
    </row>
    <row r="36" spans="1:34">
      <c r="A36" s="135" t="s">
        <v>135</v>
      </c>
      <c r="B36" s="9" t="s">
        <v>136</v>
      </c>
      <c r="D36" s="16">
        <v>22</v>
      </c>
      <c r="E36" s="16">
        <v>22</v>
      </c>
      <c r="F36" s="15">
        <v>560</v>
      </c>
      <c r="G36" s="39">
        <v>0.27</v>
      </c>
      <c r="H36" s="37">
        <v>0</v>
      </c>
      <c r="I36" s="16">
        <f t="shared" si="18"/>
        <v>12320</v>
      </c>
      <c r="J36" s="16">
        <f>I36</f>
        <v>12320</v>
      </c>
      <c r="K36" s="11">
        <f t="shared" si="9"/>
        <v>8993.6</v>
      </c>
      <c r="L36" s="15">
        <v>4247</v>
      </c>
      <c r="M36" s="11">
        <f t="shared" si="19"/>
        <v>93434</v>
      </c>
      <c r="N36" s="16">
        <f>M36</f>
        <v>93434</v>
      </c>
      <c r="O36" s="16">
        <f>(L36*D36)*(1-G36)*(1-H36)</f>
        <v>68206.819999999992</v>
      </c>
      <c r="P36" s="17">
        <v>80.302999999999997</v>
      </c>
      <c r="Q36" s="11">
        <f t="shared" si="20"/>
        <v>1766.6659999999999</v>
      </c>
      <c r="R36" s="16">
        <f>Q36</f>
        <v>1766.6659999999999</v>
      </c>
      <c r="S36" s="11">
        <f>(P36*D36)*(1-G36)*(1-H36)</f>
        <v>1289.6661799999999</v>
      </c>
      <c r="T36" s="18">
        <v>20</v>
      </c>
      <c r="U36" s="10" t="s">
        <v>94</v>
      </c>
      <c r="V36" s="19">
        <f>SUMIF('Avoided Costs 2014-2023'!$A:$A,'2014 Actuals'!U36&amp;ROUNDDOWN('2014 Actuals'!T36,0),'Avoided Costs 2014-2023'!$E:$E)*K36</f>
        <v>23562.037327282804</v>
      </c>
      <c r="W36" s="19">
        <f>SUMIF('Avoided Costs 2014-2023'!$A:$A,'2014 Actuals'!U36&amp;ROUNDDOWN('2014 Actuals'!T36,0),'Avoided Costs 2014-2023'!$K:$K)*O36</f>
        <v>96997.406931947873</v>
      </c>
      <c r="X36" s="19">
        <f>SUMIF('Avoided Costs 2014-2023'!$A:$A,'2014 Actuals'!U36&amp;ROUNDDOWN('2014 Actuals'!T36,0),'Avoided Costs 2014-2023'!$M:$M)*S36</f>
        <v>44187.336013750959</v>
      </c>
      <c r="Y36" s="19">
        <f t="shared" si="21"/>
        <v>164746.78027298162</v>
      </c>
      <c r="Z36" s="19">
        <v>2050</v>
      </c>
      <c r="AA36" s="40">
        <f t="shared" si="13"/>
        <v>32923</v>
      </c>
      <c r="AB36" s="19">
        <v>0</v>
      </c>
      <c r="AC36" s="19">
        <v>0</v>
      </c>
      <c r="AD36" s="40">
        <f t="shared" si="14"/>
        <v>0</v>
      </c>
      <c r="AE36" s="40">
        <f t="shared" si="16"/>
        <v>32923</v>
      </c>
      <c r="AF36" s="40">
        <f t="shared" si="17"/>
        <v>131823.78027298162</v>
      </c>
      <c r="AG36" s="38">
        <f t="shared" si="22"/>
        <v>179872</v>
      </c>
      <c r="AH36" s="38">
        <f t="shared" si="23"/>
        <v>246400</v>
      </c>
    </row>
    <row r="37" spans="1:34">
      <c r="A37" s="135" t="s">
        <v>137</v>
      </c>
      <c r="B37" s="9" t="s">
        <v>138</v>
      </c>
      <c r="D37" s="16">
        <v>3</v>
      </c>
      <c r="E37" s="16">
        <v>3</v>
      </c>
      <c r="F37" s="15">
        <v>865</v>
      </c>
      <c r="G37" s="39">
        <v>0.2</v>
      </c>
      <c r="H37" s="37">
        <v>0</v>
      </c>
      <c r="I37" s="16">
        <f t="shared" si="18"/>
        <v>2595</v>
      </c>
      <c r="J37" s="16">
        <f t="shared" si="2"/>
        <v>2595</v>
      </c>
      <c r="K37" s="11">
        <f t="shared" si="9"/>
        <v>2076</v>
      </c>
      <c r="L37" s="15">
        <v>0</v>
      </c>
      <c r="M37" s="11">
        <f t="shared" si="19"/>
        <v>0</v>
      </c>
      <c r="N37" s="16">
        <f t="shared" si="3"/>
        <v>0</v>
      </c>
      <c r="O37" s="16">
        <f t="shared" si="10"/>
        <v>0</v>
      </c>
      <c r="P37" s="17">
        <v>0</v>
      </c>
      <c r="Q37" s="11">
        <f t="shared" si="20"/>
        <v>0</v>
      </c>
      <c r="R37" s="16">
        <f t="shared" si="4"/>
        <v>0</v>
      </c>
      <c r="S37" s="11">
        <f t="shared" si="11"/>
        <v>0</v>
      </c>
      <c r="T37" s="18">
        <v>12</v>
      </c>
      <c r="U37" s="10" t="s">
        <v>81</v>
      </c>
      <c r="V37" s="19">
        <f>SUMIF('Avoided Costs 2014-2023'!$A:$A,'2014 Actuals'!U37&amp;ROUNDDOWN('2014 Actuals'!T37,0),'Avoided Costs 2014-2023'!$E:$E)*K37</f>
        <v>4079.7531352960632</v>
      </c>
      <c r="W37" s="19">
        <f>SUMIF('Avoided Costs 2014-2023'!$A:$A,'2014 Actuals'!U37&amp;ROUNDDOWN('2014 Actuals'!T37,0),'Avoided Costs 2014-2023'!$K:$K)*O37</f>
        <v>0</v>
      </c>
      <c r="X37" s="19">
        <f>SUMIF('Avoided Costs 2014-2023'!$A:$A,'2014 Actuals'!U37&amp;ROUNDDOWN('2014 Actuals'!T37,0),'Avoided Costs 2014-2023'!$M:$M)*S37</f>
        <v>0</v>
      </c>
      <c r="Y37" s="19">
        <f t="shared" si="21"/>
        <v>4079.7531352960632</v>
      </c>
      <c r="Z37" s="19">
        <f>875</f>
        <v>875</v>
      </c>
      <c r="AA37" s="40">
        <f t="shared" si="13"/>
        <v>2100</v>
      </c>
      <c r="AB37" s="19">
        <v>0</v>
      </c>
      <c r="AC37" s="19">
        <v>0</v>
      </c>
      <c r="AD37" s="40">
        <f t="shared" si="14"/>
        <v>0</v>
      </c>
      <c r="AE37" s="40">
        <f t="shared" si="16"/>
        <v>2100</v>
      </c>
      <c r="AF37" s="40">
        <f t="shared" si="17"/>
        <v>1979.7531352960632</v>
      </c>
      <c r="AG37" s="38">
        <f t="shared" si="22"/>
        <v>24912</v>
      </c>
      <c r="AH37" s="38">
        <f t="shared" si="23"/>
        <v>31140</v>
      </c>
    </row>
    <row r="38" spans="1:34">
      <c r="A38" s="135" t="s">
        <v>139</v>
      </c>
      <c r="B38" s="9" t="s">
        <v>140</v>
      </c>
      <c r="D38" s="16">
        <v>1</v>
      </c>
      <c r="E38" s="16">
        <v>1</v>
      </c>
      <c r="F38" s="15">
        <v>8889</v>
      </c>
      <c r="G38" s="39">
        <v>0.2</v>
      </c>
      <c r="H38" s="37">
        <v>0</v>
      </c>
      <c r="I38" s="16">
        <f t="shared" si="18"/>
        <v>8889</v>
      </c>
      <c r="J38" s="16">
        <f t="shared" si="2"/>
        <v>8889</v>
      </c>
      <c r="K38" s="11">
        <f t="shared" si="9"/>
        <v>7111.2000000000007</v>
      </c>
      <c r="L38" s="15">
        <v>0</v>
      </c>
      <c r="M38" s="11">
        <f t="shared" si="19"/>
        <v>0</v>
      </c>
      <c r="N38" s="16">
        <f t="shared" si="3"/>
        <v>0</v>
      </c>
      <c r="O38" s="16">
        <f t="shared" si="10"/>
        <v>0</v>
      </c>
      <c r="P38" s="17">
        <v>340.142</v>
      </c>
      <c r="Q38" s="11">
        <f t="shared" si="20"/>
        <v>340.142</v>
      </c>
      <c r="R38" s="16">
        <f t="shared" si="4"/>
        <v>340.142</v>
      </c>
      <c r="S38" s="11">
        <f t="shared" si="11"/>
        <v>272.11360000000002</v>
      </c>
      <c r="T38" s="18">
        <v>12</v>
      </c>
      <c r="U38" s="10" t="s">
        <v>81</v>
      </c>
      <c r="V38" s="19">
        <f>SUMIF('Avoided Costs 2014-2023'!$A:$A,'2014 Actuals'!U38&amp;ROUNDDOWN('2014 Actuals'!T38,0),'Avoided Costs 2014-2023'!$E:$E)*K38</f>
        <v>13974.923167493915</v>
      </c>
      <c r="W38" s="19">
        <f>SUMIF('Avoided Costs 2014-2023'!$A:$A,'2014 Actuals'!U38&amp;ROUNDDOWN('2014 Actuals'!T38,0),'Avoided Costs 2014-2023'!$K:$K)*O38</f>
        <v>0</v>
      </c>
      <c r="X38" s="19">
        <f>SUMIF('Avoided Costs 2014-2023'!$A:$A,'2014 Actuals'!U38&amp;ROUNDDOWN('2014 Actuals'!T38,0),'Avoided Costs 2014-2023'!$M:$M)*S38</f>
        <v>6612.4620036457436</v>
      </c>
      <c r="Y38" s="19">
        <f t="shared" si="21"/>
        <v>20587.385171139656</v>
      </c>
      <c r="Z38" s="19">
        <v>1035</v>
      </c>
      <c r="AA38" s="40">
        <f t="shared" si="13"/>
        <v>828</v>
      </c>
      <c r="AB38" s="19">
        <v>0</v>
      </c>
      <c r="AC38" s="19">
        <v>0</v>
      </c>
      <c r="AD38" s="40">
        <f t="shared" si="14"/>
        <v>0</v>
      </c>
      <c r="AE38" s="40">
        <f t="shared" si="16"/>
        <v>828</v>
      </c>
      <c r="AF38" s="40">
        <f t="shared" si="17"/>
        <v>19759.385171139656</v>
      </c>
      <c r="AG38" s="38">
        <f t="shared" si="22"/>
        <v>85334.400000000009</v>
      </c>
      <c r="AH38" s="38">
        <f t="shared" si="23"/>
        <v>106668</v>
      </c>
    </row>
    <row r="39" spans="1:34">
      <c r="A39" s="202" t="s">
        <v>141</v>
      </c>
      <c r="B39" s="202"/>
      <c r="C39" s="121"/>
      <c r="D39" s="207">
        <f>SUM(D10:D38)</f>
        <v>1401</v>
      </c>
      <c r="E39" s="207">
        <f>SUM(E10:E38)</f>
        <v>759</v>
      </c>
      <c r="F39" s="116"/>
      <c r="G39" s="117"/>
      <c r="H39" s="118"/>
      <c r="I39" s="203">
        <f>SUM(I10:I38)</f>
        <v>5551604</v>
      </c>
      <c r="J39" s="203">
        <f>SUM(J10:J38)</f>
        <v>5371828</v>
      </c>
      <c r="K39" s="203">
        <f>SUM(K10:K38)</f>
        <v>4494942.3199999994</v>
      </c>
      <c r="L39" s="116"/>
      <c r="M39" s="203">
        <f>SUM(M10:M38)</f>
        <v>2908773</v>
      </c>
      <c r="N39" s="203">
        <f>SUM(N10:N38)</f>
        <v>2908773</v>
      </c>
      <c r="O39" s="203">
        <f>SUM(O10:O38)</f>
        <v>2348473.7599999998</v>
      </c>
      <c r="P39" s="119"/>
      <c r="Q39" s="203">
        <f>SUM(Q10:Q38)</f>
        <v>100702.967</v>
      </c>
      <c r="R39" s="203">
        <f>SUM(R10:R38)</f>
        <v>100702.967</v>
      </c>
      <c r="S39" s="203">
        <f>SUM(S10:S38)</f>
        <v>82705.160240000012</v>
      </c>
      <c r="T39" s="120"/>
      <c r="U39" s="121"/>
      <c r="V39" s="204">
        <f t="shared" ref="V39:Z39" si="24">SUM(V10:V38)</f>
        <v>11696870.025639253</v>
      </c>
      <c r="W39" s="204">
        <f t="shared" si="24"/>
        <v>2779971.5304472651</v>
      </c>
      <c r="X39" s="204">
        <f t="shared" si="24"/>
        <v>2363768.6601581313</v>
      </c>
      <c r="Y39" s="204">
        <f t="shared" si="24"/>
        <v>15823102.00149321</v>
      </c>
      <c r="Z39" s="204">
        <f t="shared" si="24"/>
        <v>173155.72846692367</v>
      </c>
      <c r="AA39" s="204">
        <f>SUM(AA10:AA38)</f>
        <v>3684114.4320000019</v>
      </c>
      <c r="AB39" s="204">
        <f>SUM(AB10:AB38)</f>
        <v>0</v>
      </c>
      <c r="AC39" s="205">
        <f>SUM(AC10:AC38)</f>
        <v>0</v>
      </c>
      <c r="AD39" s="204">
        <f>AB39+AC39</f>
        <v>0</v>
      </c>
      <c r="AE39" s="205">
        <f>SUM(AE10:AE38)</f>
        <v>3679614.4320000019</v>
      </c>
      <c r="AF39" s="205">
        <f>SUM(AF10:AF38)</f>
        <v>12143487.569493208</v>
      </c>
      <c r="AG39" s="206">
        <f>SUM(AG10:AG38)</f>
        <v>69932440.25</v>
      </c>
      <c r="AH39" s="206">
        <f>SUM(AH10:AH38)</f>
        <v>85123891</v>
      </c>
    </row>
    <row r="40" spans="1:34">
      <c r="A40" s="44"/>
      <c r="B40" s="69"/>
      <c r="C40" s="43"/>
      <c r="D40" s="43"/>
      <c r="E40" s="90"/>
      <c r="F40" s="12"/>
      <c r="G40" s="48"/>
      <c r="H40" s="48"/>
      <c r="I40" s="11"/>
      <c r="J40" s="11"/>
      <c r="K40" s="11"/>
      <c r="L40" s="12"/>
      <c r="M40" s="11"/>
      <c r="N40" s="11"/>
      <c r="O40" s="11"/>
      <c r="P40" s="23"/>
      <c r="Q40" s="11"/>
      <c r="R40" s="11"/>
      <c r="S40" s="11"/>
      <c r="T40" s="48"/>
      <c r="U40" s="48"/>
      <c r="V40" s="22"/>
      <c r="W40" s="22"/>
      <c r="X40" s="22"/>
      <c r="Y40" s="22"/>
      <c r="Z40" s="66"/>
      <c r="AA40" s="22"/>
      <c r="AB40" s="40"/>
      <c r="AC40" s="40"/>
      <c r="AD40" s="40"/>
      <c r="AE40" s="40"/>
      <c r="AF40" s="208" t="s">
        <v>142</v>
      </c>
      <c r="AG40" s="209">
        <f>AG39+AG688</f>
        <v>79068250.700000003</v>
      </c>
      <c r="AH40" s="209">
        <f>AH39+AH688</f>
        <v>97136791</v>
      </c>
    </row>
    <row r="41" spans="1:34">
      <c r="A41" s="135"/>
      <c r="B41" s="9" t="s">
        <v>143</v>
      </c>
      <c r="E41" s="90"/>
      <c r="AG41" s="95"/>
      <c r="AH41" s="90"/>
    </row>
    <row r="42" spans="1:34">
      <c r="A42" s="135" t="s">
        <v>144</v>
      </c>
      <c r="B42" s="9" t="s">
        <v>145</v>
      </c>
      <c r="I42" s="37">
        <v>0.83699999999999997</v>
      </c>
      <c r="M42" s="210">
        <v>1</v>
      </c>
      <c r="P42" s="23"/>
      <c r="Q42" s="210">
        <v>1</v>
      </c>
      <c r="S42" s="11"/>
      <c r="T42" s="48"/>
      <c r="AA42" s="40"/>
      <c r="AB42" s="40"/>
      <c r="AD42" s="40"/>
      <c r="AE42" s="40"/>
      <c r="AF42" s="40"/>
      <c r="AG42" s="38"/>
      <c r="AH42" s="38"/>
    </row>
    <row r="43" spans="1:34" s="56" customFormat="1">
      <c r="A43" s="136" t="s">
        <v>146</v>
      </c>
      <c r="B43" s="136"/>
      <c r="C43" s="136"/>
      <c r="D43" s="136"/>
      <c r="E43" s="137">
        <v>1</v>
      </c>
      <c r="F43" s="138"/>
      <c r="G43" s="139">
        <v>0.12</v>
      </c>
      <c r="H43" s="139">
        <v>0</v>
      </c>
      <c r="I43" s="49">
        <v>92326</v>
      </c>
      <c r="J43" s="49">
        <f t="shared" ref="J43:J55" si="25">+$I$42*I43</f>
        <v>77276.861999999994</v>
      </c>
      <c r="K43" s="49">
        <f t="shared" ref="K43:K55" si="26">J43*(1-G43)</f>
        <v>68003.638559999992</v>
      </c>
      <c r="L43" s="138"/>
      <c r="M43" s="137">
        <v>0</v>
      </c>
      <c r="N43" s="50">
        <f t="shared" ref="N43:N55" si="27">+$M$42*M43</f>
        <v>0</v>
      </c>
      <c r="O43" s="50">
        <f t="shared" ref="O43:O55" si="28">N43*(1-G43)</f>
        <v>0</v>
      </c>
      <c r="P43" s="140"/>
      <c r="Q43" s="137">
        <v>0</v>
      </c>
      <c r="R43" s="50">
        <f t="shared" ref="R43:R55" si="29">+Q43*$Q$42</f>
        <v>0</v>
      </c>
      <c r="S43" s="51">
        <f t="shared" ref="S43:S55" si="30">R43*(1-G43)</f>
        <v>0</v>
      </c>
      <c r="T43" s="327">
        <v>15.81</v>
      </c>
      <c r="U43" s="52" t="s">
        <v>81</v>
      </c>
      <c r="V43" s="53">
        <f>SUMIF('Avoided Costs 2014-2023'!$A:$A,'2014 Actuals'!U43&amp;ROUNDDOWN('2014 Actuals'!T43,0),'Avoided Costs 2014-2023'!$E:$E)*K43</f>
        <v>157419.71304114434</v>
      </c>
      <c r="W43" s="53">
        <f>SUMIF('Avoided Costs 2014-2023'!$A:$A,'2014 Actuals'!U43&amp;ROUNDDOWN('2014 Actuals'!T43,0),'Avoided Costs 2014-2023'!$K:$K)*O43</f>
        <v>0</v>
      </c>
      <c r="X43" s="53">
        <f>SUMIF('Avoided Costs 2014-2023'!$A:$A,'2014 Actuals'!U43&amp;ROUNDDOWN('2014 Actuals'!T43,0),'Avoided Costs 2014-2023'!$M:$M)*S43</f>
        <v>0</v>
      </c>
      <c r="Y43" s="53">
        <f t="shared" ref="Y43:Y55" si="31">SUM(V43:X43)</f>
        <v>157419.71304114434</v>
      </c>
      <c r="Z43" s="55">
        <v>89862</v>
      </c>
      <c r="AA43" s="54">
        <f t="shared" ref="AA43:AA55" si="32">Z43*(1-G43)</f>
        <v>79078.559999999998</v>
      </c>
      <c r="AB43" s="54"/>
      <c r="AC43" s="54"/>
      <c r="AD43" s="54"/>
      <c r="AE43" s="54">
        <f t="shared" ref="AE43:AE56" si="33">AA43+AC43</f>
        <v>79078.559999999998</v>
      </c>
      <c r="AF43" s="54">
        <f t="shared" ref="AF43:AF56" si="34">Y43-AE43</f>
        <v>78341.153041144338</v>
      </c>
      <c r="AG43" s="49">
        <f t="shared" ref="AG43:AG55" si="35">K43*T43</f>
        <v>1075137.5256335998</v>
      </c>
      <c r="AH43" s="49">
        <f t="shared" ref="AH43:AH55" si="36">(J43*T43)</f>
        <v>1221747.1882199999</v>
      </c>
    </row>
    <row r="44" spans="1:34" s="56" customFormat="1">
      <c r="A44" s="136" t="s">
        <v>147</v>
      </c>
      <c r="B44" s="136"/>
      <c r="C44" s="136"/>
      <c r="D44" s="136"/>
      <c r="E44" s="137">
        <v>1</v>
      </c>
      <c r="F44" s="138"/>
      <c r="G44" s="139">
        <v>0.12</v>
      </c>
      <c r="H44" s="139">
        <v>0</v>
      </c>
      <c r="I44" s="49">
        <v>19877</v>
      </c>
      <c r="J44" s="49">
        <f t="shared" si="25"/>
        <v>16637.048999999999</v>
      </c>
      <c r="K44" s="49">
        <f t="shared" si="26"/>
        <v>14640.60312</v>
      </c>
      <c r="L44" s="138"/>
      <c r="M44" s="137">
        <v>0</v>
      </c>
      <c r="N44" s="50">
        <f t="shared" si="27"/>
        <v>0</v>
      </c>
      <c r="O44" s="50">
        <f t="shared" si="28"/>
        <v>0</v>
      </c>
      <c r="P44" s="140"/>
      <c r="Q44" s="137">
        <v>0</v>
      </c>
      <c r="R44" s="50">
        <f t="shared" si="29"/>
        <v>0</v>
      </c>
      <c r="S44" s="51">
        <f t="shared" si="30"/>
        <v>0</v>
      </c>
      <c r="T44" s="57">
        <v>25</v>
      </c>
      <c r="U44" s="52" t="s">
        <v>94</v>
      </c>
      <c r="V44" s="53">
        <f>SUMIF('Avoided Costs 2014-2023'!$A:$A,'2014 Actuals'!U44&amp;ROUNDDOWN('2014 Actuals'!T44,0),'Avoided Costs 2014-2023'!$E:$E)*K44</f>
        <v>43566.731314855788</v>
      </c>
      <c r="W44" s="53">
        <f>SUMIF('Avoided Costs 2014-2023'!$A:$A,'2014 Actuals'!U44&amp;ROUNDDOWN('2014 Actuals'!T44,0),'Avoided Costs 2014-2023'!$K:$K)*O44</f>
        <v>0</v>
      </c>
      <c r="X44" s="53">
        <f>SUMIF('Avoided Costs 2014-2023'!$A:$A,'2014 Actuals'!U44&amp;ROUNDDOWN('2014 Actuals'!T44,0),'Avoided Costs 2014-2023'!$M:$M)*S44</f>
        <v>0</v>
      </c>
      <c r="Y44" s="53">
        <f t="shared" si="31"/>
        <v>43566.731314855788</v>
      </c>
      <c r="Z44" s="55">
        <v>19572</v>
      </c>
      <c r="AA44" s="54">
        <f t="shared" si="32"/>
        <v>17223.36</v>
      </c>
      <c r="AB44" s="54"/>
      <c r="AC44" s="54"/>
      <c r="AD44" s="54"/>
      <c r="AE44" s="54">
        <f t="shared" si="33"/>
        <v>17223.36</v>
      </c>
      <c r="AF44" s="54">
        <f t="shared" si="34"/>
        <v>26343.371314855787</v>
      </c>
      <c r="AG44" s="49">
        <f t="shared" si="35"/>
        <v>366015.07799999998</v>
      </c>
      <c r="AH44" s="49">
        <f t="shared" si="36"/>
        <v>415926.22499999998</v>
      </c>
    </row>
    <row r="45" spans="1:34" s="56" customFormat="1">
      <c r="A45" s="136" t="s">
        <v>148</v>
      </c>
      <c r="B45" s="136"/>
      <c r="C45" s="136"/>
      <c r="D45" s="136"/>
      <c r="E45" s="137">
        <v>1</v>
      </c>
      <c r="F45" s="138"/>
      <c r="G45" s="139">
        <v>0.12</v>
      </c>
      <c r="H45" s="139">
        <v>0</v>
      </c>
      <c r="I45" s="49">
        <v>15412</v>
      </c>
      <c r="J45" s="49">
        <f t="shared" si="25"/>
        <v>12899.843999999999</v>
      </c>
      <c r="K45" s="49">
        <f t="shared" si="26"/>
        <v>11351.862719999999</v>
      </c>
      <c r="L45" s="138"/>
      <c r="M45" s="137">
        <v>0</v>
      </c>
      <c r="N45" s="50">
        <f t="shared" si="27"/>
        <v>0</v>
      </c>
      <c r="O45" s="50">
        <f t="shared" si="28"/>
        <v>0</v>
      </c>
      <c r="P45" s="140"/>
      <c r="Q45" s="137">
        <v>0</v>
      </c>
      <c r="R45" s="50">
        <f t="shared" si="29"/>
        <v>0</v>
      </c>
      <c r="S45" s="51">
        <f t="shared" si="30"/>
        <v>0</v>
      </c>
      <c r="T45" s="57">
        <v>25</v>
      </c>
      <c r="U45" s="52" t="s">
        <v>94</v>
      </c>
      <c r="V45" s="53">
        <f>SUMIF('Avoided Costs 2014-2023'!$A:$A,'2014 Actuals'!U45&amp;ROUNDDOWN('2014 Actuals'!T45,0),'Avoided Costs 2014-2023'!$E:$E)*K45</f>
        <v>33780.271822938943</v>
      </c>
      <c r="W45" s="53">
        <f>SUMIF('Avoided Costs 2014-2023'!$A:$A,'2014 Actuals'!U45&amp;ROUNDDOWN('2014 Actuals'!T45,0),'Avoided Costs 2014-2023'!$K:$K)*O45</f>
        <v>0</v>
      </c>
      <c r="X45" s="53">
        <f>SUMIF('Avoided Costs 2014-2023'!$A:$A,'2014 Actuals'!U45&amp;ROUNDDOWN('2014 Actuals'!T45,0),'Avoided Costs 2014-2023'!$M:$M)*S45</f>
        <v>0</v>
      </c>
      <c r="Y45" s="53">
        <f t="shared" si="31"/>
        <v>33780.271822938943</v>
      </c>
      <c r="Z45" s="55">
        <v>4797</v>
      </c>
      <c r="AA45" s="54">
        <f t="shared" si="32"/>
        <v>4221.3599999999997</v>
      </c>
      <c r="AB45" s="54"/>
      <c r="AC45" s="54"/>
      <c r="AD45" s="54"/>
      <c r="AE45" s="54">
        <f t="shared" si="33"/>
        <v>4221.3599999999997</v>
      </c>
      <c r="AF45" s="54">
        <f t="shared" si="34"/>
        <v>29558.911822938942</v>
      </c>
      <c r="AG45" s="49">
        <f t="shared" si="35"/>
        <v>283796.56799999997</v>
      </c>
      <c r="AH45" s="49">
        <f t="shared" si="36"/>
        <v>322496.09999999998</v>
      </c>
    </row>
    <row r="46" spans="1:34" s="56" customFormat="1">
      <c r="A46" s="136" t="s">
        <v>149</v>
      </c>
      <c r="B46" s="136"/>
      <c r="C46" s="136"/>
      <c r="D46" s="136"/>
      <c r="E46" s="137">
        <v>1</v>
      </c>
      <c r="F46" s="138"/>
      <c r="G46" s="139">
        <v>0.12</v>
      </c>
      <c r="H46" s="139">
        <v>0</v>
      </c>
      <c r="I46" s="49">
        <v>29439</v>
      </c>
      <c r="J46" s="49">
        <f t="shared" si="25"/>
        <v>24640.442999999999</v>
      </c>
      <c r="K46" s="49">
        <f t="shared" si="26"/>
        <v>21683.589840000001</v>
      </c>
      <c r="L46" s="138"/>
      <c r="M46" s="137">
        <v>0</v>
      </c>
      <c r="N46" s="50">
        <f t="shared" si="27"/>
        <v>0</v>
      </c>
      <c r="O46" s="50">
        <f t="shared" si="28"/>
        <v>0</v>
      </c>
      <c r="P46" s="140"/>
      <c r="Q46" s="137">
        <v>0</v>
      </c>
      <c r="R46" s="50">
        <f t="shared" si="29"/>
        <v>0</v>
      </c>
      <c r="S46" s="51">
        <f t="shared" si="30"/>
        <v>0</v>
      </c>
      <c r="T46" s="57">
        <v>10</v>
      </c>
      <c r="U46" s="52" t="s">
        <v>81</v>
      </c>
      <c r="V46" s="53">
        <f>SUMIF('Avoided Costs 2014-2023'!$A:$A,'2014 Actuals'!U46&amp;ROUNDDOWN('2014 Actuals'!T46,0),'Avoided Costs 2014-2023'!$E:$E)*K46</f>
        <v>36918.093202284479</v>
      </c>
      <c r="W46" s="53">
        <f>SUMIF('Avoided Costs 2014-2023'!$A:$A,'2014 Actuals'!U46&amp;ROUNDDOWN('2014 Actuals'!T46,0),'Avoided Costs 2014-2023'!$K:$K)*O46</f>
        <v>0</v>
      </c>
      <c r="X46" s="53">
        <f>SUMIF('Avoided Costs 2014-2023'!$A:$A,'2014 Actuals'!U46&amp;ROUNDDOWN('2014 Actuals'!T46,0),'Avoided Costs 2014-2023'!$M:$M)*S46</f>
        <v>0</v>
      </c>
      <c r="Y46" s="53">
        <f t="shared" si="31"/>
        <v>36918.093202284479</v>
      </c>
      <c r="Z46" s="55">
        <v>83604</v>
      </c>
      <c r="AA46" s="54">
        <f t="shared" si="32"/>
        <v>73571.520000000004</v>
      </c>
      <c r="AB46" s="54"/>
      <c r="AC46" s="54"/>
      <c r="AD46" s="54"/>
      <c r="AE46" s="54">
        <f t="shared" si="33"/>
        <v>73571.520000000004</v>
      </c>
      <c r="AF46" s="54">
        <f t="shared" si="34"/>
        <v>-36653.426797715525</v>
      </c>
      <c r="AG46" s="49">
        <f t="shared" si="35"/>
        <v>216835.89840000001</v>
      </c>
      <c r="AH46" s="49">
        <f t="shared" si="36"/>
        <v>246404.43</v>
      </c>
    </row>
    <row r="47" spans="1:34" s="56" customFormat="1">
      <c r="A47" s="136" t="s">
        <v>150</v>
      </c>
      <c r="B47" s="136"/>
      <c r="C47" s="136"/>
      <c r="D47" s="136"/>
      <c r="E47" s="137">
        <v>0</v>
      </c>
      <c r="F47" s="138"/>
      <c r="G47" s="139">
        <v>0.12</v>
      </c>
      <c r="H47" s="139">
        <v>0</v>
      </c>
      <c r="I47" s="49">
        <v>36863</v>
      </c>
      <c r="J47" s="49">
        <f>+$I$42*I47</f>
        <v>30854.330999999998</v>
      </c>
      <c r="K47" s="49">
        <f t="shared" si="26"/>
        <v>27151.811279999998</v>
      </c>
      <c r="L47" s="138"/>
      <c r="M47" s="137">
        <v>0</v>
      </c>
      <c r="N47" s="50">
        <f t="shared" si="27"/>
        <v>0</v>
      </c>
      <c r="O47" s="50">
        <f t="shared" si="28"/>
        <v>0</v>
      </c>
      <c r="P47" s="140"/>
      <c r="Q47" s="137">
        <v>0</v>
      </c>
      <c r="R47" s="50">
        <f t="shared" si="29"/>
        <v>0</v>
      </c>
      <c r="S47" s="51">
        <f t="shared" si="30"/>
        <v>0</v>
      </c>
      <c r="T47" s="57">
        <v>25</v>
      </c>
      <c r="U47" s="52" t="s">
        <v>94</v>
      </c>
      <c r="V47" s="53">
        <f>SUMIF('Avoided Costs 2014-2023'!$A:$A,'2014 Actuals'!U47&amp;ROUNDDOWN('2014 Actuals'!T47,0),'Avoided Costs 2014-2023'!$E:$E)*K47</f>
        <v>80796.921892616039</v>
      </c>
      <c r="W47" s="53">
        <f>SUMIF('Avoided Costs 2014-2023'!$A:$A,'2014 Actuals'!U47&amp;ROUNDDOWN('2014 Actuals'!T47,0),'Avoided Costs 2014-2023'!$K:$K)*O47</f>
        <v>0</v>
      </c>
      <c r="X47" s="53">
        <f>SUMIF('Avoided Costs 2014-2023'!$A:$A,'2014 Actuals'!U47&amp;ROUNDDOWN('2014 Actuals'!T47,0),'Avoided Costs 2014-2023'!$M:$M)*S47</f>
        <v>0</v>
      </c>
      <c r="Y47" s="53">
        <f t="shared" si="31"/>
        <v>80796.921892616039</v>
      </c>
      <c r="Z47" s="55">
        <v>19502</v>
      </c>
      <c r="AA47" s="54">
        <f t="shared" si="32"/>
        <v>17161.759999999998</v>
      </c>
      <c r="AB47" s="54"/>
      <c r="AC47" s="54"/>
      <c r="AD47" s="54"/>
      <c r="AE47" s="54">
        <f t="shared" si="33"/>
        <v>17161.759999999998</v>
      </c>
      <c r="AF47" s="54">
        <f t="shared" si="34"/>
        <v>63635.161892616044</v>
      </c>
      <c r="AG47" s="49">
        <f t="shared" si="35"/>
        <v>678795.28200000001</v>
      </c>
      <c r="AH47" s="49">
        <f t="shared" si="36"/>
        <v>771358.27499999991</v>
      </c>
    </row>
    <row r="48" spans="1:34" s="56" customFormat="1">
      <c r="A48" s="136" t="s">
        <v>151</v>
      </c>
      <c r="B48" s="136"/>
      <c r="C48" s="136"/>
      <c r="D48" s="136"/>
      <c r="E48" s="137">
        <v>1</v>
      </c>
      <c r="F48" s="138"/>
      <c r="G48" s="139">
        <v>0.12</v>
      </c>
      <c r="H48" s="139">
        <v>0</v>
      </c>
      <c r="I48" s="49">
        <v>48894</v>
      </c>
      <c r="J48" s="49">
        <f t="shared" si="25"/>
        <v>40924.277999999998</v>
      </c>
      <c r="K48" s="49">
        <f t="shared" si="26"/>
        <v>36013.36464</v>
      </c>
      <c r="L48" s="138"/>
      <c r="M48" s="137">
        <v>0</v>
      </c>
      <c r="N48" s="50">
        <f t="shared" si="27"/>
        <v>0</v>
      </c>
      <c r="O48" s="50">
        <f t="shared" si="28"/>
        <v>0</v>
      </c>
      <c r="P48" s="140"/>
      <c r="Q48" s="137">
        <v>0</v>
      </c>
      <c r="R48" s="50">
        <f t="shared" si="29"/>
        <v>0</v>
      </c>
      <c r="S48" s="51">
        <f t="shared" si="30"/>
        <v>0</v>
      </c>
      <c r="T48" s="57">
        <v>25</v>
      </c>
      <c r="U48" s="52" t="s">
        <v>81</v>
      </c>
      <c r="V48" s="53">
        <f>SUMIF('Avoided Costs 2014-2023'!$A:$A,'2014 Actuals'!U48&amp;ROUNDDOWN('2014 Actuals'!T48,0),'Avoided Costs 2014-2023'!$E:$E)*K48</f>
        <v>114388.65872711102</v>
      </c>
      <c r="W48" s="53">
        <f>SUMIF('Avoided Costs 2014-2023'!$A:$A,'2014 Actuals'!U48&amp;ROUNDDOWN('2014 Actuals'!T48,0),'Avoided Costs 2014-2023'!$K:$K)*O48</f>
        <v>0</v>
      </c>
      <c r="X48" s="53">
        <f>SUMIF('Avoided Costs 2014-2023'!$A:$A,'2014 Actuals'!U48&amp;ROUNDDOWN('2014 Actuals'!T48,0),'Avoided Costs 2014-2023'!$M:$M)*S48</f>
        <v>0</v>
      </c>
      <c r="Y48" s="53">
        <f t="shared" si="31"/>
        <v>114388.65872711102</v>
      </c>
      <c r="Z48" s="55">
        <v>19502</v>
      </c>
      <c r="AA48" s="54">
        <f t="shared" si="32"/>
        <v>17161.759999999998</v>
      </c>
      <c r="AB48" s="54"/>
      <c r="AC48" s="54"/>
      <c r="AD48" s="54"/>
      <c r="AE48" s="54">
        <f t="shared" si="33"/>
        <v>17161.759999999998</v>
      </c>
      <c r="AF48" s="54">
        <f t="shared" si="34"/>
        <v>97226.898727111024</v>
      </c>
      <c r="AG48" s="49">
        <f t="shared" si="35"/>
        <v>900334.11600000004</v>
      </c>
      <c r="AH48" s="49">
        <f t="shared" si="36"/>
        <v>1023106.95</v>
      </c>
    </row>
    <row r="49" spans="1:34" s="56" customFormat="1">
      <c r="A49" s="136" t="s">
        <v>152</v>
      </c>
      <c r="B49" s="136"/>
      <c r="C49" s="136"/>
      <c r="D49" s="136"/>
      <c r="E49" s="137">
        <v>0</v>
      </c>
      <c r="F49" s="138"/>
      <c r="G49" s="139">
        <v>0.12</v>
      </c>
      <c r="H49" s="139">
        <v>0</v>
      </c>
      <c r="I49" s="49">
        <v>1798</v>
      </c>
      <c r="J49" s="49">
        <f t="shared" si="25"/>
        <v>1504.9259999999999</v>
      </c>
      <c r="K49" s="49">
        <f t="shared" si="26"/>
        <v>1324.3348799999999</v>
      </c>
      <c r="L49" s="138"/>
      <c r="M49" s="137">
        <v>0</v>
      </c>
      <c r="N49" s="50">
        <f t="shared" si="27"/>
        <v>0</v>
      </c>
      <c r="O49" s="50">
        <f t="shared" si="28"/>
        <v>0</v>
      </c>
      <c r="P49" s="140"/>
      <c r="Q49" s="137">
        <v>0</v>
      </c>
      <c r="R49" s="50">
        <f t="shared" si="29"/>
        <v>0</v>
      </c>
      <c r="S49" s="51">
        <f t="shared" si="30"/>
        <v>0</v>
      </c>
      <c r="T49" s="57">
        <v>25</v>
      </c>
      <c r="U49" s="52" t="s">
        <v>94</v>
      </c>
      <c r="V49" s="53">
        <f>SUMIF('Avoided Costs 2014-2023'!$A:$A,'2014 Actuals'!U49&amp;ROUNDDOWN('2014 Actuals'!T49,0),'Avoided Costs 2014-2023'!$E:$E)*K49</f>
        <v>3940.8855915938375</v>
      </c>
      <c r="W49" s="53">
        <f>SUMIF('Avoided Costs 2014-2023'!$A:$A,'2014 Actuals'!U49&amp;ROUNDDOWN('2014 Actuals'!T49,0),'Avoided Costs 2014-2023'!$K:$K)*O49</f>
        <v>0</v>
      </c>
      <c r="X49" s="53">
        <f>SUMIF('Avoided Costs 2014-2023'!$A:$A,'2014 Actuals'!U49&amp;ROUNDDOWN('2014 Actuals'!T49,0),'Avoided Costs 2014-2023'!$M:$M)*S49</f>
        <v>0</v>
      </c>
      <c r="Y49" s="53">
        <f t="shared" si="31"/>
        <v>3940.8855915938375</v>
      </c>
      <c r="Z49" s="55">
        <v>9224</v>
      </c>
      <c r="AA49" s="54">
        <f t="shared" si="32"/>
        <v>8117.12</v>
      </c>
      <c r="AB49" s="54"/>
      <c r="AC49" s="54"/>
      <c r="AD49" s="54"/>
      <c r="AE49" s="54">
        <f t="shared" si="33"/>
        <v>8117.12</v>
      </c>
      <c r="AF49" s="54">
        <f t="shared" si="34"/>
        <v>-4176.2344084061624</v>
      </c>
      <c r="AG49" s="49">
        <f t="shared" si="35"/>
        <v>33108.371999999996</v>
      </c>
      <c r="AH49" s="49">
        <f t="shared" si="36"/>
        <v>37623.15</v>
      </c>
    </row>
    <row r="50" spans="1:34" s="56" customFormat="1">
      <c r="A50" s="136" t="s">
        <v>153</v>
      </c>
      <c r="B50" s="136"/>
      <c r="C50" s="136"/>
      <c r="D50" s="136"/>
      <c r="E50" s="137">
        <v>1</v>
      </c>
      <c r="F50" s="138"/>
      <c r="G50" s="139">
        <v>0.12</v>
      </c>
      <c r="H50" s="139">
        <v>0</v>
      </c>
      <c r="I50" s="49">
        <v>8472</v>
      </c>
      <c r="J50" s="49">
        <f t="shared" si="25"/>
        <v>7091.0639999999994</v>
      </c>
      <c r="K50" s="49">
        <f t="shared" si="26"/>
        <v>6240.1363199999996</v>
      </c>
      <c r="L50" s="138"/>
      <c r="M50" s="137">
        <v>0</v>
      </c>
      <c r="N50" s="50">
        <f t="shared" si="27"/>
        <v>0</v>
      </c>
      <c r="O50" s="50">
        <f t="shared" si="28"/>
        <v>0</v>
      </c>
      <c r="P50" s="140"/>
      <c r="Q50" s="137">
        <v>0</v>
      </c>
      <c r="R50" s="50">
        <f t="shared" si="29"/>
        <v>0</v>
      </c>
      <c r="S50" s="51">
        <f t="shared" si="30"/>
        <v>0</v>
      </c>
      <c r="T50" s="57">
        <v>25</v>
      </c>
      <c r="U50" s="52" t="s">
        <v>81</v>
      </c>
      <c r="V50" s="53">
        <f>SUMIF('Avoided Costs 2014-2023'!$A:$A,'2014 Actuals'!U50&amp;ROUNDDOWN('2014 Actuals'!T50,0),'Avoided Costs 2014-2023'!$E:$E)*K50</f>
        <v>19820.442523337926</v>
      </c>
      <c r="W50" s="53">
        <f>SUMIF('Avoided Costs 2014-2023'!$A:$A,'2014 Actuals'!U50&amp;ROUNDDOWN('2014 Actuals'!T50,0),'Avoided Costs 2014-2023'!$K:$K)*O50</f>
        <v>0</v>
      </c>
      <c r="X50" s="53">
        <f>SUMIF('Avoided Costs 2014-2023'!$A:$A,'2014 Actuals'!U50&amp;ROUNDDOWN('2014 Actuals'!T50,0),'Avoided Costs 2014-2023'!$M:$M)*S50</f>
        <v>0</v>
      </c>
      <c r="Y50" s="53">
        <f t="shared" si="31"/>
        <v>19820.442523337926</v>
      </c>
      <c r="Z50" s="55">
        <v>9224</v>
      </c>
      <c r="AA50" s="54">
        <f t="shared" si="32"/>
        <v>8117.12</v>
      </c>
      <c r="AB50" s="54"/>
      <c r="AC50" s="54"/>
      <c r="AD50" s="54"/>
      <c r="AE50" s="54">
        <f t="shared" si="33"/>
        <v>8117.12</v>
      </c>
      <c r="AF50" s="54">
        <f t="shared" si="34"/>
        <v>11703.322523337927</v>
      </c>
      <c r="AG50" s="49">
        <f t="shared" si="35"/>
        <v>156003.408</v>
      </c>
      <c r="AH50" s="49">
        <f t="shared" si="36"/>
        <v>177276.59999999998</v>
      </c>
    </row>
    <row r="51" spans="1:34" s="56" customFormat="1">
      <c r="A51" s="136" t="s">
        <v>154</v>
      </c>
      <c r="B51" s="136"/>
      <c r="C51" s="136"/>
      <c r="D51" s="136"/>
      <c r="E51" s="137">
        <v>1</v>
      </c>
      <c r="F51" s="138"/>
      <c r="G51" s="139">
        <v>0.12</v>
      </c>
      <c r="H51" s="139">
        <v>0</v>
      </c>
      <c r="I51" s="49">
        <v>19890</v>
      </c>
      <c r="J51" s="49">
        <f t="shared" si="25"/>
        <v>16647.93</v>
      </c>
      <c r="K51" s="49">
        <f t="shared" si="26"/>
        <v>14650.178400000001</v>
      </c>
      <c r="L51" s="138"/>
      <c r="M51" s="137">
        <v>0</v>
      </c>
      <c r="N51" s="50">
        <f t="shared" si="27"/>
        <v>0</v>
      </c>
      <c r="O51" s="50">
        <f t="shared" si="28"/>
        <v>0</v>
      </c>
      <c r="P51" s="140"/>
      <c r="Q51" s="137">
        <v>0</v>
      </c>
      <c r="R51" s="50">
        <f t="shared" si="29"/>
        <v>0</v>
      </c>
      <c r="S51" s="51">
        <f t="shared" si="30"/>
        <v>0</v>
      </c>
      <c r="T51" s="57">
        <v>10</v>
      </c>
      <c r="U51" s="52" t="s">
        <v>81</v>
      </c>
      <c r="V51" s="53">
        <f>SUMIF('Avoided Costs 2014-2023'!$A:$A,'2014 Actuals'!U51&amp;ROUNDDOWN('2014 Actuals'!T51,0),'Avoided Costs 2014-2023'!$E:$E)*K51</f>
        <v>24943.13236840376</v>
      </c>
      <c r="W51" s="53">
        <f>SUMIF('Avoided Costs 2014-2023'!$A:$A,'2014 Actuals'!U51&amp;ROUNDDOWN('2014 Actuals'!T51,0),'Avoided Costs 2014-2023'!$K:$K)*O51</f>
        <v>0</v>
      </c>
      <c r="X51" s="53">
        <f>SUMIF('Avoided Costs 2014-2023'!$A:$A,'2014 Actuals'!U51&amp;ROUNDDOWN('2014 Actuals'!T51,0),'Avoided Costs 2014-2023'!$M:$M)*S51</f>
        <v>0</v>
      </c>
      <c r="Y51" s="53">
        <f t="shared" si="31"/>
        <v>24943.13236840376</v>
      </c>
      <c r="Z51" s="55">
        <v>21900</v>
      </c>
      <c r="AA51" s="54">
        <f t="shared" si="32"/>
        <v>19272</v>
      </c>
      <c r="AB51" s="54"/>
      <c r="AC51" s="54"/>
      <c r="AD51" s="54"/>
      <c r="AE51" s="54">
        <f t="shared" si="33"/>
        <v>19272</v>
      </c>
      <c r="AF51" s="54">
        <f t="shared" si="34"/>
        <v>5671.1323684037598</v>
      </c>
      <c r="AG51" s="49">
        <f t="shared" si="35"/>
        <v>146501.78400000001</v>
      </c>
      <c r="AH51" s="49">
        <f t="shared" si="36"/>
        <v>166479.29999999999</v>
      </c>
    </row>
    <row r="52" spans="1:34" s="56" customFormat="1">
      <c r="A52" s="136" t="s">
        <v>155</v>
      </c>
      <c r="B52" s="136"/>
      <c r="C52" s="136"/>
      <c r="D52" s="136"/>
      <c r="E52" s="137">
        <v>1</v>
      </c>
      <c r="F52" s="138"/>
      <c r="G52" s="139">
        <v>0.12</v>
      </c>
      <c r="H52" s="139">
        <v>0</v>
      </c>
      <c r="I52" s="49">
        <v>19890</v>
      </c>
      <c r="J52" s="49">
        <f t="shared" si="25"/>
        <v>16647.93</v>
      </c>
      <c r="K52" s="49">
        <f t="shared" si="26"/>
        <v>14650.178400000001</v>
      </c>
      <c r="L52" s="138"/>
      <c r="M52" s="137">
        <v>0</v>
      </c>
      <c r="N52" s="50">
        <f t="shared" si="27"/>
        <v>0</v>
      </c>
      <c r="O52" s="50">
        <f t="shared" si="28"/>
        <v>0</v>
      </c>
      <c r="P52" s="140"/>
      <c r="Q52" s="137">
        <v>0</v>
      </c>
      <c r="R52" s="50">
        <f t="shared" si="29"/>
        <v>0</v>
      </c>
      <c r="S52" s="51">
        <f t="shared" si="30"/>
        <v>0</v>
      </c>
      <c r="T52" s="57">
        <v>10</v>
      </c>
      <c r="U52" s="52" t="s">
        <v>81</v>
      </c>
      <c r="V52" s="53">
        <f>SUMIF('Avoided Costs 2014-2023'!$A:$A,'2014 Actuals'!U52&amp;ROUNDDOWN('2014 Actuals'!T52,0),'Avoided Costs 2014-2023'!$E:$E)*K52</f>
        <v>24943.13236840376</v>
      </c>
      <c r="W52" s="53">
        <f>SUMIF('Avoided Costs 2014-2023'!$A:$A,'2014 Actuals'!U52&amp;ROUNDDOWN('2014 Actuals'!T52,0),'Avoided Costs 2014-2023'!$K:$K)*O52</f>
        <v>0</v>
      </c>
      <c r="X52" s="53">
        <f>SUMIF('Avoided Costs 2014-2023'!$A:$A,'2014 Actuals'!U52&amp;ROUNDDOWN('2014 Actuals'!T52,0),'Avoided Costs 2014-2023'!$M:$M)*S52</f>
        <v>0</v>
      </c>
      <c r="Y52" s="53">
        <f t="shared" si="31"/>
        <v>24943.13236840376</v>
      </c>
      <c r="Z52" s="55">
        <v>62550</v>
      </c>
      <c r="AA52" s="54">
        <f t="shared" si="32"/>
        <v>55044</v>
      </c>
      <c r="AB52" s="54"/>
      <c r="AC52" s="54"/>
      <c r="AD52" s="54"/>
      <c r="AE52" s="54">
        <f t="shared" si="33"/>
        <v>55044</v>
      </c>
      <c r="AF52" s="54">
        <f t="shared" si="34"/>
        <v>-30100.86763159624</v>
      </c>
      <c r="AG52" s="49">
        <f t="shared" si="35"/>
        <v>146501.78400000001</v>
      </c>
      <c r="AH52" s="49">
        <f t="shared" si="36"/>
        <v>166479.29999999999</v>
      </c>
    </row>
    <row r="53" spans="1:34" s="56" customFormat="1">
      <c r="A53" s="136" t="s">
        <v>156</v>
      </c>
      <c r="B53" s="136"/>
      <c r="C53" s="136"/>
      <c r="D53" s="136"/>
      <c r="E53" s="137">
        <v>1</v>
      </c>
      <c r="F53" s="138"/>
      <c r="G53" s="139">
        <v>0.12</v>
      </c>
      <c r="H53" s="139">
        <v>0</v>
      </c>
      <c r="I53" s="49">
        <v>1977</v>
      </c>
      <c r="J53" s="49">
        <f t="shared" si="25"/>
        <v>1654.749</v>
      </c>
      <c r="K53" s="49">
        <f t="shared" si="26"/>
        <v>1456.17912</v>
      </c>
      <c r="L53" s="138"/>
      <c r="M53" s="137">
        <v>0</v>
      </c>
      <c r="N53" s="50">
        <f t="shared" si="27"/>
        <v>0</v>
      </c>
      <c r="O53" s="50">
        <f t="shared" si="28"/>
        <v>0</v>
      </c>
      <c r="P53" s="140"/>
      <c r="Q53" s="137">
        <v>0</v>
      </c>
      <c r="R53" s="50">
        <f t="shared" si="29"/>
        <v>0</v>
      </c>
      <c r="S53" s="51">
        <f t="shared" si="30"/>
        <v>0</v>
      </c>
      <c r="T53" s="57">
        <v>15</v>
      </c>
      <c r="U53" s="52" t="s">
        <v>94</v>
      </c>
      <c r="V53" s="53">
        <f>SUMIF('Avoided Costs 2014-2023'!$A:$A,'2014 Actuals'!U53&amp;ROUNDDOWN('2014 Actuals'!T53,0),'Avoided Costs 2014-2023'!$E:$E)*K53</f>
        <v>3156.6770693397498</v>
      </c>
      <c r="W53" s="53">
        <f>SUMIF('Avoided Costs 2014-2023'!$A:$A,'2014 Actuals'!U53&amp;ROUNDDOWN('2014 Actuals'!T53,0),'Avoided Costs 2014-2023'!$K:$K)*O53</f>
        <v>0</v>
      </c>
      <c r="X53" s="53">
        <f>SUMIF('Avoided Costs 2014-2023'!$A:$A,'2014 Actuals'!U53&amp;ROUNDDOWN('2014 Actuals'!T53,0),'Avoided Costs 2014-2023'!$M:$M)*S53</f>
        <v>0</v>
      </c>
      <c r="Y53" s="53">
        <f t="shared" si="31"/>
        <v>3156.6770693397498</v>
      </c>
      <c r="Z53" s="55">
        <v>8050</v>
      </c>
      <c r="AA53" s="54">
        <f t="shared" si="32"/>
        <v>7084</v>
      </c>
      <c r="AB53" s="54"/>
      <c r="AC53" s="54"/>
      <c r="AD53" s="54"/>
      <c r="AE53" s="54">
        <f t="shared" si="33"/>
        <v>7084</v>
      </c>
      <c r="AF53" s="54">
        <f t="shared" si="34"/>
        <v>-3927.3229306602502</v>
      </c>
      <c r="AG53" s="49">
        <f t="shared" si="35"/>
        <v>21842.686799999999</v>
      </c>
      <c r="AH53" s="49">
        <f t="shared" si="36"/>
        <v>24821.235000000001</v>
      </c>
    </row>
    <row r="54" spans="1:34" s="56" customFormat="1">
      <c r="A54" s="136" t="s">
        <v>157</v>
      </c>
      <c r="B54" s="136"/>
      <c r="C54" s="136"/>
      <c r="D54" s="136"/>
      <c r="E54" s="137">
        <v>1</v>
      </c>
      <c r="F54" s="138"/>
      <c r="G54" s="139">
        <v>0.12</v>
      </c>
      <c r="H54" s="139">
        <v>0</v>
      </c>
      <c r="I54" s="49">
        <v>8043</v>
      </c>
      <c r="J54" s="49">
        <f t="shared" si="25"/>
        <v>6731.991</v>
      </c>
      <c r="K54" s="49">
        <f t="shared" si="26"/>
        <v>5924.1520799999998</v>
      </c>
      <c r="L54" s="138"/>
      <c r="M54" s="137">
        <v>0</v>
      </c>
      <c r="N54" s="50">
        <f t="shared" si="27"/>
        <v>0</v>
      </c>
      <c r="O54" s="50">
        <f t="shared" si="28"/>
        <v>0</v>
      </c>
      <c r="P54" s="140"/>
      <c r="Q54" s="137">
        <v>0</v>
      </c>
      <c r="R54" s="50">
        <f t="shared" si="29"/>
        <v>0</v>
      </c>
      <c r="S54" s="51">
        <f t="shared" si="30"/>
        <v>0</v>
      </c>
      <c r="T54" s="57">
        <v>25</v>
      </c>
      <c r="U54" s="52" t="s">
        <v>94</v>
      </c>
      <c r="V54" s="53">
        <f>SUMIF('Avoided Costs 2014-2023'!$A:$A,'2014 Actuals'!U54&amp;ROUNDDOWN('2014 Actuals'!T54,0),'Avoided Costs 2014-2023'!$E:$E)*K54</f>
        <v>17628.777982863867</v>
      </c>
      <c r="W54" s="53">
        <f>SUMIF('Avoided Costs 2014-2023'!$A:$A,'2014 Actuals'!U54&amp;ROUNDDOWN('2014 Actuals'!T54,0),'Avoided Costs 2014-2023'!$K:$K)*O54</f>
        <v>0</v>
      </c>
      <c r="X54" s="53">
        <f>SUMIF('Avoided Costs 2014-2023'!$A:$A,'2014 Actuals'!U54&amp;ROUNDDOWN('2014 Actuals'!T54,0),'Avoided Costs 2014-2023'!$M:$M)*S54</f>
        <v>0</v>
      </c>
      <c r="Y54" s="53">
        <f t="shared" si="31"/>
        <v>17628.777982863867</v>
      </c>
      <c r="Z54" s="55">
        <v>7188</v>
      </c>
      <c r="AA54" s="54">
        <f t="shared" si="32"/>
        <v>6325.44</v>
      </c>
      <c r="AB54" s="54"/>
      <c r="AC54" s="54"/>
      <c r="AD54" s="54"/>
      <c r="AE54" s="54">
        <f t="shared" si="33"/>
        <v>6325.44</v>
      </c>
      <c r="AF54" s="54">
        <f t="shared" si="34"/>
        <v>11303.337982863868</v>
      </c>
      <c r="AG54" s="49">
        <f t="shared" si="35"/>
        <v>148103.802</v>
      </c>
      <c r="AH54" s="49">
        <f t="shared" si="36"/>
        <v>168299.77499999999</v>
      </c>
    </row>
    <row r="55" spans="1:34" s="56" customFormat="1">
      <c r="A55" s="136" t="s">
        <v>158</v>
      </c>
      <c r="B55" s="136"/>
      <c r="C55" s="136"/>
      <c r="D55" s="136"/>
      <c r="E55" s="137">
        <v>1</v>
      </c>
      <c r="F55" s="138"/>
      <c r="G55" s="139">
        <v>0.12</v>
      </c>
      <c r="H55" s="139">
        <v>0</v>
      </c>
      <c r="I55" s="49">
        <v>33119</v>
      </c>
      <c r="J55" s="49">
        <f t="shared" si="25"/>
        <v>27720.602999999999</v>
      </c>
      <c r="K55" s="49">
        <f t="shared" si="26"/>
        <v>24394.130639999999</v>
      </c>
      <c r="L55" s="138"/>
      <c r="M55" s="137">
        <v>0</v>
      </c>
      <c r="N55" s="50">
        <f t="shared" si="27"/>
        <v>0</v>
      </c>
      <c r="O55" s="50">
        <f t="shared" si="28"/>
        <v>0</v>
      </c>
      <c r="P55" s="140"/>
      <c r="Q55" s="137">
        <v>0</v>
      </c>
      <c r="R55" s="50">
        <f t="shared" si="29"/>
        <v>0</v>
      </c>
      <c r="S55" s="51">
        <f t="shared" si="30"/>
        <v>0</v>
      </c>
      <c r="T55" s="57">
        <v>25</v>
      </c>
      <c r="U55" s="52" t="s">
        <v>94</v>
      </c>
      <c r="V55" s="53">
        <f>SUMIF('Avoided Costs 2014-2023'!$A:$A,'2014 Actuals'!U55&amp;ROUNDDOWN('2014 Actuals'!T55,0),'Avoided Costs 2014-2023'!$E:$E)*K55</f>
        <v>72590.761906560787</v>
      </c>
      <c r="W55" s="53">
        <f>SUMIF('Avoided Costs 2014-2023'!$A:$A,'2014 Actuals'!U55&amp;ROUNDDOWN('2014 Actuals'!T55,0),'Avoided Costs 2014-2023'!$K:$K)*O55</f>
        <v>0</v>
      </c>
      <c r="X55" s="53">
        <f>SUMIF('Avoided Costs 2014-2023'!$A:$A,'2014 Actuals'!U55&amp;ROUNDDOWN('2014 Actuals'!T55,0),'Avoided Costs 2014-2023'!$M:$M)*S55</f>
        <v>0</v>
      </c>
      <c r="Y55" s="53">
        <f t="shared" si="31"/>
        <v>72590.761906560787</v>
      </c>
      <c r="Z55" s="55">
        <v>44294</v>
      </c>
      <c r="AA55" s="54">
        <f t="shared" si="32"/>
        <v>38978.720000000001</v>
      </c>
      <c r="AB55" s="54"/>
      <c r="AC55" s="54"/>
      <c r="AD55" s="54"/>
      <c r="AE55" s="54">
        <f t="shared" si="33"/>
        <v>38978.720000000001</v>
      </c>
      <c r="AF55" s="54">
        <f t="shared" si="34"/>
        <v>33612.041906560786</v>
      </c>
      <c r="AG55" s="49">
        <f t="shared" si="35"/>
        <v>609853.26599999995</v>
      </c>
      <c r="AH55" s="49">
        <f t="shared" si="36"/>
        <v>693015.07499999995</v>
      </c>
    </row>
    <row r="56" spans="1:34" s="69" customFormat="1">
      <c r="A56" s="145" t="s">
        <v>35</v>
      </c>
      <c r="B56" s="145" t="s">
        <v>159</v>
      </c>
      <c r="C56" s="65"/>
      <c r="D56" s="65">
        <v>0</v>
      </c>
      <c r="E56" s="51">
        <f>SUM(E43:E55)</f>
        <v>11</v>
      </c>
      <c r="F56" s="105"/>
      <c r="G56" s="147"/>
      <c r="H56" s="211"/>
      <c r="I56" s="49">
        <f>SUM(I43:I55)</f>
        <v>336000</v>
      </c>
      <c r="J56" s="49">
        <f>SUM(J43:J55)</f>
        <v>281232</v>
      </c>
      <c r="K56" s="49">
        <f>SUM(K43:K55)</f>
        <v>247484.15999999997</v>
      </c>
      <c r="L56" s="146"/>
      <c r="M56" s="49">
        <f>SUM(M43:M55)</f>
        <v>0</v>
      </c>
      <c r="N56" s="49">
        <f>SUM(N43:N55)</f>
        <v>0</v>
      </c>
      <c r="O56" s="49">
        <f>SUM(O43:O55)</f>
        <v>0</v>
      </c>
      <c r="P56" s="148"/>
      <c r="Q56" s="49">
        <f>SUM(Q43:Q55)</f>
        <v>0</v>
      </c>
      <c r="R56" s="49">
        <f>SUM(R43:R55)</f>
        <v>0</v>
      </c>
      <c r="S56" s="49">
        <f>SUM(S43:S55)</f>
        <v>0</v>
      </c>
      <c r="T56" s="103"/>
      <c r="U56" s="65" t="s">
        <v>160</v>
      </c>
      <c r="V56" s="54">
        <f t="shared" ref="V56:AA56" si="37">SUM(V43:V55)</f>
        <v>633894.19981145416</v>
      </c>
      <c r="W56" s="54">
        <f t="shared" si="37"/>
        <v>0</v>
      </c>
      <c r="X56" s="54">
        <f t="shared" si="37"/>
        <v>0</v>
      </c>
      <c r="Y56" s="54">
        <f t="shared" si="37"/>
        <v>633894.19981145416</v>
      </c>
      <c r="Z56" s="55"/>
      <c r="AA56" s="54">
        <f t="shared" si="37"/>
        <v>351356.72</v>
      </c>
      <c r="AB56" s="54">
        <v>122390.87</v>
      </c>
      <c r="AC56" s="54">
        <v>10888.75</v>
      </c>
      <c r="AD56" s="54">
        <f>AB56+AC56</f>
        <v>133279.62</v>
      </c>
      <c r="AE56" s="54">
        <f t="shared" si="33"/>
        <v>362245.47</v>
      </c>
      <c r="AF56" s="212">
        <f t="shared" si="34"/>
        <v>271648.72981145419</v>
      </c>
      <c r="AG56" s="49">
        <f>SUM(AG43:AG55)</f>
        <v>4782829.5708335992</v>
      </c>
      <c r="AH56" s="49">
        <f>SUM(AH43:AH55)</f>
        <v>5435033.6032200009</v>
      </c>
    </row>
    <row r="57" spans="1:34" s="3" customFormat="1">
      <c r="A57" s="213"/>
      <c r="B57" s="213"/>
      <c r="C57" s="213"/>
      <c r="D57" s="213"/>
      <c r="E57" s="214"/>
      <c r="F57" s="215"/>
      <c r="G57" s="216"/>
      <c r="H57" s="216"/>
      <c r="I57" s="90"/>
      <c r="J57" s="90"/>
      <c r="K57" s="90"/>
      <c r="L57" s="215"/>
      <c r="M57" s="214"/>
      <c r="N57" s="214"/>
      <c r="O57" s="214"/>
      <c r="P57" s="217"/>
      <c r="Q57" s="214"/>
      <c r="R57" s="214"/>
      <c r="S57" s="214"/>
      <c r="T57" s="218"/>
      <c r="U57" s="219"/>
      <c r="V57" s="72"/>
      <c r="W57" s="72"/>
      <c r="X57" s="72"/>
      <c r="Y57" s="72"/>
      <c r="Z57" s="71"/>
      <c r="AA57" s="72"/>
      <c r="AB57" s="72"/>
      <c r="AC57" s="72"/>
      <c r="AD57" s="72"/>
      <c r="AE57" s="72"/>
      <c r="AF57" s="72"/>
      <c r="AG57" s="95"/>
      <c r="AH57" s="95"/>
    </row>
    <row r="58" spans="1:34">
      <c r="A58" s="135" t="s">
        <v>161</v>
      </c>
      <c r="B58" s="9" t="s">
        <v>162</v>
      </c>
      <c r="P58" s="23"/>
      <c r="Q58" s="11"/>
      <c r="S58" s="11"/>
      <c r="T58" s="48"/>
      <c r="AA58" s="40"/>
      <c r="AB58" s="40"/>
      <c r="AD58" s="40"/>
      <c r="AE58" s="40"/>
      <c r="AF58" s="40"/>
      <c r="AG58" s="38"/>
      <c r="AH58" s="38"/>
    </row>
    <row r="59" spans="1:34" s="56" customFormat="1" ht="11.25" customHeight="1">
      <c r="A59" s="62" t="s">
        <v>163</v>
      </c>
      <c r="B59" s="62"/>
      <c r="C59" s="62"/>
      <c r="D59" s="62"/>
      <c r="E59" s="141">
        <v>1</v>
      </c>
      <c r="F59" s="142"/>
      <c r="G59" s="143">
        <v>0.12</v>
      </c>
      <c r="H59" s="143">
        <v>0</v>
      </c>
      <c r="I59" s="49">
        <v>55807</v>
      </c>
      <c r="J59" s="49">
        <f t="shared" ref="J59:J85" si="38">+$I$42*I59</f>
        <v>46710.458999999995</v>
      </c>
      <c r="K59" s="49">
        <f t="shared" ref="K59:K85" si="39">J59*(1-G59)</f>
        <v>41105.203919999993</v>
      </c>
      <c r="L59" s="58"/>
      <c r="M59" s="141">
        <v>0</v>
      </c>
      <c r="N59" s="50">
        <f t="shared" ref="N59:N85" si="40">+$M$42*M59</f>
        <v>0</v>
      </c>
      <c r="O59" s="50">
        <f t="shared" ref="O59:O85" si="41">N59*(1-G59)</f>
        <v>0</v>
      </c>
      <c r="P59" s="59"/>
      <c r="Q59" s="141">
        <v>0</v>
      </c>
      <c r="R59" s="50">
        <f t="shared" ref="R59:R85" si="42">+Q59*$Q$42</f>
        <v>0</v>
      </c>
      <c r="S59" s="51">
        <f t="shared" ref="S59:S85" si="43">R59*(1-G59)</f>
        <v>0</v>
      </c>
      <c r="T59" s="60">
        <v>15</v>
      </c>
      <c r="U59" s="61" t="s">
        <v>81</v>
      </c>
      <c r="V59" s="53">
        <f>SUMIF('Avoided Costs 2014-2023'!$A:$A,'2014 Actuals'!U59&amp;ROUNDDOWN('2014 Actuals'!T59,0),'Avoided Costs 2014-2023'!$E:$E)*K59</f>
        <v>95153.282127322105</v>
      </c>
      <c r="W59" s="53">
        <f>SUMIF('Avoided Costs 2014-2023'!$A:$A,'2014 Actuals'!U59&amp;ROUNDDOWN('2014 Actuals'!T59,0),'Avoided Costs 2014-2023'!$K:$K)*O59</f>
        <v>0</v>
      </c>
      <c r="X59" s="53">
        <f>SUMIF('Avoided Costs 2014-2023'!$A:$A,'2014 Actuals'!U59&amp;ROUNDDOWN('2014 Actuals'!T59,0),'Avoided Costs 2014-2023'!$M:$M)*S59</f>
        <v>0</v>
      </c>
      <c r="Y59" s="53">
        <f t="shared" ref="Y59:Y85" si="44">SUM(V59:X59)</f>
        <v>95153.282127322105</v>
      </c>
      <c r="Z59" s="55">
        <v>26800</v>
      </c>
      <c r="AA59" s="54">
        <f t="shared" ref="AA59:AA85" si="45">Z59*(1-G59)</f>
        <v>23584</v>
      </c>
      <c r="AB59" s="54"/>
      <c r="AC59" s="54"/>
      <c r="AD59" s="54"/>
      <c r="AE59" s="54">
        <f t="shared" ref="AE59:AE86" si="46">AA59+AC59</f>
        <v>23584</v>
      </c>
      <c r="AF59" s="54">
        <f t="shared" ref="AF59:AF86" si="47">Y59-AE59</f>
        <v>71569.282127322105</v>
      </c>
      <c r="AG59" s="49">
        <f t="shared" ref="AG59:AG85" si="48">K59*T59</f>
        <v>616578.05879999988</v>
      </c>
      <c r="AH59" s="49">
        <f t="shared" ref="AH59:AH85" si="49">(J59*T59)</f>
        <v>700656.88499999989</v>
      </c>
    </row>
    <row r="60" spans="1:34" s="56" customFormat="1" ht="11.25" customHeight="1">
      <c r="A60" s="62" t="s">
        <v>164</v>
      </c>
      <c r="B60" s="62"/>
      <c r="C60" s="62"/>
      <c r="D60" s="62"/>
      <c r="E60" s="141">
        <v>0</v>
      </c>
      <c r="F60" s="142"/>
      <c r="G60" s="143">
        <v>0.12</v>
      </c>
      <c r="H60" s="143">
        <v>0</v>
      </c>
      <c r="I60" s="49">
        <v>1596</v>
      </c>
      <c r="J60" s="49">
        <f t="shared" si="38"/>
        <v>1335.8519999999999</v>
      </c>
      <c r="K60" s="49">
        <f t="shared" si="39"/>
        <v>1175.5497599999999</v>
      </c>
      <c r="L60" s="58"/>
      <c r="M60" s="141">
        <v>0</v>
      </c>
      <c r="N60" s="50">
        <f t="shared" si="40"/>
        <v>0</v>
      </c>
      <c r="O60" s="50">
        <f t="shared" si="41"/>
        <v>0</v>
      </c>
      <c r="P60" s="59"/>
      <c r="Q60" s="141">
        <v>0</v>
      </c>
      <c r="R60" s="50">
        <f t="shared" si="42"/>
        <v>0</v>
      </c>
      <c r="S60" s="51">
        <f t="shared" si="43"/>
        <v>0</v>
      </c>
      <c r="T60" s="60">
        <v>15</v>
      </c>
      <c r="U60" s="61" t="s">
        <v>81</v>
      </c>
      <c r="V60" s="53">
        <f>SUMIF('Avoided Costs 2014-2023'!$A:$A,'2014 Actuals'!U60&amp;ROUNDDOWN('2014 Actuals'!T60,0),'Avoided Costs 2014-2023'!$E:$E)*K60</f>
        <v>2721.2471244683661</v>
      </c>
      <c r="W60" s="53">
        <f>SUMIF('Avoided Costs 2014-2023'!$A:$A,'2014 Actuals'!U60&amp;ROUNDDOWN('2014 Actuals'!T60,0),'Avoided Costs 2014-2023'!$K:$K)*O60</f>
        <v>0</v>
      </c>
      <c r="X60" s="53">
        <f>SUMIF('Avoided Costs 2014-2023'!$A:$A,'2014 Actuals'!U60&amp;ROUNDDOWN('2014 Actuals'!T60,0),'Avoided Costs 2014-2023'!$M:$M)*S60</f>
        <v>0</v>
      </c>
      <c r="Y60" s="53">
        <f t="shared" si="44"/>
        <v>2721.2471244683661</v>
      </c>
      <c r="Z60" s="55">
        <v>3500</v>
      </c>
      <c r="AA60" s="54">
        <f t="shared" si="45"/>
        <v>3080</v>
      </c>
      <c r="AB60" s="54"/>
      <c r="AC60" s="54"/>
      <c r="AD60" s="54"/>
      <c r="AE60" s="54">
        <f t="shared" si="46"/>
        <v>3080</v>
      </c>
      <c r="AF60" s="54">
        <f t="shared" si="47"/>
        <v>-358.75287553163389</v>
      </c>
      <c r="AG60" s="49">
        <f t="shared" si="48"/>
        <v>17633.246399999996</v>
      </c>
      <c r="AH60" s="49">
        <f t="shared" si="49"/>
        <v>20037.78</v>
      </c>
    </row>
    <row r="61" spans="1:34" s="56" customFormat="1" ht="11.25" customHeight="1">
      <c r="A61" s="62" t="s">
        <v>165</v>
      </c>
      <c r="B61" s="62"/>
      <c r="C61" s="62"/>
      <c r="D61" s="62"/>
      <c r="E61" s="141">
        <v>1</v>
      </c>
      <c r="F61" s="142"/>
      <c r="G61" s="143">
        <v>0.12</v>
      </c>
      <c r="H61" s="143">
        <v>0</v>
      </c>
      <c r="I61" s="49">
        <v>29997</v>
      </c>
      <c r="J61" s="49">
        <f t="shared" si="38"/>
        <v>25107.488999999998</v>
      </c>
      <c r="K61" s="49">
        <f t="shared" si="39"/>
        <v>22094.590319999999</v>
      </c>
      <c r="L61" s="58"/>
      <c r="M61" s="141">
        <v>54458</v>
      </c>
      <c r="N61" s="50">
        <f t="shared" si="40"/>
        <v>54458</v>
      </c>
      <c r="O61" s="50">
        <f t="shared" si="41"/>
        <v>47923.040000000001</v>
      </c>
      <c r="P61" s="59"/>
      <c r="Q61" s="141">
        <v>0</v>
      </c>
      <c r="R61" s="50">
        <f t="shared" si="42"/>
        <v>0</v>
      </c>
      <c r="S61" s="51">
        <f t="shared" si="43"/>
        <v>0</v>
      </c>
      <c r="T61" s="60">
        <v>15</v>
      </c>
      <c r="U61" s="61" t="s">
        <v>81</v>
      </c>
      <c r="V61" s="53">
        <f>SUMIF('Avoided Costs 2014-2023'!$A:$A,'2014 Actuals'!U61&amp;ROUNDDOWN('2014 Actuals'!T61,0),'Avoided Costs 2014-2023'!$E:$E)*K61</f>
        <v>51146.146611953372</v>
      </c>
      <c r="W61" s="53">
        <f>SUMIF('Avoided Costs 2014-2023'!$A:$A,'2014 Actuals'!U61&amp;ROUNDDOWN('2014 Actuals'!T61,0),'Avoided Costs 2014-2023'!$K:$K)*O61</f>
        <v>56668.053722090961</v>
      </c>
      <c r="X61" s="53">
        <f>SUMIF('Avoided Costs 2014-2023'!$A:$A,'2014 Actuals'!U61&amp;ROUNDDOWN('2014 Actuals'!T61,0),'Avoided Costs 2014-2023'!$M:$M)*S61</f>
        <v>0</v>
      </c>
      <c r="Y61" s="53">
        <f t="shared" si="44"/>
        <v>107814.20033404433</v>
      </c>
      <c r="Z61" s="55">
        <v>86675</v>
      </c>
      <c r="AA61" s="54">
        <f t="shared" si="45"/>
        <v>76274</v>
      </c>
      <c r="AB61" s="54"/>
      <c r="AC61" s="54"/>
      <c r="AD61" s="54"/>
      <c r="AE61" s="54">
        <f t="shared" si="46"/>
        <v>76274</v>
      </c>
      <c r="AF61" s="54">
        <f t="shared" si="47"/>
        <v>31540.200334044333</v>
      </c>
      <c r="AG61" s="49">
        <f t="shared" si="48"/>
        <v>331418.85479999997</v>
      </c>
      <c r="AH61" s="49">
        <f t="shared" si="49"/>
        <v>376612.33499999996</v>
      </c>
    </row>
    <row r="62" spans="1:34" s="56" customFormat="1" ht="11.25" customHeight="1">
      <c r="A62" s="62" t="s">
        <v>166</v>
      </c>
      <c r="B62" s="62"/>
      <c r="C62" s="62"/>
      <c r="D62" s="62"/>
      <c r="E62" s="141">
        <v>1</v>
      </c>
      <c r="F62" s="142"/>
      <c r="G62" s="143">
        <v>0.12</v>
      </c>
      <c r="H62" s="143">
        <v>0</v>
      </c>
      <c r="I62" s="49">
        <v>59102</v>
      </c>
      <c r="J62" s="49">
        <f t="shared" si="38"/>
        <v>49468.373999999996</v>
      </c>
      <c r="K62" s="49">
        <f t="shared" si="39"/>
        <v>43532.169119999999</v>
      </c>
      <c r="L62" s="58"/>
      <c r="M62" s="141">
        <v>0</v>
      </c>
      <c r="N62" s="50">
        <f t="shared" si="40"/>
        <v>0</v>
      </c>
      <c r="O62" s="50">
        <f t="shared" si="41"/>
        <v>0</v>
      </c>
      <c r="P62" s="59"/>
      <c r="Q62" s="141">
        <v>0</v>
      </c>
      <c r="R62" s="50">
        <f t="shared" si="42"/>
        <v>0</v>
      </c>
      <c r="S62" s="51">
        <f t="shared" si="43"/>
        <v>0</v>
      </c>
      <c r="T62" s="60">
        <v>5</v>
      </c>
      <c r="U62" s="61" t="s">
        <v>81</v>
      </c>
      <c r="V62" s="53">
        <f>SUMIF('Avoided Costs 2014-2023'!$A:$A,'2014 Actuals'!U62&amp;ROUNDDOWN('2014 Actuals'!T62,0),'Avoided Costs 2014-2023'!$E:$E)*K62</f>
        <v>37040.132939901792</v>
      </c>
      <c r="W62" s="53">
        <f>SUMIF('Avoided Costs 2014-2023'!$A:$A,'2014 Actuals'!U62&amp;ROUNDDOWN('2014 Actuals'!T62,0),'Avoided Costs 2014-2023'!$K:$K)*O62</f>
        <v>0</v>
      </c>
      <c r="X62" s="53">
        <f>SUMIF('Avoided Costs 2014-2023'!$A:$A,'2014 Actuals'!U62&amp;ROUNDDOWN('2014 Actuals'!T62,0),'Avoided Costs 2014-2023'!$M:$M)*S62</f>
        <v>0</v>
      </c>
      <c r="Y62" s="53">
        <f t="shared" si="44"/>
        <v>37040.132939901792</v>
      </c>
      <c r="Z62" s="55">
        <v>36968</v>
      </c>
      <c r="AA62" s="54">
        <f t="shared" si="45"/>
        <v>32531.84</v>
      </c>
      <c r="AB62" s="54"/>
      <c r="AC62" s="54"/>
      <c r="AD62" s="54"/>
      <c r="AE62" s="54">
        <f t="shared" si="46"/>
        <v>32531.84</v>
      </c>
      <c r="AF62" s="54">
        <f t="shared" si="47"/>
        <v>4508.2929399017921</v>
      </c>
      <c r="AG62" s="49">
        <f t="shared" si="48"/>
        <v>217660.8456</v>
      </c>
      <c r="AH62" s="49">
        <f t="shared" si="49"/>
        <v>247341.87</v>
      </c>
    </row>
    <row r="63" spans="1:34" s="56" customFormat="1" ht="11.25" customHeight="1">
      <c r="A63" s="62" t="s">
        <v>167</v>
      </c>
      <c r="B63" s="62"/>
      <c r="C63" s="62"/>
      <c r="D63" s="62"/>
      <c r="E63" s="141">
        <v>1</v>
      </c>
      <c r="F63" s="142"/>
      <c r="G63" s="143">
        <v>0.12</v>
      </c>
      <c r="H63" s="143">
        <v>0</v>
      </c>
      <c r="I63" s="49">
        <v>83018</v>
      </c>
      <c r="J63" s="49">
        <f t="shared" si="38"/>
        <v>69486.065999999992</v>
      </c>
      <c r="K63" s="49">
        <f t="shared" si="39"/>
        <v>61147.738079999996</v>
      </c>
      <c r="L63" s="58"/>
      <c r="M63" s="141">
        <v>0</v>
      </c>
      <c r="N63" s="50">
        <f t="shared" si="40"/>
        <v>0</v>
      </c>
      <c r="O63" s="50">
        <f t="shared" si="41"/>
        <v>0</v>
      </c>
      <c r="P63" s="59"/>
      <c r="Q63" s="141">
        <v>0</v>
      </c>
      <c r="R63" s="50">
        <f t="shared" si="42"/>
        <v>0</v>
      </c>
      <c r="S63" s="51">
        <f t="shared" si="43"/>
        <v>0</v>
      </c>
      <c r="T63" s="60">
        <v>25</v>
      </c>
      <c r="U63" s="61" t="s">
        <v>81</v>
      </c>
      <c r="V63" s="53">
        <f>SUMIF('Avoided Costs 2014-2023'!$A:$A,'2014 Actuals'!U63&amp;ROUNDDOWN('2014 Actuals'!T63,0),'Avoided Costs 2014-2023'!$E:$E)*K63</f>
        <v>194222.5563506218</v>
      </c>
      <c r="W63" s="53">
        <f>SUMIF('Avoided Costs 2014-2023'!$A:$A,'2014 Actuals'!U63&amp;ROUNDDOWN('2014 Actuals'!T63,0),'Avoided Costs 2014-2023'!$K:$K)*O63</f>
        <v>0</v>
      </c>
      <c r="X63" s="53">
        <f>SUMIF('Avoided Costs 2014-2023'!$A:$A,'2014 Actuals'!U63&amp;ROUNDDOWN('2014 Actuals'!T63,0),'Avoided Costs 2014-2023'!$M:$M)*S63</f>
        <v>0</v>
      </c>
      <c r="Y63" s="53">
        <f t="shared" si="44"/>
        <v>194222.5563506218</v>
      </c>
      <c r="Z63" s="55">
        <v>39832</v>
      </c>
      <c r="AA63" s="54">
        <f t="shared" si="45"/>
        <v>35052.160000000003</v>
      </c>
      <c r="AB63" s="54"/>
      <c r="AC63" s="54"/>
      <c r="AD63" s="54"/>
      <c r="AE63" s="54">
        <f t="shared" si="46"/>
        <v>35052.160000000003</v>
      </c>
      <c r="AF63" s="54">
        <f t="shared" si="47"/>
        <v>159170.3963506218</v>
      </c>
      <c r="AG63" s="49">
        <f t="shared" si="48"/>
        <v>1528693.4519999998</v>
      </c>
      <c r="AH63" s="49">
        <f t="shared" si="49"/>
        <v>1737151.65</v>
      </c>
    </row>
    <row r="64" spans="1:34" s="56" customFormat="1" ht="11.25" customHeight="1">
      <c r="A64" s="62" t="s">
        <v>168</v>
      </c>
      <c r="B64" s="62"/>
      <c r="C64" s="62"/>
      <c r="D64" s="62"/>
      <c r="E64" s="141">
        <v>1</v>
      </c>
      <c r="F64" s="142"/>
      <c r="G64" s="143">
        <v>0.12</v>
      </c>
      <c r="H64" s="143">
        <v>0</v>
      </c>
      <c r="I64" s="49">
        <v>25718</v>
      </c>
      <c r="J64" s="49">
        <f t="shared" si="38"/>
        <v>21525.966</v>
      </c>
      <c r="K64" s="49">
        <f t="shared" si="39"/>
        <v>18942.85008</v>
      </c>
      <c r="L64" s="58"/>
      <c r="M64" s="141">
        <v>0</v>
      </c>
      <c r="N64" s="50">
        <f t="shared" si="40"/>
        <v>0</v>
      </c>
      <c r="O64" s="50">
        <f t="shared" si="41"/>
        <v>0</v>
      </c>
      <c r="P64" s="59"/>
      <c r="Q64" s="141">
        <v>0</v>
      </c>
      <c r="R64" s="50">
        <f t="shared" si="42"/>
        <v>0</v>
      </c>
      <c r="S64" s="51">
        <f t="shared" si="43"/>
        <v>0</v>
      </c>
      <c r="T64" s="60">
        <v>5</v>
      </c>
      <c r="U64" s="61" t="s">
        <v>81</v>
      </c>
      <c r="V64" s="53">
        <f>SUMIF('Avoided Costs 2014-2023'!$A:$A,'2014 Actuals'!U64&amp;ROUNDDOWN('2014 Actuals'!T64,0),'Avoided Costs 2014-2023'!$E:$E)*K64</f>
        <v>16117.866382667158</v>
      </c>
      <c r="W64" s="53">
        <f>SUMIF('Avoided Costs 2014-2023'!$A:$A,'2014 Actuals'!U64&amp;ROUNDDOWN('2014 Actuals'!T64,0),'Avoided Costs 2014-2023'!$K:$K)*O64</f>
        <v>0</v>
      </c>
      <c r="X64" s="53">
        <f>SUMIF('Avoided Costs 2014-2023'!$A:$A,'2014 Actuals'!U64&amp;ROUNDDOWN('2014 Actuals'!T64,0),'Avoided Costs 2014-2023'!$M:$M)*S64</f>
        <v>0</v>
      </c>
      <c r="Y64" s="53">
        <f t="shared" si="44"/>
        <v>16117.866382667158</v>
      </c>
      <c r="Z64" s="55">
        <v>3284</v>
      </c>
      <c r="AA64" s="54">
        <f t="shared" si="45"/>
        <v>2889.92</v>
      </c>
      <c r="AB64" s="54"/>
      <c r="AC64" s="54"/>
      <c r="AD64" s="54"/>
      <c r="AE64" s="54">
        <f t="shared" si="46"/>
        <v>2889.92</v>
      </c>
      <c r="AF64" s="54">
        <f t="shared" si="47"/>
        <v>13227.946382667158</v>
      </c>
      <c r="AG64" s="49">
        <f t="shared" si="48"/>
        <v>94714.250400000004</v>
      </c>
      <c r="AH64" s="49">
        <f t="shared" si="49"/>
        <v>107629.83</v>
      </c>
    </row>
    <row r="65" spans="1:34" s="56" customFormat="1" ht="11.25" customHeight="1">
      <c r="A65" s="62" t="s">
        <v>169</v>
      </c>
      <c r="B65" s="62"/>
      <c r="C65" s="62"/>
      <c r="D65" s="62"/>
      <c r="E65" s="141">
        <v>1</v>
      </c>
      <c r="F65" s="142"/>
      <c r="G65" s="143">
        <v>0.12</v>
      </c>
      <c r="H65" s="143">
        <v>0</v>
      </c>
      <c r="I65" s="49">
        <v>18429</v>
      </c>
      <c r="J65" s="49">
        <f t="shared" si="38"/>
        <v>15425.072999999999</v>
      </c>
      <c r="K65" s="49">
        <f t="shared" si="39"/>
        <v>13574.064239999998</v>
      </c>
      <c r="L65" s="58"/>
      <c r="M65" s="141">
        <v>0</v>
      </c>
      <c r="N65" s="50">
        <f t="shared" si="40"/>
        <v>0</v>
      </c>
      <c r="O65" s="50">
        <f t="shared" si="41"/>
        <v>0</v>
      </c>
      <c r="P65" s="59"/>
      <c r="Q65" s="141">
        <v>0</v>
      </c>
      <c r="R65" s="50">
        <f t="shared" si="42"/>
        <v>0</v>
      </c>
      <c r="S65" s="51">
        <f t="shared" si="43"/>
        <v>0</v>
      </c>
      <c r="T65" s="60">
        <v>5</v>
      </c>
      <c r="U65" s="61" t="s">
        <v>81</v>
      </c>
      <c r="V65" s="53">
        <f>SUMIF('Avoided Costs 2014-2023'!$A:$A,'2014 Actuals'!U65&amp;ROUNDDOWN('2014 Actuals'!T65,0),'Avoided Costs 2014-2023'!$E:$E)*K65</f>
        <v>11549.737909875303</v>
      </c>
      <c r="W65" s="53">
        <f>SUMIF('Avoided Costs 2014-2023'!$A:$A,'2014 Actuals'!U65&amp;ROUNDDOWN('2014 Actuals'!T65,0),'Avoided Costs 2014-2023'!$K:$K)*O65</f>
        <v>0</v>
      </c>
      <c r="X65" s="53">
        <f>SUMIF('Avoided Costs 2014-2023'!$A:$A,'2014 Actuals'!U65&amp;ROUNDDOWN('2014 Actuals'!T65,0),'Avoided Costs 2014-2023'!$M:$M)*S65</f>
        <v>0</v>
      </c>
      <c r="Y65" s="53">
        <f t="shared" si="44"/>
        <v>11549.737909875303</v>
      </c>
      <c r="Z65" s="55">
        <v>7877</v>
      </c>
      <c r="AA65" s="54">
        <f t="shared" si="45"/>
        <v>6931.76</v>
      </c>
      <c r="AB65" s="54"/>
      <c r="AC65" s="54"/>
      <c r="AD65" s="54"/>
      <c r="AE65" s="54">
        <f t="shared" si="46"/>
        <v>6931.76</v>
      </c>
      <c r="AF65" s="54">
        <f t="shared" si="47"/>
        <v>4617.9779098753024</v>
      </c>
      <c r="AG65" s="49">
        <f t="shared" si="48"/>
        <v>67870.321199999991</v>
      </c>
      <c r="AH65" s="49">
        <f t="shared" si="49"/>
        <v>77125.364999999991</v>
      </c>
    </row>
    <row r="66" spans="1:34" s="56" customFormat="1" ht="11.25" customHeight="1">
      <c r="A66" s="62" t="s">
        <v>170</v>
      </c>
      <c r="B66" s="62"/>
      <c r="C66" s="62"/>
      <c r="D66" s="62"/>
      <c r="E66" s="141">
        <v>1</v>
      </c>
      <c r="F66" s="142"/>
      <c r="G66" s="143">
        <v>0.12</v>
      </c>
      <c r="H66" s="143">
        <v>0</v>
      </c>
      <c r="I66" s="49">
        <v>14509</v>
      </c>
      <c r="J66" s="49">
        <f t="shared" si="38"/>
        <v>12144.032999999999</v>
      </c>
      <c r="K66" s="49">
        <f t="shared" si="39"/>
        <v>10686.749039999999</v>
      </c>
      <c r="L66" s="58"/>
      <c r="M66" s="141">
        <v>16337</v>
      </c>
      <c r="N66" s="50">
        <f t="shared" si="40"/>
        <v>16337</v>
      </c>
      <c r="O66" s="50">
        <f t="shared" si="41"/>
        <v>14376.56</v>
      </c>
      <c r="P66" s="59"/>
      <c r="Q66" s="141">
        <v>0</v>
      </c>
      <c r="R66" s="50">
        <f t="shared" si="42"/>
        <v>0</v>
      </c>
      <c r="S66" s="51">
        <f t="shared" si="43"/>
        <v>0</v>
      </c>
      <c r="T66" s="60">
        <v>15</v>
      </c>
      <c r="U66" s="61" t="s">
        <v>81</v>
      </c>
      <c r="V66" s="53">
        <f>SUMIF('Avoided Costs 2014-2023'!$A:$A,'2014 Actuals'!U66&amp;ROUNDDOWN('2014 Actuals'!T66,0),'Avoided Costs 2014-2023'!$E:$E)*K66</f>
        <v>24738.45521861624</v>
      </c>
      <c r="W66" s="53">
        <f>SUMIF('Avoided Costs 2014-2023'!$A:$A,'2014 Actuals'!U66&amp;ROUNDDOWN('2014 Actuals'!T66,0),'Avoided Costs 2014-2023'!$K:$K)*O66</f>
        <v>16999.999883539607</v>
      </c>
      <c r="X66" s="53">
        <f>SUMIF('Avoided Costs 2014-2023'!$A:$A,'2014 Actuals'!U66&amp;ROUNDDOWN('2014 Actuals'!T66,0),'Avoided Costs 2014-2023'!$M:$M)*S66</f>
        <v>0</v>
      </c>
      <c r="Y66" s="53">
        <f t="shared" si="44"/>
        <v>41738.455102155844</v>
      </c>
      <c r="Z66" s="55">
        <v>34850</v>
      </c>
      <c r="AA66" s="54">
        <f t="shared" si="45"/>
        <v>30668</v>
      </c>
      <c r="AB66" s="54"/>
      <c r="AC66" s="54"/>
      <c r="AD66" s="54"/>
      <c r="AE66" s="54">
        <f t="shared" si="46"/>
        <v>30668</v>
      </c>
      <c r="AF66" s="54">
        <f t="shared" si="47"/>
        <v>11070.455102155844</v>
      </c>
      <c r="AG66" s="49">
        <f t="shared" si="48"/>
        <v>160301.23559999999</v>
      </c>
      <c r="AH66" s="49">
        <f t="shared" si="49"/>
        <v>182160.495</v>
      </c>
    </row>
    <row r="67" spans="1:34" s="56" customFormat="1" ht="11.25" customHeight="1">
      <c r="A67" s="62" t="s">
        <v>171</v>
      </c>
      <c r="B67" s="62"/>
      <c r="C67" s="62"/>
      <c r="D67" s="62"/>
      <c r="E67" s="141">
        <v>1</v>
      </c>
      <c r="F67" s="142"/>
      <c r="G67" s="143">
        <v>0.12</v>
      </c>
      <c r="H67" s="143">
        <v>0</v>
      </c>
      <c r="I67" s="49">
        <v>26612</v>
      </c>
      <c r="J67" s="49">
        <f t="shared" si="38"/>
        <v>22274.243999999999</v>
      </c>
      <c r="K67" s="49">
        <f t="shared" si="39"/>
        <v>19601.334719999999</v>
      </c>
      <c r="L67" s="58"/>
      <c r="M67" s="141">
        <v>0</v>
      </c>
      <c r="N67" s="50">
        <f t="shared" si="40"/>
        <v>0</v>
      </c>
      <c r="O67" s="50">
        <f t="shared" si="41"/>
        <v>0</v>
      </c>
      <c r="P67" s="59"/>
      <c r="Q67" s="141">
        <v>0</v>
      </c>
      <c r="R67" s="50">
        <f t="shared" si="42"/>
        <v>0</v>
      </c>
      <c r="S67" s="51">
        <f t="shared" si="43"/>
        <v>0</v>
      </c>
      <c r="T67" s="60">
        <v>25</v>
      </c>
      <c r="U67" s="61" t="s">
        <v>94</v>
      </c>
      <c r="V67" s="53">
        <f>SUMIF('Avoided Costs 2014-2023'!$A:$A,'2014 Actuals'!U67&amp;ROUNDDOWN('2014 Actuals'!T67,0),'Avoided Costs 2014-2023'!$E:$E)*K67</f>
        <v>58328.613661565738</v>
      </c>
      <c r="W67" s="53">
        <f>SUMIF('Avoided Costs 2014-2023'!$A:$A,'2014 Actuals'!U67&amp;ROUNDDOWN('2014 Actuals'!T67,0),'Avoided Costs 2014-2023'!$K:$K)*O67</f>
        <v>0</v>
      </c>
      <c r="X67" s="53">
        <f>SUMIF('Avoided Costs 2014-2023'!$A:$A,'2014 Actuals'!U67&amp;ROUNDDOWN('2014 Actuals'!T67,0),'Avoided Costs 2014-2023'!$M:$M)*S67</f>
        <v>0</v>
      </c>
      <c r="Y67" s="53">
        <f t="shared" si="44"/>
        <v>58328.613661565738</v>
      </c>
      <c r="Z67" s="55">
        <v>26152</v>
      </c>
      <c r="AA67" s="54">
        <f t="shared" si="45"/>
        <v>23013.759999999998</v>
      </c>
      <c r="AB67" s="54"/>
      <c r="AC67" s="54"/>
      <c r="AD67" s="54"/>
      <c r="AE67" s="54">
        <f t="shared" si="46"/>
        <v>23013.759999999998</v>
      </c>
      <c r="AF67" s="54">
        <f t="shared" si="47"/>
        <v>35314.853661565736</v>
      </c>
      <c r="AG67" s="49">
        <f t="shared" si="48"/>
        <v>490033.36799999996</v>
      </c>
      <c r="AH67" s="49">
        <f t="shared" si="49"/>
        <v>556856.1</v>
      </c>
    </row>
    <row r="68" spans="1:34" s="56" customFormat="1" ht="11.25" customHeight="1">
      <c r="A68" s="62" t="s">
        <v>172</v>
      </c>
      <c r="B68" s="62"/>
      <c r="C68" s="62"/>
      <c r="D68" s="62"/>
      <c r="E68" s="141">
        <v>1</v>
      </c>
      <c r="F68" s="142"/>
      <c r="G68" s="143">
        <v>0.12</v>
      </c>
      <c r="H68" s="143">
        <v>0</v>
      </c>
      <c r="I68" s="49">
        <v>12487</v>
      </c>
      <c r="J68" s="49">
        <f t="shared" si="38"/>
        <v>10451.618999999999</v>
      </c>
      <c r="K68" s="49">
        <f t="shared" si="39"/>
        <v>9197.4247199999991</v>
      </c>
      <c r="L68" s="58"/>
      <c r="M68" s="141">
        <v>0</v>
      </c>
      <c r="N68" s="50">
        <f t="shared" si="40"/>
        <v>0</v>
      </c>
      <c r="O68" s="50">
        <f t="shared" si="41"/>
        <v>0</v>
      </c>
      <c r="P68" s="59"/>
      <c r="Q68" s="141">
        <v>0</v>
      </c>
      <c r="R68" s="50">
        <f t="shared" si="42"/>
        <v>0</v>
      </c>
      <c r="S68" s="51">
        <f t="shared" si="43"/>
        <v>0</v>
      </c>
      <c r="T68" s="60">
        <v>25</v>
      </c>
      <c r="U68" s="61" t="s">
        <v>94</v>
      </c>
      <c r="V68" s="53">
        <f>SUMIF('Avoided Costs 2014-2023'!$A:$A,'2014 Actuals'!U68&amp;ROUNDDOWN('2014 Actuals'!T68,0),'Avoided Costs 2014-2023'!$E:$E)*K68</f>
        <v>27369.209333833285</v>
      </c>
      <c r="W68" s="53">
        <f>SUMIF('Avoided Costs 2014-2023'!$A:$A,'2014 Actuals'!U68&amp;ROUNDDOWN('2014 Actuals'!T68,0),'Avoided Costs 2014-2023'!$K:$K)*O68</f>
        <v>0</v>
      </c>
      <c r="X68" s="53">
        <f>SUMIF('Avoided Costs 2014-2023'!$A:$A,'2014 Actuals'!U68&amp;ROUNDDOWN('2014 Actuals'!T68,0),'Avoided Costs 2014-2023'!$M:$M)*S68</f>
        <v>0</v>
      </c>
      <c r="Y68" s="53">
        <f t="shared" si="44"/>
        <v>27369.209333833285</v>
      </c>
      <c r="Z68" s="55">
        <v>7008</v>
      </c>
      <c r="AA68" s="54">
        <f t="shared" si="45"/>
        <v>6167.04</v>
      </c>
      <c r="AB68" s="54"/>
      <c r="AC68" s="54"/>
      <c r="AD68" s="54"/>
      <c r="AE68" s="54">
        <f t="shared" si="46"/>
        <v>6167.04</v>
      </c>
      <c r="AF68" s="54">
        <f t="shared" si="47"/>
        <v>21202.169333833284</v>
      </c>
      <c r="AG68" s="49">
        <f t="shared" si="48"/>
        <v>229935.61799999999</v>
      </c>
      <c r="AH68" s="49">
        <f t="shared" si="49"/>
        <v>261290.47499999998</v>
      </c>
    </row>
    <row r="69" spans="1:34" s="56" customFormat="1" ht="11.25" customHeight="1">
      <c r="A69" s="62" t="s">
        <v>173</v>
      </c>
      <c r="B69" s="62"/>
      <c r="C69" s="62"/>
      <c r="D69" s="62"/>
      <c r="E69" s="141">
        <v>1</v>
      </c>
      <c r="F69" s="142"/>
      <c r="G69" s="143">
        <v>0.12</v>
      </c>
      <c r="H69" s="143">
        <v>0</v>
      </c>
      <c r="I69" s="49">
        <v>56421</v>
      </c>
      <c r="J69" s="49">
        <f t="shared" si="38"/>
        <v>47224.377</v>
      </c>
      <c r="K69" s="49">
        <f t="shared" si="39"/>
        <v>41557.451760000004</v>
      </c>
      <c r="L69" s="58"/>
      <c r="M69" s="141">
        <v>0</v>
      </c>
      <c r="N69" s="50">
        <f t="shared" si="40"/>
        <v>0</v>
      </c>
      <c r="O69" s="50">
        <f t="shared" si="41"/>
        <v>0</v>
      </c>
      <c r="P69" s="59"/>
      <c r="Q69" s="141">
        <v>0</v>
      </c>
      <c r="R69" s="50">
        <f t="shared" si="42"/>
        <v>0</v>
      </c>
      <c r="S69" s="51">
        <f t="shared" si="43"/>
        <v>0</v>
      </c>
      <c r="T69" s="60">
        <v>15</v>
      </c>
      <c r="U69" s="61" t="s">
        <v>81</v>
      </c>
      <c r="V69" s="53">
        <f>SUMIF('Avoided Costs 2014-2023'!$A:$A,'2014 Actuals'!U69&amp;ROUNDDOWN('2014 Actuals'!T69,0),'Avoided Costs 2014-2023'!$E:$E)*K69</f>
        <v>96200.177950895799</v>
      </c>
      <c r="W69" s="53">
        <f>SUMIF('Avoided Costs 2014-2023'!$A:$A,'2014 Actuals'!U69&amp;ROUNDDOWN('2014 Actuals'!T69,0),'Avoided Costs 2014-2023'!$K:$K)*O69</f>
        <v>0</v>
      </c>
      <c r="X69" s="53">
        <f>SUMIF('Avoided Costs 2014-2023'!$A:$A,'2014 Actuals'!U69&amp;ROUNDDOWN('2014 Actuals'!T69,0),'Avoided Costs 2014-2023'!$M:$M)*S69</f>
        <v>0</v>
      </c>
      <c r="Y69" s="53">
        <f t="shared" si="44"/>
        <v>96200.177950895799</v>
      </c>
      <c r="Z69" s="55">
        <v>40984</v>
      </c>
      <c r="AA69" s="54">
        <f t="shared" si="45"/>
        <v>36065.919999999998</v>
      </c>
      <c r="AB69" s="54"/>
      <c r="AC69" s="54"/>
      <c r="AD69" s="54"/>
      <c r="AE69" s="54">
        <f t="shared" si="46"/>
        <v>36065.919999999998</v>
      </c>
      <c r="AF69" s="54">
        <f t="shared" si="47"/>
        <v>60134.257950895801</v>
      </c>
      <c r="AG69" s="49">
        <f t="shared" si="48"/>
        <v>623361.77640000009</v>
      </c>
      <c r="AH69" s="49">
        <f t="shared" si="49"/>
        <v>708365.65500000003</v>
      </c>
    </row>
    <row r="70" spans="1:34" s="56" customFormat="1" ht="11.25" customHeight="1">
      <c r="A70" s="62" t="s">
        <v>174</v>
      </c>
      <c r="B70" s="62"/>
      <c r="C70" s="62"/>
      <c r="D70" s="62"/>
      <c r="E70" s="141">
        <v>1</v>
      </c>
      <c r="F70" s="142"/>
      <c r="G70" s="143">
        <v>0.12</v>
      </c>
      <c r="H70" s="143">
        <v>0</v>
      </c>
      <c r="I70" s="49">
        <v>113005</v>
      </c>
      <c r="J70" s="49">
        <f t="shared" si="38"/>
        <v>94585.184999999998</v>
      </c>
      <c r="K70" s="49">
        <f t="shared" si="39"/>
        <v>83234.962799999994</v>
      </c>
      <c r="L70" s="58"/>
      <c r="M70" s="141">
        <v>0</v>
      </c>
      <c r="N70" s="50">
        <f t="shared" si="40"/>
        <v>0</v>
      </c>
      <c r="O70" s="50">
        <f t="shared" si="41"/>
        <v>0</v>
      </c>
      <c r="P70" s="59"/>
      <c r="Q70" s="141">
        <v>0</v>
      </c>
      <c r="R70" s="50">
        <f t="shared" si="42"/>
        <v>0</v>
      </c>
      <c r="S70" s="51">
        <f t="shared" si="43"/>
        <v>0</v>
      </c>
      <c r="T70" s="60">
        <v>15</v>
      </c>
      <c r="U70" s="61" t="s">
        <v>81</v>
      </c>
      <c r="V70" s="53">
        <f>SUMIF('Avoided Costs 2014-2023'!$A:$A,'2014 Actuals'!U70&amp;ROUNDDOWN('2014 Actuals'!T70,0),'Avoided Costs 2014-2023'!$E:$E)*K70</f>
        <v>192678.2777572354</v>
      </c>
      <c r="W70" s="53">
        <f>SUMIF('Avoided Costs 2014-2023'!$A:$A,'2014 Actuals'!U70&amp;ROUNDDOWN('2014 Actuals'!T70,0),'Avoided Costs 2014-2023'!$K:$K)*O70</f>
        <v>0</v>
      </c>
      <c r="X70" s="53">
        <f>SUMIF('Avoided Costs 2014-2023'!$A:$A,'2014 Actuals'!U70&amp;ROUNDDOWN('2014 Actuals'!T70,0),'Avoided Costs 2014-2023'!$M:$M)*S70</f>
        <v>0</v>
      </c>
      <c r="Y70" s="53">
        <f t="shared" si="44"/>
        <v>192678.2777572354</v>
      </c>
      <c r="Z70" s="55">
        <v>87720</v>
      </c>
      <c r="AA70" s="54">
        <f t="shared" si="45"/>
        <v>77193.600000000006</v>
      </c>
      <c r="AB70" s="54"/>
      <c r="AC70" s="54"/>
      <c r="AD70" s="54"/>
      <c r="AE70" s="54">
        <f t="shared" si="46"/>
        <v>77193.600000000006</v>
      </c>
      <c r="AF70" s="54">
        <f t="shared" si="47"/>
        <v>115484.67775723539</v>
      </c>
      <c r="AG70" s="49">
        <f t="shared" si="48"/>
        <v>1248524.4419999998</v>
      </c>
      <c r="AH70" s="49">
        <f t="shared" si="49"/>
        <v>1418777.7749999999</v>
      </c>
    </row>
    <row r="71" spans="1:34" s="56" customFormat="1" ht="11.25" customHeight="1">
      <c r="A71" s="62" t="s">
        <v>175</v>
      </c>
      <c r="B71" s="62"/>
      <c r="C71" s="62"/>
      <c r="D71" s="62"/>
      <c r="E71" s="141">
        <v>1</v>
      </c>
      <c r="F71" s="142"/>
      <c r="G71" s="143">
        <v>0.12</v>
      </c>
      <c r="H71" s="143">
        <v>0</v>
      </c>
      <c r="I71" s="49">
        <v>109424</v>
      </c>
      <c r="J71" s="49">
        <f t="shared" si="38"/>
        <v>91587.887999999992</v>
      </c>
      <c r="K71" s="49">
        <f t="shared" si="39"/>
        <v>80597.341439999989</v>
      </c>
      <c r="L71" s="58"/>
      <c r="M71" s="141">
        <v>0</v>
      </c>
      <c r="N71" s="50">
        <f t="shared" si="40"/>
        <v>0</v>
      </c>
      <c r="O71" s="50">
        <f t="shared" si="41"/>
        <v>0</v>
      </c>
      <c r="P71" s="59"/>
      <c r="Q71" s="141">
        <v>0</v>
      </c>
      <c r="R71" s="50">
        <f t="shared" si="42"/>
        <v>0</v>
      </c>
      <c r="S71" s="51">
        <f t="shared" si="43"/>
        <v>0</v>
      </c>
      <c r="T71" s="60">
        <v>25</v>
      </c>
      <c r="U71" s="61" t="s">
        <v>81</v>
      </c>
      <c r="V71" s="53">
        <f>SUMIF('Avoided Costs 2014-2023'!$A:$A,'2014 Actuals'!U71&amp;ROUNDDOWN('2014 Actuals'!T71,0),'Avoided Costs 2014-2023'!$E:$E)*K71</f>
        <v>256000.01211918425</v>
      </c>
      <c r="W71" s="53">
        <f>SUMIF('Avoided Costs 2014-2023'!$A:$A,'2014 Actuals'!U71&amp;ROUNDDOWN('2014 Actuals'!T71,0),'Avoided Costs 2014-2023'!$K:$K)*O71</f>
        <v>0</v>
      </c>
      <c r="X71" s="53">
        <f>SUMIF('Avoided Costs 2014-2023'!$A:$A,'2014 Actuals'!U71&amp;ROUNDDOWN('2014 Actuals'!T71,0),'Avoided Costs 2014-2023'!$M:$M)*S71</f>
        <v>0</v>
      </c>
      <c r="Y71" s="53">
        <f t="shared" si="44"/>
        <v>256000.01211918425</v>
      </c>
      <c r="Z71" s="55">
        <v>83732</v>
      </c>
      <c r="AA71" s="54">
        <f t="shared" si="45"/>
        <v>73684.160000000003</v>
      </c>
      <c r="AB71" s="54"/>
      <c r="AC71" s="54"/>
      <c r="AD71" s="54"/>
      <c r="AE71" s="54">
        <f t="shared" si="46"/>
        <v>73684.160000000003</v>
      </c>
      <c r="AF71" s="54">
        <f t="shared" si="47"/>
        <v>182315.85211918424</v>
      </c>
      <c r="AG71" s="49">
        <f t="shared" si="48"/>
        <v>2014933.5359999998</v>
      </c>
      <c r="AH71" s="49">
        <f t="shared" si="49"/>
        <v>2289697.1999999997</v>
      </c>
    </row>
    <row r="72" spans="1:34" s="56" customFormat="1" ht="11.25" customHeight="1">
      <c r="A72" s="62" t="s">
        <v>176</v>
      </c>
      <c r="B72" s="62"/>
      <c r="C72" s="62"/>
      <c r="D72" s="62"/>
      <c r="E72" s="141">
        <v>1</v>
      </c>
      <c r="F72" s="142"/>
      <c r="G72" s="143">
        <v>0.12</v>
      </c>
      <c r="H72" s="143">
        <v>0</v>
      </c>
      <c r="I72" s="49">
        <v>81564</v>
      </c>
      <c r="J72" s="49">
        <f t="shared" si="38"/>
        <v>68269.067999999999</v>
      </c>
      <c r="K72" s="49">
        <f t="shared" si="39"/>
        <v>60076.779840000003</v>
      </c>
      <c r="L72" s="58"/>
      <c r="M72" s="141">
        <v>0</v>
      </c>
      <c r="N72" s="50">
        <f t="shared" si="40"/>
        <v>0</v>
      </c>
      <c r="O72" s="50">
        <f t="shared" si="41"/>
        <v>0</v>
      </c>
      <c r="P72" s="59"/>
      <c r="Q72" s="141">
        <v>0</v>
      </c>
      <c r="R72" s="50">
        <f t="shared" si="42"/>
        <v>0</v>
      </c>
      <c r="S72" s="51">
        <f t="shared" si="43"/>
        <v>0</v>
      </c>
      <c r="T72" s="60">
        <v>25</v>
      </c>
      <c r="U72" s="61" t="s">
        <v>81</v>
      </c>
      <c r="V72" s="53">
        <f>SUMIF('Avoided Costs 2014-2023'!$A:$A,'2014 Actuals'!U72&amp;ROUNDDOWN('2014 Actuals'!T72,0),'Avoided Costs 2014-2023'!$E:$E)*K72</f>
        <v>190820.88927921798</v>
      </c>
      <c r="W72" s="53">
        <f>SUMIF('Avoided Costs 2014-2023'!$A:$A,'2014 Actuals'!U72&amp;ROUNDDOWN('2014 Actuals'!T72,0),'Avoided Costs 2014-2023'!$K:$K)*O72</f>
        <v>0</v>
      </c>
      <c r="X72" s="53">
        <f>SUMIF('Avoided Costs 2014-2023'!$A:$A,'2014 Actuals'!U72&amp;ROUNDDOWN('2014 Actuals'!T72,0),'Avoided Costs 2014-2023'!$M:$M)*S72</f>
        <v>0</v>
      </c>
      <c r="Y72" s="53">
        <f t="shared" si="44"/>
        <v>190820.88927921798</v>
      </c>
      <c r="Z72" s="55">
        <v>19777</v>
      </c>
      <c r="AA72" s="54">
        <f t="shared" si="45"/>
        <v>17403.759999999998</v>
      </c>
      <c r="AB72" s="54"/>
      <c r="AC72" s="54"/>
      <c r="AD72" s="54"/>
      <c r="AE72" s="54">
        <f t="shared" si="46"/>
        <v>17403.759999999998</v>
      </c>
      <c r="AF72" s="54">
        <f t="shared" si="47"/>
        <v>173417.12927921797</v>
      </c>
      <c r="AG72" s="49">
        <f t="shared" si="48"/>
        <v>1501919.496</v>
      </c>
      <c r="AH72" s="49">
        <f t="shared" si="49"/>
        <v>1706726.7</v>
      </c>
    </row>
    <row r="73" spans="1:34" s="56" customFormat="1" ht="11.25" customHeight="1">
      <c r="A73" s="62" t="s">
        <v>177</v>
      </c>
      <c r="B73" s="62"/>
      <c r="C73" s="62"/>
      <c r="D73" s="62"/>
      <c r="E73" s="141">
        <v>1</v>
      </c>
      <c r="F73" s="142"/>
      <c r="G73" s="143">
        <v>0.12</v>
      </c>
      <c r="H73" s="143">
        <v>0</v>
      </c>
      <c r="I73" s="49">
        <v>93665</v>
      </c>
      <c r="J73" s="49">
        <f t="shared" si="38"/>
        <v>78397.604999999996</v>
      </c>
      <c r="K73" s="49">
        <f t="shared" si="39"/>
        <v>68989.892399999997</v>
      </c>
      <c r="L73" s="58"/>
      <c r="M73" s="141">
        <v>0</v>
      </c>
      <c r="N73" s="50">
        <f t="shared" si="40"/>
        <v>0</v>
      </c>
      <c r="O73" s="50">
        <f t="shared" si="41"/>
        <v>0</v>
      </c>
      <c r="P73" s="59"/>
      <c r="Q73" s="141">
        <v>0</v>
      </c>
      <c r="R73" s="50">
        <f t="shared" si="42"/>
        <v>0</v>
      </c>
      <c r="S73" s="51">
        <f t="shared" si="43"/>
        <v>0</v>
      </c>
      <c r="T73" s="60">
        <v>25</v>
      </c>
      <c r="U73" s="61" t="s">
        <v>81</v>
      </c>
      <c r="V73" s="53">
        <f>SUMIF('Avoided Costs 2014-2023'!$A:$A,'2014 Actuals'!U73&amp;ROUNDDOWN('2014 Actuals'!T73,0),'Avoided Costs 2014-2023'!$E:$E)*K73</f>
        <v>219131.46234046822</v>
      </c>
      <c r="W73" s="53">
        <f>SUMIF('Avoided Costs 2014-2023'!$A:$A,'2014 Actuals'!U73&amp;ROUNDDOWN('2014 Actuals'!T73,0),'Avoided Costs 2014-2023'!$K:$K)*O73</f>
        <v>0</v>
      </c>
      <c r="X73" s="53">
        <f>SUMIF('Avoided Costs 2014-2023'!$A:$A,'2014 Actuals'!U73&amp;ROUNDDOWN('2014 Actuals'!T73,0),'Avoided Costs 2014-2023'!$M:$M)*S73</f>
        <v>0</v>
      </c>
      <c r="Y73" s="53">
        <f t="shared" si="44"/>
        <v>219131.46234046822</v>
      </c>
      <c r="Z73" s="55">
        <v>121590</v>
      </c>
      <c r="AA73" s="54">
        <f t="shared" si="45"/>
        <v>106999.2</v>
      </c>
      <c r="AB73" s="54"/>
      <c r="AC73" s="54"/>
      <c r="AD73" s="54"/>
      <c r="AE73" s="54">
        <f t="shared" si="46"/>
        <v>106999.2</v>
      </c>
      <c r="AF73" s="54">
        <f t="shared" si="47"/>
        <v>112132.26234046822</v>
      </c>
      <c r="AG73" s="49">
        <f t="shared" si="48"/>
        <v>1724747.3099999998</v>
      </c>
      <c r="AH73" s="49">
        <f t="shared" si="49"/>
        <v>1959940.125</v>
      </c>
    </row>
    <row r="74" spans="1:34" s="56" customFormat="1" ht="11.25" customHeight="1">
      <c r="A74" s="62" t="s">
        <v>178</v>
      </c>
      <c r="B74" s="62"/>
      <c r="C74" s="62"/>
      <c r="D74" s="62"/>
      <c r="E74" s="141">
        <v>1</v>
      </c>
      <c r="F74" s="142"/>
      <c r="G74" s="143">
        <v>0.12</v>
      </c>
      <c r="H74" s="143">
        <v>0</v>
      </c>
      <c r="I74" s="49">
        <v>20874</v>
      </c>
      <c r="J74" s="49">
        <f t="shared" si="38"/>
        <v>17471.538</v>
      </c>
      <c r="K74" s="49">
        <f t="shared" si="39"/>
        <v>15374.953440000001</v>
      </c>
      <c r="L74" s="58"/>
      <c r="M74" s="141">
        <v>0</v>
      </c>
      <c r="N74" s="50">
        <f t="shared" si="40"/>
        <v>0</v>
      </c>
      <c r="O74" s="50">
        <f t="shared" si="41"/>
        <v>0</v>
      </c>
      <c r="P74" s="59"/>
      <c r="Q74" s="141">
        <v>0</v>
      </c>
      <c r="R74" s="50">
        <f t="shared" si="42"/>
        <v>0</v>
      </c>
      <c r="S74" s="51">
        <f t="shared" si="43"/>
        <v>0</v>
      </c>
      <c r="T74" s="60">
        <v>15</v>
      </c>
      <c r="U74" s="61" t="s">
        <v>81</v>
      </c>
      <c r="V74" s="53">
        <f>SUMIF('Avoided Costs 2014-2023'!$A:$A,'2014 Actuals'!U74&amp;ROUNDDOWN('2014 Actuals'!T74,0),'Avoided Costs 2014-2023'!$E:$E)*K74</f>
        <v>35591.047917388896</v>
      </c>
      <c r="W74" s="53">
        <f>SUMIF('Avoided Costs 2014-2023'!$A:$A,'2014 Actuals'!U74&amp;ROUNDDOWN('2014 Actuals'!T74,0),'Avoided Costs 2014-2023'!$K:$K)*O74</f>
        <v>0</v>
      </c>
      <c r="X74" s="53">
        <f>SUMIF('Avoided Costs 2014-2023'!$A:$A,'2014 Actuals'!U74&amp;ROUNDDOWN('2014 Actuals'!T74,0),'Avoided Costs 2014-2023'!$M:$M)*S74</f>
        <v>0</v>
      </c>
      <c r="Y74" s="53">
        <f t="shared" si="44"/>
        <v>35591.047917388896</v>
      </c>
      <c r="Z74" s="55">
        <v>23406.240000000002</v>
      </c>
      <c r="AA74" s="54">
        <f t="shared" si="45"/>
        <v>20597.4912</v>
      </c>
      <c r="AB74" s="54"/>
      <c r="AC74" s="54"/>
      <c r="AD74" s="54"/>
      <c r="AE74" s="54">
        <f t="shared" si="46"/>
        <v>20597.4912</v>
      </c>
      <c r="AF74" s="54">
        <f t="shared" si="47"/>
        <v>14993.556717388896</v>
      </c>
      <c r="AG74" s="49">
        <f t="shared" si="48"/>
        <v>230624.30160000001</v>
      </c>
      <c r="AH74" s="49">
        <f t="shared" si="49"/>
        <v>262073.07</v>
      </c>
    </row>
    <row r="75" spans="1:34" s="56" customFormat="1" ht="11.25" customHeight="1">
      <c r="A75" s="62" t="s">
        <v>179</v>
      </c>
      <c r="B75" s="62"/>
      <c r="C75" s="62"/>
      <c r="D75" s="62"/>
      <c r="E75" s="141">
        <v>1</v>
      </c>
      <c r="F75" s="142"/>
      <c r="G75" s="143">
        <v>0.12</v>
      </c>
      <c r="H75" s="143">
        <v>0</v>
      </c>
      <c r="I75" s="49">
        <v>137181</v>
      </c>
      <c r="J75" s="49">
        <f t="shared" si="38"/>
        <v>114820.49699999999</v>
      </c>
      <c r="K75" s="49">
        <f t="shared" si="39"/>
        <v>101042.03735999999</v>
      </c>
      <c r="L75" s="58"/>
      <c r="M75" s="141">
        <v>208597</v>
      </c>
      <c r="N75" s="50">
        <f t="shared" si="40"/>
        <v>208597</v>
      </c>
      <c r="O75" s="50">
        <f t="shared" si="41"/>
        <v>183565.36000000002</v>
      </c>
      <c r="P75" s="59"/>
      <c r="Q75" s="141">
        <v>0</v>
      </c>
      <c r="R75" s="50">
        <f t="shared" si="42"/>
        <v>0</v>
      </c>
      <c r="S75" s="51">
        <f t="shared" si="43"/>
        <v>0</v>
      </c>
      <c r="T75" s="60">
        <v>15</v>
      </c>
      <c r="U75" s="61" t="s">
        <v>81</v>
      </c>
      <c r="V75" s="53">
        <f>SUMIF('Avoided Costs 2014-2023'!$A:$A,'2014 Actuals'!U75&amp;ROUNDDOWN('2014 Actuals'!T75,0),'Avoided Costs 2014-2023'!$E:$E)*K75</f>
        <v>233899.37454993415</v>
      </c>
      <c r="W75" s="53">
        <f>SUMIF('Avoided Costs 2014-2023'!$A:$A,'2014 Actuals'!U75&amp;ROUNDDOWN('2014 Actuals'!T75,0),'Avoided Costs 2014-2023'!$K:$K)*O75</f>
        <v>217062.43347656928</v>
      </c>
      <c r="X75" s="53">
        <f>SUMIF('Avoided Costs 2014-2023'!$A:$A,'2014 Actuals'!U75&amp;ROUNDDOWN('2014 Actuals'!T75,0),'Avoided Costs 2014-2023'!$M:$M)*S75</f>
        <v>0</v>
      </c>
      <c r="Y75" s="53">
        <f t="shared" si="44"/>
        <v>450961.80802650342</v>
      </c>
      <c r="Z75" s="55">
        <v>160000</v>
      </c>
      <c r="AA75" s="54">
        <f t="shared" si="45"/>
        <v>140800</v>
      </c>
      <c r="AB75" s="54"/>
      <c r="AC75" s="54"/>
      <c r="AD75" s="54"/>
      <c r="AE75" s="54">
        <f t="shared" si="46"/>
        <v>140800</v>
      </c>
      <c r="AF75" s="54">
        <f t="shared" si="47"/>
        <v>310161.80802650342</v>
      </c>
      <c r="AG75" s="49">
        <f t="shared" si="48"/>
        <v>1515630.5603999998</v>
      </c>
      <c r="AH75" s="49">
        <f t="shared" si="49"/>
        <v>1722307.4549999998</v>
      </c>
    </row>
    <row r="76" spans="1:34" s="56" customFormat="1" ht="11.25" customHeight="1">
      <c r="A76" s="62" t="s">
        <v>180</v>
      </c>
      <c r="B76" s="62"/>
      <c r="C76" s="62"/>
      <c r="D76" s="62"/>
      <c r="E76" s="141">
        <v>1</v>
      </c>
      <c r="F76" s="142"/>
      <c r="G76" s="143">
        <v>0.12</v>
      </c>
      <c r="H76" s="143">
        <v>0</v>
      </c>
      <c r="I76" s="49">
        <v>48320</v>
      </c>
      <c r="J76" s="49">
        <f t="shared" si="38"/>
        <v>40443.839999999997</v>
      </c>
      <c r="K76" s="49">
        <f t="shared" si="39"/>
        <v>35590.5792</v>
      </c>
      <c r="L76" s="58"/>
      <c r="M76" s="141">
        <v>0</v>
      </c>
      <c r="N76" s="50">
        <f t="shared" si="40"/>
        <v>0</v>
      </c>
      <c r="O76" s="50">
        <f t="shared" si="41"/>
        <v>0</v>
      </c>
      <c r="P76" s="59"/>
      <c r="Q76" s="141">
        <v>0</v>
      </c>
      <c r="R76" s="50">
        <f t="shared" si="42"/>
        <v>0</v>
      </c>
      <c r="S76" s="51">
        <f t="shared" si="43"/>
        <v>0</v>
      </c>
      <c r="T76" s="60">
        <v>25</v>
      </c>
      <c r="U76" s="61" t="s">
        <v>81</v>
      </c>
      <c r="V76" s="53">
        <f>SUMIF('Avoided Costs 2014-2023'!$A:$A,'2014 Actuals'!U76&amp;ROUNDDOWN('2014 Actuals'!T76,0),'Avoided Costs 2014-2023'!$E:$E)*K76</f>
        <v>113045.77227663936</v>
      </c>
      <c r="W76" s="53">
        <f>SUMIF('Avoided Costs 2014-2023'!$A:$A,'2014 Actuals'!U76&amp;ROUNDDOWN('2014 Actuals'!T76,0),'Avoided Costs 2014-2023'!$K:$K)*O76</f>
        <v>0</v>
      </c>
      <c r="X76" s="53">
        <f>SUMIF('Avoided Costs 2014-2023'!$A:$A,'2014 Actuals'!U76&amp;ROUNDDOWN('2014 Actuals'!T76,0),'Avoided Costs 2014-2023'!$M:$M)*S76</f>
        <v>0</v>
      </c>
      <c r="Y76" s="53">
        <f t="shared" si="44"/>
        <v>113045.77227663936</v>
      </c>
      <c r="Z76" s="55">
        <v>113426</v>
      </c>
      <c r="AA76" s="54">
        <f t="shared" si="45"/>
        <v>99814.88</v>
      </c>
      <c r="AB76" s="54"/>
      <c r="AC76" s="54"/>
      <c r="AD76" s="54"/>
      <c r="AE76" s="54">
        <f t="shared" si="46"/>
        <v>99814.88</v>
      </c>
      <c r="AF76" s="54">
        <f t="shared" si="47"/>
        <v>13230.892276639352</v>
      </c>
      <c r="AG76" s="49">
        <f t="shared" si="48"/>
        <v>889764.48</v>
      </c>
      <c r="AH76" s="49">
        <f t="shared" si="49"/>
        <v>1011095.9999999999</v>
      </c>
    </row>
    <row r="77" spans="1:34" s="56" customFormat="1" ht="11.25" customHeight="1">
      <c r="A77" s="62" t="s">
        <v>181</v>
      </c>
      <c r="B77" s="62"/>
      <c r="C77" s="62"/>
      <c r="D77" s="62"/>
      <c r="E77" s="141">
        <v>1</v>
      </c>
      <c r="F77" s="142"/>
      <c r="G77" s="143">
        <v>0.12</v>
      </c>
      <c r="H77" s="143">
        <v>0</v>
      </c>
      <c r="I77" s="49">
        <v>12329</v>
      </c>
      <c r="J77" s="49">
        <f t="shared" si="38"/>
        <v>10319.373</v>
      </c>
      <c r="K77" s="49">
        <f t="shared" si="39"/>
        <v>9081.0482400000001</v>
      </c>
      <c r="L77" s="58"/>
      <c r="M77" s="141">
        <v>0</v>
      </c>
      <c r="N77" s="50">
        <f t="shared" si="40"/>
        <v>0</v>
      </c>
      <c r="O77" s="50">
        <f t="shared" si="41"/>
        <v>0</v>
      </c>
      <c r="P77" s="59"/>
      <c r="Q77" s="141">
        <v>0</v>
      </c>
      <c r="R77" s="50">
        <f t="shared" si="42"/>
        <v>0</v>
      </c>
      <c r="S77" s="51">
        <f t="shared" si="43"/>
        <v>0</v>
      </c>
      <c r="T77" s="60">
        <v>15</v>
      </c>
      <c r="U77" s="61" t="s">
        <v>81</v>
      </c>
      <c r="V77" s="53">
        <f>SUMIF('Avoided Costs 2014-2023'!$A:$A,'2014 Actuals'!U77&amp;ROUNDDOWN('2014 Actuals'!T77,0),'Avoided Costs 2014-2023'!$E:$E)*K77</f>
        <v>21021.463532312337</v>
      </c>
      <c r="W77" s="53">
        <f>SUMIF('Avoided Costs 2014-2023'!$A:$A,'2014 Actuals'!U77&amp;ROUNDDOWN('2014 Actuals'!T77,0),'Avoided Costs 2014-2023'!$K:$K)*O77</f>
        <v>0</v>
      </c>
      <c r="X77" s="53">
        <f>SUMIF('Avoided Costs 2014-2023'!$A:$A,'2014 Actuals'!U77&amp;ROUNDDOWN('2014 Actuals'!T77,0),'Avoided Costs 2014-2023'!$M:$M)*S77</f>
        <v>0</v>
      </c>
      <c r="Y77" s="53">
        <f t="shared" si="44"/>
        <v>21021.463532312337</v>
      </c>
      <c r="Z77" s="55">
        <v>15401.27</v>
      </c>
      <c r="AA77" s="54">
        <f t="shared" si="45"/>
        <v>13553.1176</v>
      </c>
      <c r="AB77" s="54"/>
      <c r="AC77" s="54"/>
      <c r="AD77" s="54"/>
      <c r="AE77" s="54">
        <f t="shared" si="46"/>
        <v>13553.1176</v>
      </c>
      <c r="AF77" s="54">
        <f t="shared" si="47"/>
        <v>7468.345932312337</v>
      </c>
      <c r="AG77" s="49">
        <f t="shared" si="48"/>
        <v>136215.7236</v>
      </c>
      <c r="AH77" s="49">
        <f t="shared" si="49"/>
        <v>154790.595</v>
      </c>
    </row>
    <row r="78" spans="1:34" s="56" customFormat="1" ht="11.25" customHeight="1">
      <c r="A78" s="62" t="s">
        <v>182</v>
      </c>
      <c r="B78" s="62"/>
      <c r="C78" s="62"/>
      <c r="D78" s="62"/>
      <c r="E78" s="141">
        <v>1</v>
      </c>
      <c r="F78" s="142"/>
      <c r="G78" s="143">
        <v>0.12</v>
      </c>
      <c r="H78" s="143">
        <v>0</v>
      </c>
      <c r="I78" s="49">
        <v>37983</v>
      </c>
      <c r="J78" s="49">
        <f t="shared" si="38"/>
        <v>31791.770999999997</v>
      </c>
      <c r="K78" s="49">
        <f t="shared" si="39"/>
        <v>27976.758479999997</v>
      </c>
      <c r="L78" s="58"/>
      <c r="M78" s="141">
        <v>0</v>
      </c>
      <c r="N78" s="50">
        <f t="shared" si="40"/>
        <v>0</v>
      </c>
      <c r="O78" s="50">
        <f t="shared" si="41"/>
        <v>0</v>
      </c>
      <c r="P78" s="59"/>
      <c r="Q78" s="141">
        <v>0</v>
      </c>
      <c r="R78" s="50">
        <f t="shared" si="42"/>
        <v>0</v>
      </c>
      <c r="S78" s="51">
        <f t="shared" si="43"/>
        <v>0</v>
      </c>
      <c r="T78" s="60">
        <v>15</v>
      </c>
      <c r="U78" s="61" t="s">
        <v>81</v>
      </c>
      <c r="V78" s="53">
        <f>SUMIF('Avoided Costs 2014-2023'!$A:$A,'2014 Actuals'!U78&amp;ROUNDDOWN('2014 Actuals'!T78,0),'Avoided Costs 2014-2023'!$E:$E)*K78</f>
        <v>64762.612486642822</v>
      </c>
      <c r="W78" s="53">
        <f>SUMIF('Avoided Costs 2014-2023'!$A:$A,'2014 Actuals'!U78&amp;ROUNDDOWN('2014 Actuals'!T78,0),'Avoided Costs 2014-2023'!$K:$K)*O78</f>
        <v>0</v>
      </c>
      <c r="X78" s="53">
        <f>SUMIF('Avoided Costs 2014-2023'!$A:$A,'2014 Actuals'!U78&amp;ROUNDDOWN('2014 Actuals'!T78,0),'Avoided Costs 2014-2023'!$M:$M)*S78</f>
        <v>0</v>
      </c>
      <c r="Y78" s="53">
        <f t="shared" si="44"/>
        <v>64762.612486642822</v>
      </c>
      <c r="Z78" s="55">
        <v>44000</v>
      </c>
      <c r="AA78" s="54">
        <f t="shared" si="45"/>
        <v>38720</v>
      </c>
      <c r="AB78" s="54"/>
      <c r="AC78" s="54"/>
      <c r="AD78" s="54"/>
      <c r="AE78" s="54">
        <f t="shared" si="46"/>
        <v>38720</v>
      </c>
      <c r="AF78" s="54">
        <f t="shared" si="47"/>
        <v>26042.612486642822</v>
      </c>
      <c r="AG78" s="49">
        <f t="shared" si="48"/>
        <v>419651.37719999993</v>
      </c>
      <c r="AH78" s="49">
        <f t="shared" si="49"/>
        <v>476876.56499999994</v>
      </c>
    </row>
    <row r="79" spans="1:34" s="56" customFormat="1" ht="11.25" customHeight="1">
      <c r="A79" s="62" t="s">
        <v>183</v>
      </c>
      <c r="B79" s="62"/>
      <c r="C79" s="62"/>
      <c r="D79" s="62"/>
      <c r="E79" s="141">
        <v>1</v>
      </c>
      <c r="F79" s="142"/>
      <c r="G79" s="143">
        <v>0.12</v>
      </c>
      <c r="H79" s="143">
        <v>0</v>
      </c>
      <c r="I79" s="49">
        <v>46929</v>
      </c>
      <c r="J79" s="49">
        <f t="shared" si="38"/>
        <v>39279.572999999997</v>
      </c>
      <c r="K79" s="49">
        <f t="shared" si="39"/>
        <v>34566.024239999999</v>
      </c>
      <c r="L79" s="58"/>
      <c r="M79" s="141">
        <v>25254</v>
      </c>
      <c r="N79" s="50">
        <f t="shared" si="40"/>
        <v>25254</v>
      </c>
      <c r="O79" s="50">
        <f t="shared" si="41"/>
        <v>22223.52</v>
      </c>
      <c r="P79" s="59"/>
      <c r="Q79" s="141">
        <v>0</v>
      </c>
      <c r="R79" s="50">
        <f t="shared" si="42"/>
        <v>0</v>
      </c>
      <c r="S79" s="51">
        <f t="shared" si="43"/>
        <v>0</v>
      </c>
      <c r="T79" s="60">
        <v>15</v>
      </c>
      <c r="U79" s="61" t="s">
        <v>81</v>
      </c>
      <c r="V79" s="53">
        <f>SUMIF('Avoided Costs 2014-2023'!$A:$A,'2014 Actuals'!U79&amp;ROUNDDOWN('2014 Actuals'!T79,0),'Avoided Costs 2014-2023'!$E:$E)*K79</f>
        <v>80015.918736952357</v>
      </c>
      <c r="W79" s="53">
        <f>SUMIF('Avoided Costs 2014-2023'!$A:$A,'2014 Actuals'!U79&amp;ROUNDDOWN('2014 Actuals'!T79,0),'Avoided Costs 2014-2023'!$K:$K)*O79</f>
        <v>26278.875990629203</v>
      </c>
      <c r="X79" s="53">
        <f>SUMIF('Avoided Costs 2014-2023'!$A:$A,'2014 Actuals'!U79&amp;ROUNDDOWN('2014 Actuals'!T79,0),'Avoided Costs 2014-2023'!$M:$M)*S79</f>
        <v>0</v>
      </c>
      <c r="Y79" s="53">
        <f t="shared" si="44"/>
        <v>106294.79472758155</v>
      </c>
      <c r="Z79" s="55">
        <v>411210</v>
      </c>
      <c r="AA79" s="54">
        <f t="shared" si="45"/>
        <v>361864.8</v>
      </c>
      <c r="AB79" s="54"/>
      <c r="AC79" s="54"/>
      <c r="AD79" s="54"/>
      <c r="AE79" s="54">
        <f t="shared" si="46"/>
        <v>361864.8</v>
      </c>
      <c r="AF79" s="54">
        <f t="shared" si="47"/>
        <v>-255570.00527241844</v>
      </c>
      <c r="AG79" s="49">
        <f t="shared" si="48"/>
        <v>518490.36359999998</v>
      </c>
      <c r="AH79" s="49">
        <f t="shared" si="49"/>
        <v>589193.59499999997</v>
      </c>
    </row>
    <row r="80" spans="1:34" s="56" customFormat="1" ht="11.25" customHeight="1">
      <c r="A80" s="62" t="s">
        <v>184</v>
      </c>
      <c r="B80" s="62"/>
      <c r="C80" s="62"/>
      <c r="D80" s="62"/>
      <c r="E80" s="141">
        <v>1</v>
      </c>
      <c r="F80" s="142"/>
      <c r="G80" s="143">
        <v>0.12</v>
      </c>
      <c r="H80" s="143">
        <v>0</v>
      </c>
      <c r="I80" s="49">
        <v>91655</v>
      </c>
      <c r="J80" s="49">
        <f t="shared" si="38"/>
        <v>76715.235000000001</v>
      </c>
      <c r="K80" s="49">
        <f t="shared" si="39"/>
        <v>67509.406799999997</v>
      </c>
      <c r="L80" s="58"/>
      <c r="M80" s="141">
        <v>0</v>
      </c>
      <c r="N80" s="50">
        <f t="shared" si="40"/>
        <v>0</v>
      </c>
      <c r="O80" s="50">
        <f t="shared" si="41"/>
        <v>0</v>
      </c>
      <c r="P80" s="59"/>
      <c r="Q80" s="141">
        <v>0</v>
      </c>
      <c r="R80" s="50">
        <f t="shared" si="42"/>
        <v>0</v>
      </c>
      <c r="S80" s="51">
        <f t="shared" si="43"/>
        <v>0</v>
      </c>
      <c r="T80" s="60">
        <v>25</v>
      </c>
      <c r="U80" s="61" t="s">
        <v>81</v>
      </c>
      <c r="V80" s="53">
        <f>SUMIF('Avoided Costs 2014-2023'!$A:$A,'2014 Actuals'!U80&amp;ROUNDDOWN('2014 Actuals'!T80,0),'Avoided Costs 2014-2023'!$E:$E)*K80</f>
        <v>214429.0202403845</v>
      </c>
      <c r="W80" s="53">
        <f>SUMIF('Avoided Costs 2014-2023'!$A:$A,'2014 Actuals'!U80&amp;ROUNDDOWN('2014 Actuals'!T80,0),'Avoided Costs 2014-2023'!$K:$K)*O80</f>
        <v>0</v>
      </c>
      <c r="X80" s="53">
        <f>SUMIF('Avoided Costs 2014-2023'!$A:$A,'2014 Actuals'!U80&amp;ROUNDDOWN('2014 Actuals'!T80,0),'Avoided Costs 2014-2023'!$M:$M)*S80</f>
        <v>0</v>
      </c>
      <c r="Y80" s="53">
        <f t="shared" si="44"/>
        <v>214429.0202403845</v>
      </c>
      <c r="Z80" s="55">
        <v>61226</v>
      </c>
      <c r="AA80" s="54">
        <f t="shared" si="45"/>
        <v>53878.879999999997</v>
      </c>
      <c r="AB80" s="54"/>
      <c r="AC80" s="54"/>
      <c r="AD80" s="54"/>
      <c r="AE80" s="54">
        <f t="shared" si="46"/>
        <v>53878.879999999997</v>
      </c>
      <c r="AF80" s="54">
        <f t="shared" si="47"/>
        <v>160550.1402403845</v>
      </c>
      <c r="AG80" s="49">
        <f t="shared" si="48"/>
        <v>1687735.17</v>
      </c>
      <c r="AH80" s="49">
        <f t="shared" si="49"/>
        <v>1917880.875</v>
      </c>
    </row>
    <row r="81" spans="1:34" s="56" customFormat="1" ht="11.25" customHeight="1">
      <c r="A81" s="62" t="s">
        <v>185</v>
      </c>
      <c r="B81" s="62"/>
      <c r="C81" s="62"/>
      <c r="D81" s="62"/>
      <c r="E81" s="141">
        <v>1</v>
      </c>
      <c r="F81" s="142"/>
      <c r="G81" s="143">
        <v>0.12</v>
      </c>
      <c r="H81" s="143">
        <v>0</v>
      </c>
      <c r="I81" s="49">
        <v>36485</v>
      </c>
      <c r="J81" s="49">
        <f t="shared" si="38"/>
        <v>30537.945</v>
      </c>
      <c r="K81" s="49">
        <f t="shared" si="39"/>
        <v>26873.391599999999</v>
      </c>
      <c r="L81" s="58"/>
      <c r="M81" s="141">
        <v>0</v>
      </c>
      <c r="N81" s="50">
        <f t="shared" si="40"/>
        <v>0</v>
      </c>
      <c r="O81" s="50">
        <f t="shared" si="41"/>
        <v>0</v>
      </c>
      <c r="P81" s="59"/>
      <c r="Q81" s="141">
        <v>0</v>
      </c>
      <c r="R81" s="50">
        <f t="shared" si="42"/>
        <v>0</v>
      </c>
      <c r="S81" s="51">
        <f t="shared" si="43"/>
        <v>0</v>
      </c>
      <c r="T81" s="60">
        <v>25</v>
      </c>
      <c r="U81" s="61" t="s">
        <v>81</v>
      </c>
      <c r="V81" s="53">
        <f>SUMIF('Avoided Costs 2014-2023'!$A:$A,'2014 Actuals'!U81&amp;ROUNDDOWN('2014 Actuals'!T81,0),'Avoided Costs 2014-2023'!$E:$E)*K81</f>
        <v>85357.512448534486</v>
      </c>
      <c r="W81" s="53">
        <f>SUMIF('Avoided Costs 2014-2023'!$A:$A,'2014 Actuals'!U81&amp;ROUNDDOWN('2014 Actuals'!T81,0),'Avoided Costs 2014-2023'!$K:$K)*O81</f>
        <v>0</v>
      </c>
      <c r="X81" s="53">
        <f>SUMIF('Avoided Costs 2014-2023'!$A:$A,'2014 Actuals'!U81&amp;ROUNDDOWN('2014 Actuals'!T81,0),'Avoided Costs 2014-2023'!$M:$M)*S81</f>
        <v>0</v>
      </c>
      <c r="Y81" s="53">
        <f t="shared" si="44"/>
        <v>85357.512448534486</v>
      </c>
      <c r="Z81" s="55">
        <v>29811</v>
      </c>
      <c r="AA81" s="54">
        <f t="shared" si="45"/>
        <v>26233.68</v>
      </c>
      <c r="AB81" s="54"/>
      <c r="AC81" s="54"/>
      <c r="AD81" s="54"/>
      <c r="AE81" s="54">
        <f t="shared" si="46"/>
        <v>26233.68</v>
      </c>
      <c r="AF81" s="54">
        <f t="shared" si="47"/>
        <v>59123.832448534486</v>
      </c>
      <c r="AG81" s="49">
        <f t="shared" si="48"/>
        <v>671834.78999999992</v>
      </c>
      <c r="AH81" s="49">
        <f t="shared" si="49"/>
        <v>763448.625</v>
      </c>
    </row>
    <row r="82" spans="1:34" s="56" customFormat="1" ht="11.25" customHeight="1">
      <c r="A82" s="62" t="s">
        <v>186</v>
      </c>
      <c r="B82" s="62"/>
      <c r="C82" s="62"/>
      <c r="D82" s="62"/>
      <c r="E82" s="141">
        <v>0</v>
      </c>
      <c r="F82" s="142"/>
      <c r="G82" s="143">
        <v>0.12</v>
      </c>
      <c r="H82" s="143">
        <v>0</v>
      </c>
      <c r="I82" s="49">
        <v>29974</v>
      </c>
      <c r="J82" s="49">
        <f t="shared" si="38"/>
        <v>25088.237999999998</v>
      </c>
      <c r="K82" s="49">
        <f t="shared" si="39"/>
        <v>22077.649439999997</v>
      </c>
      <c r="L82" s="58"/>
      <c r="M82" s="141">
        <v>0</v>
      </c>
      <c r="N82" s="50">
        <f t="shared" si="40"/>
        <v>0</v>
      </c>
      <c r="O82" s="50">
        <f t="shared" si="41"/>
        <v>0</v>
      </c>
      <c r="P82" s="59"/>
      <c r="Q82" s="141">
        <v>0</v>
      </c>
      <c r="R82" s="50">
        <f t="shared" si="42"/>
        <v>0</v>
      </c>
      <c r="S82" s="51">
        <f t="shared" si="43"/>
        <v>0</v>
      </c>
      <c r="T82" s="60">
        <v>15</v>
      </c>
      <c r="U82" s="61" t="s">
        <v>81</v>
      </c>
      <c r="V82" s="53">
        <f>SUMIF('Avoided Costs 2014-2023'!$A:$A,'2014 Actuals'!U82&amp;ROUNDDOWN('2014 Actuals'!T82,0),'Avoided Costs 2014-2023'!$E:$E)*K82</f>
        <v>51106.930644620799</v>
      </c>
      <c r="W82" s="53">
        <f>SUMIF('Avoided Costs 2014-2023'!$A:$A,'2014 Actuals'!U82&amp;ROUNDDOWN('2014 Actuals'!T82,0),'Avoided Costs 2014-2023'!$K:$K)*O82</f>
        <v>0</v>
      </c>
      <c r="X82" s="53">
        <f>SUMIF('Avoided Costs 2014-2023'!$A:$A,'2014 Actuals'!U82&amp;ROUNDDOWN('2014 Actuals'!T82,0),'Avoided Costs 2014-2023'!$M:$M)*S82</f>
        <v>0</v>
      </c>
      <c r="Y82" s="53">
        <f t="shared" si="44"/>
        <v>51106.930644620799</v>
      </c>
      <c r="Z82" s="55">
        <v>0</v>
      </c>
      <c r="AA82" s="54">
        <f t="shared" si="45"/>
        <v>0</v>
      </c>
      <c r="AB82" s="54"/>
      <c r="AC82" s="54"/>
      <c r="AD82" s="54"/>
      <c r="AE82" s="54">
        <f t="shared" si="46"/>
        <v>0</v>
      </c>
      <c r="AF82" s="54">
        <f t="shared" si="47"/>
        <v>51106.930644620799</v>
      </c>
      <c r="AG82" s="49">
        <f t="shared" si="48"/>
        <v>331164.74159999995</v>
      </c>
      <c r="AH82" s="49">
        <f t="shared" si="49"/>
        <v>376323.56999999995</v>
      </c>
    </row>
    <row r="83" spans="1:34" s="56" customFormat="1" ht="11.25" customHeight="1">
      <c r="A83" s="62" t="s">
        <v>187</v>
      </c>
      <c r="B83" s="62"/>
      <c r="C83" s="62"/>
      <c r="D83" s="62"/>
      <c r="E83" s="141">
        <v>1</v>
      </c>
      <c r="F83" s="142"/>
      <c r="G83" s="143">
        <v>0.12</v>
      </c>
      <c r="H83" s="143">
        <v>0</v>
      </c>
      <c r="I83" s="49">
        <v>45027</v>
      </c>
      <c r="J83" s="49">
        <f t="shared" si="38"/>
        <v>37687.599000000002</v>
      </c>
      <c r="K83" s="49">
        <f t="shared" si="39"/>
        <v>33165.087120000004</v>
      </c>
      <c r="L83" s="58"/>
      <c r="M83" s="141">
        <v>0</v>
      </c>
      <c r="N83" s="50">
        <f t="shared" si="40"/>
        <v>0</v>
      </c>
      <c r="O83" s="50">
        <f t="shared" si="41"/>
        <v>0</v>
      </c>
      <c r="P83" s="59"/>
      <c r="Q83" s="141">
        <v>0</v>
      </c>
      <c r="R83" s="50">
        <f t="shared" si="42"/>
        <v>0</v>
      </c>
      <c r="S83" s="51">
        <f t="shared" si="43"/>
        <v>0</v>
      </c>
      <c r="T83" s="60">
        <v>15</v>
      </c>
      <c r="U83" s="61" t="s">
        <v>81</v>
      </c>
      <c r="V83" s="53">
        <f>SUMIF('Avoided Costs 2014-2023'!$A:$A,'2014 Actuals'!U83&amp;ROUNDDOWN('2014 Actuals'!T83,0),'Avoided Costs 2014-2023'!$E:$E)*K83</f>
        <v>76772.928742755103</v>
      </c>
      <c r="W83" s="53">
        <f>SUMIF('Avoided Costs 2014-2023'!$A:$A,'2014 Actuals'!U83&amp;ROUNDDOWN('2014 Actuals'!T83,0),'Avoided Costs 2014-2023'!$K:$K)*O83</f>
        <v>0</v>
      </c>
      <c r="X83" s="53">
        <f>SUMIF('Avoided Costs 2014-2023'!$A:$A,'2014 Actuals'!U83&amp;ROUNDDOWN('2014 Actuals'!T83,0),'Avoided Costs 2014-2023'!$M:$M)*S83</f>
        <v>0</v>
      </c>
      <c r="Y83" s="53">
        <f t="shared" si="44"/>
        <v>76772.928742755103</v>
      </c>
      <c r="Z83" s="55">
        <v>24900</v>
      </c>
      <c r="AA83" s="54">
        <f t="shared" si="45"/>
        <v>21912</v>
      </c>
      <c r="AB83" s="54"/>
      <c r="AC83" s="54"/>
      <c r="AD83" s="54"/>
      <c r="AE83" s="54">
        <f t="shared" si="46"/>
        <v>21912</v>
      </c>
      <c r="AF83" s="54">
        <f t="shared" si="47"/>
        <v>54860.928742755103</v>
      </c>
      <c r="AG83" s="49">
        <f t="shared" si="48"/>
        <v>497476.30680000008</v>
      </c>
      <c r="AH83" s="49">
        <f t="shared" si="49"/>
        <v>565313.98499999999</v>
      </c>
    </row>
    <row r="84" spans="1:34" s="56" customFormat="1" ht="11.25" customHeight="1">
      <c r="A84" s="62" t="s">
        <v>188</v>
      </c>
      <c r="B84" s="62"/>
      <c r="C84" s="62"/>
      <c r="D84" s="62"/>
      <c r="E84" s="141">
        <v>1</v>
      </c>
      <c r="F84" s="142"/>
      <c r="G84" s="143">
        <v>0.12</v>
      </c>
      <c r="H84" s="143">
        <v>0</v>
      </c>
      <c r="I84" s="49">
        <v>7830</v>
      </c>
      <c r="J84" s="49">
        <f t="shared" si="38"/>
        <v>6553.71</v>
      </c>
      <c r="K84" s="49">
        <f t="shared" si="39"/>
        <v>5767.2647999999999</v>
      </c>
      <c r="L84" s="58"/>
      <c r="M84" s="141">
        <v>0</v>
      </c>
      <c r="N84" s="50">
        <f t="shared" si="40"/>
        <v>0</v>
      </c>
      <c r="O84" s="50">
        <f t="shared" si="41"/>
        <v>0</v>
      </c>
      <c r="P84" s="59"/>
      <c r="Q84" s="141">
        <v>0</v>
      </c>
      <c r="R84" s="50">
        <f t="shared" si="42"/>
        <v>0</v>
      </c>
      <c r="S84" s="51">
        <f t="shared" si="43"/>
        <v>0</v>
      </c>
      <c r="T84" s="60">
        <v>5</v>
      </c>
      <c r="U84" s="61" t="s">
        <v>81</v>
      </c>
      <c r="V84" s="53">
        <f>SUMIF('Avoided Costs 2014-2023'!$A:$A,'2014 Actuals'!U84&amp;ROUNDDOWN('2014 Actuals'!T84,0),'Avoided Costs 2014-2023'!$E:$E)*K84</f>
        <v>4907.1814984168232</v>
      </c>
      <c r="W84" s="53">
        <f>SUMIF('Avoided Costs 2014-2023'!$A:$A,'2014 Actuals'!U84&amp;ROUNDDOWN('2014 Actuals'!T84,0),'Avoided Costs 2014-2023'!$K:$K)*O84</f>
        <v>0</v>
      </c>
      <c r="X84" s="53">
        <f>SUMIF('Avoided Costs 2014-2023'!$A:$A,'2014 Actuals'!U84&amp;ROUNDDOWN('2014 Actuals'!T84,0),'Avoided Costs 2014-2023'!$M:$M)*S84</f>
        <v>0</v>
      </c>
      <c r="Y84" s="53">
        <f t="shared" si="44"/>
        <v>4907.1814984168232</v>
      </c>
      <c r="Z84" s="55">
        <v>5928</v>
      </c>
      <c r="AA84" s="54">
        <f t="shared" si="45"/>
        <v>5216.6400000000003</v>
      </c>
      <c r="AB84" s="54"/>
      <c r="AC84" s="54"/>
      <c r="AD84" s="54"/>
      <c r="AE84" s="54">
        <f t="shared" si="46"/>
        <v>5216.6400000000003</v>
      </c>
      <c r="AF84" s="54">
        <f t="shared" si="47"/>
        <v>-309.45850158317717</v>
      </c>
      <c r="AG84" s="49">
        <f t="shared" si="48"/>
        <v>28836.324000000001</v>
      </c>
      <c r="AH84" s="49">
        <f t="shared" si="49"/>
        <v>32768.550000000003</v>
      </c>
    </row>
    <row r="85" spans="1:34" s="56" customFormat="1" ht="11.25" customHeight="1">
      <c r="A85" s="62" t="s">
        <v>189</v>
      </c>
      <c r="B85" s="62"/>
      <c r="C85" s="62"/>
      <c r="D85" s="62"/>
      <c r="E85" s="141">
        <v>1</v>
      </c>
      <c r="F85" s="142"/>
      <c r="G85" s="143">
        <v>0.12</v>
      </c>
      <c r="H85" s="143">
        <v>0</v>
      </c>
      <c r="I85" s="49">
        <v>47943</v>
      </c>
      <c r="J85" s="49">
        <f t="shared" si="38"/>
        <v>40128.290999999997</v>
      </c>
      <c r="K85" s="49">
        <f t="shared" si="39"/>
        <v>35312.896079999999</v>
      </c>
      <c r="L85" s="58"/>
      <c r="M85" s="141">
        <v>29974</v>
      </c>
      <c r="N85" s="50">
        <f t="shared" si="40"/>
        <v>29974</v>
      </c>
      <c r="O85" s="50">
        <f t="shared" si="41"/>
        <v>26377.119999999999</v>
      </c>
      <c r="P85" s="59"/>
      <c r="Q85" s="141">
        <v>0</v>
      </c>
      <c r="R85" s="50">
        <f t="shared" si="42"/>
        <v>0</v>
      </c>
      <c r="S85" s="51">
        <f t="shared" si="43"/>
        <v>0</v>
      </c>
      <c r="T85" s="60">
        <v>15</v>
      </c>
      <c r="U85" s="61" t="s">
        <v>81</v>
      </c>
      <c r="V85" s="53">
        <f>SUMIF('Avoided Costs 2014-2023'!$A:$A,'2014 Actuals'!U85&amp;ROUNDDOWN('2014 Actuals'!T85,0),'Avoided Costs 2014-2023'!$E:$E)*K85</f>
        <v>81744.83138370105</v>
      </c>
      <c r="W85" s="53">
        <f>SUMIF('Avoided Costs 2014-2023'!$A:$A,'2014 Actuals'!U85&amp;ROUNDDOWN('2014 Actuals'!T85,0),'Avoided Costs 2014-2023'!$K:$K)*O85</f>
        <v>31190.426425244306</v>
      </c>
      <c r="X85" s="53">
        <f>SUMIF('Avoided Costs 2014-2023'!$A:$A,'2014 Actuals'!U85&amp;ROUNDDOWN('2014 Actuals'!T85,0),'Avoided Costs 2014-2023'!$M:$M)*S85</f>
        <v>0</v>
      </c>
      <c r="Y85" s="53">
        <f t="shared" si="44"/>
        <v>112935.25780894536</v>
      </c>
      <c r="Z85" s="55">
        <v>45200</v>
      </c>
      <c r="AA85" s="54">
        <f t="shared" si="45"/>
        <v>39776</v>
      </c>
      <c r="AB85" s="54"/>
      <c r="AC85" s="54"/>
      <c r="AD85" s="54"/>
      <c r="AE85" s="54">
        <f t="shared" si="46"/>
        <v>39776</v>
      </c>
      <c r="AF85" s="54">
        <f t="shared" si="47"/>
        <v>73159.25780894536</v>
      </c>
      <c r="AG85" s="49">
        <f t="shared" si="48"/>
        <v>529693.4412</v>
      </c>
      <c r="AH85" s="49">
        <f t="shared" si="49"/>
        <v>601924.36499999999</v>
      </c>
    </row>
    <row r="86" spans="1:34" s="69" customFormat="1" collapsed="1">
      <c r="A86" s="145" t="s">
        <v>35</v>
      </c>
      <c r="B86" s="145" t="s">
        <v>190</v>
      </c>
      <c r="C86" s="65"/>
      <c r="D86" s="65">
        <v>0</v>
      </c>
      <c r="E86" s="51">
        <f>SUM(E59:E85)</f>
        <v>25</v>
      </c>
      <c r="F86" s="105"/>
      <c r="G86" s="147"/>
      <c r="H86" s="211"/>
      <c r="I86" s="49">
        <f>SUM(I59:I85)</f>
        <v>1343884</v>
      </c>
      <c r="J86" s="49">
        <f>SUM(J59:J85)</f>
        <v>1124830.9079999996</v>
      </c>
      <c r="K86" s="49">
        <f>SUM(K59:K85)</f>
        <v>989851.19903999986</v>
      </c>
      <c r="L86" s="146"/>
      <c r="M86" s="49">
        <f>SUM(M59:M85)</f>
        <v>334620</v>
      </c>
      <c r="N86" s="49">
        <f>SUM(N59:N85)</f>
        <v>334620</v>
      </c>
      <c r="O86" s="49">
        <f>SUM(O59:O85)</f>
        <v>294465.60000000003</v>
      </c>
      <c r="P86" s="148"/>
      <c r="Q86" s="49">
        <v>0</v>
      </c>
      <c r="R86" s="49">
        <f>SUM(R59:R85)</f>
        <v>0</v>
      </c>
      <c r="S86" s="49">
        <f>SUM(S59:S85)</f>
        <v>0</v>
      </c>
      <c r="T86" s="103"/>
      <c r="U86" s="65" t="s">
        <v>160</v>
      </c>
      <c r="V86" s="54">
        <f t="shared" ref="V86:AA86" si="50">SUM(V59:V85)</f>
        <v>2535872.6615661089</v>
      </c>
      <c r="W86" s="54">
        <f t="shared" si="50"/>
        <v>348199.78949807334</v>
      </c>
      <c r="X86" s="54">
        <f t="shared" si="50"/>
        <v>0</v>
      </c>
      <c r="Y86" s="54">
        <f t="shared" si="50"/>
        <v>2884072.4510641824</v>
      </c>
      <c r="Z86" s="55"/>
      <c r="AA86" s="54">
        <f t="shared" si="50"/>
        <v>1373906.6087999998</v>
      </c>
      <c r="AB86" s="54">
        <v>151593.76999999999</v>
      </c>
      <c r="AC86" s="54">
        <v>11684.3</v>
      </c>
      <c r="AD86" s="54">
        <f>AB86+AC86</f>
        <v>163278.06999999998</v>
      </c>
      <c r="AE86" s="54">
        <f t="shared" si="46"/>
        <v>1385590.9087999999</v>
      </c>
      <c r="AF86" s="212">
        <f t="shared" si="47"/>
        <v>1498481.5422641826</v>
      </c>
      <c r="AG86" s="49">
        <f>SUM(AG59:AG85)</f>
        <v>18325443.391199999</v>
      </c>
      <c r="AH86" s="49">
        <f>SUM(AH59:AH85)</f>
        <v>20824367.489999998</v>
      </c>
    </row>
    <row r="87" spans="1:34">
      <c r="A87" s="135"/>
      <c r="P87" s="23"/>
      <c r="Q87" s="11"/>
      <c r="S87" s="11"/>
      <c r="T87" s="48"/>
      <c r="AA87" s="40"/>
      <c r="AB87" s="40"/>
      <c r="AD87" s="40"/>
      <c r="AE87" s="40"/>
      <c r="AF87" s="40"/>
      <c r="AG87" s="38"/>
      <c r="AH87" s="38"/>
    </row>
    <row r="88" spans="1:34">
      <c r="A88" s="135" t="s">
        <v>191</v>
      </c>
      <c r="B88" s="9" t="s">
        <v>192</v>
      </c>
      <c r="P88" s="23"/>
      <c r="Q88" s="11"/>
      <c r="S88" s="11"/>
      <c r="T88" s="48"/>
      <c r="AA88" s="40"/>
      <c r="AB88" s="40"/>
      <c r="AD88" s="40"/>
      <c r="AE88" s="40"/>
      <c r="AF88" s="40"/>
      <c r="AG88" s="38"/>
      <c r="AH88" s="38"/>
    </row>
    <row r="89" spans="1:34" s="56" customFormat="1">
      <c r="A89" s="62" t="s">
        <v>193</v>
      </c>
      <c r="B89" s="62"/>
      <c r="C89" s="62"/>
      <c r="D89" s="62"/>
      <c r="E89" s="141">
        <v>1</v>
      </c>
      <c r="F89" s="142"/>
      <c r="G89" s="143">
        <v>0.12</v>
      </c>
      <c r="H89" s="143">
        <v>0</v>
      </c>
      <c r="I89" s="49">
        <v>1863</v>
      </c>
      <c r="J89" s="49">
        <f t="shared" ref="J89:J129" si="51">+$I$42*I89</f>
        <v>1559.3309999999999</v>
      </c>
      <c r="K89" s="49">
        <f t="shared" ref="K89:K129" si="52">J89*(1-G89)</f>
        <v>1372.21128</v>
      </c>
      <c r="L89" s="58"/>
      <c r="M89" s="141">
        <v>-794</v>
      </c>
      <c r="N89" s="50">
        <f t="shared" ref="N89:N129" si="53">+$M$42*M89</f>
        <v>-794</v>
      </c>
      <c r="O89" s="50">
        <f t="shared" ref="O89:O129" si="54">N89*(1-G89)</f>
        <v>-698.72</v>
      </c>
      <c r="P89" s="59"/>
      <c r="Q89" s="141">
        <v>0</v>
      </c>
      <c r="R89" s="50">
        <f t="shared" ref="R89:R129" si="55">+Q89*$Q$42</f>
        <v>0</v>
      </c>
      <c r="S89" s="51">
        <f t="shared" ref="S89:S129" si="56">R89*(1-G89)</f>
        <v>0</v>
      </c>
      <c r="T89" s="60">
        <v>15</v>
      </c>
      <c r="U89" s="61" t="s">
        <v>81</v>
      </c>
      <c r="V89" s="53">
        <f>SUMIF('Avoided Costs 2014-2023'!$A:$A,'2014 Actuals'!U89&amp;ROUNDDOWN('2014 Actuals'!T89,0),'Avoided Costs 2014-2023'!$E:$E)*K89</f>
        <v>3176.493353937698</v>
      </c>
      <c r="W89" s="53">
        <f>SUMIF('Avoided Costs 2014-2023'!$A:$A,'2014 Actuals'!U89&amp;ROUNDDOWN('2014 Actuals'!T89,0),'Avoided Costs 2014-2023'!$K:$K)*O89</f>
        <v>-826.22267904330363</v>
      </c>
      <c r="X89" s="53">
        <f>SUMIF('Avoided Costs 2014-2023'!$A:$A,'2014 Actuals'!U89&amp;ROUNDDOWN('2014 Actuals'!T89,0),'Avoided Costs 2014-2023'!$M:$M)*S89</f>
        <v>0</v>
      </c>
      <c r="Y89" s="53">
        <f t="shared" ref="Y89:Y129" si="57">SUM(V89:X89)</f>
        <v>2350.2706748943942</v>
      </c>
      <c r="Z89" s="55">
        <v>1350</v>
      </c>
      <c r="AA89" s="54">
        <f t="shared" ref="AA89:AA129" si="58">Z89*(1-G89)</f>
        <v>1188</v>
      </c>
      <c r="AB89" s="54"/>
      <c r="AC89" s="54"/>
      <c r="AD89" s="54"/>
      <c r="AE89" s="54">
        <f t="shared" ref="AE89:AE130" si="59">AA89+AC89</f>
        <v>1188</v>
      </c>
      <c r="AF89" s="54">
        <f t="shared" ref="AF89:AF130" si="60">Y89-AE89</f>
        <v>1162.2706748943942</v>
      </c>
      <c r="AG89" s="49">
        <f t="shared" ref="AG89:AG129" si="61">K89*T89</f>
        <v>20583.1692</v>
      </c>
      <c r="AH89" s="49">
        <f t="shared" ref="AH89:AH129" si="62">(J89*T89)</f>
        <v>23389.965</v>
      </c>
    </row>
    <row r="90" spans="1:34" s="56" customFormat="1">
      <c r="A90" s="62" t="s">
        <v>194</v>
      </c>
      <c r="B90" s="62"/>
      <c r="C90" s="62"/>
      <c r="D90" s="62"/>
      <c r="E90" s="141">
        <v>1</v>
      </c>
      <c r="F90" s="142"/>
      <c r="G90" s="143">
        <v>0.12</v>
      </c>
      <c r="H90" s="143">
        <v>0</v>
      </c>
      <c r="I90" s="49">
        <v>35898</v>
      </c>
      <c r="J90" s="49">
        <f t="shared" si="51"/>
        <v>30046.626</v>
      </c>
      <c r="K90" s="49">
        <f t="shared" si="52"/>
        <v>26441.030880000002</v>
      </c>
      <c r="L90" s="58"/>
      <c r="M90" s="141">
        <v>0</v>
      </c>
      <c r="N90" s="50">
        <f t="shared" si="53"/>
        <v>0</v>
      </c>
      <c r="O90" s="50">
        <f t="shared" si="54"/>
        <v>0</v>
      </c>
      <c r="P90" s="59"/>
      <c r="Q90" s="141">
        <v>0</v>
      </c>
      <c r="R90" s="50">
        <f t="shared" si="55"/>
        <v>0</v>
      </c>
      <c r="S90" s="51">
        <f t="shared" si="56"/>
        <v>0</v>
      </c>
      <c r="T90" s="60">
        <v>25</v>
      </c>
      <c r="U90" s="61" t="s">
        <v>81</v>
      </c>
      <c r="V90" s="53">
        <f>SUMIF('Avoided Costs 2014-2023'!$A:$A,'2014 Actuals'!U90&amp;ROUNDDOWN('2014 Actuals'!T90,0),'Avoided Costs 2014-2023'!$E:$E)*K90</f>
        <v>83984.212193435422</v>
      </c>
      <c r="W90" s="53">
        <f>SUMIF('Avoided Costs 2014-2023'!$A:$A,'2014 Actuals'!U90&amp;ROUNDDOWN('2014 Actuals'!T90,0),'Avoided Costs 2014-2023'!$K:$K)*O90</f>
        <v>0</v>
      </c>
      <c r="X90" s="53">
        <f>SUMIF('Avoided Costs 2014-2023'!$A:$A,'2014 Actuals'!U90&amp;ROUNDDOWN('2014 Actuals'!T90,0),'Avoided Costs 2014-2023'!$M:$M)*S90</f>
        <v>0</v>
      </c>
      <c r="Y90" s="53">
        <f t="shared" si="57"/>
        <v>83984.212193435422</v>
      </c>
      <c r="Z90" s="55">
        <v>34457</v>
      </c>
      <c r="AA90" s="54">
        <f t="shared" si="58"/>
        <v>30322.16</v>
      </c>
      <c r="AB90" s="54"/>
      <c r="AC90" s="54"/>
      <c r="AD90" s="54"/>
      <c r="AE90" s="54">
        <f t="shared" si="59"/>
        <v>30322.16</v>
      </c>
      <c r="AF90" s="54">
        <f t="shared" si="60"/>
        <v>53662.052193435418</v>
      </c>
      <c r="AG90" s="49">
        <f t="shared" si="61"/>
        <v>661025.772</v>
      </c>
      <c r="AH90" s="49">
        <f t="shared" si="62"/>
        <v>751165.65</v>
      </c>
    </row>
    <row r="91" spans="1:34" s="56" customFormat="1">
      <c r="A91" s="62" t="s">
        <v>195</v>
      </c>
      <c r="B91" s="62"/>
      <c r="C91" s="62"/>
      <c r="D91" s="62"/>
      <c r="E91" s="141">
        <v>1</v>
      </c>
      <c r="F91" s="142"/>
      <c r="G91" s="143">
        <v>0.12</v>
      </c>
      <c r="H91" s="143">
        <v>0</v>
      </c>
      <c r="I91" s="49">
        <v>17965</v>
      </c>
      <c r="J91" s="49">
        <f t="shared" si="51"/>
        <v>15036.705</v>
      </c>
      <c r="K91" s="49">
        <f t="shared" si="52"/>
        <v>13232.3004</v>
      </c>
      <c r="L91" s="58"/>
      <c r="M91" s="141">
        <v>0</v>
      </c>
      <c r="N91" s="50">
        <f t="shared" si="53"/>
        <v>0</v>
      </c>
      <c r="O91" s="50">
        <f t="shared" si="54"/>
        <v>0</v>
      </c>
      <c r="P91" s="59"/>
      <c r="Q91" s="141">
        <v>0</v>
      </c>
      <c r="R91" s="50">
        <f t="shared" si="55"/>
        <v>0</v>
      </c>
      <c r="S91" s="51">
        <f t="shared" si="56"/>
        <v>0</v>
      </c>
      <c r="T91" s="60">
        <v>15</v>
      </c>
      <c r="U91" s="61" t="s">
        <v>81</v>
      </c>
      <c r="V91" s="53">
        <f>SUMIF('Avoided Costs 2014-2023'!$A:$A,'2014 Actuals'!U91&amp;ROUNDDOWN('2014 Actuals'!T91,0),'Avoided Costs 2014-2023'!$E:$E)*K91</f>
        <v>30631.080570848495</v>
      </c>
      <c r="W91" s="53">
        <f>SUMIF('Avoided Costs 2014-2023'!$A:$A,'2014 Actuals'!U91&amp;ROUNDDOWN('2014 Actuals'!T91,0),'Avoided Costs 2014-2023'!$K:$K)*O91</f>
        <v>0</v>
      </c>
      <c r="X91" s="53">
        <f>SUMIF('Avoided Costs 2014-2023'!$A:$A,'2014 Actuals'!U91&amp;ROUNDDOWN('2014 Actuals'!T91,0),'Avoided Costs 2014-2023'!$M:$M)*S91</f>
        <v>0</v>
      </c>
      <c r="Y91" s="53">
        <f t="shared" si="57"/>
        <v>30631.080570848495</v>
      </c>
      <c r="Z91" s="55">
        <v>32428</v>
      </c>
      <c r="AA91" s="54">
        <f t="shared" si="58"/>
        <v>28536.639999999999</v>
      </c>
      <c r="AB91" s="54"/>
      <c r="AC91" s="54"/>
      <c r="AD91" s="54"/>
      <c r="AE91" s="54">
        <f t="shared" si="59"/>
        <v>28536.639999999999</v>
      </c>
      <c r="AF91" s="54">
        <f t="shared" si="60"/>
        <v>2094.4405708484956</v>
      </c>
      <c r="AG91" s="49">
        <f t="shared" si="61"/>
        <v>198484.50599999999</v>
      </c>
      <c r="AH91" s="49">
        <f t="shared" si="62"/>
        <v>225550.57500000001</v>
      </c>
    </row>
    <row r="92" spans="1:34" s="56" customFormat="1">
      <c r="A92" s="62" t="s">
        <v>196</v>
      </c>
      <c r="B92" s="62"/>
      <c r="C92" s="62"/>
      <c r="D92" s="62"/>
      <c r="E92" s="141">
        <v>1</v>
      </c>
      <c r="F92" s="142"/>
      <c r="G92" s="143">
        <v>0.12</v>
      </c>
      <c r="H92" s="143">
        <v>0</v>
      </c>
      <c r="I92" s="49">
        <v>8432</v>
      </c>
      <c r="J92" s="49">
        <f t="shared" si="51"/>
        <v>7057.5839999999998</v>
      </c>
      <c r="K92" s="49">
        <f t="shared" si="52"/>
        <v>6210.6739200000002</v>
      </c>
      <c r="L92" s="58"/>
      <c r="M92" s="141">
        <v>0</v>
      </c>
      <c r="N92" s="50">
        <f t="shared" si="53"/>
        <v>0</v>
      </c>
      <c r="O92" s="50">
        <f t="shared" si="54"/>
        <v>0</v>
      </c>
      <c r="P92" s="59"/>
      <c r="Q92" s="141">
        <v>0</v>
      </c>
      <c r="R92" s="50">
        <f t="shared" si="55"/>
        <v>0</v>
      </c>
      <c r="S92" s="51">
        <f t="shared" si="56"/>
        <v>0</v>
      </c>
      <c r="T92" s="60">
        <v>15</v>
      </c>
      <c r="U92" s="61" t="s">
        <v>81</v>
      </c>
      <c r="V92" s="53">
        <f>SUMIF('Avoided Costs 2014-2023'!$A:$A,'2014 Actuals'!U92&amp;ROUNDDOWN('2014 Actuals'!T92,0),'Avoided Costs 2014-2023'!$E:$E)*K92</f>
        <v>14376.914632529613</v>
      </c>
      <c r="W92" s="53">
        <f>SUMIF('Avoided Costs 2014-2023'!$A:$A,'2014 Actuals'!U92&amp;ROUNDDOWN('2014 Actuals'!T92,0),'Avoided Costs 2014-2023'!$K:$K)*O92</f>
        <v>0</v>
      </c>
      <c r="X92" s="53">
        <f>SUMIF('Avoided Costs 2014-2023'!$A:$A,'2014 Actuals'!U92&amp;ROUNDDOWN('2014 Actuals'!T92,0),'Avoided Costs 2014-2023'!$M:$M)*S92</f>
        <v>0</v>
      </c>
      <c r="Y92" s="53">
        <f t="shared" si="57"/>
        <v>14376.914632529613</v>
      </c>
      <c r="Z92" s="55">
        <v>29421</v>
      </c>
      <c r="AA92" s="54">
        <f t="shared" si="58"/>
        <v>25890.48</v>
      </c>
      <c r="AB92" s="54"/>
      <c r="AC92" s="54"/>
      <c r="AD92" s="54"/>
      <c r="AE92" s="54">
        <f t="shared" si="59"/>
        <v>25890.48</v>
      </c>
      <c r="AF92" s="54">
        <f t="shared" si="60"/>
        <v>-11513.565367470386</v>
      </c>
      <c r="AG92" s="49">
        <f t="shared" si="61"/>
        <v>93160.108800000002</v>
      </c>
      <c r="AH92" s="49">
        <f t="shared" si="62"/>
        <v>105863.76</v>
      </c>
    </row>
    <row r="93" spans="1:34" s="56" customFormat="1">
      <c r="A93" s="62" t="s">
        <v>197</v>
      </c>
      <c r="B93" s="62"/>
      <c r="C93" s="62"/>
      <c r="D93" s="62"/>
      <c r="E93" s="141">
        <v>1</v>
      </c>
      <c r="F93" s="142"/>
      <c r="G93" s="143">
        <v>0.12</v>
      </c>
      <c r="H93" s="143">
        <v>0</v>
      </c>
      <c r="I93" s="49">
        <v>19360</v>
      </c>
      <c r="J93" s="49">
        <f t="shared" si="51"/>
        <v>16204.32</v>
      </c>
      <c r="K93" s="49">
        <f t="shared" si="52"/>
        <v>14259.801600000001</v>
      </c>
      <c r="L93" s="58"/>
      <c r="M93" s="141">
        <v>0</v>
      </c>
      <c r="N93" s="50">
        <f t="shared" si="53"/>
        <v>0</v>
      </c>
      <c r="O93" s="50">
        <f t="shared" si="54"/>
        <v>0</v>
      </c>
      <c r="P93" s="59"/>
      <c r="Q93" s="141">
        <v>0</v>
      </c>
      <c r="R93" s="50">
        <f t="shared" si="55"/>
        <v>0</v>
      </c>
      <c r="S93" s="51">
        <f t="shared" si="56"/>
        <v>0</v>
      </c>
      <c r="T93" s="60">
        <v>15</v>
      </c>
      <c r="U93" s="61" t="s">
        <v>81</v>
      </c>
      <c r="V93" s="53">
        <f>SUMIF('Avoided Costs 2014-2023'!$A:$A,'2014 Actuals'!U93&amp;ROUNDDOWN('2014 Actuals'!T93,0),'Avoided Costs 2014-2023'!$E:$E)*K93</f>
        <v>33009.614241671414</v>
      </c>
      <c r="W93" s="53">
        <f>SUMIF('Avoided Costs 2014-2023'!$A:$A,'2014 Actuals'!U93&amp;ROUNDDOWN('2014 Actuals'!T93,0),'Avoided Costs 2014-2023'!$K:$K)*O93</f>
        <v>0</v>
      </c>
      <c r="X93" s="53">
        <f>SUMIF('Avoided Costs 2014-2023'!$A:$A,'2014 Actuals'!U93&amp;ROUNDDOWN('2014 Actuals'!T93,0),'Avoided Costs 2014-2023'!$M:$M)*S93</f>
        <v>0</v>
      </c>
      <c r="Y93" s="53">
        <f t="shared" si="57"/>
        <v>33009.614241671414</v>
      </c>
      <c r="Z93" s="55">
        <v>29038.5</v>
      </c>
      <c r="AA93" s="54">
        <f t="shared" si="58"/>
        <v>25553.88</v>
      </c>
      <c r="AB93" s="54"/>
      <c r="AC93" s="54"/>
      <c r="AD93" s="54"/>
      <c r="AE93" s="54">
        <f t="shared" si="59"/>
        <v>25553.88</v>
      </c>
      <c r="AF93" s="54">
        <f t="shared" si="60"/>
        <v>7455.7342416714127</v>
      </c>
      <c r="AG93" s="49">
        <f t="shared" si="61"/>
        <v>213897.024</v>
      </c>
      <c r="AH93" s="49">
        <f t="shared" si="62"/>
        <v>243064.8</v>
      </c>
    </row>
    <row r="94" spans="1:34" s="56" customFormat="1">
      <c r="A94" s="62" t="s">
        <v>198</v>
      </c>
      <c r="B94" s="62"/>
      <c r="C94" s="62"/>
      <c r="D94" s="62"/>
      <c r="E94" s="141">
        <v>1</v>
      </c>
      <c r="F94" s="142"/>
      <c r="G94" s="143">
        <v>0.12</v>
      </c>
      <c r="H94" s="143">
        <v>0</v>
      </c>
      <c r="I94" s="49">
        <v>26860</v>
      </c>
      <c r="J94" s="49">
        <f t="shared" si="51"/>
        <v>22481.82</v>
      </c>
      <c r="K94" s="49">
        <f t="shared" si="52"/>
        <v>19784.0016</v>
      </c>
      <c r="L94" s="58"/>
      <c r="M94" s="141">
        <v>0</v>
      </c>
      <c r="N94" s="50">
        <f t="shared" si="53"/>
        <v>0</v>
      </c>
      <c r="O94" s="50">
        <f t="shared" si="54"/>
        <v>0</v>
      </c>
      <c r="P94" s="59"/>
      <c r="Q94" s="141">
        <v>0</v>
      </c>
      <c r="R94" s="50">
        <f t="shared" si="55"/>
        <v>0</v>
      </c>
      <c r="S94" s="51">
        <f t="shared" si="56"/>
        <v>0</v>
      </c>
      <c r="T94" s="60">
        <v>15</v>
      </c>
      <c r="U94" s="61" t="s">
        <v>81</v>
      </c>
      <c r="V94" s="53">
        <f>SUMIF('Avoided Costs 2014-2023'!$A:$A,'2014 Actuals'!U94&amp;ROUNDDOWN('2014 Actuals'!T94,0),'Avoided Costs 2014-2023'!$E:$E)*K94</f>
        <v>45797.429676203203</v>
      </c>
      <c r="W94" s="53">
        <f>SUMIF('Avoided Costs 2014-2023'!$A:$A,'2014 Actuals'!U94&amp;ROUNDDOWN('2014 Actuals'!T94,0),'Avoided Costs 2014-2023'!$K:$K)*O94</f>
        <v>0</v>
      </c>
      <c r="X94" s="53">
        <f>SUMIF('Avoided Costs 2014-2023'!$A:$A,'2014 Actuals'!U94&amp;ROUNDDOWN('2014 Actuals'!T94,0),'Avoided Costs 2014-2023'!$M:$M)*S94</f>
        <v>0</v>
      </c>
      <c r="Y94" s="53">
        <f t="shared" si="57"/>
        <v>45797.429676203203</v>
      </c>
      <c r="Z94" s="55">
        <v>17039.5</v>
      </c>
      <c r="AA94" s="54">
        <f t="shared" si="58"/>
        <v>14994.76</v>
      </c>
      <c r="AB94" s="54"/>
      <c r="AC94" s="54"/>
      <c r="AD94" s="54"/>
      <c r="AE94" s="54">
        <f t="shared" si="59"/>
        <v>14994.76</v>
      </c>
      <c r="AF94" s="54">
        <f t="shared" si="60"/>
        <v>30802.669676203201</v>
      </c>
      <c r="AG94" s="49">
        <f t="shared" si="61"/>
        <v>296760.02399999998</v>
      </c>
      <c r="AH94" s="49">
        <f t="shared" si="62"/>
        <v>337227.3</v>
      </c>
    </row>
    <row r="95" spans="1:34" s="56" customFormat="1">
      <c r="A95" s="62" t="s">
        <v>199</v>
      </c>
      <c r="B95" s="62"/>
      <c r="C95" s="62"/>
      <c r="D95" s="62"/>
      <c r="E95" s="141">
        <v>1</v>
      </c>
      <c r="F95" s="142"/>
      <c r="G95" s="143">
        <v>0.12</v>
      </c>
      <c r="H95" s="143">
        <v>0</v>
      </c>
      <c r="I95" s="49">
        <v>5402</v>
      </c>
      <c r="J95" s="49">
        <f t="shared" si="51"/>
        <v>4521.4740000000002</v>
      </c>
      <c r="K95" s="49">
        <f t="shared" si="52"/>
        <v>3978.8971200000001</v>
      </c>
      <c r="L95" s="58"/>
      <c r="M95" s="141">
        <v>-2190</v>
      </c>
      <c r="N95" s="50">
        <f t="shared" si="53"/>
        <v>-2190</v>
      </c>
      <c r="O95" s="50">
        <f t="shared" si="54"/>
        <v>-1927.2</v>
      </c>
      <c r="P95" s="59"/>
      <c r="Q95" s="141">
        <v>0</v>
      </c>
      <c r="R95" s="50">
        <f t="shared" si="55"/>
        <v>0</v>
      </c>
      <c r="S95" s="51">
        <f t="shared" si="56"/>
        <v>0</v>
      </c>
      <c r="T95" s="60">
        <v>15</v>
      </c>
      <c r="U95" s="61" t="s">
        <v>81</v>
      </c>
      <c r="V95" s="53">
        <f>SUMIF('Avoided Costs 2014-2023'!$A:$A,'2014 Actuals'!U95&amp;ROUNDDOWN('2014 Actuals'!T95,0),'Avoided Costs 2014-2023'!$E:$E)*K95</f>
        <v>9210.6371969787688</v>
      </c>
      <c r="W95" s="53">
        <f>SUMIF('Avoided Costs 2014-2023'!$A:$A,'2014 Actuals'!U95&amp;ROUNDDOWN('2014 Actuals'!T95,0),'Avoided Costs 2014-2023'!$K:$K)*O95</f>
        <v>-2278.8761550438726</v>
      </c>
      <c r="X95" s="53">
        <f>SUMIF('Avoided Costs 2014-2023'!$A:$A,'2014 Actuals'!U95&amp;ROUNDDOWN('2014 Actuals'!T95,0),'Avoided Costs 2014-2023'!$M:$M)*S95</f>
        <v>0</v>
      </c>
      <c r="Y95" s="53">
        <f t="shared" si="57"/>
        <v>6931.7610419348966</v>
      </c>
      <c r="Z95" s="55">
        <v>8100</v>
      </c>
      <c r="AA95" s="54">
        <f t="shared" si="58"/>
        <v>7128</v>
      </c>
      <c r="AB95" s="54"/>
      <c r="AC95" s="54"/>
      <c r="AD95" s="54"/>
      <c r="AE95" s="54">
        <f t="shared" si="59"/>
        <v>7128</v>
      </c>
      <c r="AF95" s="54">
        <f t="shared" si="60"/>
        <v>-196.23895806510336</v>
      </c>
      <c r="AG95" s="49">
        <f t="shared" si="61"/>
        <v>59683.4568</v>
      </c>
      <c r="AH95" s="49">
        <f t="shared" si="62"/>
        <v>67822.11</v>
      </c>
    </row>
    <row r="96" spans="1:34" s="56" customFormat="1">
      <c r="A96" s="62" t="s">
        <v>200</v>
      </c>
      <c r="B96" s="62"/>
      <c r="C96" s="62"/>
      <c r="D96" s="62"/>
      <c r="E96" s="141">
        <v>1</v>
      </c>
      <c r="F96" s="142"/>
      <c r="G96" s="143">
        <v>0.12</v>
      </c>
      <c r="H96" s="143">
        <v>0</v>
      </c>
      <c r="I96" s="49">
        <v>10302</v>
      </c>
      <c r="J96" s="49">
        <f t="shared" si="51"/>
        <v>8622.7739999999994</v>
      </c>
      <c r="K96" s="49">
        <f t="shared" si="52"/>
        <v>7588.0411199999999</v>
      </c>
      <c r="L96" s="58"/>
      <c r="M96" s="141">
        <v>-11587</v>
      </c>
      <c r="N96" s="50">
        <f t="shared" si="53"/>
        <v>-11587</v>
      </c>
      <c r="O96" s="50">
        <f t="shared" si="54"/>
        <v>-10196.56</v>
      </c>
      <c r="P96" s="59"/>
      <c r="Q96" s="141">
        <v>0</v>
      </c>
      <c r="R96" s="50">
        <f t="shared" si="55"/>
        <v>0</v>
      </c>
      <c r="S96" s="51">
        <f t="shared" si="56"/>
        <v>0</v>
      </c>
      <c r="T96" s="60">
        <v>15</v>
      </c>
      <c r="U96" s="61" t="s">
        <v>81</v>
      </c>
      <c r="V96" s="53">
        <f>SUMIF('Avoided Costs 2014-2023'!$A:$A,'2014 Actuals'!U96&amp;ROUNDDOWN('2014 Actuals'!T96,0),'Avoided Costs 2014-2023'!$E:$E)*K96</f>
        <v>17565.343280872876</v>
      </c>
      <c r="W96" s="53">
        <f>SUMIF('Avoided Costs 2014-2023'!$A:$A,'2014 Actuals'!U96&amp;ROUNDDOWN('2014 Actuals'!T96,0),'Avoided Costs 2014-2023'!$K:$K)*O96</f>
        <v>-12057.231967348562</v>
      </c>
      <c r="X96" s="53">
        <f>SUMIF('Avoided Costs 2014-2023'!$A:$A,'2014 Actuals'!U96&amp;ROUNDDOWN('2014 Actuals'!T96,0),'Avoided Costs 2014-2023'!$M:$M)*S96</f>
        <v>0</v>
      </c>
      <c r="Y96" s="53">
        <f t="shared" si="57"/>
        <v>5508.111313524314</v>
      </c>
      <c r="Z96" s="55">
        <v>14400</v>
      </c>
      <c r="AA96" s="54">
        <f t="shared" si="58"/>
        <v>12672</v>
      </c>
      <c r="AB96" s="54"/>
      <c r="AC96" s="54"/>
      <c r="AD96" s="54"/>
      <c r="AE96" s="54">
        <f t="shared" si="59"/>
        <v>12672</v>
      </c>
      <c r="AF96" s="54">
        <f t="shared" si="60"/>
        <v>-7163.888686475686</v>
      </c>
      <c r="AG96" s="49">
        <f t="shared" si="61"/>
        <v>113820.6168</v>
      </c>
      <c r="AH96" s="49">
        <f t="shared" si="62"/>
        <v>129341.60999999999</v>
      </c>
    </row>
    <row r="97" spans="1:34" s="56" customFormat="1">
      <c r="A97" s="62" t="s">
        <v>201</v>
      </c>
      <c r="B97" s="62"/>
      <c r="C97" s="62"/>
      <c r="D97" s="62"/>
      <c r="E97" s="141">
        <v>1</v>
      </c>
      <c r="F97" s="142"/>
      <c r="G97" s="143">
        <v>0.12</v>
      </c>
      <c r="H97" s="143">
        <v>0</v>
      </c>
      <c r="I97" s="49">
        <v>14993</v>
      </c>
      <c r="J97" s="49">
        <f t="shared" si="51"/>
        <v>12549.141</v>
      </c>
      <c r="K97" s="49">
        <f t="shared" si="52"/>
        <v>11043.24408</v>
      </c>
      <c r="L97" s="58"/>
      <c r="M97" s="141">
        <v>-8603</v>
      </c>
      <c r="N97" s="50">
        <f t="shared" si="53"/>
        <v>-8603</v>
      </c>
      <c r="O97" s="50">
        <f t="shared" si="54"/>
        <v>-7570.64</v>
      </c>
      <c r="P97" s="59"/>
      <c r="Q97" s="141">
        <v>0</v>
      </c>
      <c r="R97" s="50">
        <f t="shared" si="55"/>
        <v>0</v>
      </c>
      <c r="S97" s="51">
        <f t="shared" si="56"/>
        <v>0</v>
      </c>
      <c r="T97" s="60">
        <v>15</v>
      </c>
      <c r="U97" s="61" t="s">
        <v>81</v>
      </c>
      <c r="V97" s="53">
        <f>SUMIF('Avoided Costs 2014-2023'!$A:$A,'2014 Actuals'!U97&amp;ROUNDDOWN('2014 Actuals'!T97,0),'Avoided Costs 2014-2023'!$E:$E)*K97</f>
        <v>25563.695574658028</v>
      </c>
      <c r="W97" s="53">
        <f>SUMIF('Avoided Costs 2014-2023'!$A:$A,'2014 Actuals'!U97&amp;ROUNDDOWN('2014 Actuals'!T97,0),'Avoided Costs 2014-2023'!$K:$K)*O97</f>
        <v>-8952.1331332613863</v>
      </c>
      <c r="X97" s="53">
        <f>SUMIF('Avoided Costs 2014-2023'!$A:$A,'2014 Actuals'!U97&amp;ROUNDDOWN('2014 Actuals'!T97,0),'Avoided Costs 2014-2023'!$M:$M)*S97</f>
        <v>0</v>
      </c>
      <c r="Y97" s="53">
        <f t="shared" si="57"/>
        <v>16611.562441396643</v>
      </c>
      <c r="Z97" s="55">
        <v>33862.28</v>
      </c>
      <c r="AA97" s="54">
        <f t="shared" si="58"/>
        <v>29798.806399999998</v>
      </c>
      <c r="AB97" s="54"/>
      <c r="AC97" s="54"/>
      <c r="AD97" s="54"/>
      <c r="AE97" s="54">
        <f t="shared" si="59"/>
        <v>29798.806399999998</v>
      </c>
      <c r="AF97" s="54">
        <f t="shared" si="60"/>
        <v>-13187.243958603354</v>
      </c>
      <c r="AG97" s="49">
        <f t="shared" si="61"/>
        <v>165648.6612</v>
      </c>
      <c r="AH97" s="49">
        <f t="shared" si="62"/>
        <v>188237.11499999999</v>
      </c>
    </row>
    <row r="98" spans="1:34" s="56" customFormat="1">
      <c r="A98" s="62" t="s">
        <v>202</v>
      </c>
      <c r="B98" s="62"/>
      <c r="C98" s="62"/>
      <c r="D98" s="62"/>
      <c r="E98" s="141">
        <v>1</v>
      </c>
      <c r="F98" s="142"/>
      <c r="G98" s="143">
        <v>0.12</v>
      </c>
      <c r="H98" s="143">
        <v>0</v>
      </c>
      <c r="I98" s="49">
        <v>6589</v>
      </c>
      <c r="J98" s="49">
        <f t="shared" si="51"/>
        <v>5514.9929999999995</v>
      </c>
      <c r="K98" s="49">
        <f t="shared" si="52"/>
        <v>4853.1938399999999</v>
      </c>
      <c r="L98" s="58"/>
      <c r="M98" s="141">
        <v>0</v>
      </c>
      <c r="N98" s="50">
        <f t="shared" si="53"/>
        <v>0</v>
      </c>
      <c r="O98" s="50">
        <f t="shared" si="54"/>
        <v>0</v>
      </c>
      <c r="P98" s="59"/>
      <c r="Q98" s="141">
        <v>0</v>
      </c>
      <c r="R98" s="50">
        <f t="shared" si="55"/>
        <v>0</v>
      </c>
      <c r="S98" s="51">
        <f t="shared" si="56"/>
        <v>0</v>
      </c>
      <c r="T98" s="60">
        <v>25</v>
      </c>
      <c r="U98" s="61" t="s">
        <v>81</v>
      </c>
      <c r="V98" s="53">
        <f>SUMIF('Avoided Costs 2014-2023'!$A:$A,'2014 Actuals'!U98&amp;ROUNDDOWN('2014 Actuals'!T98,0),'Avoided Costs 2014-2023'!$E:$E)*K98</f>
        <v>15415.11989922965</v>
      </c>
      <c r="W98" s="53">
        <f>SUMIF('Avoided Costs 2014-2023'!$A:$A,'2014 Actuals'!U98&amp;ROUNDDOWN('2014 Actuals'!T98,0),'Avoided Costs 2014-2023'!$K:$K)*O98</f>
        <v>0</v>
      </c>
      <c r="X98" s="53">
        <f>SUMIF('Avoided Costs 2014-2023'!$A:$A,'2014 Actuals'!U98&amp;ROUNDDOWN('2014 Actuals'!T98,0),'Avoided Costs 2014-2023'!$M:$M)*S98</f>
        <v>0</v>
      </c>
      <c r="Y98" s="53">
        <f t="shared" si="57"/>
        <v>15415.11989922965</v>
      </c>
      <c r="Z98" s="55">
        <v>77000</v>
      </c>
      <c r="AA98" s="54">
        <f t="shared" si="58"/>
        <v>67760</v>
      </c>
      <c r="AB98" s="54"/>
      <c r="AC98" s="54"/>
      <c r="AD98" s="54"/>
      <c r="AE98" s="54">
        <f t="shared" si="59"/>
        <v>67760</v>
      </c>
      <c r="AF98" s="54">
        <f t="shared" si="60"/>
        <v>-52344.880100770351</v>
      </c>
      <c r="AG98" s="49">
        <f t="shared" si="61"/>
        <v>121329.84599999999</v>
      </c>
      <c r="AH98" s="49">
        <f t="shared" si="62"/>
        <v>137874.82499999998</v>
      </c>
    </row>
    <row r="99" spans="1:34" s="56" customFormat="1">
      <c r="A99" s="62" t="s">
        <v>203</v>
      </c>
      <c r="B99" s="62"/>
      <c r="C99" s="62"/>
      <c r="D99" s="62"/>
      <c r="E99" s="141">
        <v>1</v>
      </c>
      <c r="F99" s="142"/>
      <c r="G99" s="143">
        <v>0.12</v>
      </c>
      <c r="H99" s="143">
        <v>0</v>
      </c>
      <c r="I99" s="49">
        <v>6719</v>
      </c>
      <c r="J99" s="49">
        <f t="shared" si="51"/>
        <v>5623.8029999999999</v>
      </c>
      <c r="K99" s="49">
        <f t="shared" si="52"/>
        <v>4948.9466400000001</v>
      </c>
      <c r="L99" s="58"/>
      <c r="M99" s="141">
        <v>734</v>
      </c>
      <c r="N99" s="50">
        <f t="shared" si="53"/>
        <v>734</v>
      </c>
      <c r="O99" s="50">
        <f t="shared" si="54"/>
        <v>645.91999999999996</v>
      </c>
      <c r="P99" s="59"/>
      <c r="Q99" s="141">
        <v>0</v>
      </c>
      <c r="R99" s="50">
        <f t="shared" si="55"/>
        <v>0</v>
      </c>
      <c r="S99" s="51">
        <f t="shared" si="56"/>
        <v>0</v>
      </c>
      <c r="T99" s="60">
        <v>25</v>
      </c>
      <c r="U99" s="61" t="s">
        <v>81</v>
      </c>
      <c r="V99" s="53">
        <f>SUMIF('Avoided Costs 2014-2023'!$A:$A,'2014 Actuals'!U99&amp;ROUNDDOWN('2014 Actuals'!T99,0),'Avoided Costs 2014-2023'!$E:$E)*K99</f>
        <v>15719.257945503721</v>
      </c>
      <c r="W99" s="53">
        <f>SUMIF('Avoided Costs 2014-2023'!$A:$A,'2014 Actuals'!U99&amp;ROUNDDOWN('2014 Actuals'!T99,0),'Avoided Costs 2014-2023'!$K:$K)*O99</f>
        <v>1040.3809840753513</v>
      </c>
      <c r="X99" s="53">
        <f>SUMIF('Avoided Costs 2014-2023'!$A:$A,'2014 Actuals'!U99&amp;ROUNDDOWN('2014 Actuals'!T99,0),'Avoided Costs 2014-2023'!$M:$M)*S99</f>
        <v>0</v>
      </c>
      <c r="Y99" s="53">
        <f t="shared" si="57"/>
        <v>16759.638929579072</v>
      </c>
      <c r="Z99" s="55">
        <v>12828.67</v>
      </c>
      <c r="AA99" s="54">
        <f t="shared" si="58"/>
        <v>11289.229600000001</v>
      </c>
      <c r="AB99" s="54"/>
      <c r="AC99" s="54"/>
      <c r="AD99" s="54"/>
      <c r="AE99" s="54">
        <f t="shared" si="59"/>
        <v>11289.229600000001</v>
      </c>
      <c r="AF99" s="54">
        <f t="shared" si="60"/>
        <v>5470.4093295790717</v>
      </c>
      <c r="AG99" s="49">
        <f t="shared" si="61"/>
        <v>123723.666</v>
      </c>
      <c r="AH99" s="49">
        <f t="shared" si="62"/>
        <v>140595.07500000001</v>
      </c>
    </row>
    <row r="100" spans="1:34" s="56" customFormat="1">
      <c r="A100" s="62" t="s">
        <v>204</v>
      </c>
      <c r="B100" s="62"/>
      <c r="C100" s="62"/>
      <c r="D100" s="62"/>
      <c r="E100" s="141">
        <v>1</v>
      </c>
      <c r="F100" s="142"/>
      <c r="G100" s="143">
        <v>0.12</v>
      </c>
      <c r="H100" s="143">
        <v>0</v>
      </c>
      <c r="I100" s="49">
        <v>19974</v>
      </c>
      <c r="J100" s="49">
        <f t="shared" si="51"/>
        <v>16718.237999999998</v>
      </c>
      <c r="K100" s="49">
        <f t="shared" si="52"/>
        <v>14712.049439999997</v>
      </c>
      <c r="L100" s="58"/>
      <c r="M100" s="141">
        <v>0</v>
      </c>
      <c r="N100" s="50">
        <f t="shared" si="53"/>
        <v>0</v>
      </c>
      <c r="O100" s="50">
        <f t="shared" si="54"/>
        <v>0</v>
      </c>
      <c r="P100" s="59"/>
      <c r="Q100" s="141">
        <v>0</v>
      </c>
      <c r="R100" s="50">
        <f t="shared" si="55"/>
        <v>0</v>
      </c>
      <c r="S100" s="51">
        <f t="shared" si="56"/>
        <v>0</v>
      </c>
      <c r="T100" s="60">
        <v>15</v>
      </c>
      <c r="U100" s="61" t="s">
        <v>81</v>
      </c>
      <c r="V100" s="53">
        <f>SUMIF('Avoided Costs 2014-2023'!$A:$A,'2014 Actuals'!U100&amp;ROUNDDOWN('2014 Actuals'!T100,0),'Avoided Costs 2014-2023'!$E:$E)*K100</f>
        <v>34056.510065245071</v>
      </c>
      <c r="W100" s="53">
        <f>SUMIF('Avoided Costs 2014-2023'!$A:$A,'2014 Actuals'!U100&amp;ROUNDDOWN('2014 Actuals'!T100,0),'Avoided Costs 2014-2023'!$K:$K)*O100</f>
        <v>0</v>
      </c>
      <c r="X100" s="53">
        <f>SUMIF('Avoided Costs 2014-2023'!$A:$A,'2014 Actuals'!U100&amp;ROUNDDOWN('2014 Actuals'!T100,0),'Avoided Costs 2014-2023'!$M:$M)*S100</f>
        <v>0</v>
      </c>
      <c r="Y100" s="53">
        <f t="shared" si="57"/>
        <v>34056.510065245071</v>
      </c>
      <c r="Z100" s="55">
        <v>86000</v>
      </c>
      <c r="AA100" s="54">
        <f t="shared" si="58"/>
        <v>75680</v>
      </c>
      <c r="AB100" s="54"/>
      <c r="AC100" s="54"/>
      <c r="AD100" s="54"/>
      <c r="AE100" s="54">
        <f t="shared" si="59"/>
        <v>75680</v>
      </c>
      <c r="AF100" s="54">
        <f t="shared" si="60"/>
        <v>-41623.489934754929</v>
      </c>
      <c r="AG100" s="49">
        <f t="shared" si="61"/>
        <v>220680.74159999995</v>
      </c>
      <c r="AH100" s="49">
        <f t="shared" si="62"/>
        <v>250773.56999999995</v>
      </c>
    </row>
    <row r="101" spans="1:34" s="56" customFormat="1">
      <c r="A101" s="62" t="s">
        <v>205</v>
      </c>
      <c r="B101" s="62"/>
      <c r="C101" s="62"/>
      <c r="D101" s="62"/>
      <c r="E101" s="141">
        <v>1</v>
      </c>
      <c r="F101" s="142"/>
      <c r="G101" s="143">
        <v>0.12</v>
      </c>
      <c r="H101" s="143">
        <v>0</v>
      </c>
      <c r="I101" s="49">
        <v>43412</v>
      </c>
      <c r="J101" s="49">
        <f t="shared" si="51"/>
        <v>36335.843999999997</v>
      </c>
      <c r="K101" s="49">
        <f t="shared" si="52"/>
        <v>31975.542719999998</v>
      </c>
      <c r="L101" s="58"/>
      <c r="M101" s="141">
        <v>0</v>
      </c>
      <c r="N101" s="50">
        <f t="shared" si="53"/>
        <v>0</v>
      </c>
      <c r="O101" s="50">
        <f t="shared" si="54"/>
        <v>0</v>
      </c>
      <c r="P101" s="59"/>
      <c r="Q101" s="141">
        <v>0</v>
      </c>
      <c r="R101" s="50">
        <f t="shared" si="55"/>
        <v>0</v>
      </c>
      <c r="S101" s="51">
        <f t="shared" si="56"/>
        <v>0</v>
      </c>
      <c r="T101" s="60">
        <v>25</v>
      </c>
      <c r="U101" s="61" t="s">
        <v>81</v>
      </c>
      <c r="V101" s="53">
        <f>SUMIF('Avoided Costs 2014-2023'!$A:$A,'2014 Actuals'!U101&amp;ROUNDDOWN('2014 Actuals'!T101,0),'Avoided Costs 2014-2023'!$E:$E)*K101</f>
        <v>101563.39126807672</v>
      </c>
      <c r="W101" s="53">
        <f>SUMIF('Avoided Costs 2014-2023'!$A:$A,'2014 Actuals'!U101&amp;ROUNDDOWN('2014 Actuals'!T101,0),'Avoided Costs 2014-2023'!$K:$K)*O101</f>
        <v>0</v>
      </c>
      <c r="X101" s="53">
        <f>SUMIF('Avoided Costs 2014-2023'!$A:$A,'2014 Actuals'!U101&amp;ROUNDDOWN('2014 Actuals'!T101,0),'Avoided Costs 2014-2023'!$M:$M)*S101</f>
        <v>0</v>
      </c>
      <c r="Y101" s="53">
        <f t="shared" si="57"/>
        <v>101563.39126807672</v>
      </c>
      <c r="Z101" s="55">
        <v>23328</v>
      </c>
      <c r="AA101" s="54">
        <f t="shared" si="58"/>
        <v>20528.64</v>
      </c>
      <c r="AB101" s="54"/>
      <c r="AC101" s="54"/>
      <c r="AD101" s="54"/>
      <c r="AE101" s="54">
        <f t="shared" si="59"/>
        <v>20528.64</v>
      </c>
      <c r="AF101" s="54">
        <f t="shared" si="60"/>
        <v>81034.751268076725</v>
      </c>
      <c r="AG101" s="49">
        <f t="shared" si="61"/>
        <v>799388.56799999997</v>
      </c>
      <c r="AH101" s="49">
        <f t="shared" si="62"/>
        <v>908396.1</v>
      </c>
    </row>
    <row r="102" spans="1:34" s="56" customFormat="1">
      <c r="A102" s="62" t="s">
        <v>206</v>
      </c>
      <c r="B102" s="62"/>
      <c r="C102" s="62"/>
      <c r="D102" s="62"/>
      <c r="E102" s="141">
        <v>1</v>
      </c>
      <c r="F102" s="142"/>
      <c r="G102" s="143">
        <v>0.12</v>
      </c>
      <c r="H102" s="143">
        <v>0</v>
      </c>
      <c r="I102" s="49">
        <v>5968</v>
      </c>
      <c r="J102" s="49">
        <f t="shared" si="51"/>
        <v>4995.2159999999994</v>
      </c>
      <c r="K102" s="49">
        <f t="shared" si="52"/>
        <v>4395.7900799999998</v>
      </c>
      <c r="L102" s="58"/>
      <c r="M102" s="141">
        <v>652</v>
      </c>
      <c r="N102" s="50">
        <f t="shared" si="53"/>
        <v>652</v>
      </c>
      <c r="O102" s="50">
        <f t="shared" si="54"/>
        <v>573.76</v>
      </c>
      <c r="P102" s="59"/>
      <c r="Q102" s="141">
        <v>0</v>
      </c>
      <c r="R102" s="50">
        <f t="shared" si="55"/>
        <v>0</v>
      </c>
      <c r="S102" s="51">
        <f t="shared" si="56"/>
        <v>0</v>
      </c>
      <c r="T102" s="60">
        <v>15</v>
      </c>
      <c r="U102" s="61" t="s">
        <v>81</v>
      </c>
      <c r="V102" s="53">
        <f>SUMIF('Avoided Costs 2014-2023'!$A:$A,'2014 Actuals'!U102&amp;ROUNDDOWN('2014 Actuals'!T102,0),'Avoided Costs 2014-2023'!$E:$E)*K102</f>
        <v>10175.691001771434</v>
      </c>
      <c r="W102" s="53">
        <f>SUMIF('Avoided Costs 2014-2023'!$A:$A,'2014 Actuals'!U102&amp;ROUNDDOWN('2014 Actuals'!T102,0),'Avoided Costs 2014-2023'!$K:$K)*O102</f>
        <v>678.45993291717116</v>
      </c>
      <c r="X102" s="53">
        <f>SUMIF('Avoided Costs 2014-2023'!$A:$A,'2014 Actuals'!U102&amp;ROUNDDOWN('2014 Actuals'!T102,0),'Avoided Costs 2014-2023'!$M:$M)*S102</f>
        <v>0</v>
      </c>
      <c r="Y102" s="53">
        <f t="shared" si="57"/>
        <v>10854.150934688605</v>
      </c>
      <c r="Z102" s="55">
        <v>9462.76</v>
      </c>
      <c r="AA102" s="54">
        <f t="shared" si="58"/>
        <v>8327.2288000000008</v>
      </c>
      <c r="AB102" s="54"/>
      <c r="AC102" s="54"/>
      <c r="AD102" s="54"/>
      <c r="AE102" s="54">
        <f t="shared" si="59"/>
        <v>8327.2288000000008</v>
      </c>
      <c r="AF102" s="54">
        <f t="shared" si="60"/>
        <v>2526.9221346886043</v>
      </c>
      <c r="AG102" s="49">
        <f t="shared" si="61"/>
        <v>65936.85119999999</v>
      </c>
      <c r="AH102" s="49">
        <f t="shared" si="62"/>
        <v>74928.239999999991</v>
      </c>
    </row>
    <row r="103" spans="1:34" s="56" customFormat="1">
      <c r="A103" s="62" t="s">
        <v>207</v>
      </c>
      <c r="B103" s="62"/>
      <c r="C103" s="62"/>
      <c r="D103" s="62"/>
      <c r="E103" s="141">
        <v>1</v>
      </c>
      <c r="F103" s="142"/>
      <c r="G103" s="143">
        <v>0.12</v>
      </c>
      <c r="H103" s="143">
        <v>0</v>
      </c>
      <c r="I103" s="49">
        <v>8367</v>
      </c>
      <c r="J103" s="49">
        <f t="shared" si="51"/>
        <v>7003.1790000000001</v>
      </c>
      <c r="K103" s="49">
        <f t="shared" si="52"/>
        <v>6162.7975200000001</v>
      </c>
      <c r="L103" s="58"/>
      <c r="M103" s="141">
        <v>846</v>
      </c>
      <c r="N103" s="50">
        <f t="shared" si="53"/>
        <v>846</v>
      </c>
      <c r="O103" s="50">
        <f t="shared" si="54"/>
        <v>744.48</v>
      </c>
      <c r="P103" s="59"/>
      <c r="Q103" s="141">
        <v>0</v>
      </c>
      <c r="R103" s="50">
        <f t="shared" si="55"/>
        <v>0</v>
      </c>
      <c r="S103" s="51">
        <f t="shared" si="56"/>
        <v>0</v>
      </c>
      <c r="T103" s="60">
        <v>25</v>
      </c>
      <c r="U103" s="61" t="s">
        <v>81</v>
      </c>
      <c r="V103" s="53">
        <f>SUMIF('Avoided Costs 2014-2023'!$A:$A,'2014 Actuals'!U103&amp;ROUNDDOWN('2014 Actuals'!T103,0),'Avoided Costs 2014-2023'!$E:$E)*K103</f>
        <v>19574.792562885792</v>
      </c>
      <c r="W103" s="53">
        <f>SUMIF('Avoided Costs 2014-2023'!$A:$A,'2014 Actuals'!U103&amp;ROUNDDOWN('2014 Actuals'!T103,0),'Avoided Costs 2014-2023'!$K:$K)*O103</f>
        <v>1199.1312159778572</v>
      </c>
      <c r="X103" s="53">
        <f>SUMIF('Avoided Costs 2014-2023'!$A:$A,'2014 Actuals'!U103&amp;ROUNDDOWN('2014 Actuals'!T103,0),'Avoided Costs 2014-2023'!$M:$M)*S103</f>
        <v>0</v>
      </c>
      <c r="Y103" s="53">
        <f t="shared" si="57"/>
        <v>20773.923778863649</v>
      </c>
      <c r="Z103" s="55">
        <v>52971.8</v>
      </c>
      <c r="AA103" s="54">
        <f t="shared" si="58"/>
        <v>46615.184000000001</v>
      </c>
      <c r="AB103" s="54"/>
      <c r="AC103" s="54"/>
      <c r="AD103" s="54"/>
      <c r="AE103" s="54">
        <f t="shared" si="59"/>
        <v>46615.184000000001</v>
      </c>
      <c r="AF103" s="54">
        <f t="shared" si="60"/>
        <v>-25841.260221136352</v>
      </c>
      <c r="AG103" s="49">
        <f t="shared" si="61"/>
        <v>154069.93799999999</v>
      </c>
      <c r="AH103" s="49">
        <f t="shared" si="62"/>
        <v>175079.47500000001</v>
      </c>
    </row>
    <row r="104" spans="1:34" s="56" customFormat="1">
      <c r="A104" s="62" t="s">
        <v>208</v>
      </c>
      <c r="B104" s="62"/>
      <c r="C104" s="62"/>
      <c r="D104" s="62"/>
      <c r="E104" s="141">
        <v>1</v>
      </c>
      <c r="F104" s="142"/>
      <c r="G104" s="143">
        <v>0.12</v>
      </c>
      <c r="H104" s="143">
        <v>0</v>
      </c>
      <c r="I104" s="49">
        <v>58493</v>
      </c>
      <c r="J104" s="49">
        <f t="shared" si="51"/>
        <v>48958.640999999996</v>
      </c>
      <c r="K104" s="49">
        <f t="shared" si="52"/>
        <v>43083.604079999997</v>
      </c>
      <c r="L104" s="58"/>
      <c r="M104" s="141">
        <v>0</v>
      </c>
      <c r="N104" s="50">
        <f t="shared" si="53"/>
        <v>0</v>
      </c>
      <c r="O104" s="50">
        <f t="shared" si="54"/>
        <v>0</v>
      </c>
      <c r="P104" s="59"/>
      <c r="Q104" s="141">
        <v>0</v>
      </c>
      <c r="R104" s="50">
        <f t="shared" si="55"/>
        <v>0</v>
      </c>
      <c r="S104" s="51">
        <f t="shared" si="56"/>
        <v>0</v>
      </c>
      <c r="T104" s="60">
        <v>25</v>
      </c>
      <c r="U104" s="61" t="s">
        <v>81</v>
      </c>
      <c r="V104" s="53">
        <f>SUMIF('Avoided Costs 2014-2023'!$A:$A,'2014 Actuals'!U104&amp;ROUNDDOWN('2014 Actuals'!T104,0),'Avoided Costs 2014-2023'!$E:$E)*K104</f>
        <v>136845.74415930186</v>
      </c>
      <c r="W104" s="53">
        <f>SUMIF('Avoided Costs 2014-2023'!$A:$A,'2014 Actuals'!U104&amp;ROUNDDOWN('2014 Actuals'!T104,0),'Avoided Costs 2014-2023'!$K:$K)*O104</f>
        <v>0</v>
      </c>
      <c r="X104" s="53">
        <f>SUMIF('Avoided Costs 2014-2023'!$A:$A,'2014 Actuals'!U104&amp;ROUNDDOWN('2014 Actuals'!T104,0),'Avoided Costs 2014-2023'!$M:$M)*S104</f>
        <v>0</v>
      </c>
      <c r="Y104" s="53">
        <f t="shared" si="57"/>
        <v>136845.74415930186</v>
      </c>
      <c r="Z104" s="55">
        <v>61226</v>
      </c>
      <c r="AA104" s="54">
        <f t="shared" si="58"/>
        <v>53878.879999999997</v>
      </c>
      <c r="AB104" s="54"/>
      <c r="AC104" s="54"/>
      <c r="AD104" s="54"/>
      <c r="AE104" s="54">
        <f t="shared" si="59"/>
        <v>53878.879999999997</v>
      </c>
      <c r="AF104" s="54">
        <f t="shared" si="60"/>
        <v>82966.864159301855</v>
      </c>
      <c r="AG104" s="49">
        <f t="shared" si="61"/>
        <v>1077090.102</v>
      </c>
      <c r="AH104" s="49">
        <f t="shared" si="62"/>
        <v>1223966.0249999999</v>
      </c>
    </row>
    <row r="105" spans="1:34" s="56" customFormat="1">
      <c r="A105" s="62" t="s">
        <v>209</v>
      </c>
      <c r="B105" s="62"/>
      <c r="C105" s="62"/>
      <c r="D105" s="62"/>
      <c r="E105" s="141">
        <v>1</v>
      </c>
      <c r="F105" s="142"/>
      <c r="G105" s="143">
        <v>0.12</v>
      </c>
      <c r="H105" s="143">
        <v>0</v>
      </c>
      <c r="I105" s="49">
        <v>49497</v>
      </c>
      <c r="J105" s="49">
        <f t="shared" si="51"/>
        <v>41428.989000000001</v>
      </c>
      <c r="K105" s="49">
        <f t="shared" si="52"/>
        <v>36457.510320000001</v>
      </c>
      <c r="L105" s="58"/>
      <c r="M105" s="141">
        <v>0</v>
      </c>
      <c r="N105" s="50">
        <f t="shared" si="53"/>
        <v>0</v>
      </c>
      <c r="O105" s="50">
        <f t="shared" si="54"/>
        <v>0</v>
      </c>
      <c r="P105" s="59"/>
      <c r="Q105" s="141">
        <v>0</v>
      </c>
      <c r="R105" s="50">
        <f t="shared" si="55"/>
        <v>0</v>
      </c>
      <c r="S105" s="51">
        <f t="shared" si="56"/>
        <v>0</v>
      </c>
      <c r="T105" s="60">
        <v>15</v>
      </c>
      <c r="U105" s="61" t="s">
        <v>81</v>
      </c>
      <c r="V105" s="53">
        <f>SUMIF('Avoided Costs 2014-2023'!$A:$A,'2014 Actuals'!U105&amp;ROUNDDOWN('2014 Actuals'!T105,0),'Avoided Costs 2014-2023'!$E:$E)*K105</f>
        <v>84394.466741736047</v>
      </c>
      <c r="W105" s="53">
        <f>SUMIF('Avoided Costs 2014-2023'!$A:$A,'2014 Actuals'!U105&amp;ROUNDDOWN('2014 Actuals'!T105,0),'Avoided Costs 2014-2023'!$K:$K)*O105</f>
        <v>0</v>
      </c>
      <c r="X105" s="53">
        <f>SUMIF('Avoided Costs 2014-2023'!$A:$A,'2014 Actuals'!U105&amp;ROUNDDOWN('2014 Actuals'!T105,0),'Avoided Costs 2014-2023'!$M:$M)*S105</f>
        <v>0</v>
      </c>
      <c r="Y105" s="53">
        <f t="shared" si="57"/>
        <v>84394.466741736047</v>
      </c>
      <c r="Z105" s="55">
        <v>90900</v>
      </c>
      <c r="AA105" s="54">
        <f t="shared" si="58"/>
        <v>79992</v>
      </c>
      <c r="AB105" s="54"/>
      <c r="AC105" s="54"/>
      <c r="AD105" s="54"/>
      <c r="AE105" s="54">
        <f t="shared" si="59"/>
        <v>79992</v>
      </c>
      <c r="AF105" s="54">
        <f t="shared" si="60"/>
        <v>4402.466741736047</v>
      </c>
      <c r="AG105" s="49">
        <f t="shared" si="61"/>
        <v>546862.65480000002</v>
      </c>
      <c r="AH105" s="49">
        <f t="shared" si="62"/>
        <v>621434.83499999996</v>
      </c>
    </row>
    <row r="106" spans="1:34" s="56" customFormat="1">
      <c r="A106" s="62" t="s">
        <v>210</v>
      </c>
      <c r="B106" s="62"/>
      <c r="C106" s="62"/>
      <c r="D106" s="62"/>
      <c r="E106" s="141">
        <v>1</v>
      </c>
      <c r="F106" s="142"/>
      <c r="G106" s="143">
        <v>0.12</v>
      </c>
      <c r="H106" s="143">
        <v>0</v>
      </c>
      <c r="I106" s="49">
        <v>17381</v>
      </c>
      <c r="J106" s="49">
        <f t="shared" si="51"/>
        <v>14547.896999999999</v>
      </c>
      <c r="K106" s="49">
        <f t="shared" si="52"/>
        <v>12802.149359999999</v>
      </c>
      <c r="L106" s="58"/>
      <c r="M106" s="141">
        <v>0</v>
      </c>
      <c r="N106" s="50">
        <f t="shared" si="53"/>
        <v>0</v>
      </c>
      <c r="O106" s="50">
        <f t="shared" si="54"/>
        <v>0</v>
      </c>
      <c r="P106" s="59"/>
      <c r="Q106" s="141">
        <v>0</v>
      </c>
      <c r="R106" s="50">
        <f t="shared" si="55"/>
        <v>0</v>
      </c>
      <c r="S106" s="51">
        <f t="shared" si="56"/>
        <v>0</v>
      </c>
      <c r="T106" s="60">
        <v>15</v>
      </c>
      <c r="U106" s="61" t="s">
        <v>81</v>
      </c>
      <c r="V106" s="53">
        <f>SUMIF('Avoided Costs 2014-2023'!$A:$A,'2014 Actuals'!U106&amp;ROUNDDOWN('2014 Actuals'!T106,0),'Avoided Costs 2014-2023'!$E:$E)*K106</f>
        <v>29635.33600901295</v>
      </c>
      <c r="W106" s="53">
        <f>SUMIF('Avoided Costs 2014-2023'!$A:$A,'2014 Actuals'!U106&amp;ROUNDDOWN('2014 Actuals'!T106,0),'Avoided Costs 2014-2023'!$K:$K)*O106</f>
        <v>0</v>
      </c>
      <c r="X106" s="53">
        <f>SUMIF('Avoided Costs 2014-2023'!$A:$A,'2014 Actuals'!U106&amp;ROUNDDOWN('2014 Actuals'!T106,0),'Avoided Costs 2014-2023'!$M:$M)*S106</f>
        <v>0</v>
      </c>
      <c r="Y106" s="53">
        <f t="shared" si="57"/>
        <v>29635.33600901295</v>
      </c>
      <c r="Z106" s="55">
        <v>92000</v>
      </c>
      <c r="AA106" s="54">
        <f t="shared" si="58"/>
        <v>80960</v>
      </c>
      <c r="AB106" s="54"/>
      <c r="AC106" s="54"/>
      <c r="AD106" s="54"/>
      <c r="AE106" s="54">
        <f t="shared" si="59"/>
        <v>80960</v>
      </c>
      <c r="AF106" s="54">
        <f t="shared" si="60"/>
        <v>-51324.66399098705</v>
      </c>
      <c r="AG106" s="49">
        <f t="shared" si="61"/>
        <v>192032.24039999998</v>
      </c>
      <c r="AH106" s="49">
        <f t="shared" si="62"/>
        <v>218218.45499999999</v>
      </c>
    </row>
    <row r="107" spans="1:34" s="56" customFormat="1">
      <c r="A107" s="62" t="s">
        <v>211</v>
      </c>
      <c r="B107" s="62"/>
      <c r="C107" s="62"/>
      <c r="D107" s="62"/>
      <c r="E107" s="141">
        <v>1</v>
      </c>
      <c r="F107" s="142"/>
      <c r="G107" s="143">
        <v>0.12</v>
      </c>
      <c r="H107" s="143">
        <v>0</v>
      </c>
      <c r="I107" s="49">
        <v>19139</v>
      </c>
      <c r="J107" s="49">
        <f t="shared" si="51"/>
        <v>16019.342999999999</v>
      </c>
      <c r="K107" s="49">
        <f t="shared" si="52"/>
        <v>14097.021839999999</v>
      </c>
      <c r="L107" s="58"/>
      <c r="M107" s="141">
        <v>2090</v>
      </c>
      <c r="N107" s="50">
        <f t="shared" si="53"/>
        <v>2090</v>
      </c>
      <c r="O107" s="50">
        <f t="shared" si="54"/>
        <v>1839.2</v>
      </c>
      <c r="P107" s="59"/>
      <c r="Q107" s="141">
        <v>0</v>
      </c>
      <c r="R107" s="50">
        <f t="shared" si="55"/>
        <v>0</v>
      </c>
      <c r="S107" s="51">
        <f t="shared" si="56"/>
        <v>0</v>
      </c>
      <c r="T107" s="60">
        <v>15</v>
      </c>
      <c r="U107" s="61" t="s">
        <v>81</v>
      </c>
      <c r="V107" s="53">
        <f>SUMIF('Avoided Costs 2014-2023'!$A:$A,'2014 Actuals'!U107&amp;ROUNDDOWN('2014 Actuals'!T107,0),'Avoided Costs 2014-2023'!$E:$E)*K107</f>
        <v>32632.799946867206</v>
      </c>
      <c r="W107" s="53">
        <f>SUMIF('Avoided Costs 2014-2023'!$A:$A,'2014 Actuals'!U107&amp;ROUNDDOWN('2014 Actuals'!T107,0),'Avoided Costs 2014-2023'!$K:$K)*O107</f>
        <v>2174.8178831240612</v>
      </c>
      <c r="X107" s="53">
        <f>SUMIF('Avoided Costs 2014-2023'!$A:$A,'2014 Actuals'!U107&amp;ROUNDDOWN('2014 Actuals'!T107,0),'Avoided Costs 2014-2023'!$M:$M)*S107</f>
        <v>0</v>
      </c>
      <c r="Y107" s="53">
        <f t="shared" si="57"/>
        <v>34807.617829991264</v>
      </c>
      <c r="Z107" s="55">
        <v>14440.48</v>
      </c>
      <c r="AA107" s="54">
        <f t="shared" si="58"/>
        <v>12707.6224</v>
      </c>
      <c r="AB107" s="54"/>
      <c r="AC107" s="54"/>
      <c r="AD107" s="54"/>
      <c r="AE107" s="54">
        <f t="shared" si="59"/>
        <v>12707.6224</v>
      </c>
      <c r="AF107" s="54">
        <f t="shared" si="60"/>
        <v>22099.995429991264</v>
      </c>
      <c r="AG107" s="49">
        <f t="shared" si="61"/>
        <v>211455.32759999999</v>
      </c>
      <c r="AH107" s="49">
        <f t="shared" si="62"/>
        <v>240290.14499999999</v>
      </c>
    </row>
    <row r="108" spans="1:34" s="56" customFormat="1">
      <c r="A108" s="62" t="s">
        <v>212</v>
      </c>
      <c r="B108" s="62"/>
      <c r="C108" s="62"/>
      <c r="D108" s="62"/>
      <c r="E108" s="141">
        <v>1</v>
      </c>
      <c r="F108" s="142"/>
      <c r="G108" s="143">
        <v>0.12</v>
      </c>
      <c r="H108" s="143">
        <v>0</v>
      </c>
      <c r="I108" s="49">
        <v>6217</v>
      </c>
      <c r="J108" s="49">
        <f t="shared" si="51"/>
        <v>5203.6289999999999</v>
      </c>
      <c r="K108" s="49">
        <f t="shared" si="52"/>
        <v>4579.1935199999998</v>
      </c>
      <c r="L108" s="58"/>
      <c r="M108" s="141">
        <v>0</v>
      </c>
      <c r="N108" s="50">
        <f t="shared" si="53"/>
        <v>0</v>
      </c>
      <c r="O108" s="50">
        <f t="shared" si="54"/>
        <v>0</v>
      </c>
      <c r="P108" s="59"/>
      <c r="Q108" s="141">
        <v>0</v>
      </c>
      <c r="R108" s="50">
        <f t="shared" si="55"/>
        <v>0</v>
      </c>
      <c r="S108" s="51">
        <f t="shared" si="56"/>
        <v>0</v>
      </c>
      <c r="T108" s="60">
        <v>15</v>
      </c>
      <c r="U108" s="61" t="s">
        <v>81</v>
      </c>
      <c r="V108" s="53">
        <f>SUMIF('Avoided Costs 2014-2023'!$A:$A,'2014 Actuals'!U108&amp;ROUNDDOWN('2014 Actuals'!T108,0),'Avoided Costs 2014-2023'!$E:$E)*K108</f>
        <v>10600.246474197889</v>
      </c>
      <c r="W108" s="53">
        <f>SUMIF('Avoided Costs 2014-2023'!$A:$A,'2014 Actuals'!U108&amp;ROUNDDOWN('2014 Actuals'!T108,0),'Avoided Costs 2014-2023'!$K:$K)*O108</f>
        <v>0</v>
      </c>
      <c r="X108" s="53">
        <f>SUMIF('Avoided Costs 2014-2023'!$A:$A,'2014 Actuals'!U108&amp;ROUNDDOWN('2014 Actuals'!T108,0),'Avoided Costs 2014-2023'!$M:$M)*S108</f>
        <v>0</v>
      </c>
      <c r="Y108" s="53">
        <f t="shared" si="57"/>
        <v>10600.246474197889</v>
      </c>
      <c r="Z108" s="55">
        <v>17755</v>
      </c>
      <c r="AA108" s="54">
        <f t="shared" si="58"/>
        <v>15624.4</v>
      </c>
      <c r="AB108" s="54"/>
      <c r="AC108" s="54"/>
      <c r="AD108" s="54"/>
      <c r="AE108" s="54">
        <f t="shared" si="59"/>
        <v>15624.4</v>
      </c>
      <c r="AF108" s="54">
        <f t="shared" si="60"/>
        <v>-5024.1535258021104</v>
      </c>
      <c r="AG108" s="49">
        <f t="shared" si="61"/>
        <v>68687.902799999996</v>
      </c>
      <c r="AH108" s="49">
        <f t="shared" si="62"/>
        <v>78054.434999999998</v>
      </c>
    </row>
    <row r="109" spans="1:34" s="56" customFormat="1">
      <c r="A109" s="62" t="s">
        <v>213</v>
      </c>
      <c r="B109" s="62"/>
      <c r="C109" s="62"/>
      <c r="D109" s="62"/>
      <c r="E109" s="141">
        <v>1</v>
      </c>
      <c r="F109" s="142"/>
      <c r="G109" s="143">
        <v>0.12</v>
      </c>
      <c r="H109" s="143">
        <v>0</v>
      </c>
      <c r="I109" s="49">
        <v>7463</v>
      </c>
      <c r="J109" s="49">
        <f t="shared" si="51"/>
        <v>6246.5309999999999</v>
      </c>
      <c r="K109" s="49">
        <f t="shared" si="52"/>
        <v>5496.9472800000003</v>
      </c>
      <c r="L109" s="58"/>
      <c r="M109" s="141">
        <v>0</v>
      </c>
      <c r="N109" s="50">
        <f t="shared" si="53"/>
        <v>0</v>
      </c>
      <c r="O109" s="50">
        <f t="shared" si="54"/>
        <v>0</v>
      </c>
      <c r="P109" s="59"/>
      <c r="Q109" s="141">
        <v>0</v>
      </c>
      <c r="R109" s="50">
        <f t="shared" si="55"/>
        <v>0</v>
      </c>
      <c r="S109" s="51">
        <f t="shared" si="56"/>
        <v>0</v>
      </c>
      <c r="T109" s="60">
        <v>15</v>
      </c>
      <c r="U109" s="61" t="s">
        <v>81</v>
      </c>
      <c r="V109" s="53">
        <f>SUMIF('Avoided Costs 2014-2023'!$A:$A,'2014 Actuals'!U109&amp;ROUNDDOWN('2014 Actuals'!T109,0),'Avoided Costs 2014-2023'!$E:$E)*K109</f>
        <v>12724.728878388107</v>
      </c>
      <c r="W109" s="53">
        <f>SUMIF('Avoided Costs 2014-2023'!$A:$A,'2014 Actuals'!U109&amp;ROUNDDOWN('2014 Actuals'!T109,0),'Avoided Costs 2014-2023'!$K:$K)*O109</f>
        <v>0</v>
      </c>
      <c r="X109" s="53">
        <f>SUMIF('Avoided Costs 2014-2023'!$A:$A,'2014 Actuals'!U109&amp;ROUNDDOWN('2014 Actuals'!T109,0),'Avoided Costs 2014-2023'!$M:$M)*S109</f>
        <v>0</v>
      </c>
      <c r="Y109" s="53">
        <f t="shared" si="57"/>
        <v>12724.728878388107</v>
      </c>
      <c r="Z109" s="55">
        <v>17755</v>
      </c>
      <c r="AA109" s="54">
        <f t="shared" si="58"/>
        <v>15624.4</v>
      </c>
      <c r="AB109" s="54"/>
      <c r="AC109" s="54"/>
      <c r="AD109" s="54"/>
      <c r="AE109" s="54">
        <f t="shared" si="59"/>
        <v>15624.4</v>
      </c>
      <c r="AF109" s="54">
        <f t="shared" si="60"/>
        <v>-2899.6711216118929</v>
      </c>
      <c r="AG109" s="49">
        <f t="shared" si="61"/>
        <v>82454.209200000012</v>
      </c>
      <c r="AH109" s="49">
        <f t="shared" si="62"/>
        <v>93697.964999999997</v>
      </c>
    </row>
    <row r="110" spans="1:34" s="56" customFormat="1">
      <c r="A110" s="62" t="s">
        <v>214</v>
      </c>
      <c r="B110" s="62"/>
      <c r="C110" s="62"/>
      <c r="D110" s="62"/>
      <c r="E110" s="141">
        <v>1</v>
      </c>
      <c r="F110" s="142"/>
      <c r="G110" s="143">
        <v>0.12</v>
      </c>
      <c r="H110" s="143">
        <v>0</v>
      </c>
      <c r="I110" s="49">
        <v>11980</v>
      </c>
      <c r="J110" s="49">
        <f t="shared" si="51"/>
        <v>10027.26</v>
      </c>
      <c r="K110" s="49">
        <f t="shared" si="52"/>
        <v>8823.988800000001</v>
      </c>
      <c r="L110" s="58"/>
      <c r="M110" s="141">
        <v>0</v>
      </c>
      <c r="N110" s="50">
        <f t="shared" si="53"/>
        <v>0</v>
      </c>
      <c r="O110" s="50">
        <f t="shared" si="54"/>
        <v>0</v>
      </c>
      <c r="P110" s="59"/>
      <c r="Q110" s="141">
        <v>0</v>
      </c>
      <c r="R110" s="50">
        <f t="shared" si="55"/>
        <v>0</v>
      </c>
      <c r="S110" s="51">
        <f t="shared" si="56"/>
        <v>0</v>
      </c>
      <c r="T110" s="60">
        <v>15</v>
      </c>
      <c r="U110" s="61" t="s">
        <v>81</v>
      </c>
      <c r="V110" s="53">
        <f>SUMIF('Avoided Costs 2014-2023'!$A:$A,'2014 Actuals'!U110&amp;ROUNDDOWN('2014 Actuals'!T110,0),'Avoided Costs 2014-2023'!$E:$E)*K110</f>
        <v>20426.403854092125</v>
      </c>
      <c r="W110" s="53">
        <f>SUMIF('Avoided Costs 2014-2023'!$A:$A,'2014 Actuals'!U110&amp;ROUNDDOWN('2014 Actuals'!T110,0),'Avoided Costs 2014-2023'!$K:$K)*O110</f>
        <v>0</v>
      </c>
      <c r="X110" s="53">
        <f>SUMIF('Avoided Costs 2014-2023'!$A:$A,'2014 Actuals'!U110&amp;ROUNDDOWN('2014 Actuals'!T110,0),'Avoided Costs 2014-2023'!$M:$M)*S110</f>
        <v>0</v>
      </c>
      <c r="Y110" s="53">
        <f t="shared" si="57"/>
        <v>20426.403854092125</v>
      </c>
      <c r="Z110" s="55">
        <v>17755</v>
      </c>
      <c r="AA110" s="54">
        <f t="shared" si="58"/>
        <v>15624.4</v>
      </c>
      <c r="AB110" s="54"/>
      <c r="AC110" s="54"/>
      <c r="AD110" s="54"/>
      <c r="AE110" s="54">
        <f t="shared" si="59"/>
        <v>15624.4</v>
      </c>
      <c r="AF110" s="54">
        <f t="shared" si="60"/>
        <v>4802.003854092125</v>
      </c>
      <c r="AG110" s="49">
        <f t="shared" si="61"/>
        <v>132359.83200000002</v>
      </c>
      <c r="AH110" s="49">
        <f t="shared" si="62"/>
        <v>150408.9</v>
      </c>
    </row>
    <row r="111" spans="1:34" s="56" customFormat="1">
      <c r="A111" s="62" t="s">
        <v>215</v>
      </c>
      <c r="B111" s="62"/>
      <c r="C111" s="62"/>
      <c r="D111" s="62"/>
      <c r="E111" s="141">
        <v>1</v>
      </c>
      <c r="F111" s="142"/>
      <c r="G111" s="143">
        <v>0.12</v>
      </c>
      <c r="H111" s="143">
        <v>0</v>
      </c>
      <c r="I111" s="49">
        <v>5440</v>
      </c>
      <c r="J111" s="49">
        <f t="shared" si="51"/>
        <v>4553.28</v>
      </c>
      <c r="K111" s="49">
        <f t="shared" si="52"/>
        <v>4006.8863999999999</v>
      </c>
      <c r="L111" s="58"/>
      <c r="M111" s="141">
        <v>0</v>
      </c>
      <c r="N111" s="50">
        <f t="shared" si="53"/>
        <v>0</v>
      </c>
      <c r="O111" s="50">
        <f t="shared" si="54"/>
        <v>0</v>
      </c>
      <c r="P111" s="59"/>
      <c r="Q111" s="141">
        <v>0</v>
      </c>
      <c r="R111" s="50">
        <f t="shared" si="55"/>
        <v>0</v>
      </c>
      <c r="S111" s="51">
        <f t="shared" si="56"/>
        <v>0</v>
      </c>
      <c r="T111" s="60">
        <v>15</v>
      </c>
      <c r="U111" s="61" t="s">
        <v>81</v>
      </c>
      <c r="V111" s="53">
        <f>SUMIF('Avoided Costs 2014-2023'!$A:$A,'2014 Actuals'!U111&amp;ROUNDDOWN('2014 Actuals'!T111,0),'Avoided Costs 2014-2023'!$E:$E)*K111</f>
        <v>9275.4287951803963</v>
      </c>
      <c r="W111" s="53">
        <f>SUMIF('Avoided Costs 2014-2023'!$A:$A,'2014 Actuals'!U111&amp;ROUNDDOWN('2014 Actuals'!T111,0),'Avoided Costs 2014-2023'!$K:$K)*O111</f>
        <v>0</v>
      </c>
      <c r="X111" s="53">
        <f>SUMIF('Avoided Costs 2014-2023'!$A:$A,'2014 Actuals'!U111&amp;ROUNDDOWN('2014 Actuals'!T111,0),'Avoided Costs 2014-2023'!$M:$M)*S111</f>
        <v>0</v>
      </c>
      <c r="Y111" s="53">
        <f t="shared" si="57"/>
        <v>9275.4287951803963</v>
      </c>
      <c r="Z111" s="55">
        <v>17755</v>
      </c>
      <c r="AA111" s="54">
        <f t="shared" si="58"/>
        <v>15624.4</v>
      </c>
      <c r="AB111" s="54"/>
      <c r="AC111" s="54"/>
      <c r="AD111" s="54"/>
      <c r="AE111" s="54">
        <f t="shared" si="59"/>
        <v>15624.4</v>
      </c>
      <c r="AF111" s="54">
        <f t="shared" si="60"/>
        <v>-6348.9712048196034</v>
      </c>
      <c r="AG111" s="49">
        <f t="shared" si="61"/>
        <v>60103.295999999995</v>
      </c>
      <c r="AH111" s="49">
        <f t="shared" si="62"/>
        <v>68299.199999999997</v>
      </c>
    </row>
    <row r="112" spans="1:34" s="56" customFormat="1">
      <c r="A112" s="62" t="s">
        <v>216</v>
      </c>
      <c r="B112" s="62"/>
      <c r="C112" s="62"/>
      <c r="D112" s="62"/>
      <c r="E112" s="141">
        <v>1</v>
      </c>
      <c r="F112" s="142"/>
      <c r="G112" s="143">
        <v>0.12</v>
      </c>
      <c r="H112" s="143">
        <v>0</v>
      </c>
      <c r="I112" s="49">
        <v>9836</v>
      </c>
      <c r="J112" s="49">
        <f t="shared" si="51"/>
        <v>8232.732</v>
      </c>
      <c r="K112" s="49">
        <f t="shared" si="52"/>
        <v>7244.8041599999997</v>
      </c>
      <c r="L112" s="58"/>
      <c r="M112" s="141">
        <v>0</v>
      </c>
      <c r="N112" s="50">
        <f t="shared" si="53"/>
        <v>0</v>
      </c>
      <c r="O112" s="50">
        <f t="shared" si="54"/>
        <v>0</v>
      </c>
      <c r="P112" s="59"/>
      <c r="Q112" s="141">
        <v>0</v>
      </c>
      <c r="R112" s="50">
        <f t="shared" si="55"/>
        <v>0</v>
      </c>
      <c r="S112" s="51">
        <f t="shared" si="56"/>
        <v>0</v>
      </c>
      <c r="T112" s="60">
        <v>15</v>
      </c>
      <c r="U112" s="61" t="s">
        <v>81</v>
      </c>
      <c r="V112" s="53">
        <f>SUMIF('Avoided Costs 2014-2023'!$A:$A,'2014 Actuals'!U112&amp;ROUNDDOWN('2014 Actuals'!T112,0),'Avoided Costs 2014-2023'!$E:$E)*K112</f>
        <v>16770.793681873965</v>
      </c>
      <c r="W112" s="53">
        <f>SUMIF('Avoided Costs 2014-2023'!$A:$A,'2014 Actuals'!U112&amp;ROUNDDOWN('2014 Actuals'!T112,0),'Avoided Costs 2014-2023'!$K:$K)*O112</f>
        <v>0</v>
      </c>
      <c r="X112" s="53">
        <f>SUMIF('Avoided Costs 2014-2023'!$A:$A,'2014 Actuals'!U112&amp;ROUNDDOWN('2014 Actuals'!T112,0),'Avoided Costs 2014-2023'!$M:$M)*S112</f>
        <v>0</v>
      </c>
      <c r="Y112" s="53">
        <f t="shared" si="57"/>
        <v>16770.793681873965</v>
      </c>
      <c r="Z112" s="55">
        <v>17755</v>
      </c>
      <c r="AA112" s="54">
        <f t="shared" si="58"/>
        <v>15624.4</v>
      </c>
      <c r="AB112" s="54"/>
      <c r="AC112" s="54"/>
      <c r="AD112" s="54"/>
      <c r="AE112" s="54">
        <f t="shared" si="59"/>
        <v>15624.4</v>
      </c>
      <c r="AF112" s="54">
        <f t="shared" si="60"/>
        <v>1146.3936818739658</v>
      </c>
      <c r="AG112" s="49">
        <f t="shared" si="61"/>
        <v>108672.0624</v>
      </c>
      <c r="AH112" s="49">
        <f t="shared" si="62"/>
        <v>123490.98</v>
      </c>
    </row>
    <row r="113" spans="1:34" s="56" customFormat="1">
      <c r="A113" s="62" t="s">
        <v>217</v>
      </c>
      <c r="B113" s="62"/>
      <c r="C113" s="62"/>
      <c r="D113" s="62"/>
      <c r="E113" s="141">
        <v>1</v>
      </c>
      <c r="F113" s="142"/>
      <c r="G113" s="143">
        <v>0.12</v>
      </c>
      <c r="H113" s="143">
        <v>0</v>
      </c>
      <c r="I113" s="49">
        <v>9343</v>
      </c>
      <c r="J113" s="49">
        <f t="shared" si="51"/>
        <v>7820.0909999999994</v>
      </c>
      <c r="K113" s="49">
        <f t="shared" si="52"/>
        <v>6881.6800799999992</v>
      </c>
      <c r="L113" s="58"/>
      <c r="M113" s="141">
        <v>0</v>
      </c>
      <c r="N113" s="50">
        <f t="shared" si="53"/>
        <v>0</v>
      </c>
      <c r="O113" s="50">
        <f t="shared" si="54"/>
        <v>0</v>
      </c>
      <c r="P113" s="59"/>
      <c r="Q113" s="141">
        <v>0</v>
      </c>
      <c r="R113" s="50">
        <f t="shared" si="55"/>
        <v>0</v>
      </c>
      <c r="S113" s="51">
        <f t="shared" si="56"/>
        <v>0</v>
      </c>
      <c r="T113" s="60">
        <v>15</v>
      </c>
      <c r="U113" s="61" t="s">
        <v>81</v>
      </c>
      <c r="V113" s="53">
        <f>SUMIF('Avoided Costs 2014-2023'!$A:$A,'2014 Actuals'!U113&amp;ROUNDDOWN('2014 Actuals'!T113,0),'Avoided Costs 2014-2023'!$E:$E)*K113</f>
        <v>15930.207947310741</v>
      </c>
      <c r="W113" s="53">
        <f>SUMIF('Avoided Costs 2014-2023'!$A:$A,'2014 Actuals'!U113&amp;ROUNDDOWN('2014 Actuals'!T113,0),'Avoided Costs 2014-2023'!$K:$K)*O113</f>
        <v>0</v>
      </c>
      <c r="X113" s="53">
        <f>SUMIF('Avoided Costs 2014-2023'!$A:$A,'2014 Actuals'!U113&amp;ROUNDDOWN('2014 Actuals'!T113,0),'Avoided Costs 2014-2023'!$M:$M)*S113</f>
        <v>0</v>
      </c>
      <c r="Y113" s="53">
        <f t="shared" si="57"/>
        <v>15930.207947310741</v>
      </c>
      <c r="Z113" s="55">
        <v>18950</v>
      </c>
      <c r="AA113" s="54">
        <f t="shared" si="58"/>
        <v>16676</v>
      </c>
      <c r="AB113" s="54"/>
      <c r="AC113" s="54"/>
      <c r="AD113" s="54"/>
      <c r="AE113" s="54">
        <f t="shared" si="59"/>
        <v>16676</v>
      </c>
      <c r="AF113" s="54">
        <f t="shared" si="60"/>
        <v>-745.79205268925944</v>
      </c>
      <c r="AG113" s="49">
        <f t="shared" si="61"/>
        <v>103225.20119999998</v>
      </c>
      <c r="AH113" s="49">
        <f t="shared" si="62"/>
        <v>117301.36499999999</v>
      </c>
    </row>
    <row r="114" spans="1:34" s="56" customFormat="1">
      <c r="A114" s="62" t="s">
        <v>218</v>
      </c>
      <c r="B114" s="62"/>
      <c r="C114" s="62"/>
      <c r="D114" s="62"/>
      <c r="E114" s="141">
        <v>1</v>
      </c>
      <c r="F114" s="142"/>
      <c r="G114" s="143">
        <v>0.12</v>
      </c>
      <c r="H114" s="143">
        <v>0</v>
      </c>
      <c r="I114" s="49">
        <v>14763</v>
      </c>
      <c r="J114" s="49">
        <f t="shared" si="51"/>
        <v>12356.630999999999</v>
      </c>
      <c r="K114" s="49">
        <f t="shared" si="52"/>
        <v>10873.835279999999</v>
      </c>
      <c r="L114" s="58"/>
      <c r="M114" s="141">
        <v>0</v>
      </c>
      <c r="N114" s="50">
        <f t="shared" si="53"/>
        <v>0</v>
      </c>
      <c r="O114" s="50">
        <f t="shared" si="54"/>
        <v>0</v>
      </c>
      <c r="P114" s="59"/>
      <c r="Q114" s="141">
        <v>0</v>
      </c>
      <c r="R114" s="50">
        <f t="shared" si="55"/>
        <v>0</v>
      </c>
      <c r="S114" s="51">
        <f t="shared" si="56"/>
        <v>0</v>
      </c>
      <c r="T114" s="60">
        <v>15</v>
      </c>
      <c r="U114" s="61" t="s">
        <v>81</v>
      </c>
      <c r="V114" s="53">
        <f>SUMIF('Avoided Costs 2014-2023'!$A:$A,'2014 Actuals'!U114&amp;ROUNDDOWN('2014 Actuals'!T114,0),'Avoided Costs 2014-2023'!$E:$E)*K114</f>
        <v>25171.535901332387</v>
      </c>
      <c r="W114" s="53">
        <f>SUMIF('Avoided Costs 2014-2023'!$A:$A,'2014 Actuals'!U114&amp;ROUNDDOWN('2014 Actuals'!T114,0),'Avoided Costs 2014-2023'!$K:$K)*O114</f>
        <v>0</v>
      </c>
      <c r="X114" s="53">
        <f>SUMIF('Avoided Costs 2014-2023'!$A:$A,'2014 Actuals'!U114&amp;ROUNDDOWN('2014 Actuals'!T114,0),'Avoided Costs 2014-2023'!$M:$M)*S114</f>
        <v>0</v>
      </c>
      <c r="Y114" s="53">
        <f t="shared" si="57"/>
        <v>25171.535901332387</v>
      </c>
      <c r="Z114" s="55">
        <v>17950</v>
      </c>
      <c r="AA114" s="54">
        <f t="shared" si="58"/>
        <v>15796</v>
      </c>
      <c r="AB114" s="54"/>
      <c r="AC114" s="54"/>
      <c r="AD114" s="54"/>
      <c r="AE114" s="54">
        <f t="shared" si="59"/>
        <v>15796</v>
      </c>
      <c r="AF114" s="54">
        <f t="shared" si="60"/>
        <v>9375.5359013323869</v>
      </c>
      <c r="AG114" s="49">
        <f t="shared" si="61"/>
        <v>163107.52919999999</v>
      </c>
      <c r="AH114" s="49">
        <f t="shared" si="62"/>
        <v>185349.465</v>
      </c>
    </row>
    <row r="115" spans="1:34" s="56" customFormat="1">
      <c r="A115" s="62" t="s">
        <v>219</v>
      </c>
      <c r="B115" s="62"/>
      <c r="C115" s="62"/>
      <c r="D115" s="62"/>
      <c r="E115" s="141">
        <v>1</v>
      </c>
      <c r="F115" s="142"/>
      <c r="G115" s="143">
        <v>0.12</v>
      </c>
      <c r="H115" s="143">
        <v>0</v>
      </c>
      <c r="I115" s="49">
        <v>10812</v>
      </c>
      <c r="J115" s="49">
        <f t="shared" si="51"/>
        <v>9049.6440000000002</v>
      </c>
      <c r="K115" s="49">
        <f t="shared" si="52"/>
        <v>7963.6867200000006</v>
      </c>
      <c r="L115" s="58"/>
      <c r="M115" s="141">
        <v>0</v>
      </c>
      <c r="N115" s="50">
        <f t="shared" si="53"/>
        <v>0</v>
      </c>
      <c r="O115" s="50">
        <f t="shared" si="54"/>
        <v>0</v>
      </c>
      <c r="P115" s="59"/>
      <c r="Q115" s="141">
        <v>0</v>
      </c>
      <c r="R115" s="50">
        <f t="shared" si="55"/>
        <v>0</v>
      </c>
      <c r="S115" s="51">
        <f t="shared" si="56"/>
        <v>0</v>
      </c>
      <c r="T115" s="60">
        <v>15</v>
      </c>
      <c r="U115" s="61" t="s">
        <v>81</v>
      </c>
      <c r="V115" s="53">
        <f>SUMIF('Avoided Costs 2014-2023'!$A:$A,'2014 Actuals'!U115&amp;ROUNDDOWN('2014 Actuals'!T115,0),'Avoided Costs 2014-2023'!$E:$E)*K115</f>
        <v>18434.914730421038</v>
      </c>
      <c r="W115" s="53">
        <f>SUMIF('Avoided Costs 2014-2023'!$A:$A,'2014 Actuals'!U115&amp;ROUNDDOWN('2014 Actuals'!T115,0),'Avoided Costs 2014-2023'!$K:$K)*O115</f>
        <v>0</v>
      </c>
      <c r="X115" s="53">
        <f>SUMIF('Avoided Costs 2014-2023'!$A:$A,'2014 Actuals'!U115&amp;ROUNDDOWN('2014 Actuals'!T115,0),'Avoided Costs 2014-2023'!$M:$M)*S115</f>
        <v>0</v>
      </c>
      <c r="Y115" s="53">
        <f t="shared" si="57"/>
        <v>18434.914730421038</v>
      </c>
      <c r="Z115" s="55">
        <v>17755</v>
      </c>
      <c r="AA115" s="54">
        <f t="shared" si="58"/>
        <v>15624.4</v>
      </c>
      <c r="AB115" s="54"/>
      <c r="AC115" s="54"/>
      <c r="AD115" s="54"/>
      <c r="AE115" s="54">
        <f t="shared" si="59"/>
        <v>15624.4</v>
      </c>
      <c r="AF115" s="54">
        <f t="shared" si="60"/>
        <v>2810.5147304210386</v>
      </c>
      <c r="AG115" s="49">
        <f t="shared" si="61"/>
        <v>119455.30080000001</v>
      </c>
      <c r="AH115" s="49">
        <f t="shared" si="62"/>
        <v>135744.66</v>
      </c>
    </row>
    <row r="116" spans="1:34" s="56" customFormat="1">
      <c r="A116" s="62" t="s">
        <v>220</v>
      </c>
      <c r="B116" s="62"/>
      <c r="C116" s="62"/>
      <c r="D116" s="62"/>
      <c r="E116" s="141">
        <v>1</v>
      </c>
      <c r="F116" s="142"/>
      <c r="G116" s="143">
        <v>0.12</v>
      </c>
      <c r="H116" s="143">
        <v>0</v>
      </c>
      <c r="I116" s="49">
        <v>9828</v>
      </c>
      <c r="J116" s="49">
        <f t="shared" si="51"/>
        <v>8226.0360000000001</v>
      </c>
      <c r="K116" s="49">
        <f t="shared" si="52"/>
        <v>7238.9116800000002</v>
      </c>
      <c r="L116" s="58"/>
      <c r="M116" s="141">
        <v>0</v>
      </c>
      <c r="N116" s="50">
        <f t="shared" si="53"/>
        <v>0</v>
      </c>
      <c r="O116" s="50">
        <f t="shared" si="54"/>
        <v>0</v>
      </c>
      <c r="P116" s="59"/>
      <c r="Q116" s="141">
        <v>0</v>
      </c>
      <c r="R116" s="50">
        <f t="shared" si="55"/>
        <v>0</v>
      </c>
      <c r="S116" s="51">
        <f t="shared" si="56"/>
        <v>0</v>
      </c>
      <c r="T116" s="60">
        <v>15</v>
      </c>
      <c r="U116" s="61" t="s">
        <v>81</v>
      </c>
      <c r="V116" s="53">
        <f>SUMIF('Avoided Costs 2014-2023'!$A:$A,'2014 Actuals'!U116&amp;ROUNDDOWN('2014 Actuals'!T116,0),'Avoided Costs 2014-2023'!$E:$E)*K116</f>
        <v>16757.153345410465</v>
      </c>
      <c r="W116" s="53">
        <f>SUMIF('Avoided Costs 2014-2023'!$A:$A,'2014 Actuals'!U116&amp;ROUNDDOWN('2014 Actuals'!T116,0),'Avoided Costs 2014-2023'!$K:$K)*O116</f>
        <v>0</v>
      </c>
      <c r="X116" s="53">
        <f>SUMIF('Avoided Costs 2014-2023'!$A:$A,'2014 Actuals'!U116&amp;ROUNDDOWN('2014 Actuals'!T116,0),'Avoided Costs 2014-2023'!$M:$M)*S116</f>
        <v>0</v>
      </c>
      <c r="Y116" s="53">
        <f t="shared" si="57"/>
        <v>16757.153345410465</v>
      </c>
      <c r="Z116" s="55">
        <v>17755</v>
      </c>
      <c r="AA116" s="54">
        <f t="shared" si="58"/>
        <v>15624.4</v>
      </c>
      <c r="AB116" s="54"/>
      <c r="AC116" s="54"/>
      <c r="AD116" s="54"/>
      <c r="AE116" s="54">
        <f t="shared" si="59"/>
        <v>15624.4</v>
      </c>
      <c r="AF116" s="54">
        <f t="shared" si="60"/>
        <v>1132.753345410465</v>
      </c>
      <c r="AG116" s="49">
        <f t="shared" si="61"/>
        <v>108583.6752</v>
      </c>
      <c r="AH116" s="49">
        <f t="shared" si="62"/>
        <v>123390.54000000001</v>
      </c>
    </row>
    <row r="117" spans="1:34" s="56" customFormat="1">
      <c r="A117" s="62" t="s">
        <v>221</v>
      </c>
      <c r="B117" s="62"/>
      <c r="C117" s="62"/>
      <c r="D117" s="62"/>
      <c r="E117" s="141">
        <v>1</v>
      </c>
      <c r="F117" s="142"/>
      <c r="G117" s="143">
        <v>0.12</v>
      </c>
      <c r="H117" s="143">
        <v>0</v>
      </c>
      <c r="I117" s="49">
        <v>8271</v>
      </c>
      <c r="J117" s="49">
        <f t="shared" si="51"/>
        <v>6922.8269999999993</v>
      </c>
      <c r="K117" s="49">
        <f t="shared" si="52"/>
        <v>6092.0877599999994</v>
      </c>
      <c r="L117" s="58"/>
      <c r="M117" s="141">
        <v>0</v>
      </c>
      <c r="N117" s="50">
        <f t="shared" si="53"/>
        <v>0</v>
      </c>
      <c r="O117" s="50">
        <f t="shared" si="54"/>
        <v>0</v>
      </c>
      <c r="P117" s="59"/>
      <c r="Q117" s="141">
        <v>0</v>
      </c>
      <c r="R117" s="50">
        <f t="shared" si="55"/>
        <v>0</v>
      </c>
      <c r="S117" s="51">
        <f t="shared" si="56"/>
        <v>0</v>
      </c>
      <c r="T117" s="60">
        <v>15</v>
      </c>
      <c r="U117" s="61" t="s">
        <v>81</v>
      </c>
      <c r="V117" s="53">
        <f>SUMIF('Avoided Costs 2014-2023'!$A:$A,'2014 Actuals'!U117&amp;ROUNDDOWN('2014 Actuals'!T117,0),'Avoided Costs 2014-2023'!$E:$E)*K117</f>
        <v>14102.402861201663</v>
      </c>
      <c r="W117" s="53">
        <f>SUMIF('Avoided Costs 2014-2023'!$A:$A,'2014 Actuals'!U117&amp;ROUNDDOWN('2014 Actuals'!T117,0),'Avoided Costs 2014-2023'!$K:$K)*O117</f>
        <v>0</v>
      </c>
      <c r="X117" s="53">
        <f>SUMIF('Avoided Costs 2014-2023'!$A:$A,'2014 Actuals'!U117&amp;ROUNDDOWN('2014 Actuals'!T117,0),'Avoided Costs 2014-2023'!$M:$M)*S117</f>
        <v>0</v>
      </c>
      <c r="Y117" s="53">
        <f t="shared" si="57"/>
        <v>14102.402861201663</v>
      </c>
      <c r="Z117" s="55">
        <v>17755</v>
      </c>
      <c r="AA117" s="54">
        <f t="shared" si="58"/>
        <v>15624.4</v>
      </c>
      <c r="AB117" s="54"/>
      <c r="AC117" s="54"/>
      <c r="AD117" s="54"/>
      <c r="AE117" s="54">
        <f t="shared" si="59"/>
        <v>15624.4</v>
      </c>
      <c r="AF117" s="54">
        <f t="shared" si="60"/>
        <v>-1521.9971387983369</v>
      </c>
      <c r="AG117" s="49">
        <f t="shared" si="61"/>
        <v>91381.316399999996</v>
      </c>
      <c r="AH117" s="49">
        <f t="shared" si="62"/>
        <v>103842.40499999998</v>
      </c>
    </row>
    <row r="118" spans="1:34" s="56" customFormat="1">
      <c r="A118" s="62" t="s">
        <v>222</v>
      </c>
      <c r="B118" s="62"/>
      <c r="C118" s="62"/>
      <c r="D118" s="62"/>
      <c r="E118" s="141">
        <v>1</v>
      </c>
      <c r="F118" s="142"/>
      <c r="G118" s="143">
        <v>0.12</v>
      </c>
      <c r="H118" s="143">
        <v>0</v>
      </c>
      <c r="I118" s="49">
        <v>9932</v>
      </c>
      <c r="J118" s="49">
        <f t="shared" si="51"/>
        <v>8313.0839999999989</v>
      </c>
      <c r="K118" s="49">
        <f t="shared" si="52"/>
        <v>7315.5139199999994</v>
      </c>
      <c r="L118" s="58"/>
      <c r="M118" s="141">
        <v>-9471</v>
      </c>
      <c r="N118" s="50">
        <f t="shared" si="53"/>
        <v>-9471</v>
      </c>
      <c r="O118" s="50">
        <f t="shared" si="54"/>
        <v>-8334.48</v>
      </c>
      <c r="P118" s="59"/>
      <c r="Q118" s="141">
        <v>0</v>
      </c>
      <c r="R118" s="50">
        <f t="shared" si="55"/>
        <v>0</v>
      </c>
      <c r="S118" s="51">
        <f t="shared" si="56"/>
        <v>0</v>
      </c>
      <c r="T118" s="60">
        <v>15</v>
      </c>
      <c r="U118" s="61" t="s">
        <v>81</v>
      </c>
      <c r="V118" s="53">
        <f>SUMIF('Avoided Costs 2014-2023'!$A:$A,'2014 Actuals'!U118&amp;ROUNDDOWN('2014 Actuals'!T118,0),'Avoided Costs 2014-2023'!$E:$E)*K118</f>
        <v>16934.47771943597</v>
      </c>
      <c r="W118" s="53">
        <f>SUMIF('Avoided Costs 2014-2023'!$A:$A,'2014 Actuals'!U118&amp;ROUNDDOWN('2014 Actuals'!T118,0),'Avoided Costs 2014-2023'!$K:$K)*O118</f>
        <v>-9855.3589335253491</v>
      </c>
      <c r="X118" s="53">
        <f>SUMIF('Avoided Costs 2014-2023'!$A:$A,'2014 Actuals'!U118&amp;ROUNDDOWN('2014 Actuals'!T118,0),'Avoided Costs 2014-2023'!$M:$M)*S118</f>
        <v>0</v>
      </c>
      <c r="Y118" s="53">
        <f t="shared" si="57"/>
        <v>7079.1187859106212</v>
      </c>
      <c r="Z118" s="55">
        <v>10350</v>
      </c>
      <c r="AA118" s="54">
        <f t="shared" si="58"/>
        <v>9108</v>
      </c>
      <c r="AB118" s="54"/>
      <c r="AC118" s="54"/>
      <c r="AD118" s="54"/>
      <c r="AE118" s="54">
        <f t="shared" si="59"/>
        <v>9108</v>
      </c>
      <c r="AF118" s="54">
        <f t="shared" si="60"/>
        <v>-2028.8812140893788</v>
      </c>
      <c r="AG118" s="49">
        <f t="shared" si="61"/>
        <v>109732.70879999999</v>
      </c>
      <c r="AH118" s="49">
        <f t="shared" si="62"/>
        <v>124696.25999999998</v>
      </c>
    </row>
    <row r="119" spans="1:34" s="56" customFormat="1">
      <c r="A119" s="62" t="s">
        <v>223</v>
      </c>
      <c r="B119" s="62"/>
      <c r="C119" s="62"/>
      <c r="D119" s="62"/>
      <c r="E119" s="141">
        <v>1</v>
      </c>
      <c r="F119" s="142"/>
      <c r="G119" s="143">
        <v>0.12</v>
      </c>
      <c r="H119" s="143">
        <v>0</v>
      </c>
      <c r="I119" s="49">
        <v>7686</v>
      </c>
      <c r="J119" s="49">
        <f t="shared" si="51"/>
        <v>6433.1819999999998</v>
      </c>
      <c r="K119" s="49">
        <f t="shared" si="52"/>
        <v>5661.2001599999994</v>
      </c>
      <c r="L119" s="58"/>
      <c r="M119" s="141">
        <v>-1945</v>
      </c>
      <c r="N119" s="50">
        <f t="shared" si="53"/>
        <v>-1945</v>
      </c>
      <c r="O119" s="50">
        <f t="shared" si="54"/>
        <v>-1711.6</v>
      </c>
      <c r="P119" s="59"/>
      <c r="Q119" s="141">
        <v>0</v>
      </c>
      <c r="R119" s="50">
        <f t="shared" si="55"/>
        <v>0</v>
      </c>
      <c r="S119" s="51">
        <f t="shared" si="56"/>
        <v>0</v>
      </c>
      <c r="T119" s="60">
        <v>15</v>
      </c>
      <c r="U119" s="61" t="s">
        <v>81</v>
      </c>
      <c r="V119" s="53">
        <f>SUMIF('Avoided Costs 2014-2023'!$A:$A,'2014 Actuals'!U119&amp;ROUNDDOWN('2014 Actuals'!T119,0),'Avoided Costs 2014-2023'!$E:$E)*K119</f>
        <v>13104.953257308183</v>
      </c>
      <c r="W119" s="53">
        <f>SUMIF('Avoided Costs 2014-2023'!$A:$A,'2014 Actuals'!U119&amp;ROUNDDOWN('2014 Actuals'!T119,0),'Avoided Costs 2014-2023'!$K:$K)*O119</f>
        <v>-2023.9333888403341</v>
      </c>
      <c r="X119" s="53">
        <f>SUMIF('Avoided Costs 2014-2023'!$A:$A,'2014 Actuals'!U119&amp;ROUNDDOWN('2014 Actuals'!T119,0),'Avoided Costs 2014-2023'!$M:$M)*S119</f>
        <v>0</v>
      </c>
      <c r="Y119" s="53">
        <f t="shared" si="57"/>
        <v>11081.019868467849</v>
      </c>
      <c r="Z119" s="55">
        <v>4500</v>
      </c>
      <c r="AA119" s="54">
        <f t="shared" si="58"/>
        <v>3960</v>
      </c>
      <c r="AB119" s="54"/>
      <c r="AC119" s="54"/>
      <c r="AD119" s="54"/>
      <c r="AE119" s="54">
        <f t="shared" si="59"/>
        <v>3960</v>
      </c>
      <c r="AF119" s="54">
        <f t="shared" si="60"/>
        <v>7121.0198684678489</v>
      </c>
      <c r="AG119" s="49">
        <f t="shared" si="61"/>
        <v>84918.002399999998</v>
      </c>
      <c r="AH119" s="49">
        <f t="shared" si="62"/>
        <v>96497.73</v>
      </c>
    </row>
    <row r="120" spans="1:34" s="56" customFormat="1">
      <c r="A120" s="62" t="s">
        <v>224</v>
      </c>
      <c r="B120" s="62"/>
      <c r="C120" s="62"/>
      <c r="D120" s="62"/>
      <c r="E120" s="141">
        <v>1</v>
      </c>
      <c r="F120" s="142"/>
      <c r="G120" s="143">
        <v>0.12</v>
      </c>
      <c r="H120" s="143">
        <v>0</v>
      </c>
      <c r="I120" s="49">
        <v>8865</v>
      </c>
      <c r="J120" s="49">
        <f t="shared" si="51"/>
        <v>7420.0050000000001</v>
      </c>
      <c r="K120" s="49">
        <f t="shared" si="52"/>
        <v>6529.6044000000002</v>
      </c>
      <c r="L120" s="58"/>
      <c r="M120" s="141">
        <v>-10005</v>
      </c>
      <c r="N120" s="50">
        <f t="shared" si="53"/>
        <v>-10005</v>
      </c>
      <c r="O120" s="50">
        <f t="shared" si="54"/>
        <v>-8804.4</v>
      </c>
      <c r="P120" s="59"/>
      <c r="Q120" s="141">
        <v>0</v>
      </c>
      <c r="R120" s="50">
        <f t="shared" si="55"/>
        <v>0</v>
      </c>
      <c r="S120" s="51">
        <f t="shared" si="56"/>
        <v>0</v>
      </c>
      <c r="T120" s="60">
        <v>15</v>
      </c>
      <c r="U120" s="61" t="s">
        <v>81</v>
      </c>
      <c r="V120" s="53">
        <f>SUMIF('Avoided Costs 2014-2023'!$A:$A,'2014 Actuals'!U120&amp;ROUNDDOWN('2014 Actuals'!T120,0),'Avoided Costs 2014-2023'!$E:$E)*K120</f>
        <v>15115.197843616583</v>
      </c>
      <c r="W120" s="53">
        <f>SUMIF('Avoided Costs 2014-2023'!$A:$A,'2014 Actuals'!U120&amp;ROUNDDOWN('2014 Actuals'!T120,0),'Avoided Costs 2014-2023'!$K:$K)*O120</f>
        <v>-10411.030105577143</v>
      </c>
      <c r="X120" s="53">
        <f>SUMIF('Avoided Costs 2014-2023'!$A:$A,'2014 Actuals'!U120&amp;ROUNDDOWN('2014 Actuals'!T120,0),'Avoided Costs 2014-2023'!$M:$M)*S120</f>
        <v>0</v>
      </c>
      <c r="Y120" s="53">
        <f t="shared" si="57"/>
        <v>4704.1677380394394</v>
      </c>
      <c r="Z120" s="55">
        <v>9900</v>
      </c>
      <c r="AA120" s="54">
        <f t="shared" si="58"/>
        <v>8712</v>
      </c>
      <c r="AB120" s="54"/>
      <c r="AC120" s="54"/>
      <c r="AD120" s="54"/>
      <c r="AE120" s="54">
        <f t="shared" si="59"/>
        <v>8712</v>
      </c>
      <c r="AF120" s="54">
        <f t="shared" si="60"/>
        <v>-4007.8322619605606</v>
      </c>
      <c r="AG120" s="49">
        <f t="shared" si="61"/>
        <v>97944.066000000006</v>
      </c>
      <c r="AH120" s="49">
        <f t="shared" si="62"/>
        <v>111300.075</v>
      </c>
    </row>
    <row r="121" spans="1:34" s="56" customFormat="1">
      <c r="A121" s="62" t="s">
        <v>225</v>
      </c>
      <c r="B121" s="62"/>
      <c r="C121" s="62"/>
      <c r="D121" s="62"/>
      <c r="E121" s="141">
        <v>1</v>
      </c>
      <c r="F121" s="142"/>
      <c r="G121" s="143">
        <v>0.12</v>
      </c>
      <c r="H121" s="143">
        <v>0</v>
      </c>
      <c r="I121" s="49">
        <v>10846</v>
      </c>
      <c r="J121" s="49">
        <f t="shared" si="51"/>
        <v>9078.101999999999</v>
      </c>
      <c r="K121" s="49">
        <f t="shared" si="52"/>
        <v>7988.7297599999993</v>
      </c>
      <c r="L121" s="58"/>
      <c r="M121" s="141">
        <v>-14153</v>
      </c>
      <c r="N121" s="50">
        <f t="shared" si="53"/>
        <v>-14153</v>
      </c>
      <c r="O121" s="50">
        <f t="shared" si="54"/>
        <v>-12454.64</v>
      </c>
      <c r="P121" s="59"/>
      <c r="Q121" s="141">
        <v>0</v>
      </c>
      <c r="R121" s="50">
        <f t="shared" si="55"/>
        <v>0</v>
      </c>
      <c r="S121" s="51">
        <f t="shared" si="56"/>
        <v>0</v>
      </c>
      <c r="T121" s="60">
        <v>15</v>
      </c>
      <c r="U121" s="61" t="s">
        <v>81</v>
      </c>
      <c r="V121" s="53">
        <f>SUMIF('Avoided Costs 2014-2023'!$A:$A,'2014 Actuals'!U121&amp;ROUNDDOWN('2014 Actuals'!T121,0),'Avoided Costs 2014-2023'!$E:$E)*K121</f>
        <v>18492.886160390914</v>
      </c>
      <c r="W121" s="53">
        <f>SUMIF('Avoided Costs 2014-2023'!$A:$A,'2014 Actuals'!U121&amp;ROUNDDOWN('2014 Actuals'!T121,0),'Avoided Costs 2014-2023'!$K:$K)*O121</f>
        <v>-14727.367224810925</v>
      </c>
      <c r="X121" s="53">
        <f>SUMIF('Avoided Costs 2014-2023'!$A:$A,'2014 Actuals'!U121&amp;ROUNDDOWN('2014 Actuals'!T121,0),'Avoided Costs 2014-2023'!$M:$M)*S121</f>
        <v>0</v>
      </c>
      <c r="Y121" s="53">
        <f t="shared" si="57"/>
        <v>3765.5189355799885</v>
      </c>
      <c r="Z121" s="55">
        <v>16200</v>
      </c>
      <c r="AA121" s="54">
        <f t="shared" si="58"/>
        <v>14256</v>
      </c>
      <c r="AB121" s="54"/>
      <c r="AC121" s="54"/>
      <c r="AD121" s="54"/>
      <c r="AE121" s="54">
        <f t="shared" si="59"/>
        <v>14256</v>
      </c>
      <c r="AF121" s="54">
        <f t="shared" si="60"/>
        <v>-10490.481064420012</v>
      </c>
      <c r="AG121" s="49">
        <f t="shared" si="61"/>
        <v>119830.94639999999</v>
      </c>
      <c r="AH121" s="49">
        <f t="shared" si="62"/>
        <v>136171.52999999997</v>
      </c>
    </row>
    <row r="122" spans="1:34" s="56" customFormat="1">
      <c r="A122" s="62" t="s">
        <v>226</v>
      </c>
      <c r="B122" s="62"/>
      <c r="C122" s="62"/>
      <c r="D122" s="62"/>
      <c r="E122" s="141">
        <v>1</v>
      </c>
      <c r="F122" s="142"/>
      <c r="G122" s="143">
        <v>0.12</v>
      </c>
      <c r="H122" s="143">
        <v>0</v>
      </c>
      <c r="I122" s="49">
        <v>3408</v>
      </c>
      <c r="J122" s="49">
        <f t="shared" si="51"/>
        <v>2852.4960000000001</v>
      </c>
      <c r="K122" s="49">
        <f t="shared" si="52"/>
        <v>2510.1964800000001</v>
      </c>
      <c r="L122" s="58"/>
      <c r="M122" s="141">
        <v>-89</v>
      </c>
      <c r="N122" s="50">
        <f t="shared" si="53"/>
        <v>-89</v>
      </c>
      <c r="O122" s="50">
        <f t="shared" si="54"/>
        <v>-78.320000000000007</v>
      </c>
      <c r="P122" s="59"/>
      <c r="Q122" s="141">
        <v>0</v>
      </c>
      <c r="R122" s="50">
        <f t="shared" si="55"/>
        <v>0</v>
      </c>
      <c r="S122" s="51">
        <f t="shared" si="56"/>
        <v>0</v>
      </c>
      <c r="T122" s="60">
        <v>15</v>
      </c>
      <c r="U122" s="61" t="s">
        <v>81</v>
      </c>
      <c r="V122" s="53">
        <f>SUMIF('Avoided Costs 2014-2023'!$A:$A,'2014 Actuals'!U122&amp;ROUNDDOWN('2014 Actuals'!T122,0),'Avoided Costs 2014-2023'!$E:$E)*K122</f>
        <v>5810.7833334512479</v>
      </c>
      <c r="W122" s="53">
        <f>SUMIF('Avoided Costs 2014-2023'!$A:$A,'2014 Actuals'!U122&amp;ROUNDDOWN('2014 Actuals'!T122,0),'Avoided Costs 2014-2023'!$K:$K)*O122</f>
        <v>-92.611862008632272</v>
      </c>
      <c r="X122" s="53">
        <f>SUMIF('Avoided Costs 2014-2023'!$A:$A,'2014 Actuals'!U122&amp;ROUNDDOWN('2014 Actuals'!T122,0),'Avoided Costs 2014-2023'!$M:$M)*S122</f>
        <v>0</v>
      </c>
      <c r="Y122" s="53">
        <f t="shared" si="57"/>
        <v>5718.1714714426153</v>
      </c>
      <c r="Z122" s="55">
        <v>9582</v>
      </c>
      <c r="AA122" s="54">
        <f t="shared" si="58"/>
        <v>8432.16</v>
      </c>
      <c r="AB122" s="54"/>
      <c r="AC122" s="54"/>
      <c r="AD122" s="54"/>
      <c r="AE122" s="54">
        <f t="shared" si="59"/>
        <v>8432.16</v>
      </c>
      <c r="AF122" s="54">
        <f t="shared" si="60"/>
        <v>-2713.9885285573846</v>
      </c>
      <c r="AG122" s="49">
        <f t="shared" si="61"/>
        <v>37652.947200000002</v>
      </c>
      <c r="AH122" s="49">
        <f t="shared" si="62"/>
        <v>42787.44</v>
      </c>
    </row>
    <row r="123" spans="1:34" s="56" customFormat="1">
      <c r="A123" s="62" t="s">
        <v>227</v>
      </c>
      <c r="B123" s="62"/>
      <c r="C123" s="62"/>
      <c r="D123" s="62"/>
      <c r="E123" s="141">
        <v>1</v>
      </c>
      <c r="F123" s="142"/>
      <c r="G123" s="143">
        <v>0.12</v>
      </c>
      <c r="H123" s="143">
        <v>0</v>
      </c>
      <c r="I123" s="49">
        <v>10179</v>
      </c>
      <c r="J123" s="49">
        <f t="shared" si="51"/>
        <v>8519.8230000000003</v>
      </c>
      <c r="K123" s="49">
        <f t="shared" si="52"/>
        <v>7497.4442400000007</v>
      </c>
      <c r="L123" s="58"/>
      <c r="M123" s="141">
        <v>638</v>
      </c>
      <c r="N123" s="50">
        <f t="shared" si="53"/>
        <v>638</v>
      </c>
      <c r="O123" s="50">
        <f t="shared" si="54"/>
        <v>561.44000000000005</v>
      </c>
      <c r="P123" s="59"/>
      <c r="Q123" s="141">
        <v>0</v>
      </c>
      <c r="R123" s="50">
        <f t="shared" si="55"/>
        <v>0</v>
      </c>
      <c r="S123" s="51">
        <f t="shared" si="56"/>
        <v>0</v>
      </c>
      <c r="T123" s="60">
        <v>15</v>
      </c>
      <c r="U123" s="61" t="s">
        <v>81</v>
      </c>
      <c r="V123" s="53">
        <f>SUMIF('Avoided Costs 2014-2023'!$A:$A,'2014 Actuals'!U123&amp;ROUNDDOWN('2014 Actuals'!T123,0),'Avoided Costs 2014-2023'!$E:$E)*K123</f>
        <v>17355.623107746556</v>
      </c>
      <c r="W123" s="53">
        <f>SUMIF('Avoided Costs 2014-2023'!$A:$A,'2014 Actuals'!U123&amp;ROUNDDOWN('2014 Actuals'!T123,0),'Avoided Costs 2014-2023'!$K:$K)*O123</f>
        <v>663.89177484839763</v>
      </c>
      <c r="X123" s="53">
        <f>SUMIF('Avoided Costs 2014-2023'!$A:$A,'2014 Actuals'!U123&amp;ROUNDDOWN('2014 Actuals'!T123,0),'Avoided Costs 2014-2023'!$M:$M)*S123</f>
        <v>0</v>
      </c>
      <c r="Y123" s="53">
        <f t="shared" si="57"/>
        <v>18019.514882594955</v>
      </c>
      <c r="Z123" s="55">
        <v>7240.98</v>
      </c>
      <c r="AA123" s="54">
        <f t="shared" si="58"/>
        <v>6372.0623999999998</v>
      </c>
      <c r="AB123" s="54"/>
      <c r="AC123" s="54"/>
      <c r="AD123" s="54"/>
      <c r="AE123" s="54">
        <f t="shared" si="59"/>
        <v>6372.0623999999998</v>
      </c>
      <c r="AF123" s="54">
        <f t="shared" si="60"/>
        <v>11647.452482594956</v>
      </c>
      <c r="AG123" s="49">
        <f t="shared" si="61"/>
        <v>112461.66360000001</v>
      </c>
      <c r="AH123" s="49">
        <f t="shared" si="62"/>
        <v>127797.345</v>
      </c>
    </row>
    <row r="124" spans="1:34" s="56" customFormat="1">
      <c r="A124" s="62" t="s">
        <v>228</v>
      </c>
      <c r="B124" s="62"/>
      <c r="C124" s="62"/>
      <c r="D124" s="62"/>
      <c r="E124" s="141">
        <v>1</v>
      </c>
      <c r="F124" s="142"/>
      <c r="G124" s="143">
        <v>0.12</v>
      </c>
      <c r="H124" s="143">
        <v>0</v>
      </c>
      <c r="I124" s="49">
        <v>54996</v>
      </c>
      <c r="J124" s="49">
        <f t="shared" si="51"/>
        <v>46031.651999999995</v>
      </c>
      <c r="K124" s="49">
        <f t="shared" si="52"/>
        <v>40507.853759999998</v>
      </c>
      <c r="L124" s="58"/>
      <c r="M124" s="141">
        <v>0</v>
      </c>
      <c r="N124" s="50">
        <f t="shared" si="53"/>
        <v>0</v>
      </c>
      <c r="O124" s="50">
        <f t="shared" si="54"/>
        <v>0</v>
      </c>
      <c r="P124" s="59"/>
      <c r="Q124" s="141">
        <v>0</v>
      </c>
      <c r="R124" s="50">
        <f t="shared" si="55"/>
        <v>0</v>
      </c>
      <c r="S124" s="51">
        <f t="shared" si="56"/>
        <v>0</v>
      </c>
      <c r="T124" s="60">
        <v>15</v>
      </c>
      <c r="U124" s="61" t="s">
        <v>81</v>
      </c>
      <c r="V124" s="53">
        <f>SUMIF('Avoided Costs 2014-2023'!$A:$A,'2014 Actuals'!U124&amp;ROUNDDOWN('2014 Actuals'!T124,0),'Avoided Costs 2014-2023'!$E:$E)*K124</f>
        <v>93770.493018334746</v>
      </c>
      <c r="W124" s="53">
        <f>SUMIF('Avoided Costs 2014-2023'!$A:$A,'2014 Actuals'!U124&amp;ROUNDDOWN('2014 Actuals'!T124,0),'Avoided Costs 2014-2023'!$K:$K)*O124</f>
        <v>0</v>
      </c>
      <c r="X124" s="53">
        <f>SUMIF('Avoided Costs 2014-2023'!$A:$A,'2014 Actuals'!U124&amp;ROUNDDOWN('2014 Actuals'!T124,0),'Avoided Costs 2014-2023'!$M:$M)*S124</f>
        <v>0</v>
      </c>
      <c r="Y124" s="53">
        <f t="shared" si="57"/>
        <v>93770.493018334746</v>
      </c>
      <c r="Z124" s="55">
        <v>91000</v>
      </c>
      <c r="AA124" s="54">
        <f t="shared" si="58"/>
        <v>80080</v>
      </c>
      <c r="AB124" s="54"/>
      <c r="AC124" s="54"/>
      <c r="AD124" s="54"/>
      <c r="AE124" s="54">
        <f t="shared" si="59"/>
        <v>80080</v>
      </c>
      <c r="AF124" s="54">
        <f t="shared" si="60"/>
        <v>13690.493018334746</v>
      </c>
      <c r="AG124" s="49">
        <f t="shared" si="61"/>
        <v>607617.8064</v>
      </c>
      <c r="AH124" s="49">
        <f t="shared" si="62"/>
        <v>690474.77999999991</v>
      </c>
    </row>
    <row r="125" spans="1:34" s="56" customFormat="1">
      <c r="A125" s="62" t="s">
        <v>229</v>
      </c>
      <c r="B125" s="62"/>
      <c r="C125" s="62"/>
      <c r="D125" s="62"/>
      <c r="E125" s="141">
        <v>1</v>
      </c>
      <c r="F125" s="142"/>
      <c r="G125" s="143">
        <v>0.12</v>
      </c>
      <c r="H125" s="143">
        <v>0</v>
      </c>
      <c r="I125" s="49">
        <v>40763</v>
      </c>
      <c r="J125" s="49">
        <f t="shared" si="51"/>
        <v>34118.631000000001</v>
      </c>
      <c r="K125" s="49">
        <f t="shared" si="52"/>
        <v>30024.395280000001</v>
      </c>
      <c r="L125" s="58"/>
      <c r="M125" s="141">
        <v>0</v>
      </c>
      <c r="N125" s="50">
        <f t="shared" si="53"/>
        <v>0</v>
      </c>
      <c r="O125" s="50">
        <f t="shared" si="54"/>
        <v>0</v>
      </c>
      <c r="P125" s="59"/>
      <c r="Q125" s="141">
        <v>0</v>
      </c>
      <c r="R125" s="50">
        <f t="shared" si="55"/>
        <v>0</v>
      </c>
      <c r="S125" s="51">
        <f t="shared" si="56"/>
        <v>0</v>
      </c>
      <c r="T125" s="60">
        <v>15</v>
      </c>
      <c r="U125" s="61" t="s">
        <v>81</v>
      </c>
      <c r="V125" s="53">
        <f>SUMIF('Avoided Costs 2014-2023'!$A:$A,'2014 Actuals'!U125&amp;ROUNDDOWN('2014 Actuals'!T125,0),'Avoided Costs 2014-2023'!$E:$E)*K125</f>
        <v>69502.629407709275</v>
      </c>
      <c r="W125" s="53">
        <f>SUMIF('Avoided Costs 2014-2023'!$A:$A,'2014 Actuals'!U125&amp;ROUNDDOWN('2014 Actuals'!T125,0),'Avoided Costs 2014-2023'!$K:$K)*O125</f>
        <v>0</v>
      </c>
      <c r="X125" s="53">
        <f>SUMIF('Avoided Costs 2014-2023'!$A:$A,'2014 Actuals'!U125&amp;ROUNDDOWN('2014 Actuals'!T125,0),'Avoided Costs 2014-2023'!$M:$M)*S125</f>
        <v>0</v>
      </c>
      <c r="Y125" s="53">
        <f t="shared" si="57"/>
        <v>69502.629407709275</v>
      </c>
      <c r="Z125" s="55">
        <v>6319</v>
      </c>
      <c r="AA125" s="54">
        <f t="shared" si="58"/>
        <v>5560.72</v>
      </c>
      <c r="AB125" s="54"/>
      <c r="AC125" s="54"/>
      <c r="AD125" s="54"/>
      <c r="AE125" s="54">
        <f t="shared" si="59"/>
        <v>5560.72</v>
      </c>
      <c r="AF125" s="54">
        <f t="shared" si="60"/>
        <v>63941.909407709274</v>
      </c>
      <c r="AG125" s="49">
        <f t="shared" si="61"/>
        <v>450365.92920000001</v>
      </c>
      <c r="AH125" s="49">
        <f t="shared" si="62"/>
        <v>511779.46500000003</v>
      </c>
    </row>
    <row r="126" spans="1:34" s="56" customFormat="1">
      <c r="A126" s="62" t="s">
        <v>230</v>
      </c>
      <c r="B126" s="62"/>
      <c r="C126" s="62"/>
      <c r="D126" s="62"/>
      <c r="E126" s="141">
        <v>1</v>
      </c>
      <c r="F126" s="142"/>
      <c r="G126" s="143">
        <v>0.12</v>
      </c>
      <c r="H126" s="143">
        <v>0</v>
      </c>
      <c r="I126" s="49">
        <v>29935</v>
      </c>
      <c r="J126" s="49">
        <f t="shared" si="51"/>
        <v>25055.594999999998</v>
      </c>
      <c r="K126" s="49">
        <f t="shared" si="52"/>
        <v>22048.923599999998</v>
      </c>
      <c r="L126" s="58"/>
      <c r="M126" s="141">
        <v>0</v>
      </c>
      <c r="N126" s="50">
        <f t="shared" si="53"/>
        <v>0</v>
      </c>
      <c r="O126" s="50">
        <f t="shared" si="54"/>
        <v>0</v>
      </c>
      <c r="P126" s="59"/>
      <c r="Q126" s="141">
        <v>0</v>
      </c>
      <c r="R126" s="50">
        <f t="shared" si="55"/>
        <v>0</v>
      </c>
      <c r="S126" s="51">
        <f t="shared" si="56"/>
        <v>0</v>
      </c>
      <c r="T126" s="60">
        <v>15</v>
      </c>
      <c r="U126" s="61" t="s">
        <v>81</v>
      </c>
      <c r="V126" s="53">
        <f>SUMIF('Avoided Costs 2014-2023'!$A:$A,'2014 Actuals'!U126&amp;ROUNDDOWN('2014 Actuals'!T126,0),'Avoided Costs 2014-2023'!$E:$E)*K126</f>
        <v>51040.434004361239</v>
      </c>
      <c r="W126" s="53">
        <f>SUMIF('Avoided Costs 2014-2023'!$A:$A,'2014 Actuals'!U126&amp;ROUNDDOWN('2014 Actuals'!T126,0),'Avoided Costs 2014-2023'!$K:$K)*O126</f>
        <v>0</v>
      </c>
      <c r="X126" s="53">
        <f>SUMIF('Avoided Costs 2014-2023'!$A:$A,'2014 Actuals'!U126&amp;ROUNDDOWN('2014 Actuals'!T126,0),'Avoided Costs 2014-2023'!$M:$M)*S126</f>
        <v>0</v>
      </c>
      <c r="Y126" s="53">
        <f t="shared" si="57"/>
        <v>51040.434004361239</v>
      </c>
      <c r="Z126" s="55">
        <v>57300</v>
      </c>
      <c r="AA126" s="54">
        <f t="shared" si="58"/>
        <v>50424</v>
      </c>
      <c r="AB126" s="54"/>
      <c r="AC126" s="54"/>
      <c r="AD126" s="54"/>
      <c r="AE126" s="54">
        <f t="shared" si="59"/>
        <v>50424</v>
      </c>
      <c r="AF126" s="54">
        <f t="shared" si="60"/>
        <v>616.4340043612392</v>
      </c>
      <c r="AG126" s="49">
        <f t="shared" si="61"/>
        <v>330733.85399999999</v>
      </c>
      <c r="AH126" s="49">
        <f t="shared" si="62"/>
        <v>375833.92499999999</v>
      </c>
    </row>
    <row r="127" spans="1:34" s="56" customFormat="1">
      <c r="A127" s="62" t="s">
        <v>231</v>
      </c>
      <c r="B127" s="62"/>
      <c r="C127" s="62"/>
      <c r="D127" s="62"/>
      <c r="E127" s="141">
        <v>1</v>
      </c>
      <c r="F127" s="142"/>
      <c r="G127" s="143">
        <v>0.12</v>
      </c>
      <c r="H127" s="143">
        <v>0</v>
      </c>
      <c r="I127" s="49">
        <v>6292</v>
      </c>
      <c r="J127" s="49">
        <f t="shared" si="51"/>
        <v>5266.4039999999995</v>
      </c>
      <c r="K127" s="49">
        <f t="shared" si="52"/>
        <v>4634.43552</v>
      </c>
      <c r="L127" s="58"/>
      <c r="M127" s="141">
        <v>-3873</v>
      </c>
      <c r="N127" s="50">
        <f t="shared" si="53"/>
        <v>-3873</v>
      </c>
      <c r="O127" s="50">
        <f t="shared" si="54"/>
        <v>-3408.2400000000002</v>
      </c>
      <c r="P127" s="59"/>
      <c r="Q127" s="141">
        <v>0</v>
      </c>
      <c r="R127" s="50">
        <f t="shared" si="55"/>
        <v>0</v>
      </c>
      <c r="S127" s="51">
        <f t="shared" si="56"/>
        <v>0</v>
      </c>
      <c r="T127" s="60">
        <v>15</v>
      </c>
      <c r="U127" s="61" t="s">
        <v>81</v>
      </c>
      <c r="V127" s="53">
        <f>SUMIF('Avoided Costs 2014-2023'!$A:$A,'2014 Actuals'!U127&amp;ROUNDDOWN('2014 Actuals'!T127,0),'Avoided Costs 2014-2023'!$E:$E)*K127</f>
        <v>10728.124628543208</v>
      </c>
      <c r="W127" s="53">
        <f>SUMIF('Avoided Costs 2014-2023'!$A:$A,'2014 Actuals'!U127&amp;ROUNDDOWN('2014 Actuals'!T127,0),'Avoided Costs 2014-2023'!$K:$K)*O127</f>
        <v>-4030.1768714543009</v>
      </c>
      <c r="X127" s="53">
        <f>SUMIF('Avoided Costs 2014-2023'!$A:$A,'2014 Actuals'!U127&amp;ROUNDDOWN('2014 Actuals'!T127,0),'Avoided Costs 2014-2023'!$M:$M)*S127</f>
        <v>0</v>
      </c>
      <c r="Y127" s="53">
        <f t="shared" si="57"/>
        <v>6697.9477570889067</v>
      </c>
      <c r="Z127" s="55">
        <v>7735</v>
      </c>
      <c r="AA127" s="54">
        <f t="shared" si="58"/>
        <v>6806.8</v>
      </c>
      <c r="AB127" s="54"/>
      <c r="AC127" s="54"/>
      <c r="AD127" s="54"/>
      <c r="AE127" s="54">
        <f t="shared" si="59"/>
        <v>6806.8</v>
      </c>
      <c r="AF127" s="54">
        <f t="shared" si="60"/>
        <v>-108.85224291109353</v>
      </c>
      <c r="AG127" s="49">
        <f t="shared" si="61"/>
        <v>69516.532800000001</v>
      </c>
      <c r="AH127" s="49">
        <f t="shared" si="62"/>
        <v>78996.06</v>
      </c>
    </row>
    <row r="128" spans="1:34" s="56" customFormat="1">
      <c r="A128" s="62" t="s">
        <v>232</v>
      </c>
      <c r="B128" s="62"/>
      <c r="C128" s="62"/>
      <c r="D128" s="62"/>
      <c r="E128" s="141">
        <v>1</v>
      </c>
      <c r="F128" s="142"/>
      <c r="G128" s="143">
        <v>0.12</v>
      </c>
      <c r="H128" s="143">
        <v>0</v>
      </c>
      <c r="I128" s="49">
        <v>58828</v>
      </c>
      <c r="J128" s="49">
        <f t="shared" si="51"/>
        <v>49239.036</v>
      </c>
      <c r="K128" s="49">
        <f t="shared" si="52"/>
        <v>43330.35168</v>
      </c>
      <c r="L128" s="58"/>
      <c r="M128" s="141">
        <v>0</v>
      </c>
      <c r="N128" s="50">
        <f t="shared" si="53"/>
        <v>0</v>
      </c>
      <c r="O128" s="50">
        <f t="shared" si="54"/>
        <v>0</v>
      </c>
      <c r="P128" s="59"/>
      <c r="Q128" s="141">
        <v>0</v>
      </c>
      <c r="R128" s="50">
        <f t="shared" si="55"/>
        <v>0</v>
      </c>
      <c r="S128" s="51">
        <f t="shared" si="56"/>
        <v>0</v>
      </c>
      <c r="T128" s="60">
        <v>15</v>
      </c>
      <c r="U128" s="61" t="s">
        <v>81</v>
      </c>
      <c r="V128" s="53">
        <f>SUMIF('Avoided Costs 2014-2023'!$A:$A,'2014 Actuals'!U128&amp;ROUNDDOWN('2014 Actuals'!T128,0),'Avoided Costs 2014-2023'!$E:$E)*K128</f>
        <v>100304.21418435153</v>
      </c>
      <c r="W128" s="53">
        <f>SUMIF('Avoided Costs 2014-2023'!$A:$A,'2014 Actuals'!U128&amp;ROUNDDOWN('2014 Actuals'!T128,0),'Avoided Costs 2014-2023'!$K:$K)*O128</f>
        <v>0</v>
      </c>
      <c r="X128" s="53">
        <f>SUMIF('Avoided Costs 2014-2023'!$A:$A,'2014 Actuals'!U128&amp;ROUNDDOWN('2014 Actuals'!T128,0),'Avoided Costs 2014-2023'!$M:$M)*S128</f>
        <v>0</v>
      </c>
      <c r="Y128" s="53">
        <f t="shared" si="57"/>
        <v>100304.21418435153</v>
      </c>
      <c r="Z128" s="55">
        <v>83000</v>
      </c>
      <c r="AA128" s="54">
        <f t="shared" si="58"/>
        <v>73040</v>
      </c>
      <c r="AB128" s="54"/>
      <c r="AC128" s="54"/>
      <c r="AD128" s="54"/>
      <c r="AE128" s="54">
        <f t="shared" si="59"/>
        <v>73040</v>
      </c>
      <c r="AF128" s="54">
        <f t="shared" si="60"/>
        <v>27264.214184351527</v>
      </c>
      <c r="AG128" s="49">
        <f t="shared" si="61"/>
        <v>649955.27520000003</v>
      </c>
      <c r="AH128" s="49">
        <f t="shared" si="62"/>
        <v>738585.54</v>
      </c>
    </row>
    <row r="129" spans="1:34" s="56" customFormat="1">
      <c r="A129" s="62" t="s">
        <v>233</v>
      </c>
      <c r="B129" s="62"/>
      <c r="C129" s="62"/>
      <c r="D129" s="62"/>
      <c r="E129" s="141">
        <v>1</v>
      </c>
      <c r="F129" s="142"/>
      <c r="G129" s="143">
        <v>0.12</v>
      </c>
      <c r="H129" s="143">
        <v>0</v>
      </c>
      <c r="I129" s="49">
        <v>48603</v>
      </c>
      <c r="J129" s="49">
        <f t="shared" si="51"/>
        <v>40680.710999999996</v>
      </c>
      <c r="K129" s="49">
        <f t="shared" si="52"/>
        <v>35799.025679999999</v>
      </c>
      <c r="L129" s="58"/>
      <c r="M129" s="141">
        <v>0</v>
      </c>
      <c r="N129" s="50">
        <f t="shared" si="53"/>
        <v>0</v>
      </c>
      <c r="O129" s="50">
        <f t="shared" si="54"/>
        <v>0</v>
      </c>
      <c r="P129" s="59"/>
      <c r="Q129" s="141">
        <v>0</v>
      </c>
      <c r="R129" s="50">
        <f t="shared" si="55"/>
        <v>0</v>
      </c>
      <c r="S129" s="51">
        <f t="shared" si="56"/>
        <v>0</v>
      </c>
      <c r="T129" s="60">
        <v>15</v>
      </c>
      <c r="U129" s="61" t="s">
        <v>81</v>
      </c>
      <c r="V129" s="53">
        <f>SUMIF('Avoided Costs 2014-2023'!$A:$A,'2014 Actuals'!U129&amp;ROUNDDOWN('2014 Actuals'!T129,0),'Avoided Costs 2014-2023'!$E:$E)*K129</f>
        <v>82870.159141939846</v>
      </c>
      <c r="W129" s="53">
        <f>SUMIF('Avoided Costs 2014-2023'!$A:$A,'2014 Actuals'!U129&amp;ROUNDDOWN('2014 Actuals'!T129,0),'Avoided Costs 2014-2023'!$K:$K)*O129</f>
        <v>0</v>
      </c>
      <c r="X129" s="53">
        <f>SUMIF('Avoided Costs 2014-2023'!$A:$A,'2014 Actuals'!U129&amp;ROUNDDOWN('2014 Actuals'!T129,0),'Avoided Costs 2014-2023'!$M:$M)*S129</f>
        <v>0</v>
      </c>
      <c r="Y129" s="53">
        <f t="shared" si="57"/>
        <v>82870.159141939846</v>
      </c>
      <c r="Z129" s="55">
        <v>79500</v>
      </c>
      <c r="AA129" s="54">
        <f t="shared" si="58"/>
        <v>69960</v>
      </c>
      <c r="AB129" s="54"/>
      <c r="AC129" s="54"/>
      <c r="AD129" s="54"/>
      <c r="AE129" s="54">
        <f t="shared" si="59"/>
        <v>69960</v>
      </c>
      <c r="AF129" s="54">
        <f t="shared" si="60"/>
        <v>12910.159141939846</v>
      </c>
      <c r="AG129" s="49">
        <f t="shared" si="61"/>
        <v>536985.38520000002</v>
      </c>
      <c r="AH129" s="49">
        <f t="shared" si="62"/>
        <v>610210.66499999992</v>
      </c>
    </row>
    <row r="130" spans="1:34" s="69" customFormat="1" collapsed="1">
      <c r="A130" s="145" t="s">
        <v>35</v>
      </c>
      <c r="B130" s="145" t="s">
        <v>234</v>
      </c>
      <c r="C130" s="65"/>
      <c r="D130" s="65">
        <v>0</v>
      </c>
      <c r="E130" s="51">
        <f>SUM(E89:E129)</f>
        <v>41</v>
      </c>
      <c r="F130" s="105"/>
      <c r="G130" s="147"/>
      <c r="H130" s="211"/>
      <c r="I130" s="49">
        <f>SUM(I89:I129)</f>
        <v>760900</v>
      </c>
      <c r="J130" s="49">
        <f>SUM(J89:J129)</f>
        <v>636873.29999999993</v>
      </c>
      <c r="K130" s="49">
        <f>SUM(K89:K129)</f>
        <v>560448.50399999996</v>
      </c>
      <c r="L130" s="146"/>
      <c r="M130" s="49">
        <f>SUM(M89:M129)</f>
        <v>-57750</v>
      </c>
      <c r="N130" s="49">
        <f>SUM(N89:N129)</f>
        <v>-57750</v>
      </c>
      <c r="O130" s="49">
        <f>SUM(O89:O129)</f>
        <v>-50819.999999999993</v>
      </c>
      <c r="P130" s="148"/>
      <c r="Q130" s="49">
        <f>SUM(Q89:Q129)</f>
        <v>0</v>
      </c>
      <c r="R130" s="49">
        <f>SUM(R89:R129)</f>
        <v>0</v>
      </c>
      <c r="S130" s="49">
        <f>SUM(S89:S129)</f>
        <v>0</v>
      </c>
      <c r="T130" s="103"/>
      <c r="U130" s="65" t="s">
        <v>160</v>
      </c>
      <c r="V130" s="54">
        <f t="shared" ref="V130:AA130" si="63">SUM(V89:V129)</f>
        <v>1398552.322597364</v>
      </c>
      <c r="W130" s="54">
        <f t="shared" si="63"/>
        <v>-59498.260529970968</v>
      </c>
      <c r="X130" s="54">
        <f t="shared" si="63"/>
        <v>0</v>
      </c>
      <c r="Y130" s="54">
        <f t="shared" si="63"/>
        <v>1339054.062067393</v>
      </c>
      <c r="Z130" s="55"/>
      <c r="AA130" s="54">
        <f t="shared" si="63"/>
        <v>1128002.4536000004</v>
      </c>
      <c r="AB130" s="54">
        <v>181197.01</v>
      </c>
      <c r="AC130" s="54">
        <v>7822.46</v>
      </c>
      <c r="AD130" s="54">
        <f>AB130+AC130</f>
        <v>189019.47</v>
      </c>
      <c r="AE130" s="54">
        <f t="shared" si="59"/>
        <v>1135824.9136000003</v>
      </c>
      <c r="AF130" s="212">
        <f t="shared" si="60"/>
        <v>203229.14846739266</v>
      </c>
      <c r="AG130" s="49">
        <f>SUM(AG89:AG129)</f>
        <v>9581378.7168000005</v>
      </c>
      <c r="AH130" s="49">
        <f>SUM(AH89:AH129)</f>
        <v>10887930.360000003</v>
      </c>
    </row>
    <row r="131" spans="1:34">
      <c r="A131" s="135"/>
      <c r="P131" s="23"/>
      <c r="Q131" s="11"/>
      <c r="S131" s="11"/>
      <c r="T131" s="48"/>
      <c r="AA131" s="40"/>
      <c r="AB131" s="40"/>
      <c r="AD131" s="40"/>
      <c r="AE131" s="40"/>
      <c r="AF131" s="40"/>
      <c r="AG131" s="38"/>
      <c r="AH131" s="38"/>
    </row>
    <row r="132" spans="1:34">
      <c r="A132" s="135" t="s">
        <v>235</v>
      </c>
      <c r="B132" s="9" t="s">
        <v>236</v>
      </c>
      <c r="P132" s="23"/>
      <c r="Q132" s="11"/>
      <c r="S132" s="11"/>
      <c r="T132" s="48"/>
      <c r="AA132" s="40"/>
      <c r="AB132" s="40"/>
      <c r="AD132" s="40"/>
      <c r="AE132" s="40"/>
      <c r="AF132" s="40"/>
      <c r="AG132" s="38"/>
      <c r="AH132" s="38"/>
    </row>
    <row r="133" spans="1:34" s="56" customFormat="1">
      <c r="A133" s="62" t="s">
        <v>237</v>
      </c>
      <c r="B133" s="62"/>
      <c r="C133" s="62"/>
      <c r="D133" s="62"/>
      <c r="E133" s="141">
        <v>1</v>
      </c>
      <c r="F133" s="142"/>
      <c r="G133" s="143">
        <v>0.12</v>
      </c>
      <c r="H133" s="143">
        <v>0</v>
      </c>
      <c r="I133" s="49">
        <v>31021</v>
      </c>
      <c r="J133" s="49">
        <f t="shared" ref="J133:J185" si="64">+$I$42*I133</f>
        <v>25964.576999999997</v>
      </c>
      <c r="K133" s="49">
        <f t="shared" ref="K133:K185" si="65">J133*(1-G133)</f>
        <v>22848.827759999996</v>
      </c>
      <c r="L133" s="58"/>
      <c r="M133" s="141">
        <v>-12899</v>
      </c>
      <c r="N133" s="50">
        <f t="shared" ref="N133:N185" si="66">+$M$42*M133</f>
        <v>-12899</v>
      </c>
      <c r="O133" s="50">
        <f t="shared" ref="O133:O185" si="67">N133*(1-G133)</f>
        <v>-11351.12</v>
      </c>
      <c r="P133" s="59"/>
      <c r="Q133" s="141">
        <v>0</v>
      </c>
      <c r="R133" s="50">
        <f t="shared" ref="R133:R185" si="68">+Q133*$Q$42</f>
        <v>0</v>
      </c>
      <c r="S133" s="51">
        <f t="shared" ref="S133:S185" si="69">R133*(1-G133)</f>
        <v>0</v>
      </c>
      <c r="T133" s="60">
        <v>15</v>
      </c>
      <c r="U133" s="61" t="s">
        <v>81</v>
      </c>
      <c r="V133" s="53">
        <f>SUMIF('Avoided Costs 2014-2023'!$A:$A,'2014 Actuals'!U133&amp;ROUNDDOWN('2014 Actuals'!T133,0),'Avoided Costs 2014-2023'!$E:$E)*K133</f>
        <v>52892.109679281435</v>
      </c>
      <c r="W133" s="53">
        <f>SUMIF('Avoided Costs 2014-2023'!$A:$A,'2014 Actuals'!U133&amp;ROUNDDOWN('2014 Actuals'!T133,0),'Avoided Costs 2014-2023'!$K:$K)*O133</f>
        <v>-13422.476494936491</v>
      </c>
      <c r="X133" s="53">
        <f>SUMIF('Avoided Costs 2014-2023'!$A:$A,'2014 Actuals'!U133&amp;ROUNDDOWN('2014 Actuals'!T133,0),'Avoided Costs 2014-2023'!$M:$M)*S133</f>
        <v>0</v>
      </c>
      <c r="Y133" s="53">
        <f t="shared" ref="Y133:Y185" si="70">SUM(V133:X133)</f>
        <v>39469.633184344944</v>
      </c>
      <c r="Z133" s="55">
        <v>22638</v>
      </c>
      <c r="AA133" s="54">
        <f t="shared" ref="AA133:AA185" si="71">Z133*(1-G133)</f>
        <v>19921.439999999999</v>
      </c>
      <c r="AB133" s="54"/>
      <c r="AC133" s="54"/>
      <c r="AD133" s="54"/>
      <c r="AE133" s="54">
        <f t="shared" ref="AE133:AE164" si="72">AA133+AC133</f>
        <v>19921.439999999999</v>
      </c>
      <c r="AF133" s="54">
        <f t="shared" ref="AF133:AF164" si="73">Y133-AE133</f>
        <v>19548.193184344946</v>
      </c>
      <c r="AG133" s="49">
        <f t="shared" ref="AG133:AG164" si="74">K133*T133</f>
        <v>342732.41639999993</v>
      </c>
      <c r="AH133" s="49">
        <f t="shared" ref="AH133:AH164" si="75">(J133*T133)</f>
        <v>389468.65499999997</v>
      </c>
    </row>
    <row r="134" spans="1:34" s="56" customFormat="1">
      <c r="A134" s="62" t="s">
        <v>238</v>
      </c>
      <c r="B134" s="62"/>
      <c r="C134" s="62"/>
      <c r="D134" s="62"/>
      <c r="E134" s="141">
        <v>1</v>
      </c>
      <c r="F134" s="142"/>
      <c r="G134" s="143">
        <v>0.12</v>
      </c>
      <c r="H134" s="143">
        <v>0</v>
      </c>
      <c r="I134" s="49">
        <v>64376</v>
      </c>
      <c r="J134" s="49">
        <f t="shared" si="64"/>
        <v>53882.712</v>
      </c>
      <c r="K134" s="49">
        <f t="shared" si="65"/>
        <v>47416.78656</v>
      </c>
      <c r="L134" s="58"/>
      <c r="M134" s="141">
        <v>4233</v>
      </c>
      <c r="N134" s="50">
        <f t="shared" si="66"/>
        <v>4233</v>
      </c>
      <c r="O134" s="50">
        <f t="shared" si="67"/>
        <v>3725.04</v>
      </c>
      <c r="P134" s="59"/>
      <c r="Q134" s="141">
        <v>0</v>
      </c>
      <c r="R134" s="50">
        <f t="shared" si="68"/>
        <v>0</v>
      </c>
      <c r="S134" s="51">
        <f t="shared" si="69"/>
        <v>0</v>
      </c>
      <c r="T134" s="60">
        <v>15</v>
      </c>
      <c r="U134" s="61" t="s">
        <v>81</v>
      </c>
      <c r="V134" s="53">
        <f>SUMIF('Avoided Costs 2014-2023'!$A:$A,'2014 Actuals'!U134&amp;ROUNDDOWN('2014 Actuals'!T134,0),'Avoided Costs 2014-2023'!$E:$E)*K134</f>
        <v>109763.78752178919</v>
      </c>
      <c r="W134" s="53">
        <f>SUMIF('Avoided Costs 2014-2023'!$A:$A,'2014 Actuals'!U134&amp;ROUNDDOWN('2014 Actuals'!T134,0),'Avoided Costs 2014-2023'!$K:$K)*O134</f>
        <v>4404.7866503656223</v>
      </c>
      <c r="X134" s="53">
        <f>SUMIF('Avoided Costs 2014-2023'!$A:$A,'2014 Actuals'!U134&amp;ROUNDDOWN('2014 Actuals'!T134,0),'Avoided Costs 2014-2023'!$M:$M)*S134</f>
        <v>0</v>
      </c>
      <c r="Y134" s="53">
        <f t="shared" si="70"/>
        <v>114168.57417215481</v>
      </c>
      <c r="Z134" s="55">
        <v>56050</v>
      </c>
      <c r="AA134" s="54">
        <f t="shared" si="71"/>
        <v>49324</v>
      </c>
      <c r="AB134" s="54"/>
      <c r="AC134" s="54"/>
      <c r="AD134" s="54"/>
      <c r="AE134" s="54">
        <f t="shared" si="72"/>
        <v>49324</v>
      </c>
      <c r="AF134" s="54">
        <f t="shared" si="73"/>
        <v>64844.574172154811</v>
      </c>
      <c r="AG134" s="49">
        <f t="shared" si="74"/>
        <v>711251.79839999997</v>
      </c>
      <c r="AH134" s="49">
        <f t="shared" si="75"/>
        <v>808240.67999999993</v>
      </c>
    </row>
    <row r="135" spans="1:34" s="56" customFormat="1">
      <c r="A135" s="62" t="s">
        <v>239</v>
      </c>
      <c r="B135" s="62"/>
      <c r="C135" s="62"/>
      <c r="D135" s="62"/>
      <c r="E135" s="141">
        <v>1</v>
      </c>
      <c r="F135" s="142"/>
      <c r="G135" s="143">
        <v>0.12</v>
      </c>
      <c r="H135" s="143">
        <v>0</v>
      </c>
      <c r="I135" s="49">
        <v>192002</v>
      </c>
      <c r="J135" s="49">
        <f t="shared" si="64"/>
        <v>160705.674</v>
      </c>
      <c r="K135" s="49">
        <f t="shared" si="65"/>
        <v>141420.99312</v>
      </c>
      <c r="L135" s="58"/>
      <c r="M135" s="141">
        <v>-95988</v>
      </c>
      <c r="N135" s="50">
        <f t="shared" si="66"/>
        <v>-95988</v>
      </c>
      <c r="O135" s="50">
        <f t="shared" si="67"/>
        <v>-84469.440000000002</v>
      </c>
      <c r="P135" s="59"/>
      <c r="Q135" s="141">
        <v>0</v>
      </c>
      <c r="R135" s="50">
        <f t="shared" si="68"/>
        <v>0</v>
      </c>
      <c r="S135" s="51">
        <f t="shared" si="69"/>
        <v>0</v>
      </c>
      <c r="T135" s="60">
        <v>15</v>
      </c>
      <c r="U135" s="61" t="s">
        <v>81</v>
      </c>
      <c r="V135" s="53">
        <f>SUMIF('Avoided Costs 2014-2023'!$A:$A,'2014 Actuals'!U135&amp;ROUNDDOWN('2014 Actuals'!T135,0),'Avoided Costs 2014-2023'!$E:$E)*K135</f>
        <v>327371.48520812986</v>
      </c>
      <c r="W135" s="53">
        <f>SUMIF('Avoided Costs 2014-2023'!$A:$A,'2014 Actuals'!U135&amp;ROUNDDOWN('2014 Actuals'!T135,0),'Avoided Costs 2014-2023'!$K:$K)*O135</f>
        <v>-99883.454050388696</v>
      </c>
      <c r="X135" s="53">
        <f>SUMIF('Avoided Costs 2014-2023'!$A:$A,'2014 Actuals'!U135&amp;ROUNDDOWN('2014 Actuals'!T135,0),'Avoided Costs 2014-2023'!$M:$M)*S135</f>
        <v>0</v>
      </c>
      <c r="Y135" s="53">
        <f t="shared" si="70"/>
        <v>227488.03115774115</v>
      </c>
      <c r="Z135" s="55">
        <v>107960</v>
      </c>
      <c r="AA135" s="54">
        <f t="shared" si="71"/>
        <v>95004.800000000003</v>
      </c>
      <c r="AB135" s="54"/>
      <c r="AC135" s="54"/>
      <c r="AD135" s="54"/>
      <c r="AE135" s="54">
        <f t="shared" si="72"/>
        <v>95004.800000000003</v>
      </c>
      <c r="AF135" s="54">
        <f t="shared" si="73"/>
        <v>132483.23115774116</v>
      </c>
      <c r="AG135" s="49">
        <f t="shared" si="74"/>
        <v>2121314.8968000002</v>
      </c>
      <c r="AH135" s="49">
        <f t="shared" si="75"/>
        <v>2410585.11</v>
      </c>
    </row>
    <row r="136" spans="1:34" s="56" customFormat="1">
      <c r="A136" s="62" t="s">
        <v>240</v>
      </c>
      <c r="B136" s="62"/>
      <c r="C136" s="62"/>
      <c r="D136" s="62"/>
      <c r="E136" s="141">
        <v>1</v>
      </c>
      <c r="F136" s="142"/>
      <c r="G136" s="143">
        <v>0.12</v>
      </c>
      <c r="H136" s="143">
        <v>0</v>
      </c>
      <c r="I136" s="49">
        <v>7165</v>
      </c>
      <c r="J136" s="49">
        <f t="shared" si="64"/>
        <v>5997.1049999999996</v>
      </c>
      <c r="K136" s="49">
        <f t="shared" si="65"/>
        <v>5277.4523999999992</v>
      </c>
      <c r="L136" s="58"/>
      <c r="M136" s="141">
        <v>0</v>
      </c>
      <c r="N136" s="50">
        <f t="shared" si="66"/>
        <v>0</v>
      </c>
      <c r="O136" s="50">
        <f t="shared" si="67"/>
        <v>0</v>
      </c>
      <c r="P136" s="59"/>
      <c r="Q136" s="141">
        <v>0</v>
      </c>
      <c r="R136" s="50">
        <f t="shared" si="68"/>
        <v>0</v>
      </c>
      <c r="S136" s="51">
        <f t="shared" si="69"/>
        <v>0</v>
      </c>
      <c r="T136" s="60">
        <v>5</v>
      </c>
      <c r="U136" s="61" t="s">
        <v>81</v>
      </c>
      <c r="V136" s="53">
        <f>SUMIF('Avoided Costs 2014-2023'!$A:$A,'2014 Actuals'!U136&amp;ROUNDDOWN('2014 Actuals'!T136,0),'Avoided Costs 2014-2023'!$E:$E)*K136</f>
        <v>4490.415764515521</v>
      </c>
      <c r="W136" s="53">
        <f>SUMIF('Avoided Costs 2014-2023'!$A:$A,'2014 Actuals'!U136&amp;ROUNDDOWN('2014 Actuals'!T136,0),'Avoided Costs 2014-2023'!$K:$K)*O136</f>
        <v>0</v>
      </c>
      <c r="X136" s="53">
        <f>SUMIF('Avoided Costs 2014-2023'!$A:$A,'2014 Actuals'!U136&amp;ROUNDDOWN('2014 Actuals'!T136,0),'Avoided Costs 2014-2023'!$M:$M)*S136</f>
        <v>0</v>
      </c>
      <c r="Y136" s="53">
        <f t="shared" si="70"/>
        <v>4490.415764515521</v>
      </c>
      <c r="Z136" s="55">
        <v>3500</v>
      </c>
      <c r="AA136" s="54">
        <f t="shared" si="71"/>
        <v>3080</v>
      </c>
      <c r="AB136" s="54"/>
      <c r="AC136" s="54"/>
      <c r="AD136" s="54"/>
      <c r="AE136" s="54">
        <f t="shared" si="72"/>
        <v>3080</v>
      </c>
      <c r="AF136" s="54">
        <f t="shared" si="73"/>
        <v>1410.415764515521</v>
      </c>
      <c r="AG136" s="49">
        <f t="shared" si="74"/>
        <v>26387.261999999995</v>
      </c>
      <c r="AH136" s="49">
        <f t="shared" si="75"/>
        <v>29985.524999999998</v>
      </c>
    </row>
    <row r="137" spans="1:34" s="56" customFormat="1">
      <c r="A137" s="62" t="s">
        <v>241</v>
      </c>
      <c r="B137" s="62"/>
      <c r="C137" s="62"/>
      <c r="D137" s="62"/>
      <c r="E137" s="141">
        <v>1</v>
      </c>
      <c r="F137" s="142"/>
      <c r="G137" s="143">
        <v>0.12</v>
      </c>
      <c r="H137" s="143">
        <v>0</v>
      </c>
      <c r="I137" s="49">
        <v>29975</v>
      </c>
      <c r="J137" s="49">
        <f t="shared" si="64"/>
        <v>25089.075000000001</v>
      </c>
      <c r="K137" s="49">
        <f t="shared" si="65"/>
        <v>22078.386000000002</v>
      </c>
      <c r="L137" s="58"/>
      <c r="M137" s="141">
        <v>0</v>
      </c>
      <c r="N137" s="50">
        <f t="shared" si="66"/>
        <v>0</v>
      </c>
      <c r="O137" s="50">
        <f t="shared" si="67"/>
        <v>0</v>
      </c>
      <c r="P137" s="59"/>
      <c r="Q137" s="141">
        <v>0</v>
      </c>
      <c r="R137" s="50">
        <f t="shared" si="68"/>
        <v>0</v>
      </c>
      <c r="S137" s="51">
        <f t="shared" si="69"/>
        <v>0</v>
      </c>
      <c r="T137" s="60">
        <v>5</v>
      </c>
      <c r="U137" s="61" t="s">
        <v>81</v>
      </c>
      <c r="V137" s="53">
        <f>SUMIF('Avoided Costs 2014-2023'!$A:$A,'2014 Actuals'!U137&amp;ROUNDDOWN('2014 Actuals'!T137,0),'Avoided Costs 2014-2023'!$E:$E)*K137</f>
        <v>18785.793795024812</v>
      </c>
      <c r="W137" s="53">
        <f>SUMIF('Avoided Costs 2014-2023'!$A:$A,'2014 Actuals'!U137&amp;ROUNDDOWN('2014 Actuals'!T137,0),'Avoided Costs 2014-2023'!$K:$K)*O137</f>
        <v>0</v>
      </c>
      <c r="X137" s="53">
        <f>SUMIF('Avoided Costs 2014-2023'!$A:$A,'2014 Actuals'!U137&amp;ROUNDDOWN('2014 Actuals'!T137,0),'Avoided Costs 2014-2023'!$M:$M)*S137</f>
        <v>0</v>
      </c>
      <c r="Y137" s="53">
        <f t="shared" si="70"/>
        <v>18785.793795024812</v>
      </c>
      <c r="Z137" s="55">
        <v>10347</v>
      </c>
      <c r="AA137" s="54">
        <f t="shared" si="71"/>
        <v>9105.36</v>
      </c>
      <c r="AB137" s="54"/>
      <c r="AC137" s="54"/>
      <c r="AD137" s="54"/>
      <c r="AE137" s="54">
        <f t="shared" si="72"/>
        <v>9105.36</v>
      </c>
      <c r="AF137" s="54">
        <f t="shared" si="73"/>
        <v>9680.4337950248118</v>
      </c>
      <c r="AG137" s="49">
        <f t="shared" si="74"/>
        <v>110391.93000000001</v>
      </c>
      <c r="AH137" s="49">
        <f t="shared" si="75"/>
        <v>125445.375</v>
      </c>
    </row>
    <row r="138" spans="1:34" s="56" customFormat="1">
      <c r="A138" s="62" t="s">
        <v>242</v>
      </c>
      <c r="B138" s="62"/>
      <c r="C138" s="62"/>
      <c r="D138" s="62"/>
      <c r="E138" s="141">
        <v>1</v>
      </c>
      <c r="F138" s="142"/>
      <c r="G138" s="143">
        <v>0.12</v>
      </c>
      <c r="H138" s="143">
        <v>0</v>
      </c>
      <c r="I138" s="49">
        <v>5360</v>
      </c>
      <c r="J138" s="49">
        <f t="shared" si="64"/>
        <v>4486.32</v>
      </c>
      <c r="K138" s="49">
        <f t="shared" si="65"/>
        <v>3947.9615999999996</v>
      </c>
      <c r="L138" s="58"/>
      <c r="M138" s="141">
        <v>0</v>
      </c>
      <c r="N138" s="50">
        <f t="shared" si="66"/>
        <v>0</v>
      </c>
      <c r="O138" s="50">
        <f t="shared" si="67"/>
        <v>0</v>
      </c>
      <c r="P138" s="59"/>
      <c r="Q138" s="141">
        <v>0</v>
      </c>
      <c r="R138" s="50">
        <f t="shared" si="68"/>
        <v>0</v>
      </c>
      <c r="S138" s="51">
        <f t="shared" si="69"/>
        <v>0</v>
      </c>
      <c r="T138" s="60">
        <v>5</v>
      </c>
      <c r="U138" s="61" t="s">
        <v>81</v>
      </c>
      <c r="V138" s="53">
        <f>SUMIF('Avoided Costs 2014-2023'!$A:$A,'2014 Actuals'!U138&amp;ROUNDDOWN('2014 Actuals'!T138,0),'Avoided Costs 2014-2023'!$E:$E)*K138</f>
        <v>3359.1944867834186</v>
      </c>
      <c r="W138" s="53">
        <f>SUMIF('Avoided Costs 2014-2023'!$A:$A,'2014 Actuals'!U138&amp;ROUNDDOWN('2014 Actuals'!T138,0),'Avoided Costs 2014-2023'!$K:$K)*O138</f>
        <v>0</v>
      </c>
      <c r="X138" s="53">
        <f>SUMIF('Avoided Costs 2014-2023'!$A:$A,'2014 Actuals'!U138&amp;ROUNDDOWN('2014 Actuals'!T138,0),'Avoided Costs 2014-2023'!$M:$M)*S138</f>
        <v>0</v>
      </c>
      <c r="Y138" s="53">
        <f t="shared" si="70"/>
        <v>3359.1944867834186</v>
      </c>
      <c r="Z138" s="55">
        <v>5082</v>
      </c>
      <c r="AA138" s="54">
        <f t="shared" si="71"/>
        <v>4472.16</v>
      </c>
      <c r="AB138" s="54"/>
      <c r="AC138" s="54"/>
      <c r="AD138" s="54"/>
      <c r="AE138" s="54">
        <f t="shared" si="72"/>
        <v>4472.16</v>
      </c>
      <c r="AF138" s="54">
        <f t="shared" si="73"/>
        <v>-1112.9655132165813</v>
      </c>
      <c r="AG138" s="49">
        <f t="shared" si="74"/>
        <v>19739.807999999997</v>
      </c>
      <c r="AH138" s="49">
        <f t="shared" si="75"/>
        <v>22431.599999999999</v>
      </c>
    </row>
    <row r="139" spans="1:34" s="56" customFormat="1">
      <c r="A139" s="62" t="s">
        <v>243</v>
      </c>
      <c r="B139" s="62"/>
      <c r="C139" s="62"/>
      <c r="D139" s="62"/>
      <c r="E139" s="141">
        <v>1</v>
      </c>
      <c r="F139" s="142"/>
      <c r="G139" s="143">
        <v>0.12</v>
      </c>
      <c r="H139" s="143">
        <v>0</v>
      </c>
      <c r="I139" s="49">
        <v>43534</v>
      </c>
      <c r="J139" s="49">
        <f t="shared" si="64"/>
        <v>36437.957999999999</v>
      </c>
      <c r="K139" s="49">
        <f t="shared" si="65"/>
        <v>32065.403039999997</v>
      </c>
      <c r="L139" s="58"/>
      <c r="M139" s="141">
        <v>1847</v>
      </c>
      <c r="N139" s="50">
        <f t="shared" si="66"/>
        <v>1847</v>
      </c>
      <c r="O139" s="50">
        <f t="shared" si="67"/>
        <v>1625.36</v>
      </c>
      <c r="P139" s="59"/>
      <c r="Q139" s="141">
        <v>0</v>
      </c>
      <c r="R139" s="50">
        <f t="shared" si="68"/>
        <v>0</v>
      </c>
      <c r="S139" s="51">
        <f t="shared" si="69"/>
        <v>0</v>
      </c>
      <c r="T139" s="60">
        <v>15</v>
      </c>
      <c r="U139" s="61" t="s">
        <v>81</v>
      </c>
      <c r="V139" s="53">
        <f>SUMIF('Avoided Costs 2014-2023'!$A:$A,'2014 Actuals'!U139&amp;ROUNDDOWN('2014 Actuals'!T139,0),'Avoided Costs 2014-2023'!$E:$E)*K139</f>
        <v>74227.300950254285</v>
      </c>
      <c r="W139" s="53">
        <f>SUMIF('Avoided Costs 2014-2023'!$A:$A,'2014 Actuals'!U139&amp;ROUNDDOWN('2014 Actuals'!T139,0),'Avoided Costs 2014-2023'!$K:$K)*O139</f>
        <v>1921.9562823589188</v>
      </c>
      <c r="X139" s="53">
        <f>SUMIF('Avoided Costs 2014-2023'!$A:$A,'2014 Actuals'!U139&amp;ROUNDDOWN('2014 Actuals'!T139,0),'Avoided Costs 2014-2023'!$M:$M)*S139</f>
        <v>0</v>
      </c>
      <c r="Y139" s="53">
        <f t="shared" si="70"/>
        <v>76149.257232613207</v>
      </c>
      <c r="Z139" s="55">
        <v>32984</v>
      </c>
      <c r="AA139" s="54">
        <f t="shared" si="71"/>
        <v>29025.920000000002</v>
      </c>
      <c r="AB139" s="54"/>
      <c r="AC139" s="54"/>
      <c r="AD139" s="54"/>
      <c r="AE139" s="54">
        <f t="shared" si="72"/>
        <v>29025.920000000002</v>
      </c>
      <c r="AF139" s="54">
        <f t="shared" si="73"/>
        <v>47123.337232613208</v>
      </c>
      <c r="AG139" s="49">
        <f t="shared" si="74"/>
        <v>480981.04559999995</v>
      </c>
      <c r="AH139" s="49">
        <f t="shared" si="75"/>
        <v>546569.37</v>
      </c>
    </row>
    <row r="140" spans="1:34" s="56" customFormat="1">
      <c r="A140" s="62" t="s">
        <v>244</v>
      </c>
      <c r="B140" s="62"/>
      <c r="C140" s="62"/>
      <c r="D140" s="62"/>
      <c r="E140" s="141">
        <v>1</v>
      </c>
      <c r="F140" s="142"/>
      <c r="G140" s="143">
        <v>0.12</v>
      </c>
      <c r="H140" s="143">
        <v>0</v>
      </c>
      <c r="I140" s="49">
        <v>9094</v>
      </c>
      <c r="J140" s="49">
        <f t="shared" si="64"/>
        <v>7611.6779999999999</v>
      </c>
      <c r="K140" s="49">
        <f t="shared" si="65"/>
        <v>6698.27664</v>
      </c>
      <c r="L140" s="58"/>
      <c r="M140" s="141">
        <v>288</v>
      </c>
      <c r="N140" s="50">
        <f t="shared" si="66"/>
        <v>288</v>
      </c>
      <c r="O140" s="50">
        <f t="shared" si="67"/>
        <v>253.44</v>
      </c>
      <c r="P140" s="59"/>
      <c r="Q140" s="141">
        <v>0</v>
      </c>
      <c r="R140" s="50">
        <f t="shared" si="68"/>
        <v>0</v>
      </c>
      <c r="S140" s="51">
        <f t="shared" si="69"/>
        <v>0</v>
      </c>
      <c r="T140" s="60">
        <v>15</v>
      </c>
      <c r="U140" s="61" t="s">
        <v>81</v>
      </c>
      <c r="V140" s="53">
        <f>SUMIF('Avoided Costs 2014-2023'!$A:$A,'2014 Actuals'!U140&amp;ROUNDDOWN('2014 Actuals'!T140,0),'Avoided Costs 2014-2023'!$E:$E)*K140</f>
        <v>15505.652474884288</v>
      </c>
      <c r="W140" s="53">
        <f>SUMIF('Avoided Costs 2014-2023'!$A:$A,'2014 Actuals'!U140&amp;ROUNDDOWN('2014 Actuals'!T140,0),'Avoided Costs 2014-2023'!$K:$K)*O140</f>
        <v>299.68782312905722</v>
      </c>
      <c r="X140" s="53">
        <f>SUMIF('Avoided Costs 2014-2023'!$A:$A,'2014 Actuals'!U140&amp;ROUNDDOWN('2014 Actuals'!T140,0),'Avoided Costs 2014-2023'!$M:$M)*S140</f>
        <v>0</v>
      </c>
      <c r="Y140" s="53">
        <f t="shared" si="70"/>
        <v>15805.340298013345</v>
      </c>
      <c r="Z140" s="55">
        <v>7303</v>
      </c>
      <c r="AA140" s="54">
        <f t="shared" si="71"/>
        <v>6426.64</v>
      </c>
      <c r="AB140" s="54"/>
      <c r="AC140" s="54"/>
      <c r="AD140" s="54"/>
      <c r="AE140" s="54">
        <f t="shared" si="72"/>
        <v>6426.64</v>
      </c>
      <c r="AF140" s="54">
        <f t="shared" si="73"/>
        <v>9378.7002980133439</v>
      </c>
      <c r="AG140" s="49">
        <f t="shared" si="74"/>
        <v>100474.1496</v>
      </c>
      <c r="AH140" s="49">
        <f t="shared" si="75"/>
        <v>114175.17</v>
      </c>
    </row>
    <row r="141" spans="1:34" s="56" customFormat="1">
      <c r="A141" s="62" t="s">
        <v>245</v>
      </c>
      <c r="B141" s="62"/>
      <c r="C141" s="62"/>
      <c r="D141" s="62"/>
      <c r="E141" s="141">
        <v>1</v>
      </c>
      <c r="F141" s="142"/>
      <c r="G141" s="143">
        <v>0.12</v>
      </c>
      <c r="H141" s="143">
        <v>0</v>
      </c>
      <c r="I141" s="49">
        <v>14882</v>
      </c>
      <c r="J141" s="49">
        <f t="shared" si="64"/>
        <v>12456.234</v>
      </c>
      <c r="K141" s="49">
        <f t="shared" si="65"/>
        <v>10961.485920000001</v>
      </c>
      <c r="L141" s="58"/>
      <c r="M141" s="141">
        <v>780</v>
      </c>
      <c r="N141" s="50">
        <f t="shared" si="66"/>
        <v>780</v>
      </c>
      <c r="O141" s="50">
        <f t="shared" si="67"/>
        <v>686.4</v>
      </c>
      <c r="P141" s="59"/>
      <c r="Q141" s="141">
        <v>0</v>
      </c>
      <c r="R141" s="50">
        <f t="shared" si="68"/>
        <v>0</v>
      </c>
      <c r="S141" s="51">
        <f t="shared" si="69"/>
        <v>0</v>
      </c>
      <c r="T141" s="60">
        <v>15</v>
      </c>
      <c r="U141" s="61" t="s">
        <v>81</v>
      </c>
      <c r="V141" s="53">
        <f>SUMIF('Avoided Costs 2014-2023'!$A:$A,'2014 Actuals'!U141&amp;ROUNDDOWN('2014 Actuals'!T141,0),'Avoided Costs 2014-2023'!$E:$E)*K141</f>
        <v>25374.435906226961</v>
      </c>
      <c r="W141" s="53">
        <f>SUMIF('Avoided Costs 2014-2023'!$A:$A,'2014 Actuals'!U141&amp;ROUNDDOWN('2014 Actuals'!T141,0),'Avoided Costs 2014-2023'!$K:$K)*O141</f>
        <v>811.65452097452987</v>
      </c>
      <c r="X141" s="53">
        <f>SUMIF('Avoided Costs 2014-2023'!$A:$A,'2014 Actuals'!U141&amp;ROUNDDOWN('2014 Actuals'!T141,0),'Avoided Costs 2014-2023'!$M:$M)*S141</f>
        <v>0</v>
      </c>
      <c r="Y141" s="53">
        <f t="shared" si="70"/>
        <v>26186.090427201492</v>
      </c>
      <c r="Z141" s="55">
        <v>10301</v>
      </c>
      <c r="AA141" s="54">
        <f t="shared" si="71"/>
        <v>9064.8799999999992</v>
      </c>
      <c r="AB141" s="54"/>
      <c r="AC141" s="54"/>
      <c r="AD141" s="54"/>
      <c r="AE141" s="54">
        <f t="shared" si="72"/>
        <v>9064.8799999999992</v>
      </c>
      <c r="AF141" s="54">
        <f t="shared" si="73"/>
        <v>17121.210427201491</v>
      </c>
      <c r="AG141" s="49">
        <f t="shared" si="74"/>
        <v>164422.28880000001</v>
      </c>
      <c r="AH141" s="49">
        <f t="shared" si="75"/>
        <v>186843.51</v>
      </c>
    </row>
    <row r="142" spans="1:34" s="56" customFormat="1">
      <c r="A142" s="62" t="s">
        <v>246</v>
      </c>
      <c r="B142" s="62"/>
      <c r="C142" s="62"/>
      <c r="D142" s="62"/>
      <c r="E142" s="141">
        <v>1</v>
      </c>
      <c r="F142" s="142"/>
      <c r="G142" s="143">
        <v>0.12</v>
      </c>
      <c r="H142" s="143">
        <v>0</v>
      </c>
      <c r="I142" s="49">
        <v>33936</v>
      </c>
      <c r="J142" s="49">
        <f t="shared" si="64"/>
        <v>28404.431999999997</v>
      </c>
      <c r="K142" s="49">
        <f t="shared" si="65"/>
        <v>24995.900159999997</v>
      </c>
      <c r="L142" s="58"/>
      <c r="M142" s="141">
        <v>799</v>
      </c>
      <c r="N142" s="50">
        <f t="shared" si="66"/>
        <v>799</v>
      </c>
      <c r="O142" s="50">
        <f t="shared" si="67"/>
        <v>703.12</v>
      </c>
      <c r="P142" s="59"/>
      <c r="Q142" s="141">
        <v>0</v>
      </c>
      <c r="R142" s="50">
        <f t="shared" si="68"/>
        <v>0</v>
      </c>
      <c r="S142" s="51">
        <f t="shared" si="69"/>
        <v>0</v>
      </c>
      <c r="T142" s="60">
        <v>15</v>
      </c>
      <c r="U142" s="61" t="s">
        <v>81</v>
      </c>
      <c r="V142" s="53">
        <f>SUMIF('Avoided Costs 2014-2023'!$A:$A,'2014 Actuals'!U142&amp;ROUNDDOWN('2014 Actuals'!T142,0),'Avoided Costs 2014-2023'!$E:$E)*K142</f>
        <v>57862.307278169465</v>
      </c>
      <c r="W142" s="53">
        <f>SUMIF('Avoided Costs 2014-2023'!$A:$A,'2014 Actuals'!U142&amp;ROUNDDOWN('2014 Actuals'!T142,0),'Avoided Costs 2014-2023'!$K:$K)*O142</f>
        <v>831.42559263929411</v>
      </c>
      <c r="X142" s="53">
        <f>SUMIF('Avoided Costs 2014-2023'!$A:$A,'2014 Actuals'!U142&amp;ROUNDDOWN('2014 Actuals'!T142,0),'Avoided Costs 2014-2023'!$M:$M)*S142</f>
        <v>0</v>
      </c>
      <c r="Y142" s="53">
        <f t="shared" si="70"/>
        <v>58693.732870808759</v>
      </c>
      <c r="Z142" s="55">
        <v>27550</v>
      </c>
      <c r="AA142" s="54">
        <f t="shared" si="71"/>
        <v>24244</v>
      </c>
      <c r="AB142" s="54"/>
      <c r="AC142" s="54"/>
      <c r="AD142" s="54"/>
      <c r="AE142" s="54">
        <f t="shared" si="72"/>
        <v>24244</v>
      </c>
      <c r="AF142" s="54">
        <f t="shared" si="73"/>
        <v>34449.732870808759</v>
      </c>
      <c r="AG142" s="49">
        <f t="shared" si="74"/>
        <v>374938.50239999994</v>
      </c>
      <c r="AH142" s="49">
        <f t="shared" si="75"/>
        <v>426066.48</v>
      </c>
    </row>
    <row r="143" spans="1:34" s="56" customFormat="1">
      <c r="A143" s="62" t="s">
        <v>247</v>
      </c>
      <c r="B143" s="62"/>
      <c r="C143" s="62"/>
      <c r="D143" s="62"/>
      <c r="E143" s="141">
        <v>0</v>
      </c>
      <c r="F143" s="142"/>
      <c r="G143" s="143">
        <v>0.12</v>
      </c>
      <c r="H143" s="143">
        <v>0</v>
      </c>
      <c r="I143" s="49">
        <v>20272</v>
      </c>
      <c r="J143" s="49">
        <f t="shared" si="64"/>
        <v>16967.664000000001</v>
      </c>
      <c r="K143" s="49">
        <f t="shared" si="65"/>
        <v>14931.544320000001</v>
      </c>
      <c r="L143" s="58"/>
      <c r="M143" s="141">
        <v>871</v>
      </c>
      <c r="N143" s="50">
        <f t="shared" si="66"/>
        <v>871</v>
      </c>
      <c r="O143" s="50">
        <f t="shared" si="67"/>
        <v>766.48</v>
      </c>
      <c r="P143" s="59"/>
      <c r="Q143" s="141">
        <v>0</v>
      </c>
      <c r="R143" s="50">
        <f t="shared" si="68"/>
        <v>0</v>
      </c>
      <c r="S143" s="51">
        <f t="shared" si="69"/>
        <v>0</v>
      </c>
      <c r="T143" s="60">
        <v>15</v>
      </c>
      <c r="U143" s="61" t="s">
        <v>81</v>
      </c>
      <c r="V143" s="53">
        <f>SUMIF('Avoided Costs 2014-2023'!$A:$A,'2014 Actuals'!U143&amp;ROUNDDOWN('2014 Actuals'!T143,0),'Avoided Costs 2014-2023'!$E:$E)*K143</f>
        <v>34564.612598510481</v>
      </c>
      <c r="W143" s="53">
        <f>SUMIF('Avoided Costs 2014-2023'!$A:$A,'2014 Actuals'!U143&amp;ROUNDDOWN('2014 Actuals'!T143,0),'Avoided Costs 2014-2023'!$K:$K)*O143</f>
        <v>906.34754842155849</v>
      </c>
      <c r="X143" s="53">
        <f>SUMIF('Avoided Costs 2014-2023'!$A:$A,'2014 Actuals'!U143&amp;ROUNDDOWN('2014 Actuals'!T143,0),'Avoided Costs 2014-2023'!$M:$M)*S143</f>
        <v>0</v>
      </c>
      <c r="Y143" s="53">
        <f t="shared" si="70"/>
        <v>35470.960146932041</v>
      </c>
      <c r="Z143" s="55">
        <v>20782</v>
      </c>
      <c r="AA143" s="54">
        <f t="shared" si="71"/>
        <v>18288.16</v>
      </c>
      <c r="AB143" s="54"/>
      <c r="AC143" s="54"/>
      <c r="AD143" s="54"/>
      <c r="AE143" s="54">
        <f t="shared" si="72"/>
        <v>18288.16</v>
      </c>
      <c r="AF143" s="54">
        <f t="shared" si="73"/>
        <v>17182.800146932041</v>
      </c>
      <c r="AG143" s="49">
        <f t="shared" si="74"/>
        <v>223973.16480000003</v>
      </c>
      <c r="AH143" s="49">
        <f t="shared" si="75"/>
        <v>254514.96000000002</v>
      </c>
    </row>
    <row r="144" spans="1:34" s="56" customFormat="1">
      <c r="A144" s="62" t="s">
        <v>248</v>
      </c>
      <c r="B144" s="62"/>
      <c r="C144" s="62"/>
      <c r="D144" s="62"/>
      <c r="E144" s="141">
        <v>0</v>
      </c>
      <c r="F144" s="142"/>
      <c r="G144" s="143">
        <v>0.12</v>
      </c>
      <c r="H144" s="143">
        <v>0</v>
      </c>
      <c r="I144" s="49">
        <v>17853</v>
      </c>
      <c r="J144" s="49">
        <f t="shared" si="64"/>
        <v>14942.960999999999</v>
      </c>
      <c r="K144" s="49">
        <f t="shared" si="65"/>
        <v>13149.805679999999</v>
      </c>
      <c r="L144" s="58"/>
      <c r="M144" s="141">
        <v>1950</v>
      </c>
      <c r="N144" s="50">
        <f t="shared" si="66"/>
        <v>1950</v>
      </c>
      <c r="O144" s="50">
        <f t="shared" si="67"/>
        <v>1716</v>
      </c>
      <c r="P144" s="59"/>
      <c r="Q144" s="141">
        <v>0</v>
      </c>
      <c r="R144" s="50">
        <f t="shared" si="68"/>
        <v>0</v>
      </c>
      <c r="S144" s="51">
        <f t="shared" si="69"/>
        <v>0</v>
      </c>
      <c r="T144" s="60">
        <v>15</v>
      </c>
      <c r="U144" s="61" t="s">
        <v>81</v>
      </c>
      <c r="V144" s="53">
        <f>SUMIF('Avoided Costs 2014-2023'!$A:$A,'2014 Actuals'!U144&amp;ROUNDDOWN('2014 Actuals'!T144,0),'Avoided Costs 2014-2023'!$E:$E)*K144</f>
        <v>30440.115860359485</v>
      </c>
      <c r="W144" s="53">
        <f>SUMIF('Avoided Costs 2014-2023'!$A:$A,'2014 Actuals'!U144&amp;ROUNDDOWN('2014 Actuals'!T144,0),'Avoided Costs 2014-2023'!$K:$K)*O144</f>
        <v>2029.1363024363247</v>
      </c>
      <c r="X144" s="53">
        <f>SUMIF('Avoided Costs 2014-2023'!$A:$A,'2014 Actuals'!U144&amp;ROUNDDOWN('2014 Actuals'!T144,0),'Avoided Costs 2014-2023'!$M:$M)*S144</f>
        <v>0</v>
      </c>
      <c r="Y144" s="53">
        <f t="shared" si="70"/>
        <v>32469.252162795809</v>
      </c>
      <c r="Z144" s="55">
        <v>5148</v>
      </c>
      <c r="AA144" s="54">
        <f t="shared" si="71"/>
        <v>4530.24</v>
      </c>
      <c r="AB144" s="54"/>
      <c r="AC144" s="54"/>
      <c r="AD144" s="54"/>
      <c r="AE144" s="54">
        <f t="shared" si="72"/>
        <v>4530.24</v>
      </c>
      <c r="AF144" s="54">
        <f t="shared" si="73"/>
        <v>27939.012162795807</v>
      </c>
      <c r="AG144" s="49">
        <f t="shared" si="74"/>
        <v>197247.0852</v>
      </c>
      <c r="AH144" s="49">
        <f t="shared" si="75"/>
        <v>224144.41499999998</v>
      </c>
    </row>
    <row r="145" spans="1:34" s="56" customFormat="1">
      <c r="A145" s="62" t="s">
        <v>249</v>
      </c>
      <c r="B145" s="62"/>
      <c r="C145" s="62"/>
      <c r="D145" s="62"/>
      <c r="E145" s="141">
        <v>1</v>
      </c>
      <c r="F145" s="142"/>
      <c r="G145" s="143">
        <v>0.12</v>
      </c>
      <c r="H145" s="143">
        <v>0</v>
      </c>
      <c r="I145" s="49">
        <v>30563</v>
      </c>
      <c r="J145" s="49">
        <f t="shared" si="64"/>
        <v>25581.231</v>
      </c>
      <c r="K145" s="49">
        <f t="shared" si="65"/>
        <v>22511.48328</v>
      </c>
      <c r="L145" s="58"/>
      <c r="M145" s="141">
        <v>7803</v>
      </c>
      <c r="N145" s="50">
        <f t="shared" si="66"/>
        <v>7803</v>
      </c>
      <c r="O145" s="50">
        <f t="shared" si="67"/>
        <v>6866.64</v>
      </c>
      <c r="P145" s="59"/>
      <c r="Q145" s="141">
        <v>0</v>
      </c>
      <c r="R145" s="50">
        <f t="shared" si="68"/>
        <v>0</v>
      </c>
      <c r="S145" s="51">
        <f t="shared" si="69"/>
        <v>0</v>
      </c>
      <c r="T145" s="60">
        <v>15</v>
      </c>
      <c r="U145" s="61" t="s">
        <v>81</v>
      </c>
      <c r="V145" s="53">
        <f>SUMIF('Avoided Costs 2014-2023'!$A:$A,'2014 Actuals'!U145&amp;ROUNDDOWN('2014 Actuals'!T145,0),'Avoided Costs 2014-2023'!$E:$E)*K145</f>
        <v>52111.20041674604</v>
      </c>
      <c r="W145" s="53">
        <f>SUMIF('Avoided Costs 2014-2023'!$A:$A,'2014 Actuals'!U145&amp;ROUNDDOWN('2014 Actuals'!T145,0),'Avoided Costs 2014-2023'!$K:$K)*O145</f>
        <v>8119.666957902894</v>
      </c>
      <c r="X145" s="53">
        <f>SUMIF('Avoided Costs 2014-2023'!$A:$A,'2014 Actuals'!U145&amp;ROUNDDOWN('2014 Actuals'!T145,0),'Avoided Costs 2014-2023'!$M:$M)*S145</f>
        <v>0</v>
      </c>
      <c r="Y145" s="53">
        <f t="shared" si="70"/>
        <v>60230.867374648937</v>
      </c>
      <c r="Z145" s="55">
        <v>3087</v>
      </c>
      <c r="AA145" s="54">
        <f t="shared" si="71"/>
        <v>2716.56</v>
      </c>
      <c r="AB145" s="54"/>
      <c r="AC145" s="54"/>
      <c r="AD145" s="54"/>
      <c r="AE145" s="54">
        <f t="shared" si="72"/>
        <v>2716.56</v>
      </c>
      <c r="AF145" s="54">
        <f t="shared" si="73"/>
        <v>57514.307374648939</v>
      </c>
      <c r="AG145" s="49">
        <f t="shared" si="74"/>
        <v>337672.24920000002</v>
      </c>
      <c r="AH145" s="49">
        <f t="shared" si="75"/>
        <v>383718.46499999997</v>
      </c>
    </row>
    <row r="146" spans="1:34" s="56" customFormat="1">
      <c r="A146" s="62" t="s">
        <v>250</v>
      </c>
      <c r="B146" s="62"/>
      <c r="C146" s="62"/>
      <c r="D146" s="62"/>
      <c r="E146" s="141">
        <v>1</v>
      </c>
      <c r="F146" s="142"/>
      <c r="G146" s="143">
        <v>0.12</v>
      </c>
      <c r="H146" s="143">
        <v>0</v>
      </c>
      <c r="I146" s="49">
        <v>26354</v>
      </c>
      <c r="J146" s="49">
        <f t="shared" si="64"/>
        <v>22058.297999999999</v>
      </c>
      <c r="K146" s="49">
        <f t="shared" si="65"/>
        <v>19411.302240000001</v>
      </c>
      <c r="L146" s="58"/>
      <c r="M146" s="141">
        <v>193</v>
      </c>
      <c r="N146" s="50">
        <f t="shared" si="66"/>
        <v>193</v>
      </c>
      <c r="O146" s="50">
        <f t="shared" si="67"/>
        <v>169.84</v>
      </c>
      <c r="P146" s="59"/>
      <c r="Q146" s="141">
        <v>0</v>
      </c>
      <c r="R146" s="50">
        <f t="shared" si="68"/>
        <v>0</v>
      </c>
      <c r="S146" s="51">
        <f t="shared" si="69"/>
        <v>0</v>
      </c>
      <c r="T146" s="60">
        <v>15</v>
      </c>
      <c r="U146" s="61" t="s">
        <v>81</v>
      </c>
      <c r="V146" s="53">
        <f>SUMIF('Avoided Costs 2014-2023'!$A:$A,'2014 Actuals'!U146&amp;ROUNDDOWN('2014 Actuals'!T146,0),'Avoided Costs 2014-2023'!$E:$E)*K146</f>
        <v>44934.678394886796</v>
      </c>
      <c r="W146" s="53">
        <f>SUMIF('Avoided Costs 2014-2023'!$A:$A,'2014 Actuals'!U146&amp;ROUNDDOWN('2014 Actuals'!T146,0),'Avoided Costs 2014-2023'!$K:$K)*O146</f>
        <v>200.83246480523624</v>
      </c>
      <c r="X146" s="53">
        <f>SUMIF('Avoided Costs 2014-2023'!$A:$A,'2014 Actuals'!U146&amp;ROUNDDOWN('2014 Actuals'!T146,0),'Avoided Costs 2014-2023'!$M:$M)*S146</f>
        <v>0</v>
      </c>
      <c r="Y146" s="53">
        <f t="shared" si="70"/>
        <v>45135.510859692033</v>
      </c>
      <c r="Z146" s="55">
        <v>23605.33</v>
      </c>
      <c r="AA146" s="54">
        <f t="shared" si="71"/>
        <v>20772.690400000003</v>
      </c>
      <c r="AB146" s="54"/>
      <c r="AC146" s="54"/>
      <c r="AD146" s="54"/>
      <c r="AE146" s="54">
        <f t="shared" si="72"/>
        <v>20772.690400000003</v>
      </c>
      <c r="AF146" s="54">
        <f t="shared" si="73"/>
        <v>24362.82045969203</v>
      </c>
      <c r="AG146" s="49">
        <f t="shared" si="74"/>
        <v>291169.53360000002</v>
      </c>
      <c r="AH146" s="49">
        <f t="shared" si="75"/>
        <v>330874.46999999997</v>
      </c>
    </row>
    <row r="147" spans="1:34" s="56" customFormat="1">
      <c r="A147" s="62" t="s">
        <v>251</v>
      </c>
      <c r="B147" s="62"/>
      <c r="C147" s="62"/>
      <c r="D147" s="62"/>
      <c r="E147" s="141">
        <v>1</v>
      </c>
      <c r="F147" s="142"/>
      <c r="G147" s="143">
        <v>0.12</v>
      </c>
      <c r="H147" s="143">
        <v>0</v>
      </c>
      <c r="I147" s="49">
        <v>11693</v>
      </c>
      <c r="J147" s="49">
        <f t="shared" si="64"/>
        <v>9787.0409999999993</v>
      </c>
      <c r="K147" s="49">
        <f t="shared" si="65"/>
        <v>8612.5960799999993</v>
      </c>
      <c r="L147" s="58"/>
      <c r="M147" s="141">
        <v>571</v>
      </c>
      <c r="N147" s="50">
        <f t="shared" si="66"/>
        <v>571</v>
      </c>
      <c r="O147" s="50">
        <f t="shared" si="67"/>
        <v>502.48</v>
      </c>
      <c r="P147" s="59"/>
      <c r="Q147" s="141">
        <v>0</v>
      </c>
      <c r="R147" s="50">
        <f t="shared" si="68"/>
        <v>0</v>
      </c>
      <c r="S147" s="51">
        <f t="shared" si="69"/>
        <v>0</v>
      </c>
      <c r="T147" s="60">
        <v>15</v>
      </c>
      <c r="U147" s="61" t="s">
        <v>81</v>
      </c>
      <c r="V147" s="53">
        <f>SUMIF('Avoided Costs 2014-2023'!$A:$A,'2014 Actuals'!U147&amp;ROUNDDOWN('2014 Actuals'!T147,0),'Avoided Costs 2014-2023'!$E:$E)*K147</f>
        <v>19937.056783464039</v>
      </c>
      <c r="W147" s="53">
        <f>SUMIF('Avoided Costs 2014-2023'!$A:$A,'2014 Actuals'!U147&amp;ROUNDDOWN('2014 Actuals'!T147,0),'Avoided Costs 2014-2023'!$K:$K)*O147</f>
        <v>594.17273266212385</v>
      </c>
      <c r="X147" s="53">
        <f>SUMIF('Avoided Costs 2014-2023'!$A:$A,'2014 Actuals'!U147&amp;ROUNDDOWN('2014 Actuals'!T147,0),'Avoided Costs 2014-2023'!$M:$M)*S147</f>
        <v>0</v>
      </c>
      <c r="Y147" s="53">
        <f t="shared" si="70"/>
        <v>20531.229516126161</v>
      </c>
      <c r="Z147" s="55">
        <v>6955</v>
      </c>
      <c r="AA147" s="54">
        <f t="shared" si="71"/>
        <v>6120.4</v>
      </c>
      <c r="AB147" s="54"/>
      <c r="AC147" s="54"/>
      <c r="AD147" s="54"/>
      <c r="AE147" s="54">
        <f t="shared" si="72"/>
        <v>6120.4</v>
      </c>
      <c r="AF147" s="54">
        <f t="shared" si="73"/>
        <v>14410.829516126161</v>
      </c>
      <c r="AG147" s="49">
        <f t="shared" si="74"/>
        <v>129188.94119999999</v>
      </c>
      <c r="AH147" s="49">
        <f t="shared" si="75"/>
        <v>146805.61499999999</v>
      </c>
    </row>
    <row r="148" spans="1:34" s="56" customFormat="1">
      <c r="A148" s="62" t="s">
        <v>252</v>
      </c>
      <c r="B148" s="62"/>
      <c r="C148" s="62"/>
      <c r="D148" s="62"/>
      <c r="E148" s="141">
        <v>1</v>
      </c>
      <c r="F148" s="142"/>
      <c r="G148" s="143">
        <v>0.12</v>
      </c>
      <c r="H148" s="143">
        <v>0</v>
      </c>
      <c r="I148" s="49">
        <v>16596</v>
      </c>
      <c r="J148" s="49">
        <f t="shared" si="64"/>
        <v>13890.851999999999</v>
      </c>
      <c r="K148" s="49">
        <f t="shared" si="65"/>
        <v>12223.94976</v>
      </c>
      <c r="L148" s="58"/>
      <c r="M148" s="141">
        <v>323</v>
      </c>
      <c r="N148" s="50">
        <f t="shared" si="66"/>
        <v>323</v>
      </c>
      <c r="O148" s="50">
        <f t="shared" si="67"/>
        <v>284.24</v>
      </c>
      <c r="P148" s="59"/>
      <c r="Q148" s="141">
        <v>0</v>
      </c>
      <c r="R148" s="50">
        <f t="shared" si="68"/>
        <v>0</v>
      </c>
      <c r="S148" s="51">
        <f t="shared" si="69"/>
        <v>0</v>
      </c>
      <c r="T148" s="60">
        <v>15</v>
      </c>
      <c r="U148" s="61" t="s">
        <v>81</v>
      </c>
      <c r="V148" s="53">
        <f>SUMIF('Avoided Costs 2014-2023'!$A:$A,'2014 Actuals'!U148&amp;ROUNDDOWN('2014 Actuals'!T148,0),'Avoided Costs 2014-2023'!$E:$E)*K148</f>
        <v>28296.877993531958</v>
      </c>
      <c r="W148" s="53">
        <f>SUMIF('Avoided Costs 2014-2023'!$A:$A,'2014 Actuals'!U148&amp;ROUNDDOWN('2014 Actuals'!T148,0),'Avoided Costs 2014-2023'!$K:$K)*O148</f>
        <v>336.10821830099127</v>
      </c>
      <c r="X148" s="53">
        <f>SUMIF('Avoided Costs 2014-2023'!$A:$A,'2014 Actuals'!U148&amp;ROUNDDOWN('2014 Actuals'!T148,0),'Avoided Costs 2014-2023'!$M:$M)*S148</f>
        <v>0</v>
      </c>
      <c r="Y148" s="53">
        <f t="shared" si="70"/>
        <v>28632.986211832951</v>
      </c>
      <c r="Z148" s="55">
        <v>10136</v>
      </c>
      <c r="AA148" s="54">
        <f t="shared" si="71"/>
        <v>8919.68</v>
      </c>
      <c r="AB148" s="54"/>
      <c r="AC148" s="54"/>
      <c r="AD148" s="54"/>
      <c r="AE148" s="54">
        <f t="shared" si="72"/>
        <v>8919.68</v>
      </c>
      <c r="AF148" s="54">
        <f t="shared" si="73"/>
        <v>19713.306211832951</v>
      </c>
      <c r="AG148" s="49">
        <f t="shared" si="74"/>
        <v>183359.2464</v>
      </c>
      <c r="AH148" s="49">
        <f t="shared" si="75"/>
        <v>208362.77999999997</v>
      </c>
    </row>
    <row r="149" spans="1:34" s="56" customFormat="1">
      <c r="A149" s="62" t="s">
        <v>253</v>
      </c>
      <c r="B149" s="62"/>
      <c r="C149" s="62"/>
      <c r="D149" s="62"/>
      <c r="E149" s="141">
        <v>1</v>
      </c>
      <c r="F149" s="142"/>
      <c r="G149" s="143">
        <v>0.12</v>
      </c>
      <c r="H149" s="143">
        <v>0</v>
      </c>
      <c r="I149" s="49">
        <v>30143</v>
      </c>
      <c r="J149" s="49">
        <f t="shared" si="64"/>
        <v>25229.690999999999</v>
      </c>
      <c r="K149" s="49">
        <f t="shared" si="65"/>
        <v>22202.128079999999</v>
      </c>
      <c r="L149" s="58"/>
      <c r="M149" s="141">
        <v>1112</v>
      </c>
      <c r="N149" s="50">
        <f t="shared" si="66"/>
        <v>1112</v>
      </c>
      <c r="O149" s="50">
        <f t="shared" si="67"/>
        <v>978.56000000000006</v>
      </c>
      <c r="P149" s="59"/>
      <c r="Q149" s="141">
        <v>0</v>
      </c>
      <c r="R149" s="50">
        <f t="shared" si="68"/>
        <v>0</v>
      </c>
      <c r="S149" s="51">
        <f t="shared" si="69"/>
        <v>0</v>
      </c>
      <c r="T149" s="60">
        <v>15</v>
      </c>
      <c r="U149" s="61" t="s">
        <v>81</v>
      </c>
      <c r="V149" s="53">
        <f>SUMIF('Avoided Costs 2014-2023'!$A:$A,'2014 Actuals'!U149&amp;ROUNDDOWN('2014 Actuals'!T149,0),'Avoided Costs 2014-2023'!$E:$E)*K149</f>
        <v>51395.082752412251</v>
      </c>
      <c r="W149" s="53">
        <f>SUMIF('Avoided Costs 2014-2023'!$A:$A,'2014 Actuals'!U149&amp;ROUNDDOWN('2014 Actuals'!T149,0),'Avoided Costs 2014-2023'!$K:$K)*O149</f>
        <v>1157.1279837483044</v>
      </c>
      <c r="X149" s="53">
        <f>SUMIF('Avoided Costs 2014-2023'!$A:$A,'2014 Actuals'!U149&amp;ROUNDDOWN('2014 Actuals'!T149,0),'Avoided Costs 2014-2023'!$M:$M)*S149</f>
        <v>0</v>
      </c>
      <c r="Y149" s="53">
        <f t="shared" si="70"/>
        <v>52552.210736160552</v>
      </c>
      <c r="Z149" s="55">
        <v>19240.23</v>
      </c>
      <c r="AA149" s="54">
        <f t="shared" si="71"/>
        <v>16931.402399999999</v>
      </c>
      <c r="AB149" s="54"/>
      <c r="AC149" s="54"/>
      <c r="AD149" s="54"/>
      <c r="AE149" s="54">
        <f t="shared" si="72"/>
        <v>16931.402399999999</v>
      </c>
      <c r="AF149" s="54">
        <f t="shared" si="73"/>
        <v>35620.808336160553</v>
      </c>
      <c r="AG149" s="49">
        <f t="shared" si="74"/>
        <v>333031.92119999998</v>
      </c>
      <c r="AH149" s="49">
        <f t="shared" si="75"/>
        <v>378445.36499999999</v>
      </c>
    </row>
    <row r="150" spans="1:34" s="56" customFormat="1">
      <c r="A150" s="62" t="s">
        <v>254</v>
      </c>
      <c r="B150" s="62"/>
      <c r="C150" s="62"/>
      <c r="D150" s="62"/>
      <c r="E150" s="141">
        <v>1</v>
      </c>
      <c r="F150" s="142"/>
      <c r="G150" s="143">
        <v>0.12</v>
      </c>
      <c r="H150" s="143">
        <v>0</v>
      </c>
      <c r="I150" s="49">
        <v>6099</v>
      </c>
      <c r="J150" s="49">
        <f t="shared" si="64"/>
        <v>5104.8629999999994</v>
      </c>
      <c r="K150" s="49">
        <f t="shared" si="65"/>
        <v>4492.2794399999993</v>
      </c>
      <c r="L150" s="58"/>
      <c r="M150" s="141">
        <v>-410</v>
      </c>
      <c r="N150" s="50">
        <f t="shared" si="66"/>
        <v>-410</v>
      </c>
      <c r="O150" s="50">
        <f t="shared" si="67"/>
        <v>-360.8</v>
      </c>
      <c r="P150" s="59"/>
      <c r="Q150" s="141">
        <v>0</v>
      </c>
      <c r="R150" s="50">
        <f t="shared" si="68"/>
        <v>0</v>
      </c>
      <c r="S150" s="51">
        <f t="shared" si="69"/>
        <v>0</v>
      </c>
      <c r="T150" s="60">
        <v>15</v>
      </c>
      <c r="U150" s="61" t="s">
        <v>81</v>
      </c>
      <c r="V150" s="53">
        <f>SUMIF('Avoided Costs 2014-2023'!$A:$A,'2014 Actuals'!U150&amp;ROUNDDOWN('2014 Actuals'!T150,0),'Avoided Costs 2014-2023'!$E:$E)*K150</f>
        <v>10399.051511361255</v>
      </c>
      <c r="W150" s="53">
        <f>SUMIF('Avoided Costs 2014-2023'!$A:$A,'2014 Actuals'!U150&amp;ROUNDDOWN('2014 Actuals'!T150,0),'Avoided Costs 2014-2023'!$K:$K)*O150</f>
        <v>-426.63891487122726</v>
      </c>
      <c r="X150" s="53">
        <f>SUMIF('Avoided Costs 2014-2023'!$A:$A,'2014 Actuals'!U150&amp;ROUNDDOWN('2014 Actuals'!T150,0),'Avoided Costs 2014-2023'!$M:$M)*S150</f>
        <v>0</v>
      </c>
      <c r="Y150" s="53">
        <f t="shared" si="70"/>
        <v>9972.4125964900268</v>
      </c>
      <c r="Z150" s="55">
        <v>11592.67</v>
      </c>
      <c r="AA150" s="54">
        <f t="shared" si="71"/>
        <v>10201.5496</v>
      </c>
      <c r="AB150" s="54"/>
      <c r="AC150" s="54"/>
      <c r="AD150" s="54"/>
      <c r="AE150" s="54">
        <f t="shared" si="72"/>
        <v>10201.5496</v>
      </c>
      <c r="AF150" s="54">
        <f t="shared" si="73"/>
        <v>-229.13700350997351</v>
      </c>
      <c r="AG150" s="49">
        <f t="shared" si="74"/>
        <v>67384.191599999991</v>
      </c>
      <c r="AH150" s="49">
        <f t="shared" si="75"/>
        <v>76572.944999999992</v>
      </c>
    </row>
    <row r="151" spans="1:34" s="56" customFormat="1">
      <c r="A151" s="62" t="s">
        <v>255</v>
      </c>
      <c r="B151" s="62"/>
      <c r="C151" s="62"/>
      <c r="D151" s="62"/>
      <c r="E151" s="141">
        <v>1</v>
      </c>
      <c r="F151" s="142"/>
      <c r="G151" s="143">
        <v>0.12</v>
      </c>
      <c r="H151" s="143">
        <v>0</v>
      </c>
      <c r="I151" s="49">
        <v>11275</v>
      </c>
      <c r="J151" s="49">
        <f t="shared" si="64"/>
        <v>9437.1749999999993</v>
      </c>
      <c r="K151" s="49">
        <f t="shared" si="65"/>
        <v>8304.7139999999999</v>
      </c>
      <c r="L151" s="58"/>
      <c r="M151" s="141">
        <v>520</v>
      </c>
      <c r="N151" s="50">
        <f t="shared" si="66"/>
        <v>520</v>
      </c>
      <c r="O151" s="50">
        <f t="shared" si="67"/>
        <v>457.6</v>
      </c>
      <c r="P151" s="59"/>
      <c r="Q151" s="141">
        <v>0</v>
      </c>
      <c r="R151" s="50">
        <f t="shared" si="68"/>
        <v>0</v>
      </c>
      <c r="S151" s="51">
        <f t="shared" si="69"/>
        <v>0</v>
      </c>
      <c r="T151" s="60">
        <v>15</v>
      </c>
      <c r="U151" s="61" t="s">
        <v>81</v>
      </c>
      <c r="V151" s="53">
        <f>SUMIF('Avoided Costs 2014-2023'!$A:$A,'2014 Actuals'!U151&amp;ROUNDDOWN('2014 Actuals'!T151,0),'Avoided Costs 2014-2023'!$E:$E)*K151</f>
        <v>19224.349203246133</v>
      </c>
      <c r="W151" s="53">
        <f>SUMIF('Avoided Costs 2014-2023'!$A:$A,'2014 Actuals'!U151&amp;ROUNDDOWN('2014 Actuals'!T151,0),'Avoided Costs 2014-2023'!$K:$K)*O151</f>
        <v>541.10301398301999</v>
      </c>
      <c r="X151" s="53">
        <f>SUMIF('Avoided Costs 2014-2023'!$A:$A,'2014 Actuals'!U151&amp;ROUNDDOWN('2014 Actuals'!T151,0),'Avoided Costs 2014-2023'!$M:$M)*S151</f>
        <v>0</v>
      </c>
      <c r="Y151" s="53">
        <f t="shared" si="70"/>
        <v>19765.452217229154</v>
      </c>
      <c r="Z151" s="55">
        <v>7217</v>
      </c>
      <c r="AA151" s="54">
        <f t="shared" si="71"/>
        <v>6350.96</v>
      </c>
      <c r="AB151" s="54"/>
      <c r="AC151" s="54"/>
      <c r="AD151" s="54"/>
      <c r="AE151" s="54">
        <f t="shared" si="72"/>
        <v>6350.96</v>
      </c>
      <c r="AF151" s="54">
        <f t="shared" si="73"/>
        <v>13414.492217229155</v>
      </c>
      <c r="AG151" s="49">
        <f t="shared" si="74"/>
        <v>124570.70999999999</v>
      </c>
      <c r="AH151" s="49">
        <f t="shared" si="75"/>
        <v>141557.625</v>
      </c>
    </row>
    <row r="152" spans="1:34" s="56" customFormat="1">
      <c r="A152" s="62" t="s">
        <v>256</v>
      </c>
      <c r="B152" s="62"/>
      <c r="C152" s="62"/>
      <c r="D152" s="62"/>
      <c r="E152" s="141">
        <v>1</v>
      </c>
      <c r="F152" s="142"/>
      <c r="G152" s="143">
        <v>0.12</v>
      </c>
      <c r="H152" s="143">
        <v>0</v>
      </c>
      <c r="I152" s="49">
        <v>9420</v>
      </c>
      <c r="J152" s="49">
        <f t="shared" si="64"/>
        <v>7884.54</v>
      </c>
      <c r="K152" s="49">
        <f t="shared" si="65"/>
        <v>6938.3951999999999</v>
      </c>
      <c r="L152" s="58"/>
      <c r="M152" s="141">
        <v>-248</v>
      </c>
      <c r="N152" s="50">
        <f t="shared" si="66"/>
        <v>-248</v>
      </c>
      <c r="O152" s="50">
        <f t="shared" si="67"/>
        <v>-218.24</v>
      </c>
      <c r="P152" s="59"/>
      <c r="Q152" s="141">
        <v>0</v>
      </c>
      <c r="R152" s="50">
        <f t="shared" si="68"/>
        <v>0</v>
      </c>
      <c r="S152" s="51">
        <f t="shared" si="69"/>
        <v>0</v>
      </c>
      <c r="T152" s="60">
        <v>15</v>
      </c>
      <c r="U152" s="61" t="s">
        <v>81</v>
      </c>
      <c r="V152" s="53">
        <f>SUMIF('Avoided Costs 2014-2023'!$A:$A,'2014 Actuals'!U152&amp;ROUNDDOWN('2014 Actuals'!T152,0),'Avoided Costs 2014-2023'!$E:$E)*K152</f>
        <v>16061.496185771935</v>
      </c>
      <c r="W152" s="53">
        <f>SUMIF('Avoided Costs 2014-2023'!$A:$A,'2014 Actuals'!U152&amp;ROUNDDOWN('2014 Actuals'!T152,0),'Avoided Costs 2014-2023'!$K:$K)*O152</f>
        <v>-258.06451436113258</v>
      </c>
      <c r="X152" s="53">
        <f>SUMIF('Avoided Costs 2014-2023'!$A:$A,'2014 Actuals'!U152&amp;ROUNDDOWN('2014 Actuals'!T152,0),'Avoided Costs 2014-2023'!$M:$M)*S152</f>
        <v>0</v>
      </c>
      <c r="Y152" s="53">
        <f t="shared" si="70"/>
        <v>15803.431671410803</v>
      </c>
      <c r="Z152" s="55">
        <v>4355.6000000000004</v>
      </c>
      <c r="AA152" s="54">
        <f t="shared" si="71"/>
        <v>3832.9280000000003</v>
      </c>
      <c r="AB152" s="54"/>
      <c r="AC152" s="54"/>
      <c r="AD152" s="54"/>
      <c r="AE152" s="54">
        <f t="shared" si="72"/>
        <v>3832.9280000000003</v>
      </c>
      <c r="AF152" s="54">
        <f t="shared" si="73"/>
        <v>11970.503671410803</v>
      </c>
      <c r="AG152" s="49">
        <f t="shared" si="74"/>
        <v>104075.928</v>
      </c>
      <c r="AH152" s="49">
        <f t="shared" si="75"/>
        <v>118268.1</v>
      </c>
    </row>
    <row r="153" spans="1:34" s="56" customFormat="1">
      <c r="A153" s="62" t="s">
        <v>257</v>
      </c>
      <c r="B153" s="62"/>
      <c r="C153" s="62"/>
      <c r="D153" s="62"/>
      <c r="E153" s="141">
        <v>1</v>
      </c>
      <c r="F153" s="142"/>
      <c r="G153" s="143">
        <v>0.12</v>
      </c>
      <c r="H153" s="143">
        <v>0</v>
      </c>
      <c r="I153" s="49">
        <v>14389</v>
      </c>
      <c r="J153" s="49">
        <f t="shared" si="64"/>
        <v>12043.592999999999</v>
      </c>
      <c r="K153" s="49">
        <f t="shared" si="65"/>
        <v>10598.36184</v>
      </c>
      <c r="L153" s="58"/>
      <c r="M153" s="141">
        <v>845</v>
      </c>
      <c r="N153" s="50">
        <f t="shared" si="66"/>
        <v>845</v>
      </c>
      <c r="O153" s="50">
        <f t="shared" si="67"/>
        <v>743.6</v>
      </c>
      <c r="P153" s="59"/>
      <c r="Q153" s="141">
        <v>0</v>
      </c>
      <c r="R153" s="50">
        <f t="shared" si="68"/>
        <v>0</v>
      </c>
      <c r="S153" s="51">
        <f t="shared" si="69"/>
        <v>0</v>
      </c>
      <c r="T153" s="60">
        <v>15</v>
      </c>
      <c r="U153" s="61" t="s">
        <v>81</v>
      </c>
      <c r="V153" s="53">
        <f>SUMIF('Avoided Costs 2014-2023'!$A:$A,'2014 Actuals'!U153&amp;ROUNDDOWN('2014 Actuals'!T153,0),'Avoided Costs 2014-2023'!$E:$E)*K153</f>
        <v>24533.850171663733</v>
      </c>
      <c r="W153" s="53">
        <f>SUMIF('Avoided Costs 2014-2023'!$A:$A,'2014 Actuals'!U153&amp;ROUNDDOWN('2014 Actuals'!T153,0),'Avoided Costs 2014-2023'!$K:$K)*O153</f>
        <v>879.29239772240749</v>
      </c>
      <c r="X153" s="53">
        <f>SUMIF('Avoided Costs 2014-2023'!$A:$A,'2014 Actuals'!U153&amp;ROUNDDOWN('2014 Actuals'!T153,0),'Avoided Costs 2014-2023'!$M:$M)*S153</f>
        <v>0</v>
      </c>
      <c r="Y153" s="53">
        <f t="shared" si="70"/>
        <v>25413.142569386142</v>
      </c>
      <c r="Z153" s="55">
        <v>15425.83</v>
      </c>
      <c r="AA153" s="54">
        <f t="shared" si="71"/>
        <v>13574.7304</v>
      </c>
      <c r="AB153" s="54"/>
      <c r="AC153" s="54"/>
      <c r="AD153" s="54"/>
      <c r="AE153" s="54">
        <f t="shared" si="72"/>
        <v>13574.7304</v>
      </c>
      <c r="AF153" s="54">
        <f t="shared" si="73"/>
        <v>11838.412169386142</v>
      </c>
      <c r="AG153" s="49">
        <f t="shared" si="74"/>
        <v>158975.4276</v>
      </c>
      <c r="AH153" s="49">
        <f t="shared" si="75"/>
        <v>180653.89499999999</v>
      </c>
    </row>
    <row r="154" spans="1:34" s="56" customFormat="1">
      <c r="A154" s="62" t="s">
        <v>258</v>
      </c>
      <c r="B154" s="62"/>
      <c r="C154" s="62"/>
      <c r="D154" s="62"/>
      <c r="E154" s="141">
        <v>1</v>
      </c>
      <c r="F154" s="142"/>
      <c r="G154" s="143">
        <v>0.12</v>
      </c>
      <c r="H154" s="143">
        <v>0</v>
      </c>
      <c r="I154" s="49">
        <v>14518</v>
      </c>
      <c r="J154" s="49">
        <f t="shared" si="64"/>
        <v>12151.565999999999</v>
      </c>
      <c r="K154" s="49">
        <f t="shared" si="65"/>
        <v>10693.378079999999</v>
      </c>
      <c r="L154" s="58"/>
      <c r="M154" s="141">
        <v>314</v>
      </c>
      <c r="N154" s="50">
        <f t="shared" si="66"/>
        <v>314</v>
      </c>
      <c r="O154" s="50">
        <f t="shared" si="67"/>
        <v>276.32</v>
      </c>
      <c r="P154" s="59"/>
      <c r="Q154" s="141">
        <v>0</v>
      </c>
      <c r="R154" s="50">
        <f t="shared" si="68"/>
        <v>0</v>
      </c>
      <c r="S154" s="51">
        <f t="shared" si="69"/>
        <v>0</v>
      </c>
      <c r="T154" s="60">
        <v>15</v>
      </c>
      <c r="U154" s="61" t="s">
        <v>81</v>
      </c>
      <c r="V154" s="53">
        <f>SUMIF('Avoided Costs 2014-2023'!$A:$A,'2014 Actuals'!U154&amp;ROUNDDOWN('2014 Actuals'!T154,0),'Avoided Costs 2014-2023'!$E:$E)*K154</f>
        <v>24753.800597137677</v>
      </c>
      <c r="W154" s="53">
        <f>SUMIF('Avoided Costs 2014-2023'!$A:$A,'2014 Actuals'!U154&amp;ROUNDDOWN('2014 Actuals'!T154,0),'Avoided Costs 2014-2023'!$K:$K)*O154</f>
        <v>326.74297382820822</v>
      </c>
      <c r="X154" s="53">
        <f>SUMIF('Avoided Costs 2014-2023'!$A:$A,'2014 Actuals'!U154&amp;ROUNDDOWN('2014 Actuals'!T154,0),'Avoided Costs 2014-2023'!$M:$M)*S154</f>
        <v>0</v>
      </c>
      <c r="Y154" s="53">
        <f t="shared" si="70"/>
        <v>25080.543570965885</v>
      </c>
      <c r="Z154" s="55">
        <v>18646</v>
      </c>
      <c r="AA154" s="54">
        <f t="shared" si="71"/>
        <v>16408.48</v>
      </c>
      <c r="AB154" s="54"/>
      <c r="AC154" s="54"/>
      <c r="AD154" s="54"/>
      <c r="AE154" s="54">
        <f t="shared" si="72"/>
        <v>16408.48</v>
      </c>
      <c r="AF154" s="54">
        <f t="shared" si="73"/>
        <v>8672.0635709658854</v>
      </c>
      <c r="AG154" s="49">
        <f t="shared" si="74"/>
        <v>160400.67119999998</v>
      </c>
      <c r="AH154" s="49">
        <f t="shared" si="75"/>
        <v>182273.49</v>
      </c>
    </row>
    <row r="155" spans="1:34" s="56" customFormat="1">
      <c r="A155" s="62" t="s">
        <v>259</v>
      </c>
      <c r="B155" s="62"/>
      <c r="C155" s="62"/>
      <c r="D155" s="62"/>
      <c r="E155" s="141">
        <v>1</v>
      </c>
      <c r="F155" s="142"/>
      <c r="G155" s="143">
        <v>0.12</v>
      </c>
      <c r="H155" s="143">
        <v>0</v>
      </c>
      <c r="I155" s="49">
        <v>40634</v>
      </c>
      <c r="J155" s="49">
        <f t="shared" si="64"/>
        <v>34010.657999999996</v>
      </c>
      <c r="K155" s="49">
        <f t="shared" si="65"/>
        <v>29929.379039999996</v>
      </c>
      <c r="L155" s="58"/>
      <c r="M155" s="141">
        <v>2718</v>
      </c>
      <c r="N155" s="50">
        <f t="shared" si="66"/>
        <v>2718</v>
      </c>
      <c r="O155" s="50">
        <f t="shared" si="67"/>
        <v>2391.84</v>
      </c>
      <c r="P155" s="59"/>
      <c r="Q155" s="141">
        <v>0</v>
      </c>
      <c r="R155" s="50">
        <f t="shared" si="68"/>
        <v>0</v>
      </c>
      <c r="S155" s="51">
        <f t="shared" si="69"/>
        <v>0</v>
      </c>
      <c r="T155" s="60">
        <v>15</v>
      </c>
      <c r="U155" s="61" t="s">
        <v>81</v>
      </c>
      <c r="V155" s="53">
        <f>SUMIF('Avoided Costs 2014-2023'!$A:$A,'2014 Actuals'!U155&amp;ROUNDDOWN('2014 Actuals'!T155,0),'Avoided Costs 2014-2023'!$E:$E)*K155</f>
        <v>69282.678982235317</v>
      </c>
      <c r="W155" s="53">
        <f>SUMIF('Avoided Costs 2014-2023'!$A:$A,'2014 Actuals'!U155&amp;ROUNDDOWN('2014 Actuals'!T155,0),'Avoided Costs 2014-2023'!$K:$K)*O155</f>
        <v>2828.3038307804777</v>
      </c>
      <c r="X155" s="53">
        <f>SUMIF('Avoided Costs 2014-2023'!$A:$A,'2014 Actuals'!U155&amp;ROUNDDOWN('2014 Actuals'!T155,0),'Avoided Costs 2014-2023'!$M:$M)*S155</f>
        <v>0</v>
      </c>
      <c r="Y155" s="53">
        <f t="shared" si="70"/>
        <v>72110.982813015798</v>
      </c>
      <c r="Z155" s="55">
        <v>16080</v>
      </c>
      <c r="AA155" s="54">
        <f t="shared" si="71"/>
        <v>14150.4</v>
      </c>
      <c r="AB155" s="54"/>
      <c r="AC155" s="54"/>
      <c r="AD155" s="54"/>
      <c r="AE155" s="54">
        <f t="shared" si="72"/>
        <v>14150.4</v>
      </c>
      <c r="AF155" s="54">
        <f t="shared" si="73"/>
        <v>57960.582813015797</v>
      </c>
      <c r="AG155" s="49">
        <f t="shared" si="74"/>
        <v>448940.68559999997</v>
      </c>
      <c r="AH155" s="49">
        <f t="shared" si="75"/>
        <v>510159.86999999994</v>
      </c>
    </row>
    <row r="156" spans="1:34" s="56" customFormat="1">
      <c r="A156" s="62" t="s">
        <v>260</v>
      </c>
      <c r="B156" s="62"/>
      <c r="C156" s="62"/>
      <c r="D156" s="62"/>
      <c r="E156" s="141">
        <v>1</v>
      </c>
      <c r="F156" s="142"/>
      <c r="G156" s="143">
        <v>0.12</v>
      </c>
      <c r="H156" s="143">
        <v>0</v>
      </c>
      <c r="I156" s="49">
        <v>25137</v>
      </c>
      <c r="J156" s="49">
        <f t="shared" si="64"/>
        <v>21039.668999999998</v>
      </c>
      <c r="K156" s="49">
        <f t="shared" si="65"/>
        <v>18514.908719999999</v>
      </c>
      <c r="L156" s="58"/>
      <c r="M156" s="141">
        <v>0</v>
      </c>
      <c r="N156" s="50">
        <f t="shared" si="66"/>
        <v>0</v>
      </c>
      <c r="O156" s="50">
        <f t="shared" si="67"/>
        <v>0</v>
      </c>
      <c r="P156" s="59"/>
      <c r="Q156" s="141">
        <v>0</v>
      </c>
      <c r="R156" s="50">
        <f t="shared" si="68"/>
        <v>0</v>
      </c>
      <c r="S156" s="51">
        <f t="shared" si="69"/>
        <v>0</v>
      </c>
      <c r="T156" s="60">
        <v>15</v>
      </c>
      <c r="U156" s="61" t="s">
        <v>81</v>
      </c>
      <c r="V156" s="53">
        <f>SUMIF('Avoided Costs 2014-2023'!$A:$A,'2014 Actuals'!U156&amp;ROUNDDOWN('2014 Actuals'!T156,0),'Avoided Costs 2014-2023'!$E:$E)*K156</f>
        <v>42859.642210376769</v>
      </c>
      <c r="W156" s="53">
        <f>SUMIF('Avoided Costs 2014-2023'!$A:$A,'2014 Actuals'!U156&amp;ROUNDDOWN('2014 Actuals'!T156,0),'Avoided Costs 2014-2023'!$K:$K)*O156</f>
        <v>0</v>
      </c>
      <c r="X156" s="53">
        <f>SUMIF('Avoided Costs 2014-2023'!$A:$A,'2014 Actuals'!U156&amp;ROUNDDOWN('2014 Actuals'!T156,0),'Avoided Costs 2014-2023'!$M:$M)*S156</f>
        <v>0</v>
      </c>
      <c r="Y156" s="53">
        <f t="shared" si="70"/>
        <v>42859.642210376769</v>
      </c>
      <c r="Z156" s="55">
        <v>23233</v>
      </c>
      <c r="AA156" s="54">
        <f t="shared" si="71"/>
        <v>20445.04</v>
      </c>
      <c r="AB156" s="54"/>
      <c r="AC156" s="54"/>
      <c r="AD156" s="54"/>
      <c r="AE156" s="54">
        <f t="shared" si="72"/>
        <v>20445.04</v>
      </c>
      <c r="AF156" s="54">
        <f t="shared" si="73"/>
        <v>22414.602210376768</v>
      </c>
      <c r="AG156" s="49">
        <f t="shared" si="74"/>
        <v>277723.63079999998</v>
      </c>
      <c r="AH156" s="49">
        <f t="shared" si="75"/>
        <v>315595.03499999997</v>
      </c>
    </row>
    <row r="157" spans="1:34" s="56" customFormat="1">
      <c r="A157" s="62" t="s">
        <v>261</v>
      </c>
      <c r="B157" s="62"/>
      <c r="C157" s="62"/>
      <c r="D157" s="62"/>
      <c r="E157" s="141">
        <v>1</v>
      </c>
      <c r="F157" s="142"/>
      <c r="G157" s="143">
        <v>0.12</v>
      </c>
      <c r="H157" s="143">
        <v>0</v>
      </c>
      <c r="I157" s="49">
        <v>8145</v>
      </c>
      <c r="J157" s="49">
        <f t="shared" si="64"/>
        <v>6817.3649999999998</v>
      </c>
      <c r="K157" s="49">
        <f t="shared" si="65"/>
        <v>5999.2811999999994</v>
      </c>
      <c r="L157" s="58"/>
      <c r="M157" s="141">
        <v>0</v>
      </c>
      <c r="N157" s="50">
        <f t="shared" si="66"/>
        <v>0</v>
      </c>
      <c r="O157" s="50">
        <f t="shared" si="67"/>
        <v>0</v>
      </c>
      <c r="P157" s="59"/>
      <c r="Q157" s="141">
        <v>0</v>
      </c>
      <c r="R157" s="50">
        <f t="shared" si="68"/>
        <v>0</v>
      </c>
      <c r="S157" s="51">
        <f t="shared" si="69"/>
        <v>0</v>
      </c>
      <c r="T157" s="60">
        <v>15</v>
      </c>
      <c r="U157" s="61" t="s">
        <v>81</v>
      </c>
      <c r="V157" s="53">
        <f>SUMIF('Avoided Costs 2014-2023'!$A:$A,'2014 Actuals'!U157&amp;ROUNDDOWN('2014 Actuals'!T157,0),'Avoided Costs 2014-2023'!$E:$E)*K157</f>
        <v>13887.567561901529</v>
      </c>
      <c r="W157" s="53">
        <f>SUMIF('Avoided Costs 2014-2023'!$A:$A,'2014 Actuals'!U157&amp;ROUNDDOWN('2014 Actuals'!T157,0),'Avoided Costs 2014-2023'!$K:$K)*O157</f>
        <v>0</v>
      </c>
      <c r="X157" s="53">
        <f>SUMIF('Avoided Costs 2014-2023'!$A:$A,'2014 Actuals'!U157&amp;ROUNDDOWN('2014 Actuals'!T157,0),'Avoided Costs 2014-2023'!$M:$M)*S157</f>
        <v>0</v>
      </c>
      <c r="Y157" s="53">
        <f t="shared" si="70"/>
        <v>13887.567561901529</v>
      </c>
      <c r="Z157" s="55">
        <v>4414</v>
      </c>
      <c r="AA157" s="54">
        <f t="shared" si="71"/>
        <v>3884.32</v>
      </c>
      <c r="AB157" s="54"/>
      <c r="AC157" s="54"/>
      <c r="AD157" s="54"/>
      <c r="AE157" s="54">
        <f t="shared" si="72"/>
        <v>3884.32</v>
      </c>
      <c r="AF157" s="54">
        <f t="shared" si="73"/>
        <v>10003.247561901529</v>
      </c>
      <c r="AG157" s="49">
        <f t="shared" si="74"/>
        <v>89989.217999999993</v>
      </c>
      <c r="AH157" s="49">
        <f t="shared" si="75"/>
        <v>102260.47499999999</v>
      </c>
    </row>
    <row r="158" spans="1:34" s="56" customFormat="1">
      <c r="A158" s="62" t="s">
        <v>262</v>
      </c>
      <c r="B158" s="62"/>
      <c r="C158" s="62"/>
      <c r="D158" s="62"/>
      <c r="E158" s="141">
        <v>0</v>
      </c>
      <c r="F158" s="142"/>
      <c r="G158" s="143">
        <v>0.12</v>
      </c>
      <c r="H158" s="143">
        <v>0</v>
      </c>
      <c r="I158" s="49">
        <v>1667</v>
      </c>
      <c r="J158" s="49">
        <f t="shared" si="64"/>
        <v>1395.279</v>
      </c>
      <c r="K158" s="49">
        <f t="shared" si="65"/>
        <v>1227.8455200000001</v>
      </c>
      <c r="L158" s="58"/>
      <c r="M158" s="141">
        <v>0</v>
      </c>
      <c r="N158" s="50">
        <f t="shared" si="66"/>
        <v>0</v>
      </c>
      <c r="O158" s="50">
        <f t="shared" si="67"/>
        <v>0</v>
      </c>
      <c r="P158" s="59"/>
      <c r="Q158" s="141">
        <v>0</v>
      </c>
      <c r="R158" s="50">
        <f t="shared" si="68"/>
        <v>0</v>
      </c>
      <c r="S158" s="51">
        <f t="shared" si="69"/>
        <v>0</v>
      </c>
      <c r="T158" s="60">
        <v>25</v>
      </c>
      <c r="U158" s="61" t="s">
        <v>94</v>
      </c>
      <c r="V158" s="53">
        <f>SUMIF('Avoided Costs 2014-2023'!$A:$A,'2014 Actuals'!U158&amp;ROUNDDOWN('2014 Actuals'!T158,0),'Avoided Costs 2014-2023'!$E:$E)*K158</f>
        <v>3653.7576647313281</v>
      </c>
      <c r="W158" s="53">
        <f>SUMIF('Avoided Costs 2014-2023'!$A:$A,'2014 Actuals'!U158&amp;ROUNDDOWN('2014 Actuals'!T158,0),'Avoided Costs 2014-2023'!$K:$K)*O158</f>
        <v>0</v>
      </c>
      <c r="X158" s="53">
        <f>SUMIF('Avoided Costs 2014-2023'!$A:$A,'2014 Actuals'!U158&amp;ROUNDDOWN('2014 Actuals'!T158,0),'Avoided Costs 2014-2023'!$M:$M)*S158</f>
        <v>0</v>
      </c>
      <c r="Y158" s="53">
        <f t="shared" si="70"/>
        <v>3653.7576647313281</v>
      </c>
      <c r="Z158" s="55">
        <v>3168</v>
      </c>
      <c r="AA158" s="54">
        <f t="shared" si="71"/>
        <v>2787.84</v>
      </c>
      <c r="AB158" s="54"/>
      <c r="AC158" s="54"/>
      <c r="AD158" s="54"/>
      <c r="AE158" s="54">
        <f t="shared" si="72"/>
        <v>2787.84</v>
      </c>
      <c r="AF158" s="54">
        <f t="shared" si="73"/>
        <v>865.91766473132793</v>
      </c>
      <c r="AG158" s="49">
        <f t="shared" si="74"/>
        <v>30696.138000000003</v>
      </c>
      <c r="AH158" s="49">
        <f t="shared" si="75"/>
        <v>34881.974999999999</v>
      </c>
    </row>
    <row r="159" spans="1:34" s="56" customFormat="1">
      <c r="A159" s="62" t="s">
        <v>263</v>
      </c>
      <c r="B159" s="62"/>
      <c r="C159" s="62"/>
      <c r="D159" s="62"/>
      <c r="E159" s="141">
        <v>1</v>
      </c>
      <c r="F159" s="142"/>
      <c r="G159" s="143">
        <v>0.12</v>
      </c>
      <c r="H159" s="143">
        <v>0</v>
      </c>
      <c r="I159" s="49">
        <v>62207</v>
      </c>
      <c r="J159" s="49">
        <f t="shared" si="64"/>
        <v>52067.258999999998</v>
      </c>
      <c r="K159" s="49">
        <f t="shared" si="65"/>
        <v>45819.187919999997</v>
      </c>
      <c r="L159" s="58"/>
      <c r="M159" s="141">
        <v>0</v>
      </c>
      <c r="N159" s="50">
        <f t="shared" si="66"/>
        <v>0</v>
      </c>
      <c r="O159" s="50">
        <f t="shared" si="67"/>
        <v>0</v>
      </c>
      <c r="P159" s="59"/>
      <c r="Q159" s="141">
        <v>0</v>
      </c>
      <c r="R159" s="50">
        <f t="shared" si="68"/>
        <v>0</v>
      </c>
      <c r="S159" s="51">
        <f t="shared" si="69"/>
        <v>0</v>
      </c>
      <c r="T159" s="60">
        <v>25</v>
      </c>
      <c r="U159" s="61" t="s">
        <v>81</v>
      </c>
      <c r="V159" s="53">
        <f>SUMIF('Avoided Costs 2014-2023'!$A:$A,'2014 Actuals'!U159&amp;ROUNDDOWN('2014 Actuals'!T159,0),'Avoided Costs 2014-2023'!$E:$E)*K159</f>
        <v>145534.73418900877</v>
      </c>
      <c r="W159" s="53">
        <f>SUMIF('Avoided Costs 2014-2023'!$A:$A,'2014 Actuals'!U159&amp;ROUNDDOWN('2014 Actuals'!T159,0),'Avoided Costs 2014-2023'!$K:$K)*O159</f>
        <v>0</v>
      </c>
      <c r="X159" s="53">
        <f>SUMIF('Avoided Costs 2014-2023'!$A:$A,'2014 Actuals'!U159&amp;ROUNDDOWN('2014 Actuals'!T159,0),'Avoided Costs 2014-2023'!$M:$M)*S159</f>
        <v>0</v>
      </c>
      <c r="Y159" s="53">
        <f t="shared" si="70"/>
        <v>145534.73418900877</v>
      </c>
      <c r="Z159" s="55">
        <v>39488</v>
      </c>
      <c r="AA159" s="54">
        <f t="shared" si="71"/>
        <v>34749.440000000002</v>
      </c>
      <c r="AB159" s="54"/>
      <c r="AC159" s="54"/>
      <c r="AD159" s="54"/>
      <c r="AE159" s="54">
        <f t="shared" si="72"/>
        <v>34749.440000000002</v>
      </c>
      <c r="AF159" s="54">
        <f t="shared" si="73"/>
        <v>110785.29418900877</v>
      </c>
      <c r="AG159" s="49">
        <f t="shared" si="74"/>
        <v>1145479.6979999999</v>
      </c>
      <c r="AH159" s="49">
        <f t="shared" si="75"/>
        <v>1301681.4749999999</v>
      </c>
    </row>
    <row r="160" spans="1:34" s="56" customFormat="1">
      <c r="A160" s="62" t="s">
        <v>264</v>
      </c>
      <c r="B160" s="62"/>
      <c r="C160" s="62"/>
      <c r="D160" s="62"/>
      <c r="E160" s="141">
        <v>0</v>
      </c>
      <c r="F160" s="142"/>
      <c r="G160" s="143">
        <v>0.12</v>
      </c>
      <c r="H160" s="143">
        <v>0</v>
      </c>
      <c r="I160" s="49">
        <v>5359</v>
      </c>
      <c r="J160" s="49">
        <f t="shared" si="64"/>
        <v>4485.4830000000002</v>
      </c>
      <c r="K160" s="49">
        <f t="shared" si="65"/>
        <v>3947.2250400000003</v>
      </c>
      <c r="L160" s="58"/>
      <c r="M160" s="141">
        <v>-4828</v>
      </c>
      <c r="N160" s="50">
        <f t="shared" si="66"/>
        <v>-4828</v>
      </c>
      <c r="O160" s="50">
        <f t="shared" si="67"/>
        <v>-4248.6400000000003</v>
      </c>
      <c r="P160" s="59"/>
      <c r="Q160" s="141">
        <v>0</v>
      </c>
      <c r="R160" s="50">
        <f t="shared" si="68"/>
        <v>0</v>
      </c>
      <c r="S160" s="51">
        <f t="shared" si="69"/>
        <v>0</v>
      </c>
      <c r="T160" s="60">
        <v>15</v>
      </c>
      <c r="U160" s="61" t="s">
        <v>81</v>
      </c>
      <c r="V160" s="53">
        <f>SUMIF('Avoided Costs 2014-2023'!$A:$A,'2014 Actuals'!U160&amp;ROUNDDOWN('2014 Actuals'!T160,0),'Avoided Costs 2014-2023'!$E:$E)*K160</f>
        <v>9137.3203884874529</v>
      </c>
      <c r="W160" s="53">
        <f>SUMIF('Avoided Costs 2014-2023'!$A:$A,'2014 Actuals'!U160&amp;ROUNDDOWN('2014 Actuals'!T160,0),'Avoided Costs 2014-2023'!$K:$K)*O160</f>
        <v>-5023.9333682885008</v>
      </c>
      <c r="X160" s="53">
        <f>SUMIF('Avoided Costs 2014-2023'!$A:$A,'2014 Actuals'!U160&amp;ROUNDDOWN('2014 Actuals'!T160,0),'Avoided Costs 2014-2023'!$M:$M)*S160</f>
        <v>0</v>
      </c>
      <c r="Y160" s="53">
        <f t="shared" si="70"/>
        <v>4113.3870201989521</v>
      </c>
      <c r="Z160" s="55">
        <v>4500</v>
      </c>
      <c r="AA160" s="54">
        <f t="shared" si="71"/>
        <v>3960</v>
      </c>
      <c r="AB160" s="54"/>
      <c r="AC160" s="54"/>
      <c r="AD160" s="54"/>
      <c r="AE160" s="54">
        <f t="shared" si="72"/>
        <v>3960</v>
      </c>
      <c r="AF160" s="54">
        <f t="shared" si="73"/>
        <v>153.38702019895209</v>
      </c>
      <c r="AG160" s="49">
        <f t="shared" si="74"/>
        <v>59208.375600000007</v>
      </c>
      <c r="AH160" s="49">
        <f t="shared" si="75"/>
        <v>67282.244999999995</v>
      </c>
    </row>
    <row r="161" spans="1:34" s="56" customFormat="1">
      <c r="A161" s="62" t="s">
        <v>265</v>
      </c>
      <c r="B161" s="62"/>
      <c r="C161" s="62"/>
      <c r="D161" s="62"/>
      <c r="E161" s="141">
        <v>1</v>
      </c>
      <c r="F161" s="142"/>
      <c r="G161" s="143">
        <v>0.12</v>
      </c>
      <c r="H161" s="143">
        <v>0</v>
      </c>
      <c r="I161" s="49">
        <v>19041</v>
      </c>
      <c r="J161" s="49">
        <f t="shared" si="64"/>
        <v>15937.316999999999</v>
      </c>
      <c r="K161" s="49">
        <f t="shared" si="65"/>
        <v>14024.838959999999</v>
      </c>
      <c r="L161" s="58"/>
      <c r="M161" s="141">
        <v>0</v>
      </c>
      <c r="N161" s="50">
        <f t="shared" si="66"/>
        <v>0</v>
      </c>
      <c r="O161" s="50">
        <f t="shared" si="67"/>
        <v>0</v>
      </c>
      <c r="P161" s="59"/>
      <c r="Q161" s="141">
        <v>0</v>
      </c>
      <c r="R161" s="50">
        <f t="shared" si="68"/>
        <v>0</v>
      </c>
      <c r="S161" s="51">
        <f t="shared" si="69"/>
        <v>0</v>
      </c>
      <c r="T161" s="60">
        <v>25</v>
      </c>
      <c r="U161" s="61" t="s">
        <v>81</v>
      </c>
      <c r="V161" s="53">
        <f>SUMIF('Avoided Costs 2014-2023'!$A:$A,'2014 Actuals'!U161&amp;ROUNDDOWN('2014 Actuals'!T161,0),'Avoided Costs 2014-2023'!$E:$E)*K161</f>
        <v>44546.865685419907</v>
      </c>
      <c r="W161" s="53">
        <f>SUMIF('Avoided Costs 2014-2023'!$A:$A,'2014 Actuals'!U161&amp;ROUNDDOWN('2014 Actuals'!T161,0),'Avoided Costs 2014-2023'!$K:$K)*O161</f>
        <v>0</v>
      </c>
      <c r="X161" s="53">
        <f>SUMIF('Avoided Costs 2014-2023'!$A:$A,'2014 Actuals'!U161&amp;ROUNDDOWN('2014 Actuals'!T161,0),'Avoided Costs 2014-2023'!$M:$M)*S161</f>
        <v>0</v>
      </c>
      <c r="Y161" s="53">
        <f t="shared" si="70"/>
        <v>44546.865685419907</v>
      </c>
      <c r="Z161" s="55">
        <v>11510</v>
      </c>
      <c r="AA161" s="54">
        <f t="shared" si="71"/>
        <v>10128.799999999999</v>
      </c>
      <c r="AB161" s="54"/>
      <c r="AC161" s="54"/>
      <c r="AD161" s="54"/>
      <c r="AE161" s="54">
        <f t="shared" si="72"/>
        <v>10128.799999999999</v>
      </c>
      <c r="AF161" s="54">
        <f t="shared" si="73"/>
        <v>34418.065685419904</v>
      </c>
      <c r="AG161" s="49">
        <f t="shared" si="74"/>
        <v>350620.97399999999</v>
      </c>
      <c r="AH161" s="49">
        <f t="shared" si="75"/>
        <v>398432.92499999999</v>
      </c>
    </row>
    <row r="162" spans="1:34" s="56" customFormat="1">
      <c r="A162" s="62" t="s">
        <v>266</v>
      </c>
      <c r="B162" s="62"/>
      <c r="C162" s="62"/>
      <c r="D162" s="62"/>
      <c r="E162" s="141">
        <v>1</v>
      </c>
      <c r="F162" s="142"/>
      <c r="G162" s="143">
        <v>0.12</v>
      </c>
      <c r="H162" s="143">
        <v>0</v>
      </c>
      <c r="I162" s="49">
        <v>9851</v>
      </c>
      <c r="J162" s="49">
        <f t="shared" si="64"/>
        <v>8245.2870000000003</v>
      </c>
      <c r="K162" s="49">
        <f t="shared" si="65"/>
        <v>7255.8525600000003</v>
      </c>
      <c r="L162" s="58"/>
      <c r="M162" s="141">
        <v>2440</v>
      </c>
      <c r="N162" s="50">
        <f t="shared" si="66"/>
        <v>2440</v>
      </c>
      <c r="O162" s="50">
        <f t="shared" si="67"/>
        <v>2147.1999999999998</v>
      </c>
      <c r="P162" s="59"/>
      <c r="Q162" s="141">
        <v>0</v>
      </c>
      <c r="R162" s="50">
        <f t="shared" si="68"/>
        <v>0</v>
      </c>
      <c r="S162" s="51">
        <f t="shared" si="69"/>
        <v>0</v>
      </c>
      <c r="T162" s="60">
        <v>15</v>
      </c>
      <c r="U162" s="61" t="s">
        <v>81</v>
      </c>
      <c r="V162" s="53">
        <f>SUMIF('Avoided Costs 2014-2023'!$A:$A,'2014 Actuals'!U162&amp;ROUNDDOWN('2014 Actuals'!T162,0),'Avoided Costs 2014-2023'!$E:$E)*K162</f>
        <v>16796.369312743031</v>
      </c>
      <c r="W162" s="53">
        <f>SUMIF('Avoided Costs 2014-2023'!$A:$A,'2014 Actuals'!U162&amp;ROUNDDOWN('2014 Actuals'!T162,0),'Avoided Costs 2014-2023'!$K:$K)*O162</f>
        <v>2539.0218348434009</v>
      </c>
      <c r="X162" s="53">
        <f>SUMIF('Avoided Costs 2014-2023'!$A:$A,'2014 Actuals'!U162&amp;ROUNDDOWN('2014 Actuals'!T162,0),'Avoided Costs 2014-2023'!$M:$M)*S162</f>
        <v>0</v>
      </c>
      <c r="Y162" s="53">
        <f t="shared" si="70"/>
        <v>19335.39114758643</v>
      </c>
      <c r="Z162" s="55">
        <v>5398</v>
      </c>
      <c r="AA162" s="54">
        <f t="shared" si="71"/>
        <v>4750.24</v>
      </c>
      <c r="AB162" s="54"/>
      <c r="AC162" s="54"/>
      <c r="AD162" s="54"/>
      <c r="AE162" s="54">
        <f t="shared" si="72"/>
        <v>4750.24</v>
      </c>
      <c r="AF162" s="54">
        <f t="shared" si="73"/>
        <v>14585.15114758643</v>
      </c>
      <c r="AG162" s="49">
        <f t="shared" si="74"/>
        <v>108837.7884</v>
      </c>
      <c r="AH162" s="49">
        <f t="shared" si="75"/>
        <v>123679.30500000001</v>
      </c>
    </row>
    <row r="163" spans="1:34" s="56" customFormat="1">
      <c r="A163" s="62" t="s">
        <v>267</v>
      </c>
      <c r="B163" s="62"/>
      <c r="C163" s="62"/>
      <c r="D163" s="62"/>
      <c r="E163" s="141">
        <v>1</v>
      </c>
      <c r="F163" s="142"/>
      <c r="G163" s="143">
        <v>0.12</v>
      </c>
      <c r="H163" s="143">
        <v>0</v>
      </c>
      <c r="I163" s="49">
        <v>10415</v>
      </c>
      <c r="J163" s="49">
        <f t="shared" si="64"/>
        <v>8717.3549999999996</v>
      </c>
      <c r="K163" s="49">
        <f t="shared" si="65"/>
        <v>7671.2723999999998</v>
      </c>
      <c r="L163" s="58"/>
      <c r="M163" s="141">
        <v>1129</v>
      </c>
      <c r="N163" s="50">
        <f t="shared" si="66"/>
        <v>1129</v>
      </c>
      <c r="O163" s="50">
        <f t="shared" si="67"/>
        <v>993.52</v>
      </c>
      <c r="P163" s="59"/>
      <c r="Q163" s="141">
        <v>0</v>
      </c>
      <c r="R163" s="50">
        <f t="shared" si="68"/>
        <v>0</v>
      </c>
      <c r="S163" s="51">
        <f t="shared" si="69"/>
        <v>0</v>
      </c>
      <c r="T163" s="60">
        <v>15</v>
      </c>
      <c r="U163" s="61" t="s">
        <v>81</v>
      </c>
      <c r="V163" s="53">
        <f>SUMIF('Avoided Costs 2014-2023'!$A:$A,'2014 Actuals'!U163&amp;ROUNDDOWN('2014 Actuals'!T163,0),'Avoided Costs 2014-2023'!$E:$E)*K163</f>
        <v>17758.013033419818</v>
      </c>
      <c r="W163" s="53">
        <f>SUMIF('Avoided Costs 2014-2023'!$A:$A,'2014 Actuals'!U163&amp;ROUNDDOWN('2014 Actuals'!T163,0),'Avoided Costs 2014-2023'!$K:$K)*O163</f>
        <v>1174.8178899746722</v>
      </c>
      <c r="X163" s="53">
        <f>SUMIF('Avoided Costs 2014-2023'!$A:$A,'2014 Actuals'!U163&amp;ROUNDDOWN('2014 Actuals'!T163,0),'Avoided Costs 2014-2023'!$M:$M)*S163</f>
        <v>0</v>
      </c>
      <c r="Y163" s="53">
        <f t="shared" si="70"/>
        <v>18932.830923394489</v>
      </c>
      <c r="Z163" s="55">
        <v>13172</v>
      </c>
      <c r="AA163" s="54">
        <f t="shared" si="71"/>
        <v>11591.36</v>
      </c>
      <c r="AB163" s="54"/>
      <c r="AC163" s="54"/>
      <c r="AD163" s="54"/>
      <c r="AE163" s="54">
        <f t="shared" si="72"/>
        <v>11591.36</v>
      </c>
      <c r="AF163" s="54">
        <f t="shared" si="73"/>
        <v>7341.4709233944886</v>
      </c>
      <c r="AG163" s="49">
        <f t="shared" si="74"/>
        <v>115069.086</v>
      </c>
      <c r="AH163" s="49">
        <f t="shared" si="75"/>
        <v>130760.325</v>
      </c>
    </row>
    <row r="164" spans="1:34" s="56" customFormat="1">
      <c r="A164" s="62" t="s">
        <v>268</v>
      </c>
      <c r="B164" s="62"/>
      <c r="C164" s="62"/>
      <c r="D164" s="62"/>
      <c r="E164" s="141">
        <v>1</v>
      </c>
      <c r="F164" s="142"/>
      <c r="G164" s="143">
        <v>0.12</v>
      </c>
      <c r="H164" s="143">
        <v>0</v>
      </c>
      <c r="I164" s="49">
        <v>8137</v>
      </c>
      <c r="J164" s="49">
        <f t="shared" si="64"/>
        <v>6810.6689999999999</v>
      </c>
      <c r="K164" s="49">
        <f t="shared" si="65"/>
        <v>5993.3887199999999</v>
      </c>
      <c r="L164" s="58"/>
      <c r="M164" s="141">
        <v>889</v>
      </c>
      <c r="N164" s="50">
        <f t="shared" si="66"/>
        <v>889</v>
      </c>
      <c r="O164" s="50">
        <f t="shared" si="67"/>
        <v>782.32</v>
      </c>
      <c r="P164" s="59"/>
      <c r="Q164" s="141">
        <v>0</v>
      </c>
      <c r="R164" s="50">
        <f t="shared" si="68"/>
        <v>0</v>
      </c>
      <c r="S164" s="51">
        <f t="shared" si="69"/>
        <v>0</v>
      </c>
      <c r="T164" s="60">
        <v>15</v>
      </c>
      <c r="U164" s="61" t="s">
        <v>81</v>
      </c>
      <c r="V164" s="53">
        <f>SUMIF('Avoided Costs 2014-2023'!$A:$A,'2014 Actuals'!U164&amp;ROUNDDOWN('2014 Actuals'!T164,0),'Avoided Costs 2014-2023'!$E:$E)*K164</f>
        <v>13873.92722543803</v>
      </c>
      <c r="W164" s="53">
        <f>SUMIF('Avoided Costs 2014-2023'!$A:$A,'2014 Actuals'!U164&amp;ROUNDDOWN('2014 Actuals'!T164,0),'Avoided Costs 2014-2023'!$K:$K)*O164</f>
        <v>925.07803736712458</v>
      </c>
      <c r="X164" s="53">
        <f>SUMIF('Avoided Costs 2014-2023'!$A:$A,'2014 Actuals'!U164&amp;ROUNDDOWN('2014 Actuals'!T164,0),'Avoided Costs 2014-2023'!$M:$M)*S164</f>
        <v>0</v>
      </c>
      <c r="Y164" s="53">
        <f t="shared" si="70"/>
        <v>14799.005262805154</v>
      </c>
      <c r="Z164" s="55">
        <v>4414</v>
      </c>
      <c r="AA164" s="54">
        <f t="shared" si="71"/>
        <v>3884.32</v>
      </c>
      <c r="AB164" s="54"/>
      <c r="AC164" s="54"/>
      <c r="AD164" s="54"/>
      <c r="AE164" s="54">
        <f t="shared" si="72"/>
        <v>3884.32</v>
      </c>
      <c r="AF164" s="54">
        <f t="shared" si="73"/>
        <v>10914.685262805155</v>
      </c>
      <c r="AG164" s="49">
        <f t="shared" si="74"/>
        <v>89900.830799999996</v>
      </c>
      <c r="AH164" s="49">
        <f t="shared" si="75"/>
        <v>102160.035</v>
      </c>
    </row>
    <row r="165" spans="1:34" s="56" customFormat="1">
      <c r="A165" s="62" t="s">
        <v>269</v>
      </c>
      <c r="B165" s="62"/>
      <c r="C165" s="62"/>
      <c r="D165" s="62"/>
      <c r="E165" s="141">
        <v>1</v>
      </c>
      <c r="F165" s="142"/>
      <c r="G165" s="143">
        <v>0.12</v>
      </c>
      <c r="H165" s="143">
        <v>0</v>
      </c>
      <c r="I165" s="49">
        <v>10083</v>
      </c>
      <c r="J165" s="49">
        <f t="shared" si="64"/>
        <v>8439.4709999999995</v>
      </c>
      <c r="K165" s="49">
        <f t="shared" si="65"/>
        <v>7426.7344800000001</v>
      </c>
      <c r="L165" s="58"/>
      <c r="M165" s="141">
        <v>0</v>
      </c>
      <c r="N165" s="50">
        <f t="shared" si="66"/>
        <v>0</v>
      </c>
      <c r="O165" s="50">
        <f t="shared" si="67"/>
        <v>0</v>
      </c>
      <c r="P165" s="59"/>
      <c r="Q165" s="141">
        <v>0</v>
      </c>
      <c r="R165" s="50">
        <f t="shared" si="68"/>
        <v>0</v>
      </c>
      <c r="S165" s="51">
        <f t="shared" si="69"/>
        <v>0</v>
      </c>
      <c r="T165" s="60">
        <v>15</v>
      </c>
      <c r="U165" s="61" t="s">
        <v>81</v>
      </c>
      <c r="V165" s="53">
        <f>SUMIF('Avoided Costs 2014-2023'!$A:$A,'2014 Actuals'!U165&amp;ROUNDDOWN('2014 Actuals'!T165,0),'Avoided Costs 2014-2023'!$E:$E)*K165</f>
        <v>17191.939070184548</v>
      </c>
      <c r="W165" s="53">
        <f>SUMIF('Avoided Costs 2014-2023'!$A:$A,'2014 Actuals'!U165&amp;ROUNDDOWN('2014 Actuals'!T165,0),'Avoided Costs 2014-2023'!$K:$K)*O165</f>
        <v>0</v>
      </c>
      <c r="X165" s="53">
        <f>SUMIF('Avoided Costs 2014-2023'!$A:$A,'2014 Actuals'!U165&amp;ROUNDDOWN('2014 Actuals'!T165,0),'Avoided Costs 2014-2023'!$M:$M)*S165</f>
        <v>0</v>
      </c>
      <c r="Y165" s="53">
        <f t="shared" si="70"/>
        <v>17191.939070184548</v>
      </c>
      <c r="Z165" s="55">
        <v>5496.66</v>
      </c>
      <c r="AA165" s="54">
        <f t="shared" si="71"/>
        <v>4837.0608000000002</v>
      </c>
      <c r="AB165" s="54"/>
      <c r="AC165" s="54"/>
      <c r="AD165" s="54"/>
      <c r="AE165" s="54">
        <f t="shared" ref="AE165:AE186" si="76">AA165+AC165</f>
        <v>4837.0608000000002</v>
      </c>
      <c r="AF165" s="54">
        <f t="shared" ref="AF165:AF186" si="77">Y165-AE165</f>
        <v>12354.878270184548</v>
      </c>
      <c r="AG165" s="49">
        <f t="shared" ref="AG165:AG185" si="78">K165*T165</f>
        <v>111401.0172</v>
      </c>
      <c r="AH165" s="49">
        <f t="shared" ref="AH165:AH185" si="79">(J165*T165)</f>
        <v>126592.06499999999</v>
      </c>
    </row>
    <row r="166" spans="1:34" s="56" customFormat="1">
      <c r="A166" s="62" t="s">
        <v>270</v>
      </c>
      <c r="B166" s="62"/>
      <c r="C166" s="62"/>
      <c r="D166" s="62"/>
      <c r="E166" s="141">
        <v>1</v>
      </c>
      <c r="F166" s="142"/>
      <c r="G166" s="143">
        <v>0.12</v>
      </c>
      <c r="H166" s="143">
        <v>0</v>
      </c>
      <c r="I166" s="49">
        <v>8727</v>
      </c>
      <c r="J166" s="49">
        <f t="shared" si="64"/>
        <v>7304.4989999999998</v>
      </c>
      <c r="K166" s="49">
        <f t="shared" si="65"/>
        <v>6427.9591199999995</v>
      </c>
      <c r="L166" s="58"/>
      <c r="M166" s="141">
        <v>-5</v>
      </c>
      <c r="N166" s="50">
        <f t="shared" si="66"/>
        <v>-5</v>
      </c>
      <c r="O166" s="50">
        <f t="shared" si="67"/>
        <v>-4.4000000000000004</v>
      </c>
      <c r="P166" s="59"/>
      <c r="Q166" s="141">
        <v>0</v>
      </c>
      <c r="R166" s="50">
        <f t="shared" si="68"/>
        <v>0</v>
      </c>
      <c r="S166" s="51">
        <f t="shared" si="69"/>
        <v>0</v>
      </c>
      <c r="T166" s="60">
        <v>15</v>
      </c>
      <c r="U166" s="61" t="s">
        <v>81</v>
      </c>
      <c r="V166" s="53">
        <f>SUMIF('Avoided Costs 2014-2023'!$A:$A,'2014 Actuals'!U166&amp;ROUNDDOWN('2014 Actuals'!T166,0),'Avoided Costs 2014-2023'!$E:$E)*K166</f>
        <v>14879.902039621196</v>
      </c>
      <c r="W166" s="53">
        <f>SUMIF('Avoided Costs 2014-2023'!$A:$A,'2014 Actuals'!U166&amp;ROUNDDOWN('2014 Actuals'!T166,0),'Avoided Costs 2014-2023'!$K:$K)*O166</f>
        <v>-5.2029135959905766</v>
      </c>
      <c r="X166" s="53">
        <f>SUMIF('Avoided Costs 2014-2023'!$A:$A,'2014 Actuals'!U166&amp;ROUNDDOWN('2014 Actuals'!T166,0),'Avoided Costs 2014-2023'!$M:$M)*S166</f>
        <v>0</v>
      </c>
      <c r="Y166" s="53">
        <f t="shared" si="70"/>
        <v>14874.699126025205</v>
      </c>
      <c r="Z166" s="55">
        <v>16553</v>
      </c>
      <c r="AA166" s="54">
        <f t="shared" si="71"/>
        <v>14566.64</v>
      </c>
      <c r="AB166" s="54"/>
      <c r="AC166" s="54"/>
      <c r="AD166" s="54"/>
      <c r="AE166" s="54">
        <f t="shared" si="76"/>
        <v>14566.64</v>
      </c>
      <c r="AF166" s="54">
        <f t="shared" si="77"/>
        <v>308.05912602520584</v>
      </c>
      <c r="AG166" s="49">
        <f t="shared" si="78"/>
        <v>96419.386799999993</v>
      </c>
      <c r="AH166" s="49">
        <f t="shared" si="79"/>
        <v>109567.485</v>
      </c>
    </row>
    <row r="167" spans="1:34" s="56" customFormat="1">
      <c r="A167" s="62" t="s">
        <v>271</v>
      </c>
      <c r="B167" s="62"/>
      <c r="C167" s="62"/>
      <c r="D167" s="62"/>
      <c r="E167" s="141">
        <v>1</v>
      </c>
      <c r="F167" s="142"/>
      <c r="G167" s="143">
        <v>0.12</v>
      </c>
      <c r="H167" s="143">
        <v>0</v>
      </c>
      <c r="I167" s="49">
        <v>20301</v>
      </c>
      <c r="J167" s="49">
        <f t="shared" si="64"/>
        <v>16991.936999999998</v>
      </c>
      <c r="K167" s="49">
        <f t="shared" si="65"/>
        <v>14952.904559999999</v>
      </c>
      <c r="L167" s="58"/>
      <c r="M167" s="141">
        <v>0</v>
      </c>
      <c r="N167" s="50">
        <f t="shared" si="66"/>
        <v>0</v>
      </c>
      <c r="O167" s="50">
        <f t="shared" si="67"/>
        <v>0</v>
      </c>
      <c r="P167" s="59"/>
      <c r="Q167" s="141">
        <v>0</v>
      </c>
      <c r="R167" s="50">
        <f t="shared" si="68"/>
        <v>0</v>
      </c>
      <c r="S167" s="51">
        <f t="shared" si="69"/>
        <v>0</v>
      </c>
      <c r="T167" s="60">
        <v>25</v>
      </c>
      <c r="U167" s="61" t="s">
        <v>81</v>
      </c>
      <c r="V167" s="53">
        <f>SUMIF('Avoided Costs 2014-2023'!$A:$A,'2014 Actuals'!U167&amp;ROUNDDOWN('2014 Actuals'!T167,0),'Avoided Costs 2014-2023'!$E:$E)*K167</f>
        <v>47494.665210845516</v>
      </c>
      <c r="W167" s="53">
        <f>SUMIF('Avoided Costs 2014-2023'!$A:$A,'2014 Actuals'!U167&amp;ROUNDDOWN('2014 Actuals'!T167,0),'Avoided Costs 2014-2023'!$K:$K)*O167</f>
        <v>0</v>
      </c>
      <c r="X167" s="53">
        <f>SUMIF('Avoided Costs 2014-2023'!$A:$A,'2014 Actuals'!U167&amp;ROUNDDOWN('2014 Actuals'!T167,0),'Avoided Costs 2014-2023'!$M:$M)*S167</f>
        <v>0</v>
      </c>
      <c r="Y167" s="53">
        <f t="shared" si="70"/>
        <v>47494.665210845516</v>
      </c>
      <c r="Z167" s="55">
        <v>19200</v>
      </c>
      <c r="AA167" s="54">
        <f t="shared" si="71"/>
        <v>16896</v>
      </c>
      <c r="AB167" s="54"/>
      <c r="AC167" s="54"/>
      <c r="AD167" s="54"/>
      <c r="AE167" s="54">
        <f t="shared" si="76"/>
        <v>16896</v>
      </c>
      <c r="AF167" s="54">
        <f t="shared" si="77"/>
        <v>30598.665210845516</v>
      </c>
      <c r="AG167" s="49">
        <f t="shared" si="78"/>
        <v>373822.614</v>
      </c>
      <c r="AH167" s="49">
        <f t="shared" si="79"/>
        <v>424798.42499999993</v>
      </c>
    </row>
    <row r="168" spans="1:34" s="56" customFormat="1">
      <c r="A168" s="62" t="s">
        <v>272</v>
      </c>
      <c r="B168" s="62"/>
      <c r="C168" s="62"/>
      <c r="D168" s="62"/>
      <c r="E168" s="141">
        <v>1</v>
      </c>
      <c r="F168" s="142"/>
      <c r="G168" s="143">
        <v>0.12</v>
      </c>
      <c r="H168" s="143">
        <v>0</v>
      </c>
      <c r="I168" s="49">
        <v>9277</v>
      </c>
      <c r="J168" s="49">
        <f t="shared" si="64"/>
        <v>7764.8489999999993</v>
      </c>
      <c r="K168" s="49">
        <f t="shared" si="65"/>
        <v>6833.0671199999997</v>
      </c>
      <c r="L168" s="58"/>
      <c r="M168" s="141">
        <v>0</v>
      </c>
      <c r="N168" s="50">
        <f t="shared" si="66"/>
        <v>0</v>
      </c>
      <c r="O168" s="50">
        <f t="shared" si="67"/>
        <v>0</v>
      </c>
      <c r="P168" s="59"/>
      <c r="Q168" s="141">
        <v>0</v>
      </c>
      <c r="R168" s="50">
        <f t="shared" si="68"/>
        <v>0</v>
      </c>
      <c r="S168" s="51">
        <f t="shared" si="69"/>
        <v>0</v>
      </c>
      <c r="T168" s="60">
        <v>15</v>
      </c>
      <c r="U168" s="61" t="s">
        <v>81</v>
      </c>
      <c r="V168" s="53">
        <f>SUMIF('Avoided Costs 2014-2023'!$A:$A,'2014 Actuals'!U168&amp;ROUNDDOWN('2014 Actuals'!T168,0),'Avoided Costs 2014-2023'!$E:$E)*K168</f>
        <v>15817.675171486862</v>
      </c>
      <c r="W168" s="53">
        <f>SUMIF('Avoided Costs 2014-2023'!$A:$A,'2014 Actuals'!U168&amp;ROUNDDOWN('2014 Actuals'!T168,0),'Avoided Costs 2014-2023'!$K:$K)*O168</f>
        <v>0</v>
      </c>
      <c r="X168" s="53">
        <f>SUMIF('Avoided Costs 2014-2023'!$A:$A,'2014 Actuals'!U168&amp;ROUNDDOWN('2014 Actuals'!T168,0),'Avoided Costs 2014-2023'!$M:$M)*S168</f>
        <v>0</v>
      </c>
      <c r="Y168" s="53">
        <f t="shared" si="70"/>
        <v>15817.675171486862</v>
      </c>
      <c r="Z168" s="55">
        <v>13650</v>
      </c>
      <c r="AA168" s="54">
        <f t="shared" si="71"/>
        <v>12012</v>
      </c>
      <c r="AB168" s="54"/>
      <c r="AC168" s="54"/>
      <c r="AD168" s="54"/>
      <c r="AE168" s="54">
        <f t="shared" si="76"/>
        <v>12012</v>
      </c>
      <c r="AF168" s="54">
        <f t="shared" si="77"/>
        <v>3805.6751714868624</v>
      </c>
      <c r="AG168" s="49">
        <f t="shared" si="78"/>
        <v>102496.0068</v>
      </c>
      <c r="AH168" s="49">
        <f t="shared" si="79"/>
        <v>116472.73499999999</v>
      </c>
    </row>
    <row r="169" spans="1:34" s="56" customFormat="1">
      <c r="A169" s="62" t="s">
        <v>273</v>
      </c>
      <c r="B169" s="62"/>
      <c r="C169" s="62"/>
      <c r="D169" s="62"/>
      <c r="E169" s="141">
        <v>1</v>
      </c>
      <c r="F169" s="142"/>
      <c r="G169" s="143">
        <v>0.12</v>
      </c>
      <c r="H169" s="143">
        <v>0</v>
      </c>
      <c r="I169" s="49">
        <v>18011</v>
      </c>
      <c r="J169" s="49">
        <f t="shared" si="64"/>
        <v>15075.206999999999</v>
      </c>
      <c r="K169" s="49">
        <f t="shared" si="65"/>
        <v>13266.182159999998</v>
      </c>
      <c r="L169" s="58"/>
      <c r="M169" s="141">
        <v>0</v>
      </c>
      <c r="N169" s="50">
        <f t="shared" si="66"/>
        <v>0</v>
      </c>
      <c r="O169" s="50">
        <f t="shared" si="67"/>
        <v>0</v>
      </c>
      <c r="P169" s="59"/>
      <c r="Q169" s="141">
        <v>0</v>
      </c>
      <c r="R169" s="50">
        <f t="shared" si="68"/>
        <v>0</v>
      </c>
      <c r="S169" s="51">
        <f t="shared" si="69"/>
        <v>0</v>
      </c>
      <c r="T169" s="60">
        <v>5</v>
      </c>
      <c r="U169" s="61" t="s">
        <v>81</v>
      </c>
      <c r="V169" s="53">
        <f>SUMIF('Avoided Costs 2014-2023'!$A:$A,'2014 Actuals'!U169&amp;ROUNDDOWN('2014 Actuals'!T169,0),'Avoided Costs 2014-2023'!$E:$E)*K169</f>
        <v>11287.770877137342</v>
      </c>
      <c r="W169" s="53">
        <f>SUMIF('Avoided Costs 2014-2023'!$A:$A,'2014 Actuals'!U169&amp;ROUNDDOWN('2014 Actuals'!T169,0),'Avoided Costs 2014-2023'!$K:$K)*O169</f>
        <v>0</v>
      </c>
      <c r="X169" s="53">
        <f>SUMIF('Avoided Costs 2014-2023'!$A:$A,'2014 Actuals'!U169&amp;ROUNDDOWN('2014 Actuals'!T169,0),'Avoided Costs 2014-2023'!$M:$M)*S169</f>
        <v>0</v>
      </c>
      <c r="Y169" s="53">
        <f t="shared" si="70"/>
        <v>11287.770877137342</v>
      </c>
      <c r="Z169" s="55">
        <v>7826</v>
      </c>
      <c r="AA169" s="54">
        <f t="shared" si="71"/>
        <v>6886.88</v>
      </c>
      <c r="AB169" s="54"/>
      <c r="AC169" s="54"/>
      <c r="AD169" s="54"/>
      <c r="AE169" s="54">
        <f t="shared" si="76"/>
        <v>6886.88</v>
      </c>
      <c r="AF169" s="54">
        <f t="shared" si="77"/>
        <v>4400.8908771373417</v>
      </c>
      <c r="AG169" s="49">
        <f t="shared" si="78"/>
        <v>66330.910799999998</v>
      </c>
      <c r="AH169" s="49">
        <f t="shared" si="79"/>
        <v>75376.034999999989</v>
      </c>
    </row>
    <row r="170" spans="1:34" s="56" customFormat="1">
      <c r="A170" s="62" t="s">
        <v>274</v>
      </c>
      <c r="B170" s="62"/>
      <c r="C170" s="62"/>
      <c r="D170" s="62"/>
      <c r="E170" s="141">
        <v>1</v>
      </c>
      <c r="F170" s="142"/>
      <c r="G170" s="143">
        <v>0.12</v>
      </c>
      <c r="H170" s="143">
        <v>0</v>
      </c>
      <c r="I170" s="49">
        <v>1416</v>
      </c>
      <c r="J170" s="49">
        <f t="shared" si="64"/>
        <v>1185.192</v>
      </c>
      <c r="K170" s="49">
        <f t="shared" si="65"/>
        <v>1042.9689599999999</v>
      </c>
      <c r="L170" s="58"/>
      <c r="M170" s="141">
        <v>-177</v>
      </c>
      <c r="N170" s="50">
        <f t="shared" si="66"/>
        <v>-177</v>
      </c>
      <c r="O170" s="50">
        <f t="shared" si="67"/>
        <v>-155.76</v>
      </c>
      <c r="P170" s="59"/>
      <c r="Q170" s="141">
        <v>0</v>
      </c>
      <c r="R170" s="50">
        <f t="shared" si="68"/>
        <v>0</v>
      </c>
      <c r="S170" s="51">
        <f t="shared" si="69"/>
        <v>0</v>
      </c>
      <c r="T170" s="60">
        <v>15</v>
      </c>
      <c r="U170" s="61" t="s">
        <v>81</v>
      </c>
      <c r="V170" s="53">
        <f>SUMIF('Avoided Costs 2014-2023'!$A:$A,'2014 Actuals'!U170&amp;ROUNDDOWN('2014 Actuals'!T170,0),'Avoided Costs 2014-2023'!$E:$E)*K170</f>
        <v>2414.3395540396027</v>
      </c>
      <c r="W170" s="53">
        <f>SUMIF('Avoided Costs 2014-2023'!$A:$A,'2014 Actuals'!U170&amp;ROUNDDOWN('2014 Actuals'!T170,0),'Avoided Costs 2014-2023'!$K:$K)*O170</f>
        <v>-184.1831412980664</v>
      </c>
      <c r="X170" s="53">
        <f>SUMIF('Avoided Costs 2014-2023'!$A:$A,'2014 Actuals'!U170&amp;ROUNDDOWN('2014 Actuals'!T170,0),'Avoided Costs 2014-2023'!$M:$M)*S170</f>
        <v>0</v>
      </c>
      <c r="Y170" s="53">
        <f t="shared" si="70"/>
        <v>2230.1564127415363</v>
      </c>
      <c r="Z170" s="55">
        <v>1125</v>
      </c>
      <c r="AA170" s="54">
        <f t="shared" si="71"/>
        <v>990</v>
      </c>
      <c r="AB170" s="54"/>
      <c r="AC170" s="54"/>
      <c r="AD170" s="54"/>
      <c r="AE170" s="54">
        <f t="shared" si="76"/>
        <v>990</v>
      </c>
      <c r="AF170" s="54">
        <f t="shared" si="77"/>
        <v>1240.1564127415363</v>
      </c>
      <c r="AG170" s="49">
        <f t="shared" si="78"/>
        <v>15644.534399999999</v>
      </c>
      <c r="AH170" s="49">
        <f t="shared" si="79"/>
        <v>17777.88</v>
      </c>
    </row>
    <row r="171" spans="1:34" s="56" customFormat="1">
      <c r="A171" s="62" t="s">
        <v>275</v>
      </c>
      <c r="B171" s="62"/>
      <c r="C171" s="62"/>
      <c r="D171" s="62"/>
      <c r="E171" s="141">
        <v>1</v>
      </c>
      <c r="F171" s="142"/>
      <c r="G171" s="143">
        <v>0.12</v>
      </c>
      <c r="H171" s="143">
        <v>0</v>
      </c>
      <c r="I171" s="49">
        <v>19142</v>
      </c>
      <c r="J171" s="49">
        <f t="shared" si="64"/>
        <v>16021.853999999999</v>
      </c>
      <c r="K171" s="49">
        <f t="shared" si="65"/>
        <v>14099.231519999999</v>
      </c>
      <c r="L171" s="58"/>
      <c r="M171" s="141">
        <v>2090</v>
      </c>
      <c r="N171" s="50">
        <f t="shared" si="66"/>
        <v>2090</v>
      </c>
      <c r="O171" s="50">
        <f t="shared" si="67"/>
        <v>1839.2</v>
      </c>
      <c r="P171" s="59"/>
      <c r="Q171" s="141">
        <v>0</v>
      </c>
      <c r="R171" s="50">
        <f t="shared" si="68"/>
        <v>0</v>
      </c>
      <c r="S171" s="51">
        <f t="shared" si="69"/>
        <v>0</v>
      </c>
      <c r="T171" s="60">
        <v>15</v>
      </c>
      <c r="U171" s="61" t="s">
        <v>81</v>
      </c>
      <c r="V171" s="53">
        <f>SUMIF('Avoided Costs 2014-2023'!$A:$A,'2014 Actuals'!U171&amp;ROUNDDOWN('2014 Actuals'!T171,0),'Avoided Costs 2014-2023'!$E:$E)*K171</f>
        <v>32637.915073041018</v>
      </c>
      <c r="W171" s="53">
        <f>SUMIF('Avoided Costs 2014-2023'!$A:$A,'2014 Actuals'!U171&amp;ROUNDDOWN('2014 Actuals'!T171,0),'Avoided Costs 2014-2023'!$K:$K)*O171</f>
        <v>2174.8178831240612</v>
      </c>
      <c r="X171" s="53">
        <f>SUMIF('Avoided Costs 2014-2023'!$A:$A,'2014 Actuals'!U171&amp;ROUNDDOWN('2014 Actuals'!T171,0),'Avoided Costs 2014-2023'!$M:$M)*S171</f>
        <v>0</v>
      </c>
      <c r="Y171" s="53">
        <f t="shared" si="70"/>
        <v>34812.732956165077</v>
      </c>
      <c r="Z171" s="55">
        <v>5000</v>
      </c>
      <c r="AA171" s="54">
        <f t="shared" si="71"/>
        <v>4400</v>
      </c>
      <c r="AB171" s="54"/>
      <c r="AC171" s="54"/>
      <c r="AD171" s="54"/>
      <c r="AE171" s="54">
        <f t="shared" si="76"/>
        <v>4400</v>
      </c>
      <c r="AF171" s="54">
        <f t="shared" si="77"/>
        <v>30412.732956165077</v>
      </c>
      <c r="AG171" s="49">
        <f t="shared" si="78"/>
        <v>211488.47279999999</v>
      </c>
      <c r="AH171" s="49">
        <f t="shared" si="79"/>
        <v>240327.81</v>
      </c>
    </row>
    <row r="172" spans="1:34" s="56" customFormat="1">
      <c r="A172" s="62" t="s">
        <v>276</v>
      </c>
      <c r="B172" s="62"/>
      <c r="C172" s="62"/>
      <c r="D172" s="62"/>
      <c r="E172" s="141">
        <v>1</v>
      </c>
      <c r="F172" s="142"/>
      <c r="G172" s="143">
        <v>0.12</v>
      </c>
      <c r="H172" s="143">
        <v>0</v>
      </c>
      <c r="I172" s="49">
        <v>43229</v>
      </c>
      <c r="J172" s="49">
        <f t="shared" si="64"/>
        <v>36182.672999999995</v>
      </c>
      <c r="K172" s="49">
        <f t="shared" si="65"/>
        <v>31840.752239999994</v>
      </c>
      <c r="L172" s="58"/>
      <c r="M172" s="141">
        <v>2293</v>
      </c>
      <c r="N172" s="50">
        <f t="shared" si="66"/>
        <v>2293</v>
      </c>
      <c r="O172" s="50">
        <f t="shared" si="67"/>
        <v>2017.84</v>
      </c>
      <c r="P172" s="59"/>
      <c r="Q172" s="141">
        <v>0</v>
      </c>
      <c r="R172" s="50">
        <f t="shared" si="68"/>
        <v>0</v>
      </c>
      <c r="S172" s="51">
        <f t="shared" si="69"/>
        <v>0</v>
      </c>
      <c r="T172" s="60">
        <v>15</v>
      </c>
      <c r="U172" s="61" t="s">
        <v>81</v>
      </c>
      <c r="V172" s="53">
        <f>SUMIF('Avoided Costs 2014-2023'!$A:$A,'2014 Actuals'!U172&amp;ROUNDDOWN('2014 Actuals'!T172,0),'Avoided Costs 2014-2023'!$E:$E)*K172</f>
        <v>73707.263122583317</v>
      </c>
      <c r="W172" s="53">
        <f>SUMIF('Avoided Costs 2014-2023'!$A:$A,'2014 Actuals'!U172&amp;ROUNDDOWN('2014 Actuals'!T172,0),'Avoided Costs 2014-2023'!$K:$K)*O172</f>
        <v>2386.0561751212781</v>
      </c>
      <c r="X172" s="53">
        <f>SUMIF('Avoided Costs 2014-2023'!$A:$A,'2014 Actuals'!U172&amp;ROUNDDOWN('2014 Actuals'!T172,0),'Avoided Costs 2014-2023'!$M:$M)*S172</f>
        <v>0</v>
      </c>
      <c r="Y172" s="53">
        <f t="shared" si="70"/>
        <v>76093.319297704598</v>
      </c>
      <c r="Z172" s="55">
        <v>31023.26</v>
      </c>
      <c r="AA172" s="54">
        <f t="shared" si="71"/>
        <v>27300.468799999999</v>
      </c>
      <c r="AB172" s="54"/>
      <c r="AC172" s="54"/>
      <c r="AD172" s="54"/>
      <c r="AE172" s="54">
        <f t="shared" si="76"/>
        <v>27300.468799999999</v>
      </c>
      <c r="AF172" s="54">
        <f t="shared" si="77"/>
        <v>48792.850497704596</v>
      </c>
      <c r="AG172" s="49">
        <f t="shared" si="78"/>
        <v>477611.28359999991</v>
      </c>
      <c r="AH172" s="49">
        <f t="shared" si="79"/>
        <v>542740.09499999997</v>
      </c>
    </row>
    <row r="173" spans="1:34" s="56" customFormat="1">
      <c r="A173" s="62" t="s">
        <v>277</v>
      </c>
      <c r="B173" s="62"/>
      <c r="C173" s="62"/>
      <c r="D173" s="62"/>
      <c r="E173" s="141">
        <v>1</v>
      </c>
      <c r="F173" s="142"/>
      <c r="G173" s="143">
        <v>0.12</v>
      </c>
      <c r="H173" s="143">
        <v>0</v>
      </c>
      <c r="I173" s="49">
        <v>24609</v>
      </c>
      <c r="J173" s="49">
        <f t="shared" si="64"/>
        <v>20597.733</v>
      </c>
      <c r="K173" s="49">
        <f t="shared" si="65"/>
        <v>18126.00504</v>
      </c>
      <c r="L173" s="58"/>
      <c r="M173" s="141">
        <v>1474</v>
      </c>
      <c r="N173" s="50">
        <f t="shared" si="66"/>
        <v>1474</v>
      </c>
      <c r="O173" s="50">
        <f t="shared" si="67"/>
        <v>1297.1200000000001</v>
      </c>
      <c r="P173" s="59"/>
      <c r="Q173" s="141">
        <v>0</v>
      </c>
      <c r="R173" s="50">
        <f t="shared" si="68"/>
        <v>0</v>
      </c>
      <c r="S173" s="51">
        <f t="shared" si="69"/>
        <v>0</v>
      </c>
      <c r="T173" s="60">
        <v>15</v>
      </c>
      <c r="U173" s="61" t="s">
        <v>81</v>
      </c>
      <c r="V173" s="53">
        <f>SUMIF('Avoided Costs 2014-2023'!$A:$A,'2014 Actuals'!U173&amp;ROUNDDOWN('2014 Actuals'!T173,0),'Avoided Costs 2014-2023'!$E:$E)*K173</f>
        <v>41959.380003785729</v>
      </c>
      <c r="W173" s="53">
        <f>SUMIF('Avoided Costs 2014-2023'!$A:$A,'2014 Actuals'!U173&amp;ROUNDDOWN('2014 Actuals'!T173,0),'Avoided Costs 2014-2023'!$K:$K)*O173</f>
        <v>1533.8189280980221</v>
      </c>
      <c r="X173" s="53">
        <f>SUMIF('Avoided Costs 2014-2023'!$A:$A,'2014 Actuals'!U173&amp;ROUNDDOWN('2014 Actuals'!T173,0),'Avoided Costs 2014-2023'!$M:$M)*S173</f>
        <v>0</v>
      </c>
      <c r="Y173" s="53">
        <f t="shared" si="70"/>
        <v>43493.198931883751</v>
      </c>
      <c r="Z173" s="55">
        <v>15511.63</v>
      </c>
      <c r="AA173" s="54">
        <f t="shared" si="71"/>
        <v>13650.234399999999</v>
      </c>
      <c r="AB173" s="54"/>
      <c r="AC173" s="54"/>
      <c r="AD173" s="54"/>
      <c r="AE173" s="54">
        <f t="shared" si="76"/>
        <v>13650.234399999999</v>
      </c>
      <c r="AF173" s="54">
        <f t="shared" si="77"/>
        <v>29842.96453188375</v>
      </c>
      <c r="AG173" s="49">
        <f t="shared" si="78"/>
        <v>271890.07559999998</v>
      </c>
      <c r="AH173" s="49">
        <f t="shared" si="79"/>
        <v>308965.995</v>
      </c>
    </row>
    <row r="174" spans="1:34" s="56" customFormat="1">
      <c r="A174" s="62" t="s">
        <v>278</v>
      </c>
      <c r="B174" s="62"/>
      <c r="C174" s="62"/>
      <c r="D174" s="62"/>
      <c r="E174" s="141">
        <v>1</v>
      </c>
      <c r="F174" s="142"/>
      <c r="G174" s="143">
        <v>0.12</v>
      </c>
      <c r="H174" s="143">
        <v>0</v>
      </c>
      <c r="I174" s="49">
        <v>15459</v>
      </c>
      <c r="J174" s="49">
        <f t="shared" si="64"/>
        <v>12939.182999999999</v>
      </c>
      <c r="K174" s="49">
        <f t="shared" si="65"/>
        <v>11386.481039999999</v>
      </c>
      <c r="L174" s="58"/>
      <c r="M174" s="141">
        <v>1689</v>
      </c>
      <c r="N174" s="50">
        <f t="shared" si="66"/>
        <v>1689</v>
      </c>
      <c r="O174" s="50">
        <f t="shared" si="67"/>
        <v>1486.32</v>
      </c>
      <c r="P174" s="59"/>
      <c r="Q174" s="141">
        <v>0</v>
      </c>
      <c r="R174" s="50">
        <f t="shared" si="68"/>
        <v>0</v>
      </c>
      <c r="S174" s="51">
        <f t="shared" si="69"/>
        <v>0</v>
      </c>
      <c r="T174" s="60">
        <v>25</v>
      </c>
      <c r="U174" s="61" t="s">
        <v>81</v>
      </c>
      <c r="V174" s="53">
        <f>SUMIF('Avoided Costs 2014-2023'!$A:$A,'2014 Actuals'!U174&amp;ROUNDDOWN('2014 Actuals'!T174,0),'Avoided Costs 2014-2023'!$E:$E)*K174</f>
        <v>36166.692748852809</v>
      </c>
      <c r="W174" s="53">
        <f>SUMIF('Avoided Costs 2014-2023'!$A:$A,'2014 Actuals'!U174&amp;ROUNDDOWN('2014 Actuals'!T174,0),'Avoided Costs 2014-2023'!$K:$K)*O174</f>
        <v>2394.0101936011829</v>
      </c>
      <c r="X174" s="53">
        <f>SUMIF('Avoided Costs 2014-2023'!$A:$A,'2014 Actuals'!U174&amp;ROUNDDOWN('2014 Actuals'!T174,0),'Avoided Costs 2014-2023'!$M:$M)*S174</f>
        <v>0</v>
      </c>
      <c r="Y174" s="53">
        <f t="shared" si="70"/>
        <v>38560.702942453994</v>
      </c>
      <c r="Z174" s="55">
        <v>133340</v>
      </c>
      <c r="AA174" s="54">
        <f t="shared" si="71"/>
        <v>117339.2</v>
      </c>
      <c r="AB174" s="54"/>
      <c r="AC174" s="54"/>
      <c r="AD174" s="54"/>
      <c r="AE174" s="54">
        <f t="shared" si="76"/>
        <v>117339.2</v>
      </c>
      <c r="AF174" s="54">
        <f t="shared" si="77"/>
        <v>-78778.497057546003</v>
      </c>
      <c r="AG174" s="49">
        <f t="shared" si="78"/>
        <v>284662.02599999995</v>
      </c>
      <c r="AH174" s="49">
        <f t="shared" si="79"/>
        <v>323479.57499999995</v>
      </c>
    </row>
    <row r="175" spans="1:34" s="56" customFormat="1">
      <c r="A175" s="62" t="s">
        <v>279</v>
      </c>
      <c r="B175" s="62"/>
      <c r="C175" s="62"/>
      <c r="D175" s="62"/>
      <c r="E175" s="141">
        <v>1</v>
      </c>
      <c r="F175" s="142"/>
      <c r="G175" s="143">
        <v>0.12</v>
      </c>
      <c r="H175" s="143">
        <v>0</v>
      </c>
      <c r="I175" s="49">
        <v>9544</v>
      </c>
      <c r="J175" s="49">
        <f t="shared" si="64"/>
        <v>7988.3279999999995</v>
      </c>
      <c r="K175" s="49">
        <f t="shared" si="65"/>
        <v>7029.7286399999994</v>
      </c>
      <c r="L175" s="58"/>
      <c r="M175" s="141">
        <v>0</v>
      </c>
      <c r="N175" s="50">
        <f t="shared" si="66"/>
        <v>0</v>
      </c>
      <c r="O175" s="50">
        <f t="shared" si="67"/>
        <v>0</v>
      </c>
      <c r="P175" s="59"/>
      <c r="Q175" s="141">
        <v>0</v>
      </c>
      <c r="R175" s="50">
        <f t="shared" si="68"/>
        <v>0</v>
      </c>
      <c r="S175" s="51">
        <f t="shared" si="69"/>
        <v>0</v>
      </c>
      <c r="T175" s="60">
        <v>25</v>
      </c>
      <c r="U175" s="61" t="s">
        <v>81</v>
      </c>
      <c r="V175" s="53">
        <f>SUMIF('Avoided Costs 2014-2023'!$A:$A,'2014 Actuals'!U175&amp;ROUNDDOWN('2014 Actuals'!T175,0),'Avoided Costs 2014-2023'!$E:$E)*K175</f>
        <v>22328.411643382573</v>
      </c>
      <c r="W175" s="53">
        <f>SUMIF('Avoided Costs 2014-2023'!$A:$A,'2014 Actuals'!U175&amp;ROUNDDOWN('2014 Actuals'!T175,0),'Avoided Costs 2014-2023'!$K:$K)*O175</f>
        <v>0</v>
      </c>
      <c r="X175" s="53">
        <f>SUMIF('Avoided Costs 2014-2023'!$A:$A,'2014 Actuals'!U175&amp;ROUNDDOWN('2014 Actuals'!T175,0),'Avoided Costs 2014-2023'!$M:$M)*S175</f>
        <v>0</v>
      </c>
      <c r="Y175" s="53">
        <f t="shared" si="70"/>
        <v>22328.411643382573</v>
      </c>
      <c r="Z175" s="55">
        <v>73333</v>
      </c>
      <c r="AA175" s="54">
        <f t="shared" si="71"/>
        <v>64533.04</v>
      </c>
      <c r="AB175" s="54"/>
      <c r="AC175" s="54"/>
      <c r="AD175" s="54"/>
      <c r="AE175" s="54">
        <f t="shared" si="76"/>
        <v>64533.04</v>
      </c>
      <c r="AF175" s="54">
        <f t="shared" si="77"/>
        <v>-42204.628356617424</v>
      </c>
      <c r="AG175" s="49">
        <f t="shared" si="78"/>
        <v>175743.21599999999</v>
      </c>
      <c r="AH175" s="49">
        <f t="shared" si="79"/>
        <v>199708.19999999998</v>
      </c>
    </row>
    <row r="176" spans="1:34" s="56" customFormat="1">
      <c r="A176" s="62" t="s">
        <v>280</v>
      </c>
      <c r="B176" s="62"/>
      <c r="C176" s="62"/>
      <c r="D176" s="62"/>
      <c r="E176" s="141">
        <v>1</v>
      </c>
      <c r="F176" s="142"/>
      <c r="G176" s="143">
        <v>0.12</v>
      </c>
      <c r="H176" s="143">
        <v>0</v>
      </c>
      <c r="I176" s="49">
        <v>60957</v>
      </c>
      <c r="J176" s="49">
        <f t="shared" si="64"/>
        <v>51021.008999999998</v>
      </c>
      <c r="K176" s="49">
        <f t="shared" si="65"/>
        <v>44898.48792</v>
      </c>
      <c r="L176" s="58"/>
      <c r="M176" s="141">
        <v>3623</v>
      </c>
      <c r="N176" s="50">
        <f t="shared" si="66"/>
        <v>3623</v>
      </c>
      <c r="O176" s="50">
        <f t="shared" si="67"/>
        <v>3188.2400000000002</v>
      </c>
      <c r="P176" s="59"/>
      <c r="Q176" s="141">
        <v>0</v>
      </c>
      <c r="R176" s="50">
        <f t="shared" si="68"/>
        <v>0</v>
      </c>
      <c r="S176" s="51">
        <f t="shared" si="69"/>
        <v>0</v>
      </c>
      <c r="T176" s="60">
        <v>15</v>
      </c>
      <c r="U176" s="61" t="s">
        <v>81</v>
      </c>
      <c r="V176" s="53">
        <f>SUMIF('Avoided Costs 2014-2023'!$A:$A,'2014 Actuals'!U176&amp;ROUNDDOWN('2014 Actuals'!T176,0),'Avoided Costs 2014-2023'!$E:$E)*K176</f>
        <v>103934.24872570063</v>
      </c>
      <c r="W176" s="53">
        <f>SUMIF('Avoided Costs 2014-2023'!$A:$A,'2014 Actuals'!U176&amp;ROUNDDOWN('2014 Actuals'!T176,0),'Avoided Costs 2014-2023'!$K:$K)*O176</f>
        <v>3770.0311916547721</v>
      </c>
      <c r="X176" s="53">
        <f>SUMIF('Avoided Costs 2014-2023'!$A:$A,'2014 Actuals'!U176&amp;ROUNDDOWN('2014 Actuals'!T176,0),'Avoided Costs 2014-2023'!$M:$M)*S176</f>
        <v>0</v>
      </c>
      <c r="Y176" s="53">
        <f t="shared" si="70"/>
        <v>107704.27991735539</v>
      </c>
      <c r="Z176" s="55">
        <v>36880.6</v>
      </c>
      <c r="AA176" s="54">
        <f t="shared" si="71"/>
        <v>32454.928</v>
      </c>
      <c r="AB176" s="54"/>
      <c r="AC176" s="54"/>
      <c r="AD176" s="54"/>
      <c r="AE176" s="54">
        <f t="shared" si="76"/>
        <v>32454.928</v>
      </c>
      <c r="AF176" s="54">
        <f t="shared" si="77"/>
        <v>75249.351917355394</v>
      </c>
      <c r="AG176" s="49">
        <f t="shared" si="78"/>
        <v>673477.31880000001</v>
      </c>
      <c r="AH176" s="49">
        <f t="shared" si="79"/>
        <v>765315.13500000001</v>
      </c>
    </row>
    <row r="177" spans="1:34" s="56" customFormat="1">
      <c r="A177" s="62" t="s">
        <v>281</v>
      </c>
      <c r="B177" s="62"/>
      <c r="C177" s="62"/>
      <c r="D177" s="62"/>
      <c r="E177" s="141">
        <v>1</v>
      </c>
      <c r="F177" s="142"/>
      <c r="G177" s="143">
        <v>0.12</v>
      </c>
      <c r="H177" s="143">
        <v>0</v>
      </c>
      <c r="I177" s="49">
        <v>10773</v>
      </c>
      <c r="J177" s="49">
        <f t="shared" si="64"/>
        <v>9017.0010000000002</v>
      </c>
      <c r="K177" s="49">
        <f t="shared" si="65"/>
        <v>7934.9608800000005</v>
      </c>
      <c r="L177" s="58"/>
      <c r="M177" s="141">
        <v>0</v>
      </c>
      <c r="N177" s="50">
        <f t="shared" si="66"/>
        <v>0</v>
      </c>
      <c r="O177" s="50">
        <f t="shared" si="67"/>
        <v>0</v>
      </c>
      <c r="P177" s="59"/>
      <c r="Q177" s="141">
        <v>0</v>
      </c>
      <c r="R177" s="50">
        <f t="shared" si="68"/>
        <v>0</v>
      </c>
      <c r="S177" s="51">
        <f t="shared" si="69"/>
        <v>0</v>
      </c>
      <c r="T177" s="60">
        <v>15</v>
      </c>
      <c r="U177" s="61" t="s">
        <v>81</v>
      </c>
      <c r="V177" s="53">
        <f>SUMIF('Avoided Costs 2014-2023'!$A:$A,'2014 Actuals'!U177&amp;ROUNDDOWN('2014 Actuals'!T177,0),'Avoided Costs 2014-2023'!$E:$E)*K177</f>
        <v>18368.418090161475</v>
      </c>
      <c r="W177" s="53">
        <f>SUMIF('Avoided Costs 2014-2023'!$A:$A,'2014 Actuals'!U177&amp;ROUNDDOWN('2014 Actuals'!T177,0),'Avoided Costs 2014-2023'!$K:$K)*O177</f>
        <v>0</v>
      </c>
      <c r="X177" s="53">
        <f>SUMIF('Avoided Costs 2014-2023'!$A:$A,'2014 Actuals'!U177&amp;ROUNDDOWN('2014 Actuals'!T177,0),'Avoided Costs 2014-2023'!$M:$M)*S177</f>
        <v>0</v>
      </c>
      <c r="Y177" s="53">
        <f t="shared" si="70"/>
        <v>18368.418090161475</v>
      </c>
      <c r="Z177" s="55">
        <v>11034</v>
      </c>
      <c r="AA177" s="54">
        <f t="shared" si="71"/>
        <v>9709.92</v>
      </c>
      <c r="AB177" s="54"/>
      <c r="AC177" s="54"/>
      <c r="AD177" s="54"/>
      <c r="AE177" s="54">
        <f t="shared" si="76"/>
        <v>9709.92</v>
      </c>
      <c r="AF177" s="54">
        <f t="shared" si="77"/>
        <v>8658.4980901614745</v>
      </c>
      <c r="AG177" s="49">
        <f t="shared" si="78"/>
        <v>119024.41320000001</v>
      </c>
      <c r="AH177" s="49">
        <f t="shared" si="79"/>
        <v>135255.01500000001</v>
      </c>
    </row>
    <row r="178" spans="1:34" s="56" customFormat="1">
      <c r="A178" s="62" t="s">
        <v>282</v>
      </c>
      <c r="B178" s="62"/>
      <c r="C178" s="62"/>
      <c r="D178" s="62"/>
      <c r="E178" s="141">
        <v>1</v>
      </c>
      <c r="F178" s="142"/>
      <c r="G178" s="143">
        <v>0.12</v>
      </c>
      <c r="H178" s="143">
        <v>0</v>
      </c>
      <c r="I178" s="49">
        <v>5069</v>
      </c>
      <c r="J178" s="49">
        <f t="shared" si="64"/>
        <v>4242.7529999999997</v>
      </c>
      <c r="K178" s="49">
        <f t="shared" si="65"/>
        <v>3733.6226399999996</v>
      </c>
      <c r="L178" s="58"/>
      <c r="M178" s="141">
        <v>0</v>
      </c>
      <c r="N178" s="50">
        <f t="shared" si="66"/>
        <v>0</v>
      </c>
      <c r="O178" s="50">
        <f t="shared" si="67"/>
        <v>0</v>
      </c>
      <c r="P178" s="59"/>
      <c r="Q178" s="141">
        <v>0</v>
      </c>
      <c r="R178" s="50">
        <f t="shared" si="68"/>
        <v>0</v>
      </c>
      <c r="S178" s="51">
        <f t="shared" si="69"/>
        <v>0</v>
      </c>
      <c r="T178" s="60">
        <v>25</v>
      </c>
      <c r="U178" s="61" t="s">
        <v>81</v>
      </c>
      <c r="V178" s="53">
        <f>SUMIF('Avoided Costs 2014-2023'!$A:$A,'2014 Actuals'!U178&amp;ROUNDDOWN('2014 Actuals'!T178,0),'Avoided Costs 2014-2023'!$E:$E)*K178</f>
        <v>11859.044281255894</v>
      </c>
      <c r="W178" s="53">
        <f>SUMIF('Avoided Costs 2014-2023'!$A:$A,'2014 Actuals'!U178&amp;ROUNDDOWN('2014 Actuals'!T178,0),'Avoided Costs 2014-2023'!$K:$K)*O178</f>
        <v>0</v>
      </c>
      <c r="X178" s="53">
        <f>SUMIF('Avoided Costs 2014-2023'!$A:$A,'2014 Actuals'!U178&amp;ROUNDDOWN('2014 Actuals'!T178,0),'Avoided Costs 2014-2023'!$M:$M)*S178</f>
        <v>0</v>
      </c>
      <c r="Y178" s="53">
        <f t="shared" si="70"/>
        <v>11859.044281255894</v>
      </c>
      <c r="Z178" s="55">
        <v>15882</v>
      </c>
      <c r="AA178" s="54">
        <f t="shared" si="71"/>
        <v>13976.16</v>
      </c>
      <c r="AB178" s="54"/>
      <c r="AC178" s="54"/>
      <c r="AD178" s="54"/>
      <c r="AE178" s="54">
        <f t="shared" si="76"/>
        <v>13976.16</v>
      </c>
      <c r="AF178" s="54">
        <f t="shared" si="77"/>
        <v>-2117.1157187441058</v>
      </c>
      <c r="AG178" s="49">
        <f t="shared" si="78"/>
        <v>93340.565999999992</v>
      </c>
      <c r="AH178" s="49">
        <f t="shared" si="79"/>
        <v>106068.825</v>
      </c>
    </row>
    <row r="179" spans="1:34" s="56" customFormat="1">
      <c r="A179" s="62" t="s">
        <v>283</v>
      </c>
      <c r="B179" s="62"/>
      <c r="C179" s="62"/>
      <c r="D179" s="62"/>
      <c r="E179" s="141">
        <v>1</v>
      </c>
      <c r="F179" s="142"/>
      <c r="G179" s="143">
        <v>0.12</v>
      </c>
      <c r="H179" s="143">
        <v>0</v>
      </c>
      <c r="I179" s="49">
        <v>6756</v>
      </c>
      <c r="J179" s="49">
        <f t="shared" si="64"/>
        <v>5654.7719999999999</v>
      </c>
      <c r="K179" s="49">
        <f t="shared" si="65"/>
        <v>4976.1993599999996</v>
      </c>
      <c r="L179" s="58"/>
      <c r="M179" s="141">
        <v>-1083</v>
      </c>
      <c r="N179" s="50">
        <f t="shared" si="66"/>
        <v>-1083</v>
      </c>
      <c r="O179" s="50">
        <f t="shared" si="67"/>
        <v>-953.04</v>
      </c>
      <c r="P179" s="59"/>
      <c r="Q179" s="141">
        <v>0</v>
      </c>
      <c r="R179" s="50">
        <f t="shared" si="68"/>
        <v>0</v>
      </c>
      <c r="S179" s="51">
        <f t="shared" si="69"/>
        <v>0</v>
      </c>
      <c r="T179" s="60">
        <v>15</v>
      </c>
      <c r="U179" s="61" t="s">
        <v>81</v>
      </c>
      <c r="V179" s="53">
        <f>SUMIF('Avoided Costs 2014-2023'!$A:$A,'2014 Actuals'!U179&amp;ROUNDDOWN('2014 Actuals'!T179,0),'Avoided Costs 2014-2023'!$E:$E)*K179</f>
        <v>11519.26414342624</v>
      </c>
      <c r="W179" s="53">
        <f>SUMIF('Avoided Costs 2014-2023'!$A:$A,'2014 Actuals'!U179&amp;ROUNDDOWN('2014 Actuals'!T179,0),'Avoided Costs 2014-2023'!$K:$K)*O179</f>
        <v>-1126.9510848915588</v>
      </c>
      <c r="X179" s="53">
        <f>SUMIF('Avoided Costs 2014-2023'!$A:$A,'2014 Actuals'!U179&amp;ROUNDDOWN('2014 Actuals'!T179,0),'Avoided Costs 2014-2023'!$M:$M)*S179</f>
        <v>0</v>
      </c>
      <c r="Y179" s="53">
        <f t="shared" si="70"/>
        <v>10392.313058534681</v>
      </c>
      <c r="Z179" s="55">
        <v>24915</v>
      </c>
      <c r="AA179" s="54">
        <f t="shared" si="71"/>
        <v>21925.200000000001</v>
      </c>
      <c r="AB179" s="54"/>
      <c r="AC179" s="54"/>
      <c r="AD179" s="54"/>
      <c r="AE179" s="54">
        <f t="shared" si="76"/>
        <v>21925.200000000001</v>
      </c>
      <c r="AF179" s="54">
        <f t="shared" si="77"/>
        <v>-11532.88694146532</v>
      </c>
      <c r="AG179" s="49">
        <f t="shared" si="78"/>
        <v>74642.990399999995</v>
      </c>
      <c r="AH179" s="49">
        <f t="shared" si="79"/>
        <v>84821.58</v>
      </c>
    </row>
    <row r="180" spans="1:34" s="56" customFormat="1">
      <c r="A180" s="62" t="s">
        <v>284</v>
      </c>
      <c r="B180" s="62"/>
      <c r="C180" s="62"/>
      <c r="D180" s="62"/>
      <c r="E180" s="141">
        <v>1</v>
      </c>
      <c r="F180" s="142"/>
      <c r="G180" s="143">
        <v>0.12</v>
      </c>
      <c r="H180" s="143">
        <v>0</v>
      </c>
      <c r="I180" s="49">
        <v>10264</v>
      </c>
      <c r="J180" s="49">
        <f t="shared" si="64"/>
        <v>8590.9679999999989</v>
      </c>
      <c r="K180" s="49">
        <f t="shared" si="65"/>
        <v>7560.0518399999992</v>
      </c>
      <c r="L180" s="58"/>
      <c r="M180" s="141">
        <v>-878</v>
      </c>
      <c r="N180" s="50">
        <f t="shared" si="66"/>
        <v>-878</v>
      </c>
      <c r="O180" s="50">
        <f t="shared" si="67"/>
        <v>-772.64</v>
      </c>
      <c r="P180" s="59"/>
      <c r="Q180" s="141">
        <v>0</v>
      </c>
      <c r="R180" s="50">
        <f t="shared" si="68"/>
        <v>0</v>
      </c>
      <c r="S180" s="51">
        <f t="shared" si="69"/>
        <v>0</v>
      </c>
      <c r="T180" s="60">
        <v>15</v>
      </c>
      <c r="U180" s="61" t="s">
        <v>81</v>
      </c>
      <c r="V180" s="53">
        <f>SUMIF('Avoided Costs 2014-2023'!$A:$A,'2014 Actuals'!U180&amp;ROUNDDOWN('2014 Actuals'!T180,0),'Avoided Costs 2014-2023'!$E:$E)*K180</f>
        <v>17500.551682671245</v>
      </c>
      <c r="W180" s="53">
        <f>SUMIF('Avoided Costs 2014-2023'!$A:$A,'2014 Actuals'!U180&amp;ROUNDDOWN('2014 Actuals'!T180,0),'Avoided Costs 2014-2023'!$K:$K)*O180</f>
        <v>-913.63162745594525</v>
      </c>
      <c r="X180" s="53">
        <f>SUMIF('Avoided Costs 2014-2023'!$A:$A,'2014 Actuals'!U180&amp;ROUNDDOWN('2014 Actuals'!T180,0),'Avoided Costs 2014-2023'!$M:$M)*S180</f>
        <v>0</v>
      </c>
      <c r="Y180" s="53">
        <f t="shared" si="70"/>
        <v>16586.920055215298</v>
      </c>
      <c r="Z180" s="55">
        <v>16014</v>
      </c>
      <c r="AA180" s="54">
        <f t="shared" si="71"/>
        <v>14092.32</v>
      </c>
      <c r="AB180" s="54"/>
      <c r="AC180" s="54"/>
      <c r="AD180" s="54"/>
      <c r="AE180" s="54">
        <f t="shared" si="76"/>
        <v>14092.32</v>
      </c>
      <c r="AF180" s="54">
        <f t="shared" si="77"/>
        <v>2494.6000552152982</v>
      </c>
      <c r="AG180" s="49">
        <f t="shared" si="78"/>
        <v>113400.77759999999</v>
      </c>
      <c r="AH180" s="49">
        <f t="shared" si="79"/>
        <v>128864.51999999999</v>
      </c>
    </row>
    <row r="181" spans="1:34" s="56" customFormat="1">
      <c r="A181" s="136" t="s">
        <v>285</v>
      </c>
      <c r="B181" s="136"/>
      <c r="C181" s="136"/>
      <c r="D181" s="136"/>
      <c r="E181" s="137">
        <v>1</v>
      </c>
      <c r="F181" s="138"/>
      <c r="G181" s="139">
        <v>0.12</v>
      </c>
      <c r="H181" s="139">
        <v>0</v>
      </c>
      <c r="I181" s="49">
        <v>50698</v>
      </c>
      <c r="J181" s="49">
        <f t="shared" si="64"/>
        <v>42434.225999999995</v>
      </c>
      <c r="K181" s="49">
        <f t="shared" si="65"/>
        <v>37342.118879999995</v>
      </c>
      <c r="L181" s="138"/>
      <c r="M181" s="137">
        <v>-50828</v>
      </c>
      <c r="N181" s="50">
        <f t="shared" si="66"/>
        <v>-50828</v>
      </c>
      <c r="O181" s="50">
        <f t="shared" si="67"/>
        <v>-44728.639999999999</v>
      </c>
      <c r="P181" s="140"/>
      <c r="Q181" s="137">
        <v>0</v>
      </c>
      <c r="R181" s="50">
        <f t="shared" si="68"/>
        <v>0</v>
      </c>
      <c r="S181" s="51">
        <f t="shared" si="69"/>
        <v>0</v>
      </c>
      <c r="T181" s="57">
        <v>15</v>
      </c>
      <c r="U181" s="52" t="s">
        <v>81</v>
      </c>
      <c r="V181" s="53">
        <f>SUMIF('Avoided Costs 2014-2023'!$A:$A,'2014 Actuals'!U181&amp;ROUNDDOWN('2014 Actuals'!T181,0),'Avoided Costs 2014-2023'!$E:$E)*K181</f>
        <v>86442.222253319051</v>
      </c>
      <c r="W181" s="53">
        <f>SUMIF('Avoided Costs 2014-2023'!$A:$A,'2014 Actuals'!U181&amp;ROUNDDOWN('2014 Actuals'!T181,0),'Avoided Costs 2014-2023'!$K:$K)*O181</f>
        <v>-52890.738451401805</v>
      </c>
      <c r="X181" s="53">
        <f>SUMIF('Avoided Costs 2014-2023'!$A:$A,'2014 Actuals'!U181&amp;ROUNDDOWN('2014 Actuals'!T181,0),'Avoided Costs 2014-2023'!$M:$M)*S181</f>
        <v>0</v>
      </c>
      <c r="Y181" s="53">
        <f t="shared" si="70"/>
        <v>33551.483801917246</v>
      </c>
      <c r="Z181" s="55">
        <v>43184</v>
      </c>
      <c r="AA181" s="54">
        <f t="shared" si="71"/>
        <v>38001.919999999998</v>
      </c>
      <c r="AB181" s="54"/>
      <c r="AC181" s="54"/>
      <c r="AD181" s="54"/>
      <c r="AE181" s="54">
        <f t="shared" si="76"/>
        <v>38001.919999999998</v>
      </c>
      <c r="AF181" s="54">
        <f t="shared" si="77"/>
        <v>-4450.4361980827525</v>
      </c>
      <c r="AG181" s="49">
        <f t="shared" si="78"/>
        <v>560131.78319999995</v>
      </c>
      <c r="AH181" s="49">
        <f t="shared" si="79"/>
        <v>636513.3899999999</v>
      </c>
    </row>
    <row r="182" spans="1:34" s="56" customFormat="1">
      <c r="A182" s="62" t="s">
        <v>286</v>
      </c>
      <c r="B182" s="62"/>
      <c r="C182" s="62"/>
      <c r="D182" s="62"/>
      <c r="E182" s="141">
        <v>1</v>
      </c>
      <c r="F182" s="142"/>
      <c r="G182" s="143">
        <v>0.12</v>
      </c>
      <c r="H182" s="143">
        <v>0</v>
      </c>
      <c r="I182" s="49">
        <v>7721</v>
      </c>
      <c r="J182" s="49">
        <f t="shared" si="64"/>
        <v>6462.4769999999999</v>
      </c>
      <c r="K182" s="49">
        <f t="shared" si="65"/>
        <v>5686.9797600000002</v>
      </c>
      <c r="L182" s="58"/>
      <c r="M182" s="141">
        <v>388</v>
      </c>
      <c r="N182" s="50">
        <f t="shared" si="66"/>
        <v>388</v>
      </c>
      <c r="O182" s="50">
        <f t="shared" si="67"/>
        <v>341.44</v>
      </c>
      <c r="P182" s="59"/>
      <c r="Q182" s="141">
        <v>0</v>
      </c>
      <c r="R182" s="50">
        <f t="shared" si="68"/>
        <v>0</v>
      </c>
      <c r="S182" s="51">
        <f t="shared" si="69"/>
        <v>0</v>
      </c>
      <c r="T182" s="60">
        <v>15</v>
      </c>
      <c r="U182" s="61" t="s">
        <v>81</v>
      </c>
      <c r="V182" s="53">
        <f>SUMIF('Avoided Costs 2014-2023'!$A:$A,'2014 Actuals'!U182&amp;ROUNDDOWN('2014 Actuals'!T182,0),'Avoided Costs 2014-2023'!$E:$E)*K182</f>
        <v>13164.629729336</v>
      </c>
      <c r="W182" s="53">
        <f>SUMIF('Avoided Costs 2014-2023'!$A:$A,'2014 Actuals'!U182&amp;ROUNDDOWN('2014 Actuals'!T182,0),'Avoided Costs 2014-2023'!$K:$K)*O182</f>
        <v>403.74609504886871</v>
      </c>
      <c r="X182" s="53">
        <f>SUMIF('Avoided Costs 2014-2023'!$A:$A,'2014 Actuals'!U182&amp;ROUNDDOWN('2014 Actuals'!T182,0),'Avoided Costs 2014-2023'!$M:$M)*S182</f>
        <v>0</v>
      </c>
      <c r="Y182" s="53">
        <f t="shared" si="70"/>
        <v>13568.37582438487</v>
      </c>
      <c r="Z182" s="55">
        <v>5015</v>
      </c>
      <c r="AA182" s="54">
        <f t="shared" si="71"/>
        <v>4413.2</v>
      </c>
      <c r="AB182" s="54"/>
      <c r="AC182" s="54"/>
      <c r="AD182" s="54"/>
      <c r="AE182" s="54">
        <f t="shared" si="76"/>
        <v>4413.2</v>
      </c>
      <c r="AF182" s="54">
        <f t="shared" si="77"/>
        <v>9155.1758243848708</v>
      </c>
      <c r="AG182" s="49">
        <f t="shared" si="78"/>
        <v>85304.696400000001</v>
      </c>
      <c r="AH182" s="49">
        <f t="shared" si="79"/>
        <v>96937.154999999999</v>
      </c>
    </row>
    <row r="183" spans="1:34" s="56" customFormat="1">
      <c r="A183" s="62" t="s">
        <v>287</v>
      </c>
      <c r="B183" s="62"/>
      <c r="C183" s="62"/>
      <c r="D183" s="62"/>
      <c r="E183" s="141">
        <v>1</v>
      </c>
      <c r="F183" s="142"/>
      <c r="G183" s="143">
        <v>0.12</v>
      </c>
      <c r="H183" s="143">
        <v>0</v>
      </c>
      <c r="I183" s="49">
        <v>11927</v>
      </c>
      <c r="J183" s="49">
        <f t="shared" si="64"/>
        <v>9982.8989999999994</v>
      </c>
      <c r="K183" s="49">
        <f t="shared" si="65"/>
        <v>8784.9511199999997</v>
      </c>
      <c r="L183" s="58"/>
      <c r="M183" s="141">
        <v>597</v>
      </c>
      <c r="N183" s="50">
        <f t="shared" si="66"/>
        <v>597</v>
      </c>
      <c r="O183" s="50">
        <f t="shared" si="67"/>
        <v>525.36</v>
      </c>
      <c r="P183" s="59"/>
      <c r="Q183" s="141">
        <v>0</v>
      </c>
      <c r="R183" s="50">
        <f t="shared" si="68"/>
        <v>0</v>
      </c>
      <c r="S183" s="51">
        <f t="shared" si="69"/>
        <v>0</v>
      </c>
      <c r="T183" s="60">
        <v>15</v>
      </c>
      <c r="U183" s="61" t="s">
        <v>81</v>
      </c>
      <c r="V183" s="53">
        <f>SUMIF('Avoided Costs 2014-2023'!$A:$A,'2014 Actuals'!U183&amp;ROUNDDOWN('2014 Actuals'!T183,0),'Avoided Costs 2014-2023'!$E:$E)*K183</f>
        <v>20336.036625021428</v>
      </c>
      <c r="W183" s="53">
        <f>SUMIF('Avoided Costs 2014-2023'!$A:$A,'2014 Actuals'!U183&amp;ROUNDDOWN('2014 Actuals'!T183,0),'Avoided Costs 2014-2023'!$K:$K)*O183</f>
        <v>621.22788336127485</v>
      </c>
      <c r="X183" s="53">
        <f>SUMIF('Avoided Costs 2014-2023'!$A:$A,'2014 Actuals'!U183&amp;ROUNDDOWN('2014 Actuals'!T183,0),'Avoided Costs 2014-2023'!$M:$M)*S183</f>
        <v>0</v>
      </c>
      <c r="Y183" s="53">
        <f t="shared" si="70"/>
        <v>20957.264508382705</v>
      </c>
      <c r="Z183" s="55">
        <v>16357</v>
      </c>
      <c r="AA183" s="54">
        <f t="shared" si="71"/>
        <v>14394.16</v>
      </c>
      <c r="AB183" s="54"/>
      <c r="AC183" s="54"/>
      <c r="AD183" s="54"/>
      <c r="AE183" s="54">
        <f t="shared" si="76"/>
        <v>14394.16</v>
      </c>
      <c r="AF183" s="54">
        <f t="shared" si="77"/>
        <v>6563.1045083827048</v>
      </c>
      <c r="AG183" s="49">
        <f t="shared" si="78"/>
        <v>131774.26679999998</v>
      </c>
      <c r="AH183" s="49">
        <f t="shared" si="79"/>
        <v>149743.48499999999</v>
      </c>
    </row>
    <row r="184" spans="1:34" s="56" customFormat="1">
      <c r="A184" s="62" t="s">
        <v>288</v>
      </c>
      <c r="B184" s="62"/>
      <c r="C184" s="62"/>
      <c r="D184" s="62"/>
      <c r="E184" s="141">
        <v>1</v>
      </c>
      <c r="F184" s="142"/>
      <c r="G184" s="143">
        <v>0.12</v>
      </c>
      <c r="H184" s="143">
        <v>0</v>
      </c>
      <c r="I184" s="49">
        <v>11107</v>
      </c>
      <c r="J184" s="49">
        <f t="shared" si="64"/>
        <v>9296.5589999999993</v>
      </c>
      <c r="K184" s="49">
        <f t="shared" si="65"/>
        <v>8180.971919999999</v>
      </c>
      <c r="L184" s="58"/>
      <c r="M184" s="141">
        <v>-25653</v>
      </c>
      <c r="N184" s="50">
        <f t="shared" si="66"/>
        <v>-25653</v>
      </c>
      <c r="O184" s="50">
        <f t="shared" si="67"/>
        <v>-22574.639999999999</v>
      </c>
      <c r="P184" s="59"/>
      <c r="Q184" s="141">
        <v>0</v>
      </c>
      <c r="R184" s="50">
        <f t="shared" si="68"/>
        <v>0</v>
      </c>
      <c r="S184" s="51">
        <f t="shared" si="69"/>
        <v>0</v>
      </c>
      <c r="T184" s="60">
        <v>15</v>
      </c>
      <c r="U184" s="61" t="s">
        <v>81</v>
      </c>
      <c r="V184" s="53">
        <f>SUMIF('Avoided Costs 2014-2023'!$A:$A,'2014 Actuals'!U184&amp;ROUNDDOWN('2014 Actuals'!T184,0),'Avoided Costs 2014-2023'!$E:$E)*K184</f>
        <v>18937.902137512618</v>
      </c>
      <c r="W184" s="53">
        <f>SUMIF('Avoided Costs 2014-2023'!$A:$A,'2014 Actuals'!U184&amp;ROUNDDOWN('2014 Actuals'!T184,0),'Avoided Costs 2014-2023'!$K:$K)*O184</f>
        <v>-26694.06849558925</v>
      </c>
      <c r="X184" s="53">
        <f>SUMIF('Avoided Costs 2014-2023'!$A:$A,'2014 Actuals'!U184&amp;ROUNDDOWN('2014 Actuals'!T184,0),'Avoided Costs 2014-2023'!$M:$M)*S184</f>
        <v>0</v>
      </c>
      <c r="Y184" s="53">
        <f t="shared" si="70"/>
        <v>-7756.1663580766326</v>
      </c>
      <c r="Z184" s="55">
        <v>12995</v>
      </c>
      <c r="AA184" s="54">
        <f t="shared" si="71"/>
        <v>11435.6</v>
      </c>
      <c r="AB184" s="54"/>
      <c r="AC184" s="54"/>
      <c r="AD184" s="54"/>
      <c r="AE184" s="54">
        <f t="shared" si="76"/>
        <v>11435.6</v>
      </c>
      <c r="AF184" s="54">
        <f t="shared" si="77"/>
        <v>-19191.766358076631</v>
      </c>
      <c r="AG184" s="49">
        <f t="shared" si="78"/>
        <v>122714.57879999999</v>
      </c>
      <c r="AH184" s="49">
        <f t="shared" si="79"/>
        <v>139448.38499999998</v>
      </c>
    </row>
    <row r="185" spans="1:34" s="56" customFormat="1">
      <c r="A185" s="62" t="s">
        <v>289</v>
      </c>
      <c r="B185" s="62"/>
      <c r="C185" s="62"/>
      <c r="D185" s="62"/>
      <c r="E185" s="141">
        <v>1</v>
      </c>
      <c r="F185" s="142"/>
      <c r="G185" s="143">
        <v>0.12</v>
      </c>
      <c r="H185" s="143">
        <v>0</v>
      </c>
      <c r="I185" s="49">
        <v>6683</v>
      </c>
      <c r="J185" s="49">
        <f t="shared" si="64"/>
        <v>5593.6709999999994</v>
      </c>
      <c r="K185" s="49">
        <f t="shared" si="65"/>
        <v>4922.4304799999991</v>
      </c>
      <c r="L185" s="58"/>
      <c r="M185" s="141">
        <v>-843</v>
      </c>
      <c r="N185" s="50">
        <f t="shared" si="66"/>
        <v>-843</v>
      </c>
      <c r="O185" s="50">
        <f t="shared" si="67"/>
        <v>-741.84</v>
      </c>
      <c r="P185" s="59"/>
      <c r="Q185" s="141">
        <v>0</v>
      </c>
      <c r="R185" s="50">
        <f t="shared" si="68"/>
        <v>0</v>
      </c>
      <c r="S185" s="51">
        <f t="shared" si="69"/>
        <v>0</v>
      </c>
      <c r="T185" s="60">
        <v>15</v>
      </c>
      <c r="U185" s="61" t="s">
        <v>81</v>
      </c>
      <c r="V185" s="53">
        <f>SUMIF('Avoided Costs 2014-2023'!$A:$A,'2014 Actuals'!U185&amp;ROUNDDOWN('2014 Actuals'!T185,0),'Avoided Costs 2014-2023'!$E:$E)*K185</f>
        <v>11394.796073196796</v>
      </c>
      <c r="W185" s="53">
        <f>SUMIF('Avoided Costs 2014-2023'!$A:$A,'2014 Actuals'!U185&amp;ROUNDDOWN('2014 Actuals'!T185,0),'Avoided Costs 2014-2023'!$K:$K)*O185</f>
        <v>-877.2112322840112</v>
      </c>
      <c r="X185" s="53">
        <f>SUMIF('Avoided Costs 2014-2023'!$A:$A,'2014 Actuals'!U185&amp;ROUNDDOWN('2014 Actuals'!T185,0),'Avoided Costs 2014-2023'!$M:$M)*S185</f>
        <v>0</v>
      </c>
      <c r="Y185" s="53">
        <f t="shared" si="70"/>
        <v>10517.584840912785</v>
      </c>
      <c r="Z185" s="55">
        <v>14245</v>
      </c>
      <c r="AA185" s="54">
        <f t="shared" si="71"/>
        <v>12535.6</v>
      </c>
      <c r="AB185" s="54"/>
      <c r="AC185" s="54"/>
      <c r="AD185" s="54"/>
      <c r="AE185" s="54">
        <f t="shared" si="76"/>
        <v>12535.6</v>
      </c>
      <c r="AF185" s="54">
        <f t="shared" si="77"/>
        <v>-2018.0151590872156</v>
      </c>
      <c r="AG185" s="49">
        <f t="shared" si="78"/>
        <v>73836.45719999999</v>
      </c>
      <c r="AH185" s="49">
        <f t="shared" si="79"/>
        <v>83905.064999999988</v>
      </c>
    </row>
    <row r="186" spans="1:34" s="69" customFormat="1" collapsed="1">
      <c r="A186" s="145" t="s">
        <v>35</v>
      </c>
      <c r="B186" s="145" t="s">
        <v>290</v>
      </c>
      <c r="C186" s="65"/>
      <c r="D186" s="65">
        <v>0</v>
      </c>
      <c r="E186" s="51">
        <f>SUM(E133:E185)</f>
        <v>49</v>
      </c>
      <c r="F186" s="105"/>
      <c r="G186" s="147"/>
      <c r="H186" s="211"/>
      <c r="I186" s="49">
        <f>SUM(I133:I185)</f>
        <v>1192866</v>
      </c>
      <c r="J186" s="49">
        <f>SUM(J133:J185)</f>
        <v>998428.84200000006</v>
      </c>
      <c r="K186" s="49">
        <f>SUM(K133:K185)</f>
        <v>878617.38095999986</v>
      </c>
      <c r="L186" s="146"/>
      <c r="M186" s="49">
        <f>SUM(M133:M185)</f>
        <v>-152061</v>
      </c>
      <c r="N186" s="49">
        <f>SUM(N133:N185)</f>
        <v>-152061</v>
      </c>
      <c r="O186" s="49">
        <f>SUM(O133:O185)</f>
        <v>-133813.68</v>
      </c>
      <c r="P186" s="148"/>
      <c r="Q186" s="49">
        <v>0</v>
      </c>
      <c r="R186" s="49">
        <f>SUM(R133:R185)</f>
        <v>0</v>
      </c>
      <c r="S186" s="49">
        <f>SUM(S133:S185)</f>
        <v>0</v>
      </c>
      <c r="T186" s="103"/>
      <c r="U186" s="65" t="s">
        <v>160</v>
      </c>
      <c r="V186" s="54">
        <f t="shared" ref="V186:AA186" si="80">SUM(V133:V185)</f>
        <v>2052958.6000444742</v>
      </c>
      <c r="W186" s="54">
        <f t="shared" si="80"/>
        <v>-157595.58288310905</v>
      </c>
      <c r="X186" s="54">
        <f t="shared" si="80"/>
        <v>0</v>
      </c>
      <c r="Y186" s="54">
        <f t="shared" si="80"/>
        <v>1895363.0171613656</v>
      </c>
      <c r="Z186" s="55"/>
      <c r="AA186" s="54">
        <f t="shared" si="80"/>
        <v>944999.27279999992</v>
      </c>
      <c r="AB186" s="54">
        <v>367469.67</v>
      </c>
      <c r="AC186" s="54">
        <v>0</v>
      </c>
      <c r="AD186" s="54">
        <f>AB186+AC186</f>
        <v>367469.67</v>
      </c>
      <c r="AE186" s="54">
        <f t="shared" si="76"/>
        <v>944999.27279999992</v>
      </c>
      <c r="AF186" s="212">
        <f t="shared" si="77"/>
        <v>950363.74436136568</v>
      </c>
      <c r="AG186" s="49">
        <f>SUM(AG133:AG185)</f>
        <v>13715306.985600002</v>
      </c>
      <c r="AH186" s="49">
        <f>SUM(AH133:AH185)</f>
        <v>15585576.119999994</v>
      </c>
    </row>
    <row r="187" spans="1:34">
      <c r="A187" s="135"/>
      <c r="P187" s="23"/>
      <c r="Q187" s="11"/>
      <c r="S187" s="11"/>
      <c r="T187" s="48"/>
      <c r="AA187" s="40"/>
      <c r="AB187" s="40"/>
      <c r="AD187" s="40"/>
      <c r="AE187" s="40"/>
      <c r="AF187" s="40"/>
      <c r="AG187" s="38"/>
      <c r="AH187" s="38"/>
    </row>
    <row r="188" spans="1:34">
      <c r="A188" s="135" t="s">
        <v>291</v>
      </c>
      <c r="B188" s="9" t="s">
        <v>292</v>
      </c>
      <c r="P188" s="23"/>
      <c r="Q188" s="11"/>
      <c r="S188" s="11"/>
      <c r="T188" s="48"/>
      <c r="AA188" s="40"/>
      <c r="AB188" s="40"/>
      <c r="AD188" s="40"/>
      <c r="AE188" s="40"/>
      <c r="AF188" s="40"/>
      <c r="AG188" s="38"/>
      <c r="AH188" s="38"/>
    </row>
    <row r="189" spans="1:34" s="56" customFormat="1">
      <c r="A189" s="62" t="s">
        <v>293</v>
      </c>
      <c r="B189" s="62"/>
      <c r="C189" s="62"/>
      <c r="D189" s="62"/>
      <c r="E189" s="141">
        <v>1</v>
      </c>
      <c r="F189" s="142"/>
      <c r="G189" s="143">
        <v>0.12</v>
      </c>
      <c r="H189" s="143">
        <v>0</v>
      </c>
      <c r="I189" s="49">
        <v>8770</v>
      </c>
      <c r="J189" s="49">
        <f>+$I$42*I189</f>
        <v>7340.49</v>
      </c>
      <c r="K189" s="49">
        <f>J189*(1-G189)</f>
        <v>6459.6311999999998</v>
      </c>
      <c r="L189" s="58"/>
      <c r="M189" s="141">
        <v>0</v>
      </c>
      <c r="N189" s="50">
        <f>+$M$42*M189</f>
        <v>0</v>
      </c>
      <c r="O189" s="50">
        <f>N189*(1-G189)</f>
        <v>0</v>
      </c>
      <c r="P189" s="59"/>
      <c r="Q189" s="141">
        <v>0</v>
      </c>
      <c r="R189" s="50">
        <f>+Q189*$Q$42</f>
        <v>0</v>
      </c>
      <c r="S189" s="51">
        <f>R189*(1-G189)</f>
        <v>0</v>
      </c>
      <c r="T189" s="60">
        <v>25</v>
      </c>
      <c r="U189" s="61" t="s">
        <v>81</v>
      </c>
      <c r="V189" s="53">
        <f>SUMIF('Avoided Costs 2014-2023'!$A:$A,'2014 Actuals'!U189&amp;ROUNDDOWN('2014 Actuals'!T189,0),'Avoided Costs 2014-2023'!$E:$E)*K189</f>
        <v>20517.620506335414</v>
      </c>
      <c r="W189" s="53">
        <f>SUMIF('Avoided Costs 2014-2023'!$A:$A,'2014 Actuals'!U189&amp;ROUNDDOWN('2014 Actuals'!T189,0),'Avoided Costs 2014-2023'!$K:$K)*O189</f>
        <v>0</v>
      </c>
      <c r="X189" s="53">
        <f>SUMIF('Avoided Costs 2014-2023'!$A:$A,'2014 Actuals'!U189&amp;ROUNDDOWN('2014 Actuals'!T189,0),'Avoided Costs 2014-2023'!$M:$M)*S189</f>
        <v>0</v>
      </c>
      <c r="Y189" s="53">
        <f t="shared" ref="Y189" si="81">SUM(V189:X189)</f>
        <v>20517.620506335414</v>
      </c>
      <c r="Z189" s="55">
        <v>24088</v>
      </c>
      <c r="AA189" s="54">
        <f>Z189*(1-G189)</f>
        <v>21197.439999999999</v>
      </c>
      <c r="AB189" s="54"/>
      <c r="AC189" s="54"/>
      <c r="AD189" s="54"/>
      <c r="AE189" s="54">
        <f>AA189+AC189</f>
        <v>21197.439999999999</v>
      </c>
      <c r="AF189" s="54">
        <f>Y189-AE189</f>
        <v>-679.81949366458502</v>
      </c>
      <c r="AG189" s="49">
        <f>K189*T189</f>
        <v>161490.78</v>
      </c>
      <c r="AH189" s="49">
        <f>(J189*T189)</f>
        <v>183512.25</v>
      </c>
    </row>
    <row r="190" spans="1:34" s="69" customFormat="1" collapsed="1">
      <c r="A190" s="145" t="s">
        <v>35</v>
      </c>
      <c r="B190" s="145" t="s">
        <v>294</v>
      </c>
      <c r="C190" s="65"/>
      <c r="D190" s="65">
        <v>0</v>
      </c>
      <c r="E190" s="51">
        <f>E189</f>
        <v>1</v>
      </c>
      <c r="F190" s="105"/>
      <c r="G190" s="147"/>
      <c r="H190" s="211"/>
      <c r="I190" s="49">
        <f>I189</f>
        <v>8770</v>
      </c>
      <c r="J190" s="49">
        <f>SUM(J189:J189)</f>
        <v>7340.49</v>
      </c>
      <c r="K190" s="49">
        <f>SUM(K189:K189)</f>
        <v>6459.6311999999998</v>
      </c>
      <c r="L190" s="146"/>
      <c r="M190" s="49"/>
      <c r="N190" s="49">
        <f>SUM(N189:N189)</f>
        <v>0</v>
      </c>
      <c r="O190" s="49">
        <f>SUM(O189:O189)</f>
        <v>0</v>
      </c>
      <c r="P190" s="148"/>
      <c r="Q190" s="49">
        <v>0</v>
      </c>
      <c r="R190" s="49">
        <f>SUM(R189:R189)</f>
        <v>0</v>
      </c>
      <c r="S190" s="49">
        <f>SUM(S189:S189)</f>
        <v>0</v>
      </c>
      <c r="T190" s="103"/>
      <c r="U190" s="65" t="s">
        <v>160</v>
      </c>
      <c r="V190" s="54">
        <f>SUM(V189:V189)</f>
        <v>20517.620506335414</v>
      </c>
      <c r="W190" s="54">
        <f>SUM(W189:W189)</f>
        <v>0</v>
      </c>
      <c r="X190" s="54">
        <f>SUM(X189:X189)</f>
        <v>0</v>
      </c>
      <c r="Y190" s="54">
        <f>SUM(Y189:Y189)</f>
        <v>20517.620506335414</v>
      </c>
      <c r="Z190" s="55"/>
      <c r="AA190" s="54">
        <f t="shared" ref="AA190" si="82">SUM(AA189:AA189)</f>
        <v>21197.439999999999</v>
      </c>
      <c r="AB190" s="54">
        <v>176660</v>
      </c>
      <c r="AC190" s="54">
        <v>7030.61</v>
      </c>
      <c r="AD190" s="54">
        <f>AB190+AC190</f>
        <v>183690.61</v>
      </c>
      <c r="AE190" s="54">
        <f>AA190+AC190</f>
        <v>28228.05</v>
      </c>
      <c r="AF190" s="212">
        <f>Y190-AE190</f>
        <v>-7710.4294936645856</v>
      </c>
      <c r="AG190" s="49">
        <f>SUM(AG189:AG189)</f>
        <v>161490.78</v>
      </c>
      <c r="AH190" s="49">
        <f>SUM(AH189:AH189)</f>
        <v>183512.25</v>
      </c>
    </row>
    <row r="191" spans="1:34" s="69" customFormat="1">
      <c r="A191" s="44"/>
      <c r="B191" s="44"/>
      <c r="C191" s="43"/>
      <c r="D191" s="43"/>
      <c r="E191" s="92"/>
      <c r="F191" s="125"/>
      <c r="G191" s="163"/>
      <c r="H191" s="220"/>
      <c r="I191" s="90"/>
      <c r="J191" s="90"/>
      <c r="K191" s="90"/>
      <c r="L191" s="162"/>
      <c r="M191" s="90"/>
      <c r="N191" s="90"/>
      <c r="O191" s="90"/>
      <c r="P191" s="164"/>
      <c r="Q191" s="90"/>
      <c r="R191" s="90"/>
      <c r="S191" s="90"/>
      <c r="T191" s="221"/>
      <c r="U191" s="43"/>
      <c r="V191" s="72"/>
      <c r="W191" s="72"/>
      <c r="X191" s="72"/>
      <c r="Y191" s="72"/>
      <c r="Z191" s="71"/>
      <c r="AA191" s="72"/>
      <c r="AB191" s="72"/>
      <c r="AC191" s="72"/>
      <c r="AD191" s="72"/>
      <c r="AE191" s="72"/>
      <c r="AF191" s="72"/>
      <c r="AG191" s="95"/>
      <c r="AH191" s="95"/>
    </row>
    <row r="192" spans="1:34">
      <c r="A192" s="135" t="s">
        <v>295</v>
      </c>
      <c r="B192" s="9" t="s">
        <v>296</v>
      </c>
      <c r="P192" s="23"/>
      <c r="Q192" s="11"/>
      <c r="S192" s="11"/>
      <c r="T192" s="48"/>
      <c r="AA192" s="40"/>
      <c r="AB192" s="40"/>
      <c r="AD192" s="40"/>
      <c r="AE192" s="40"/>
      <c r="AF192" s="40"/>
      <c r="AG192" s="38"/>
      <c r="AH192" s="38"/>
    </row>
    <row r="193" spans="1:34" s="56" customFormat="1">
      <c r="A193" s="62" t="s">
        <v>297</v>
      </c>
      <c r="B193" s="62"/>
      <c r="C193" s="62"/>
      <c r="D193" s="62"/>
      <c r="E193" s="144">
        <v>1</v>
      </c>
      <c r="F193" s="142"/>
      <c r="G193" s="143">
        <v>0.12</v>
      </c>
      <c r="H193" s="143">
        <v>0</v>
      </c>
      <c r="I193" s="49">
        <v>20171</v>
      </c>
      <c r="J193" s="49">
        <f t="shared" ref="J193:J225" si="83">+$I$42*I193</f>
        <v>16883.127</v>
      </c>
      <c r="K193" s="49">
        <f t="shared" ref="K193:K225" si="84">J193*(1-G193)</f>
        <v>14857.151760000001</v>
      </c>
      <c r="L193" s="58"/>
      <c r="M193" s="141">
        <v>0</v>
      </c>
      <c r="N193" s="50">
        <f t="shared" ref="N193:N225" si="85">+$M$42*M193</f>
        <v>0</v>
      </c>
      <c r="O193" s="50">
        <f t="shared" ref="O193:O225" si="86">N193*(1-G193)</f>
        <v>0</v>
      </c>
      <c r="P193" s="59"/>
      <c r="Q193" s="141">
        <v>0</v>
      </c>
      <c r="R193" s="50">
        <f t="shared" ref="R193:R225" si="87">+Q193*$Q$42</f>
        <v>0</v>
      </c>
      <c r="S193" s="51">
        <f t="shared" ref="S193:S225" si="88">R193*(1-G193)</f>
        <v>0</v>
      </c>
      <c r="T193" s="60">
        <v>25</v>
      </c>
      <c r="U193" s="61" t="s">
        <v>81</v>
      </c>
      <c r="V193" s="53">
        <f>SUMIF('Avoided Costs 2014-2023'!$A:$A,'2014 Actuals'!U193&amp;ROUNDDOWN('2014 Actuals'!T193,0),'Avoided Costs 2014-2023'!$E:$E)*K193</f>
        <v>47190.527164571453</v>
      </c>
      <c r="W193" s="53">
        <f>SUMIF('Avoided Costs 2014-2023'!$A:$A,'2014 Actuals'!U193&amp;ROUNDDOWN('2014 Actuals'!T193,0),'Avoided Costs 2014-2023'!$K:$K)*O193</f>
        <v>0</v>
      </c>
      <c r="X193" s="53">
        <f>SUMIF('Avoided Costs 2014-2023'!$A:$A,'2014 Actuals'!U193&amp;ROUNDDOWN('2014 Actuals'!T193,0),'Avoided Costs 2014-2023'!$M:$M)*S193</f>
        <v>0</v>
      </c>
      <c r="Y193" s="53">
        <f t="shared" ref="Y193:Y225" si="89">SUM(V193:X193)</f>
        <v>47190.527164571453</v>
      </c>
      <c r="Z193" s="55">
        <v>17420</v>
      </c>
      <c r="AA193" s="54">
        <f t="shared" ref="AA193:AA225" si="90">Z193*(1-G193)</f>
        <v>15329.6</v>
      </c>
      <c r="AB193" s="54"/>
      <c r="AC193" s="54"/>
      <c r="AD193" s="54"/>
      <c r="AE193" s="54">
        <f t="shared" ref="AE193:AE226" si="91">AA193+AC193</f>
        <v>15329.6</v>
      </c>
      <c r="AF193" s="54">
        <f t="shared" ref="AF193:AF226" si="92">Y193-AE193</f>
        <v>31860.927164571454</v>
      </c>
      <c r="AG193" s="49">
        <f t="shared" ref="AG193:AG225" si="93">K193*T193</f>
        <v>371428.79399999999</v>
      </c>
      <c r="AH193" s="49">
        <f t="shared" ref="AH193:AH225" si="94">(J193*T193)</f>
        <v>422078.17499999999</v>
      </c>
    </row>
    <row r="194" spans="1:34" s="56" customFormat="1">
      <c r="A194" s="62" t="s">
        <v>298</v>
      </c>
      <c r="B194" s="62"/>
      <c r="C194" s="62"/>
      <c r="D194" s="62"/>
      <c r="E194" s="144">
        <v>1</v>
      </c>
      <c r="F194" s="142"/>
      <c r="G194" s="143">
        <v>0.12</v>
      </c>
      <c r="H194" s="143">
        <v>0</v>
      </c>
      <c r="I194" s="49">
        <v>33879</v>
      </c>
      <c r="J194" s="49">
        <f t="shared" si="83"/>
        <v>28356.722999999998</v>
      </c>
      <c r="K194" s="49">
        <f t="shared" si="84"/>
        <v>24953.916239999999</v>
      </c>
      <c r="L194" s="58"/>
      <c r="M194" s="141">
        <v>16337</v>
      </c>
      <c r="N194" s="50">
        <f t="shared" si="85"/>
        <v>16337</v>
      </c>
      <c r="O194" s="50">
        <f t="shared" si="86"/>
        <v>14376.56</v>
      </c>
      <c r="P194" s="59"/>
      <c r="Q194" s="141">
        <v>0</v>
      </c>
      <c r="R194" s="50">
        <f t="shared" si="87"/>
        <v>0</v>
      </c>
      <c r="S194" s="51">
        <f t="shared" si="88"/>
        <v>0</v>
      </c>
      <c r="T194" s="60">
        <v>15</v>
      </c>
      <c r="U194" s="61" t="s">
        <v>81</v>
      </c>
      <c r="V194" s="53">
        <f>SUMIF('Avoided Costs 2014-2023'!$A:$A,'2014 Actuals'!U194&amp;ROUNDDOWN('2014 Actuals'!T194,0),'Avoided Costs 2014-2023'!$E:$E)*K194</f>
        <v>57765.119880867023</v>
      </c>
      <c r="W194" s="53">
        <f>SUMIF('Avoided Costs 2014-2023'!$A:$A,'2014 Actuals'!U194&amp;ROUNDDOWN('2014 Actuals'!T194,0),'Avoided Costs 2014-2023'!$K:$K)*O194</f>
        <v>16999.999883539607</v>
      </c>
      <c r="X194" s="53">
        <f>SUMIF('Avoided Costs 2014-2023'!$A:$A,'2014 Actuals'!U194&amp;ROUNDDOWN('2014 Actuals'!T194,0),'Avoided Costs 2014-2023'!$M:$M)*S194</f>
        <v>0</v>
      </c>
      <c r="Y194" s="53">
        <f t="shared" si="89"/>
        <v>74765.119764406627</v>
      </c>
      <c r="Z194" s="55">
        <v>47700</v>
      </c>
      <c r="AA194" s="54">
        <f t="shared" si="90"/>
        <v>41976</v>
      </c>
      <c r="AB194" s="54"/>
      <c r="AC194" s="54"/>
      <c r="AD194" s="54"/>
      <c r="AE194" s="54">
        <f t="shared" si="91"/>
        <v>41976</v>
      </c>
      <c r="AF194" s="54">
        <f t="shared" si="92"/>
        <v>32789.119764406627</v>
      </c>
      <c r="AG194" s="49">
        <f t="shared" si="93"/>
        <v>374308.74359999999</v>
      </c>
      <c r="AH194" s="49">
        <f t="shared" si="94"/>
        <v>425350.84499999997</v>
      </c>
    </row>
    <row r="195" spans="1:34" s="56" customFormat="1">
      <c r="A195" s="62" t="s">
        <v>299</v>
      </c>
      <c r="B195" s="62"/>
      <c r="C195" s="62"/>
      <c r="D195" s="62"/>
      <c r="E195" s="144">
        <v>1</v>
      </c>
      <c r="F195" s="142"/>
      <c r="G195" s="143">
        <v>0.12</v>
      </c>
      <c r="H195" s="143">
        <v>0</v>
      </c>
      <c r="I195" s="49">
        <v>11539</v>
      </c>
      <c r="J195" s="49">
        <f t="shared" si="83"/>
        <v>9658.143</v>
      </c>
      <c r="K195" s="49">
        <f t="shared" si="84"/>
        <v>8499.1658399999997</v>
      </c>
      <c r="L195" s="58"/>
      <c r="M195" s="141">
        <v>0</v>
      </c>
      <c r="N195" s="50">
        <f t="shared" si="85"/>
        <v>0</v>
      </c>
      <c r="O195" s="50">
        <f t="shared" si="86"/>
        <v>0</v>
      </c>
      <c r="P195" s="59"/>
      <c r="Q195" s="141">
        <v>0</v>
      </c>
      <c r="R195" s="50">
        <f t="shared" si="87"/>
        <v>0</v>
      </c>
      <c r="S195" s="51">
        <f t="shared" si="88"/>
        <v>0</v>
      </c>
      <c r="T195" s="60">
        <v>15</v>
      </c>
      <c r="U195" s="61" t="s">
        <v>81</v>
      </c>
      <c r="V195" s="53">
        <f>SUMIF('Avoided Costs 2014-2023'!$A:$A,'2014 Actuals'!U195&amp;ROUNDDOWN('2014 Actuals'!T195,0),'Avoided Costs 2014-2023'!$E:$E)*K195</f>
        <v>19674.480306541653</v>
      </c>
      <c r="W195" s="53">
        <f>SUMIF('Avoided Costs 2014-2023'!$A:$A,'2014 Actuals'!U195&amp;ROUNDDOWN('2014 Actuals'!T195,0),'Avoided Costs 2014-2023'!$K:$K)*O195</f>
        <v>0</v>
      </c>
      <c r="X195" s="53">
        <f>SUMIF('Avoided Costs 2014-2023'!$A:$A,'2014 Actuals'!U195&amp;ROUNDDOWN('2014 Actuals'!T195,0),'Avoided Costs 2014-2023'!$M:$M)*S195</f>
        <v>0</v>
      </c>
      <c r="Y195" s="53">
        <f t="shared" si="89"/>
        <v>19674.480306541653</v>
      </c>
      <c r="Z195" s="55">
        <v>22600</v>
      </c>
      <c r="AA195" s="54">
        <f t="shared" si="90"/>
        <v>19888</v>
      </c>
      <c r="AB195" s="54"/>
      <c r="AC195" s="54"/>
      <c r="AD195" s="54"/>
      <c r="AE195" s="54">
        <f t="shared" si="91"/>
        <v>19888</v>
      </c>
      <c r="AF195" s="54">
        <f t="shared" si="92"/>
        <v>-213.51969345834732</v>
      </c>
      <c r="AG195" s="49">
        <f t="shared" si="93"/>
        <v>127487.48759999999</v>
      </c>
      <c r="AH195" s="49">
        <f t="shared" si="94"/>
        <v>144872.14499999999</v>
      </c>
    </row>
    <row r="196" spans="1:34" s="56" customFormat="1">
      <c r="A196" s="62" t="s">
        <v>300</v>
      </c>
      <c r="B196" s="62"/>
      <c r="C196" s="62"/>
      <c r="D196" s="62"/>
      <c r="E196" s="144">
        <v>1</v>
      </c>
      <c r="F196" s="142"/>
      <c r="G196" s="143">
        <v>0.12</v>
      </c>
      <c r="H196" s="143">
        <v>0</v>
      </c>
      <c r="I196" s="49">
        <v>3091</v>
      </c>
      <c r="J196" s="49">
        <f t="shared" si="83"/>
        <v>2587.1669999999999</v>
      </c>
      <c r="K196" s="49">
        <f t="shared" si="84"/>
        <v>2276.70696</v>
      </c>
      <c r="L196" s="58"/>
      <c r="M196" s="141">
        <v>0</v>
      </c>
      <c r="N196" s="50">
        <f t="shared" si="85"/>
        <v>0</v>
      </c>
      <c r="O196" s="50">
        <f t="shared" si="86"/>
        <v>0</v>
      </c>
      <c r="P196" s="59"/>
      <c r="Q196" s="141">
        <v>0</v>
      </c>
      <c r="R196" s="50">
        <f t="shared" si="87"/>
        <v>0</v>
      </c>
      <c r="S196" s="51">
        <f t="shared" si="88"/>
        <v>0</v>
      </c>
      <c r="T196" s="60">
        <v>25</v>
      </c>
      <c r="U196" s="61" t="s">
        <v>94</v>
      </c>
      <c r="V196" s="53">
        <f>SUMIF('Avoided Costs 2014-2023'!$A:$A,'2014 Actuals'!U196&amp;ROUNDDOWN('2014 Actuals'!T196,0),'Avoided Costs 2014-2023'!$E:$E)*K196</f>
        <v>6774.9039842138782</v>
      </c>
      <c r="W196" s="53">
        <f>SUMIF('Avoided Costs 2014-2023'!$A:$A,'2014 Actuals'!U196&amp;ROUNDDOWN('2014 Actuals'!T196,0),'Avoided Costs 2014-2023'!$K:$K)*O196</f>
        <v>0</v>
      </c>
      <c r="X196" s="53">
        <f>SUMIF('Avoided Costs 2014-2023'!$A:$A,'2014 Actuals'!U196&amp;ROUNDDOWN('2014 Actuals'!T196,0),'Avoided Costs 2014-2023'!$M:$M)*S196</f>
        <v>0</v>
      </c>
      <c r="Y196" s="53">
        <f t="shared" si="89"/>
        <v>6774.9039842138782</v>
      </c>
      <c r="Z196" s="55">
        <v>4954</v>
      </c>
      <c r="AA196" s="54">
        <f t="shared" si="90"/>
        <v>4359.5200000000004</v>
      </c>
      <c r="AB196" s="54"/>
      <c r="AC196" s="54"/>
      <c r="AD196" s="54"/>
      <c r="AE196" s="54">
        <f t="shared" si="91"/>
        <v>4359.5200000000004</v>
      </c>
      <c r="AF196" s="54">
        <f t="shared" si="92"/>
        <v>2415.3839842138777</v>
      </c>
      <c r="AG196" s="49">
        <f t="shared" si="93"/>
        <v>56917.673999999999</v>
      </c>
      <c r="AH196" s="49">
        <f t="shared" si="94"/>
        <v>64679.174999999996</v>
      </c>
    </row>
    <row r="197" spans="1:34" s="56" customFormat="1">
      <c r="A197" s="62" t="s">
        <v>301</v>
      </c>
      <c r="B197" s="62"/>
      <c r="C197" s="62"/>
      <c r="D197" s="62"/>
      <c r="E197" s="144">
        <v>1</v>
      </c>
      <c r="F197" s="142"/>
      <c r="G197" s="143">
        <v>0.12</v>
      </c>
      <c r="H197" s="143">
        <v>0</v>
      </c>
      <c r="I197" s="49">
        <v>5281</v>
      </c>
      <c r="J197" s="49">
        <f t="shared" si="83"/>
        <v>4420.1970000000001</v>
      </c>
      <c r="K197" s="49">
        <f t="shared" si="84"/>
        <v>3889.7733600000001</v>
      </c>
      <c r="L197" s="58"/>
      <c r="M197" s="141">
        <v>0</v>
      </c>
      <c r="N197" s="50">
        <f t="shared" si="85"/>
        <v>0</v>
      </c>
      <c r="O197" s="50">
        <f t="shared" si="86"/>
        <v>0</v>
      </c>
      <c r="P197" s="59"/>
      <c r="Q197" s="141">
        <v>0</v>
      </c>
      <c r="R197" s="50">
        <f t="shared" si="87"/>
        <v>0</v>
      </c>
      <c r="S197" s="51">
        <f t="shared" si="88"/>
        <v>0</v>
      </c>
      <c r="T197" s="60">
        <v>5</v>
      </c>
      <c r="U197" s="61" t="s">
        <v>81</v>
      </c>
      <c r="V197" s="53">
        <f>SUMIF('Avoided Costs 2014-2023'!$A:$A,'2014 Actuals'!U197&amp;ROUNDDOWN('2014 Actuals'!T197,0),'Avoided Costs 2014-2023'!$E:$E)*K197</f>
        <v>3309.6839710267232</v>
      </c>
      <c r="W197" s="53">
        <f>SUMIF('Avoided Costs 2014-2023'!$A:$A,'2014 Actuals'!U197&amp;ROUNDDOWN('2014 Actuals'!T197,0),'Avoided Costs 2014-2023'!$K:$K)*O197</f>
        <v>0</v>
      </c>
      <c r="X197" s="53">
        <f>SUMIF('Avoided Costs 2014-2023'!$A:$A,'2014 Actuals'!U197&amp;ROUNDDOWN('2014 Actuals'!T197,0),'Avoided Costs 2014-2023'!$M:$M)*S197</f>
        <v>0</v>
      </c>
      <c r="Y197" s="53">
        <f t="shared" si="89"/>
        <v>3309.6839710267232</v>
      </c>
      <c r="Z197" s="55">
        <v>2930</v>
      </c>
      <c r="AA197" s="54">
        <f t="shared" si="90"/>
        <v>2578.4</v>
      </c>
      <c r="AB197" s="54"/>
      <c r="AC197" s="54"/>
      <c r="AD197" s="54"/>
      <c r="AE197" s="54">
        <f t="shared" si="91"/>
        <v>2578.4</v>
      </c>
      <c r="AF197" s="54">
        <f t="shared" si="92"/>
        <v>731.28397102672307</v>
      </c>
      <c r="AG197" s="49">
        <f t="shared" si="93"/>
        <v>19448.8668</v>
      </c>
      <c r="AH197" s="49">
        <f t="shared" si="94"/>
        <v>22100.985000000001</v>
      </c>
    </row>
    <row r="198" spans="1:34" s="56" customFormat="1">
      <c r="A198" s="62" t="s">
        <v>302</v>
      </c>
      <c r="B198" s="62"/>
      <c r="C198" s="62"/>
      <c r="D198" s="62"/>
      <c r="E198" s="144">
        <v>1</v>
      </c>
      <c r="F198" s="142"/>
      <c r="G198" s="143">
        <v>0.12</v>
      </c>
      <c r="H198" s="143">
        <v>0</v>
      </c>
      <c r="I198" s="49">
        <v>26202</v>
      </c>
      <c r="J198" s="49">
        <f t="shared" si="83"/>
        <v>21931.074000000001</v>
      </c>
      <c r="K198" s="49">
        <f t="shared" si="84"/>
        <v>19299.345120000002</v>
      </c>
      <c r="L198" s="58"/>
      <c r="M198" s="141">
        <v>0</v>
      </c>
      <c r="N198" s="50">
        <f t="shared" si="85"/>
        <v>0</v>
      </c>
      <c r="O198" s="50">
        <f t="shared" si="86"/>
        <v>0</v>
      </c>
      <c r="P198" s="59"/>
      <c r="Q198" s="141">
        <v>0</v>
      </c>
      <c r="R198" s="50">
        <f t="shared" si="87"/>
        <v>0</v>
      </c>
      <c r="S198" s="51">
        <f t="shared" si="88"/>
        <v>0</v>
      </c>
      <c r="T198" s="60">
        <v>25</v>
      </c>
      <c r="U198" s="61" t="s">
        <v>81</v>
      </c>
      <c r="V198" s="53">
        <f>SUMIF('Avoided Costs 2014-2023'!$A:$A,'2014 Actuals'!U198&amp;ROUNDDOWN('2014 Actuals'!T198,0),'Avoided Costs 2014-2023'!$E:$E)*K198</f>
        <v>61300.192988255476</v>
      </c>
      <c r="W198" s="53">
        <f>SUMIF('Avoided Costs 2014-2023'!$A:$A,'2014 Actuals'!U198&amp;ROUNDDOWN('2014 Actuals'!T198,0),'Avoided Costs 2014-2023'!$K:$K)*O198</f>
        <v>0</v>
      </c>
      <c r="X198" s="53">
        <f>SUMIF('Avoided Costs 2014-2023'!$A:$A,'2014 Actuals'!U198&amp;ROUNDDOWN('2014 Actuals'!T198,0),'Avoided Costs 2014-2023'!$M:$M)*S198</f>
        <v>0</v>
      </c>
      <c r="Y198" s="53">
        <f t="shared" si="89"/>
        <v>61300.192988255476</v>
      </c>
      <c r="Z198" s="55">
        <v>16365</v>
      </c>
      <c r="AA198" s="54">
        <f t="shared" si="90"/>
        <v>14401.2</v>
      </c>
      <c r="AB198" s="54"/>
      <c r="AC198" s="54"/>
      <c r="AD198" s="54"/>
      <c r="AE198" s="54">
        <f t="shared" si="91"/>
        <v>14401.2</v>
      </c>
      <c r="AF198" s="54">
        <f t="shared" si="92"/>
        <v>46898.992988255472</v>
      </c>
      <c r="AG198" s="49">
        <f t="shared" si="93"/>
        <v>482483.62800000003</v>
      </c>
      <c r="AH198" s="49">
        <f t="shared" si="94"/>
        <v>548276.85</v>
      </c>
    </row>
    <row r="199" spans="1:34" s="56" customFormat="1">
      <c r="A199" s="62" t="s">
        <v>303</v>
      </c>
      <c r="B199" s="62"/>
      <c r="C199" s="62"/>
      <c r="D199" s="62"/>
      <c r="E199" s="144">
        <v>0</v>
      </c>
      <c r="F199" s="142"/>
      <c r="G199" s="143">
        <v>0.12</v>
      </c>
      <c r="H199" s="143">
        <v>0</v>
      </c>
      <c r="I199" s="49">
        <v>908</v>
      </c>
      <c r="J199" s="49">
        <f t="shared" si="83"/>
        <v>759.99599999999998</v>
      </c>
      <c r="K199" s="49">
        <f t="shared" si="84"/>
        <v>668.79647999999997</v>
      </c>
      <c r="L199" s="58"/>
      <c r="M199" s="141">
        <v>0</v>
      </c>
      <c r="N199" s="50">
        <f t="shared" si="85"/>
        <v>0</v>
      </c>
      <c r="O199" s="50">
        <f t="shared" si="86"/>
        <v>0</v>
      </c>
      <c r="P199" s="59"/>
      <c r="Q199" s="141">
        <v>0</v>
      </c>
      <c r="R199" s="50">
        <f t="shared" si="87"/>
        <v>0</v>
      </c>
      <c r="S199" s="51">
        <f t="shared" si="88"/>
        <v>0</v>
      </c>
      <c r="T199" s="60">
        <v>15</v>
      </c>
      <c r="U199" s="61" t="s">
        <v>81</v>
      </c>
      <c r="V199" s="53">
        <f>SUMIF('Avoided Costs 2014-2023'!$A:$A,'2014 Actuals'!U199&amp;ROUNDDOWN('2014 Actuals'!T199,0),'Avoided Costs 2014-2023'!$E:$E)*K199</f>
        <v>1548.1781886073161</v>
      </c>
      <c r="W199" s="53">
        <f>SUMIF('Avoided Costs 2014-2023'!$A:$A,'2014 Actuals'!U199&amp;ROUNDDOWN('2014 Actuals'!T199,0),'Avoided Costs 2014-2023'!$K:$K)*O199</f>
        <v>0</v>
      </c>
      <c r="X199" s="53">
        <f>SUMIF('Avoided Costs 2014-2023'!$A:$A,'2014 Actuals'!U199&amp;ROUNDDOWN('2014 Actuals'!T199,0),'Avoided Costs 2014-2023'!$M:$M)*S199</f>
        <v>0</v>
      </c>
      <c r="Y199" s="53">
        <f t="shared" si="89"/>
        <v>1548.1781886073161</v>
      </c>
      <c r="Z199" s="55">
        <v>213</v>
      </c>
      <c r="AA199" s="54">
        <f t="shared" si="90"/>
        <v>187.44</v>
      </c>
      <c r="AB199" s="54"/>
      <c r="AC199" s="54"/>
      <c r="AD199" s="54"/>
      <c r="AE199" s="54">
        <f t="shared" si="91"/>
        <v>187.44</v>
      </c>
      <c r="AF199" s="54">
        <f t="shared" si="92"/>
        <v>1360.738188607316</v>
      </c>
      <c r="AG199" s="49">
        <f t="shared" si="93"/>
        <v>10031.947199999999</v>
      </c>
      <c r="AH199" s="49">
        <f t="shared" si="94"/>
        <v>11399.94</v>
      </c>
    </row>
    <row r="200" spans="1:34" s="56" customFormat="1">
      <c r="A200" s="62" t="s">
        <v>304</v>
      </c>
      <c r="B200" s="62"/>
      <c r="C200" s="62"/>
      <c r="D200" s="62"/>
      <c r="E200" s="144">
        <v>1</v>
      </c>
      <c r="F200" s="142"/>
      <c r="G200" s="143">
        <v>0.12</v>
      </c>
      <c r="H200" s="143">
        <v>0</v>
      </c>
      <c r="I200" s="49">
        <v>6673</v>
      </c>
      <c r="J200" s="49">
        <f t="shared" si="83"/>
        <v>5585.3009999999995</v>
      </c>
      <c r="K200" s="49">
        <f t="shared" si="84"/>
        <v>4915.0648799999999</v>
      </c>
      <c r="L200" s="58"/>
      <c r="M200" s="141">
        <v>10892</v>
      </c>
      <c r="N200" s="50">
        <f t="shared" si="85"/>
        <v>10892</v>
      </c>
      <c r="O200" s="50">
        <f t="shared" si="86"/>
        <v>9584.9600000000009</v>
      </c>
      <c r="P200" s="59"/>
      <c r="Q200" s="141">
        <v>0</v>
      </c>
      <c r="R200" s="50">
        <f t="shared" si="87"/>
        <v>0</v>
      </c>
      <c r="S200" s="51">
        <f t="shared" si="88"/>
        <v>0</v>
      </c>
      <c r="T200" s="60">
        <v>15</v>
      </c>
      <c r="U200" s="61" t="s">
        <v>81</v>
      </c>
      <c r="V200" s="53">
        <f>SUMIF('Avoided Costs 2014-2023'!$A:$A,'2014 Actuals'!U200&amp;ROUNDDOWN('2014 Actuals'!T200,0),'Avoided Costs 2014-2023'!$E:$E)*K200</f>
        <v>11377.745652617423</v>
      </c>
      <c r="W200" s="53">
        <f>SUMIF('Avoided Costs 2014-2023'!$A:$A,'2014 Actuals'!U200&amp;ROUNDDOWN('2014 Actuals'!T200,0),'Avoided Costs 2014-2023'!$K:$K)*O200</f>
        <v>11334.026977505873</v>
      </c>
      <c r="X200" s="53">
        <f>SUMIF('Avoided Costs 2014-2023'!$A:$A,'2014 Actuals'!U200&amp;ROUNDDOWN('2014 Actuals'!T200,0),'Avoided Costs 2014-2023'!$M:$M)*S200</f>
        <v>0</v>
      </c>
      <c r="Y200" s="53">
        <f t="shared" si="89"/>
        <v>22711.772630123298</v>
      </c>
      <c r="Z200" s="55">
        <v>1078</v>
      </c>
      <c r="AA200" s="54">
        <f t="shared" si="90"/>
        <v>948.64</v>
      </c>
      <c r="AB200" s="54"/>
      <c r="AC200" s="54"/>
      <c r="AD200" s="54"/>
      <c r="AE200" s="54">
        <f t="shared" si="91"/>
        <v>948.64</v>
      </c>
      <c r="AF200" s="54">
        <f t="shared" si="92"/>
        <v>21763.132630123298</v>
      </c>
      <c r="AG200" s="49">
        <f t="shared" si="93"/>
        <v>73725.973199999993</v>
      </c>
      <c r="AH200" s="49">
        <f t="shared" si="94"/>
        <v>83779.514999999985</v>
      </c>
    </row>
    <row r="201" spans="1:34" s="56" customFormat="1">
      <c r="A201" s="62" t="s">
        <v>305</v>
      </c>
      <c r="B201" s="62"/>
      <c r="C201" s="62"/>
      <c r="D201" s="62"/>
      <c r="E201" s="144">
        <v>1</v>
      </c>
      <c r="F201" s="142"/>
      <c r="G201" s="143">
        <v>0.12</v>
      </c>
      <c r="H201" s="143">
        <v>0</v>
      </c>
      <c r="I201" s="49">
        <v>42383</v>
      </c>
      <c r="J201" s="49">
        <f t="shared" si="83"/>
        <v>35474.570999999996</v>
      </c>
      <c r="K201" s="49">
        <f t="shared" si="84"/>
        <v>31217.622479999998</v>
      </c>
      <c r="L201" s="58"/>
      <c r="M201" s="141">
        <v>0</v>
      </c>
      <c r="N201" s="50">
        <f t="shared" si="85"/>
        <v>0</v>
      </c>
      <c r="O201" s="50">
        <f t="shared" si="86"/>
        <v>0</v>
      </c>
      <c r="P201" s="59"/>
      <c r="Q201" s="141">
        <v>0</v>
      </c>
      <c r="R201" s="50">
        <f t="shared" si="87"/>
        <v>0</v>
      </c>
      <c r="S201" s="51">
        <f t="shared" si="88"/>
        <v>0</v>
      </c>
      <c r="T201" s="60">
        <v>25</v>
      </c>
      <c r="U201" s="61" t="s">
        <v>81</v>
      </c>
      <c r="V201" s="53">
        <f>SUMIF('Avoided Costs 2014-2023'!$A:$A,'2014 Actuals'!U201&amp;ROUNDDOWN('2014 Actuals'!T201,0),'Avoided Costs 2014-2023'!$E:$E)*K201</f>
        <v>99156.021655645804</v>
      </c>
      <c r="W201" s="53">
        <f>SUMIF('Avoided Costs 2014-2023'!$A:$A,'2014 Actuals'!U201&amp;ROUNDDOWN('2014 Actuals'!T201,0),'Avoided Costs 2014-2023'!$K:$K)*O201</f>
        <v>0</v>
      </c>
      <c r="X201" s="53">
        <f>SUMIF('Avoided Costs 2014-2023'!$A:$A,'2014 Actuals'!U201&amp;ROUNDDOWN('2014 Actuals'!T201,0),'Avoided Costs 2014-2023'!$M:$M)*S201</f>
        <v>0</v>
      </c>
      <c r="Y201" s="53">
        <f t="shared" si="89"/>
        <v>99156.021655645804</v>
      </c>
      <c r="Z201" s="55">
        <v>32408</v>
      </c>
      <c r="AA201" s="54">
        <f t="shared" si="90"/>
        <v>28519.040000000001</v>
      </c>
      <c r="AB201" s="54"/>
      <c r="AC201" s="54"/>
      <c r="AD201" s="54"/>
      <c r="AE201" s="54">
        <f t="shared" si="91"/>
        <v>28519.040000000001</v>
      </c>
      <c r="AF201" s="54">
        <f t="shared" si="92"/>
        <v>70636.981655645795</v>
      </c>
      <c r="AG201" s="49">
        <f t="shared" si="93"/>
        <v>780440.56199999992</v>
      </c>
      <c r="AH201" s="49">
        <f t="shared" si="94"/>
        <v>886864.27499999991</v>
      </c>
    </row>
    <row r="202" spans="1:34" s="56" customFormat="1">
      <c r="A202" s="62" t="s">
        <v>306</v>
      </c>
      <c r="B202" s="62"/>
      <c r="C202" s="62"/>
      <c r="D202" s="62"/>
      <c r="E202" s="144">
        <v>1</v>
      </c>
      <c r="F202" s="142"/>
      <c r="G202" s="143">
        <v>0.12</v>
      </c>
      <c r="H202" s="143">
        <v>0</v>
      </c>
      <c r="I202" s="49">
        <v>4104</v>
      </c>
      <c r="J202" s="49">
        <f t="shared" si="83"/>
        <v>3435.0479999999998</v>
      </c>
      <c r="K202" s="49">
        <f t="shared" si="84"/>
        <v>3022.8422399999999</v>
      </c>
      <c r="L202" s="58"/>
      <c r="M202" s="141">
        <v>0</v>
      </c>
      <c r="N202" s="50">
        <f t="shared" si="85"/>
        <v>0</v>
      </c>
      <c r="O202" s="50">
        <f t="shared" si="86"/>
        <v>0</v>
      </c>
      <c r="P202" s="59"/>
      <c r="Q202" s="141">
        <v>0</v>
      </c>
      <c r="R202" s="50">
        <f t="shared" si="87"/>
        <v>0</v>
      </c>
      <c r="S202" s="51">
        <f t="shared" si="88"/>
        <v>0</v>
      </c>
      <c r="T202" s="60">
        <v>25</v>
      </c>
      <c r="U202" s="61" t="s">
        <v>81</v>
      </c>
      <c r="V202" s="53">
        <f>SUMIF('Avoided Costs 2014-2023'!$A:$A,'2014 Actuals'!U202&amp;ROUNDDOWN('2014 Actuals'!T202,0),'Avoided Costs 2014-2023'!$E:$E)*K202</f>
        <v>9601.4041685291377</v>
      </c>
      <c r="W202" s="53">
        <f>SUMIF('Avoided Costs 2014-2023'!$A:$A,'2014 Actuals'!U202&amp;ROUNDDOWN('2014 Actuals'!T202,0),'Avoided Costs 2014-2023'!$K:$K)*O202</f>
        <v>0</v>
      </c>
      <c r="X202" s="53">
        <f>SUMIF('Avoided Costs 2014-2023'!$A:$A,'2014 Actuals'!U202&amp;ROUNDDOWN('2014 Actuals'!T202,0),'Avoided Costs 2014-2023'!$M:$M)*S202</f>
        <v>0</v>
      </c>
      <c r="Y202" s="53">
        <f t="shared" si="89"/>
        <v>9601.4041685291377</v>
      </c>
      <c r="Z202" s="55">
        <v>6893</v>
      </c>
      <c r="AA202" s="54">
        <f t="shared" si="90"/>
        <v>6065.84</v>
      </c>
      <c r="AB202" s="54"/>
      <c r="AC202" s="54"/>
      <c r="AD202" s="54"/>
      <c r="AE202" s="54">
        <f t="shared" si="91"/>
        <v>6065.84</v>
      </c>
      <c r="AF202" s="54">
        <f t="shared" si="92"/>
        <v>3535.5641685291375</v>
      </c>
      <c r="AG202" s="49">
        <f t="shared" si="93"/>
        <v>75571.055999999997</v>
      </c>
      <c r="AH202" s="49">
        <f t="shared" si="94"/>
        <v>85876.2</v>
      </c>
    </row>
    <row r="203" spans="1:34" s="56" customFormat="1">
      <c r="A203" s="62" t="s">
        <v>307</v>
      </c>
      <c r="B203" s="62"/>
      <c r="C203" s="62"/>
      <c r="D203" s="62"/>
      <c r="E203" s="144">
        <v>1</v>
      </c>
      <c r="F203" s="142"/>
      <c r="G203" s="143">
        <v>0.12</v>
      </c>
      <c r="H203" s="143">
        <v>0</v>
      </c>
      <c r="I203" s="49">
        <v>1707</v>
      </c>
      <c r="J203" s="49">
        <f t="shared" si="83"/>
        <v>1428.759</v>
      </c>
      <c r="K203" s="49">
        <f t="shared" si="84"/>
        <v>1257.30792</v>
      </c>
      <c r="L203" s="58"/>
      <c r="M203" s="141">
        <v>-177</v>
      </c>
      <c r="N203" s="50">
        <f t="shared" si="85"/>
        <v>-177</v>
      </c>
      <c r="O203" s="50">
        <f t="shared" si="86"/>
        <v>-155.76</v>
      </c>
      <c r="P203" s="59"/>
      <c r="Q203" s="141">
        <v>0</v>
      </c>
      <c r="R203" s="50">
        <f t="shared" si="87"/>
        <v>0</v>
      </c>
      <c r="S203" s="51">
        <f t="shared" si="88"/>
        <v>0</v>
      </c>
      <c r="T203" s="60">
        <v>15</v>
      </c>
      <c r="U203" s="61" t="s">
        <v>81</v>
      </c>
      <c r="V203" s="53">
        <f>SUMIF('Avoided Costs 2014-2023'!$A:$A,'2014 Actuals'!U203&amp;ROUNDDOWN('2014 Actuals'!T203,0),'Avoided Costs 2014-2023'!$E:$E)*K203</f>
        <v>2910.5067928994367</v>
      </c>
      <c r="W203" s="53">
        <f>SUMIF('Avoided Costs 2014-2023'!$A:$A,'2014 Actuals'!U203&amp;ROUNDDOWN('2014 Actuals'!T203,0),'Avoided Costs 2014-2023'!$K:$K)*O203</f>
        <v>-184.1831412980664</v>
      </c>
      <c r="X203" s="53">
        <f>SUMIF('Avoided Costs 2014-2023'!$A:$A,'2014 Actuals'!U203&amp;ROUNDDOWN('2014 Actuals'!T203,0),'Avoided Costs 2014-2023'!$M:$M)*S203</f>
        <v>0</v>
      </c>
      <c r="Y203" s="53">
        <f t="shared" si="89"/>
        <v>2726.3236516013703</v>
      </c>
      <c r="Z203" s="55">
        <v>5979</v>
      </c>
      <c r="AA203" s="54">
        <f t="shared" si="90"/>
        <v>5261.52</v>
      </c>
      <c r="AB203" s="54"/>
      <c r="AC203" s="54"/>
      <c r="AD203" s="54"/>
      <c r="AE203" s="54">
        <f t="shared" si="91"/>
        <v>5261.52</v>
      </c>
      <c r="AF203" s="54">
        <f t="shared" si="92"/>
        <v>-2535.1963483986301</v>
      </c>
      <c r="AG203" s="49">
        <f t="shared" si="93"/>
        <v>18859.6188</v>
      </c>
      <c r="AH203" s="49">
        <f t="shared" si="94"/>
        <v>21431.385000000002</v>
      </c>
    </row>
    <row r="204" spans="1:34" s="56" customFormat="1">
      <c r="A204" s="62" t="s">
        <v>308</v>
      </c>
      <c r="B204" s="62"/>
      <c r="C204" s="62"/>
      <c r="D204" s="62"/>
      <c r="E204" s="144">
        <v>1</v>
      </c>
      <c r="F204" s="142"/>
      <c r="G204" s="143">
        <v>0.12</v>
      </c>
      <c r="H204" s="143">
        <v>0</v>
      </c>
      <c r="I204" s="49">
        <v>11142</v>
      </c>
      <c r="J204" s="49">
        <f t="shared" si="83"/>
        <v>9325.8539999999994</v>
      </c>
      <c r="K204" s="49">
        <f t="shared" si="84"/>
        <v>8206.7515199999998</v>
      </c>
      <c r="L204" s="58"/>
      <c r="M204" s="141">
        <v>0</v>
      </c>
      <c r="N204" s="50">
        <f t="shared" si="85"/>
        <v>0</v>
      </c>
      <c r="O204" s="50">
        <f t="shared" si="86"/>
        <v>0</v>
      </c>
      <c r="P204" s="59"/>
      <c r="Q204" s="141">
        <v>0</v>
      </c>
      <c r="R204" s="50">
        <f t="shared" si="87"/>
        <v>0</v>
      </c>
      <c r="S204" s="51">
        <f t="shared" si="88"/>
        <v>0</v>
      </c>
      <c r="T204" s="60">
        <v>25</v>
      </c>
      <c r="U204" s="61" t="s">
        <v>81</v>
      </c>
      <c r="V204" s="53">
        <f>SUMIF('Avoided Costs 2014-2023'!$A:$A,'2014 Actuals'!U204&amp;ROUNDDOWN('2014 Actuals'!T204,0),'Avoided Costs 2014-2023'!$E:$E)*K204</f>
        <v>26066.970089120772</v>
      </c>
      <c r="W204" s="53">
        <f>SUMIF('Avoided Costs 2014-2023'!$A:$A,'2014 Actuals'!U204&amp;ROUNDDOWN('2014 Actuals'!T204,0),'Avoided Costs 2014-2023'!$K:$K)*O204</f>
        <v>0</v>
      </c>
      <c r="X204" s="53">
        <f>SUMIF('Avoided Costs 2014-2023'!$A:$A,'2014 Actuals'!U204&amp;ROUNDDOWN('2014 Actuals'!T204,0),'Avoided Costs 2014-2023'!$M:$M)*S204</f>
        <v>0</v>
      </c>
      <c r="Y204" s="53">
        <f t="shared" si="89"/>
        <v>26066.970089120772</v>
      </c>
      <c r="Z204" s="55">
        <v>8105</v>
      </c>
      <c r="AA204" s="54">
        <f t="shared" si="90"/>
        <v>7132.4</v>
      </c>
      <c r="AB204" s="54"/>
      <c r="AC204" s="54"/>
      <c r="AD204" s="54"/>
      <c r="AE204" s="54">
        <f t="shared" si="91"/>
        <v>7132.4</v>
      </c>
      <c r="AF204" s="54">
        <f t="shared" si="92"/>
        <v>18934.570089120774</v>
      </c>
      <c r="AG204" s="49">
        <f t="shared" si="93"/>
        <v>205168.788</v>
      </c>
      <c r="AH204" s="49">
        <f t="shared" si="94"/>
        <v>233146.34999999998</v>
      </c>
    </row>
    <row r="205" spans="1:34" s="56" customFormat="1">
      <c r="A205" s="62" t="s">
        <v>309</v>
      </c>
      <c r="B205" s="62"/>
      <c r="C205" s="62"/>
      <c r="D205" s="62"/>
      <c r="E205" s="144">
        <v>1</v>
      </c>
      <c r="F205" s="142"/>
      <c r="G205" s="143">
        <v>0.12</v>
      </c>
      <c r="H205" s="143">
        <v>0</v>
      </c>
      <c r="I205" s="49">
        <v>12565</v>
      </c>
      <c r="J205" s="49">
        <f t="shared" si="83"/>
        <v>10516.904999999999</v>
      </c>
      <c r="K205" s="49">
        <f t="shared" si="84"/>
        <v>9254.8763999999992</v>
      </c>
      <c r="L205" s="58"/>
      <c r="M205" s="141">
        <v>0</v>
      </c>
      <c r="N205" s="50">
        <f t="shared" si="85"/>
        <v>0</v>
      </c>
      <c r="O205" s="50">
        <f t="shared" si="86"/>
        <v>0</v>
      </c>
      <c r="P205" s="59"/>
      <c r="Q205" s="141">
        <v>0</v>
      </c>
      <c r="R205" s="50">
        <f t="shared" si="87"/>
        <v>0</v>
      </c>
      <c r="S205" s="51">
        <f t="shared" si="88"/>
        <v>0</v>
      </c>
      <c r="T205" s="60">
        <v>25</v>
      </c>
      <c r="U205" s="61" t="s">
        <v>81</v>
      </c>
      <c r="V205" s="53">
        <f>SUMIF('Avoided Costs 2014-2023'!$A:$A,'2014 Actuals'!U205&amp;ROUNDDOWN('2014 Actuals'!T205,0),'Avoided Costs 2014-2023'!$E:$E)*K205</f>
        <v>29396.111934105407</v>
      </c>
      <c r="W205" s="53">
        <f>SUMIF('Avoided Costs 2014-2023'!$A:$A,'2014 Actuals'!U205&amp;ROUNDDOWN('2014 Actuals'!T205,0),'Avoided Costs 2014-2023'!$K:$K)*O205</f>
        <v>0</v>
      </c>
      <c r="X205" s="53">
        <f>SUMIF('Avoided Costs 2014-2023'!$A:$A,'2014 Actuals'!U205&amp;ROUNDDOWN('2014 Actuals'!T205,0),'Avoided Costs 2014-2023'!$M:$M)*S205</f>
        <v>0</v>
      </c>
      <c r="Y205" s="53">
        <f t="shared" si="89"/>
        <v>29396.111934105407</v>
      </c>
      <c r="Z205" s="55">
        <v>15908</v>
      </c>
      <c r="AA205" s="54">
        <f t="shared" si="90"/>
        <v>13999.04</v>
      </c>
      <c r="AB205" s="54"/>
      <c r="AC205" s="54"/>
      <c r="AD205" s="54"/>
      <c r="AE205" s="54">
        <f t="shared" si="91"/>
        <v>13999.04</v>
      </c>
      <c r="AF205" s="54">
        <f t="shared" si="92"/>
        <v>15397.071934105406</v>
      </c>
      <c r="AG205" s="49">
        <f t="shared" si="93"/>
        <v>231371.90999999997</v>
      </c>
      <c r="AH205" s="49">
        <f t="shared" si="94"/>
        <v>262922.625</v>
      </c>
    </row>
    <row r="206" spans="1:34" s="56" customFormat="1">
      <c r="A206" s="62" t="s">
        <v>310</v>
      </c>
      <c r="B206" s="62"/>
      <c r="C206" s="62"/>
      <c r="D206" s="62"/>
      <c r="E206" s="144">
        <v>1</v>
      </c>
      <c r="F206" s="142"/>
      <c r="G206" s="143">
        <v>0.12</v>
      </c>
      <c r="H206" s="143">
        <v>0</v>
      </c>
      <c r="I206" s="49">
        <v>4038</v>
      </c>
      <c r="J206" s="49">
        <f t="shared" si="83"/>
        <v>3379.806</v>
      </c>
      <c r="K206" s="49">
        <f t="shared" si="84"/>
        <v>2974.22928</v>
      </c>
      <c r="L206" s="58"/>
      <c r="M206" s="141">
        <v>78</v>
      </c>
      <c r="N206" s="50">
        <f t="shared" si="85"/>
        <v>78</v>
      </c>
      <c r="O206" s="50">
        <f t="shared" si="86"/>
        <v>68.64</v>
      </c>
      <c r="P206" s="59"/>
      <c r="Q206" s="141">
        <v>0</v>
      </c>
      <c r="R206" s="50">
        <f t="shared" si="87"/>
        <v>0</v>
      </c>
      <c r="S206" s="51">
        <f t="shared" si="88"/>
        <v>0</v>
      </c>
      <c r="T206" s="60">
        <v>15</v>
      </c>
      <c r="U206" s="61" t="s">
        <v>81</v>
      </c>
      <c r="V206" s="53">
        <f>SUMIF('Avoided Costs 2014-2023'!$A:$A,'2014 Actuals'!U206&amp;ROUNDDOWN('2014 Actuals'!T206,0),'Avoided Costs 2014-2023'!$E:$E)*K206</f>
        <v>6884.9598299519193</v>
      </c>
      <c r="W206" s="53">
        <f>SUMIF('Avoided Costs 2014-2023'!$A:$A,'2014 Actuals'!U206&amp;ROUNDDOWN('2014 Actuals'!T206,0),'Avoided Costs 2014-2023'!$K:$K)*O206</f>
        <v>81.165452097452999</v>
      </c>
      <c r="X206" s="53">
        <f>SUMIF('Avoided Costs 2014-2023'!$A:$A,'2014 Actuals'!U206&amp;ROUNDDOWN('2014 Actuals'!T206,0),'Avoided Costs 2014-2023'!$M:$M)*S206</f>
        <v>0</v>
      </c>
      <c r="Y206" s="53">
        <f t="shared" si="89"/>
        <v>6966.1252820493719</v>
      </c>
      <c r="Z206" s="55">
        <v>7304</v>
      </c>
      <c r="AA206" s="54">
        <f t="shared" si="90"/>
        <v>6427.52</v>
      </c>
      <c r="AB206" s="54"/>
      <c r="AC206" s="54"/>
      <c r="AD206" s="54"/>
      <c r="AE206" s="54">
        <f t="shared" si="91"/>
        <v>6427.52</v>
      </c>
      <c r="AF206" s="54">
        <f t="shared" si="92"/>
        <v>538.60528204937145</v>
      </c>
      <c r="AG206" s="49">
        <f t="shared" si="93"/>
        <v>44613.439200000001</v>
      </c>
      <c r="AH206" s="49">
        <f t="shared" si="94"/>
        <v>50697.090000000004</v>
      </c>
    </row>
    <row r="207" spans="1:34" s="56" customFormat="1">
      <c r="A207" s="62" t="s">
        <v>311</v>
      </c>
      <c r="B207" s="62"/>
      <c r="C207" s="62"/>
      <c r="D207" s="62"/>
      <c r="E207" s="144">
        <v>1</v>
      </c>
      <c r="F207" s="142"/>
      <c r="G207" s="143">
        <v>0.12</v>
      </c>
      <c r="H207" s="143">
        <v>0</v>
      </c>
      <c r="I207" s="49">
        <v>5124</v>
      </c>
      <c r="J207" s="49">
        <f t="shared" si="83"/>
        <v>4288.7879999999996</v>
      </c>
      <c r="K207" s="49">
        <f t="shared" si="84"/>
        <v>3774.1334399999996</v>
      </c>
      <c r="L207" s="58"/>
      <c r="M207" s="141">
        <v>0</v>
      </c>
      <c r="N207" s="50">
        <f t="shared" si="85"/>
        <v>0</v>
      </c>
      <c r="O207" s="50">
        <f t="shared" si="86"/>
        <v>0</v>
      </c>
      <c r="P207" s="59"/>
      <c r="Q207" s="141">
        <v>0</v>
      </c>
      <c r="R207" s="50">
        <f t="shared" si="87"/>
        <v>0</v>
      </c>
      <c r="S207" s="51">
        <f t="shared" si="88"/>
        <v>0</v>
      </c>
      <c r="T207" s="60">
        <v>25</v>
      </c>
      <c r="U207" s="61" t="s">
        <v>81</v>
      </c>
      <c r="V207" s="53">
        <f>SUMIF('Avoided Costs 2014-2023'!$A:$A,'2014 Actuals'!U207&amp;ROUNDDOWN('2014 Actuals'!T207,0),'Avoided Costs 2014-2023'!$E:$E)*K207</f>
        <v>11987.718070064155</v>
      </c>
      <c r="W207" s="53">
        <f>SUMIF('Avoided Costs 2014-2023'!$A:$A,'2014 Actuals'!U207&amp;ROUNDDOWN('2014 Actuals'!T207,0),'Avoided Costs 2014-2023'!$K:$K)*O207</f>
        <v>0</v>
      </c>
      <c r="X207" s="53">
        <f>SUMIF('Avoided Costs 2014-2023'!$A:$A,'2014 Actuals'!U207&amp;ROUNDDOWN('2014 Actuals'!T207,0),'Avoided Costs 2014-2023'!$M:$M)*S207</f>
        <v>0</v>
      </c>
      <c r="Y207" s="53">
        <f t="shared" si="89"/>
        <v>11987.718070064155</v>
      </c>
      <c r="Z207" s="55">
        <v>3903</v>
      </c>
      <c r="AA207" s="54">
        <f t="shared" si="90"/>
        <v>3434.64</v>
      </c>
      <c r="AB207" s="54"/>
      <c r="AC207" s="54"/>
      <c r="AD207" s="54"/>
      <c r="AE207" s="54">
        <f t="shared" si="91"/>
        <v>3434.64</v>
      </c>
      <c r="AF207" s="54">
        <f t="shared" si="92"/>
        <v>8553.0780700641553</v>
      </c>
      <c r="AG207" s="49">
        <f t="shared" si="93"/>
        <v>94353.335999999996</v>
      </c>
      <c r="AH207" s="49">
        <f t="shared" si="94"/>
        <v>107219.69999999998</v>
      </c>
    </row>
    <row r="208" spans="1:34" s="56" customFormat="1">
      <c r="A208" s="62" t="s">
        <v>312</v>
      </c>
      <c r="B208" s="62"/>
      <c r="C208" s="62"/>
      <c r="D208" s="62"/>
      <c r="E208" s="144">
        <v>1</v>
      </c>
      <c r="F208" s="142"/>
      <c r="G208" s="143">
        <v>0.12</v>
      </c>
      <c r="H208" s="143">
        <v>0</v>
      </c>
      <c r="I208" s="49">
        <v>3800</v>
      </c>
      <c r="J208" s="49">
        <f t="shared" si="83"/>
        <v>3180.6</v>
      </c>
      <c r="K208" s="49">
        <f t="shared" si="84"/>
        <v>2798.9279999999999</v>
      </c>
      <c r="L208" s="58"/>
      <c r="M208" s="141">
        <v>-359</v>
      </c>
      <c r="N208" s="50">
        <f t="shared" si="85"/>
        <v>-359</v>
      </c>
      <c r="O208" s="50">
        <f t="shared" si="86"/>
        <v>-315.92</v>
      </c>
      <c r="P208" s="59"/>
      <c r="Q208" s="141">
        <v>0</v>
      </c>
      <c r="R208" s="50">
        <f t="shared" si="87"/>
        <v>0</v>
      </c>
      <c r="S208" s="51">
        <f t="shared" si="88"/>
        <v>0</v>
      </c>
      <c r="T208" s="60">
        <v>15</v>
      </c>
      <c r="U208" s="61" t="s">
        <v>81</v>
      </c>
      <c r="V208" s="53">
        <f>SUMIF('Avoided Costs 2014-2023'!$A:$A,'2014 Actuals'!U208&amp;ROUNDDOWN('2014 Actuals'!T208,0),'Avoided Costs 2014-2023'!$E:$E)*K208</f>
        <v>6479.1598201627767</v>
      </c>
      <c r="W208" s="53">
        <f>SUMIF('Avoided Costs 2014-2023'!$A:$A,'2014 Actuals'!U208&amp;ROUNDDOWN('2014 Actuals'!T208,0),'Avoided Costs 2014-2023'!$K:$K)*O208</f>
        <v>-373.5691961921234</v>
      </c>
      <c r="X208" s="53">
        <f>SUMIF('Avoided Costs 2014-2023'!$A:$A,'2014 Actuals'!U208&amp;ROUNDDOWN('2014 Actuals'!T208,0),'Avoided Costs 2014-2023'!$M:$M)*S208</f>
        <v>0</v>
      </c>
      <c r="Y208" s="53">
        <f t="shared" si="89"/>
        <v>6105.5906239706528</v>
      </c>
      <c r="Z208" s="55">
        <v>13439.81</v>
      </c>
      <c r="AA208" s="54">
        <f t="shared" si="90"/>
        <v>11827.032799999999</v>
      </c>
      <c r="AB208" s="54"/>
      <c r="AC208" s="54"/>
      <c r="AD208" s="54"/>
      <c r="AE208" s="54">
        <f t="shared" si="91"/>
        <v>11827.032799999999</v>
      </c>
      <c r="AF208" s="54">
        <f t="shared" si="92"/>
        <v>-5721.4421760293462</v>
      </c>
      <c r="AG208" s="49">
        <f t="shared" si="93"/>
        <v>41983.92</v>
      </c>
      <c r="AH208" s="49">
        <f t="shared" si="94"/>
        <v>47709</v>
      </c>
    </row>
    <row r="209" spans="1:34" s="56" customFormat="1">
      <c r="A209" s="62" t="s">
        <v>313</v>
      </c>
      <c r="B209" s="62"/>
      <c r="C209" s="62"/>
      <c r="D209" s="62"/>
      <c r="E209" s="144">
        <v>1</v>
      </c>
      <c r="F209" s="142"/>
      <c r="G209" s="143">
        <v>0.12</v>
      </c>
      <c r="H209" s="143">
        <v>0</v>
      </c>
      <c r="I209" s="49">
        <v>3116</v>
      </c>
      <c r="J209" s="49">
        <f t="shared" si="83"/>
        <v>2608.0920000000001</v>
      </c>
      <c r="K209" s="49">
        <f t="shared" si="84"/>
        <v>2295.1209600000002</v>
      </c>
      <c r="L209" s="58"/>
      <c r="M209" s="141">
        <v>0</v>
      </c>
      <c r="N209" s="50">
        <f t="shared" si="85"/>
        <v>0</v>
      </c>
      <c r="O209" s="50">
        <f t="shared" si="86"/>
        <v>0</v>
      </c>
      <c r="P209" s="59"/>
      <c r="Q209" s="141">
        <v>0</v>
      </c>
      <c r="R209" s="50">
        <f t="shared" si="87"/>
        <v>0</v>
      </c>
      <c r="S209" s="51">
        <f t="shared" si="88"/>
        <v>0</v>
      </c>
      <c r="T209" s="60">
        <v>25</v>
      </c>
      <c r="U209" s="61" t="s">
        <v>81</v>
      </c>
      <c r="V209" s="53">
        <f>SUMIF('Avoided Costs 2014-2023'!$A:$A,'2014 Actuals'!U209&amp;ROUNDDOWN('2014 Actuals'!T209,0),'Avoided Costs 2014-2023'!$E:$E)*K209</f>
        <v>7289.9550168461974</v>
      </c>
      <c r="W209" s="53">
        <f>SUMIF('Avoided Costs 2014-2023'!$A:$A,'2014 Actuals'!U209&amp;ROUNDDOWN('2014 Actuals'!T209,0),'Avoided Costs 2014-2023'!$K:$K)*O209</f>
        <v>0</v>
      </c>
      <c r="X209" s="53">
        <f>SUMIF('Avoided Costs 2014-2023'!$A:$A,'2014 Actuals'!U209&amp;ROUNDDOWN('2014 Actuals'!T209,0),'Avoided Costs 2014-2023'!$M:$M)*S209</f>
        <v>0</v>
      </c>
      <c r="Y209" s="53">
        <f t="shared" si="89"/>
        <v>7289.9550168461974</v>
      </c>
      <c r="Z209" s="55">
        <v>8927</v>
      </c>
      <c r="AA209" s="54">
        <f t="shared" si="90"/>
        <v>7855.76</v>
      </c>
      <c r="AB209" s="54"/>
      <c r="AC209" s="54"/>
      <c r="AD209" s="54"/>
      <c r="AE209" s="54">
        <f t="shared" si="91"/>
        <v>7855.76</v>
      </c>
      <c r="AF209" s="54">
        <f t="shared" si="92"/>
        <v>-565.80498315380282</v>
      </c>
      <c r="AG209" s="49">
        <f t="shared" si="93"/>
        <v>57378.024000000005</v>
      </c>
      <c r="AH209" s="49">
        <f t="shared" si="94"/>
        <v>65202.3</v>
      </c>
    </row>
    <row r="210" spans="1:34" s="56" customFormat="1">
      <c r="A210" s="62" t="s">
        <v>314</v>
      </c>
      <c r="B210" s="62"/>
      <c r="C210" s="62"/>
      <c r="D210" s="62"/>
      <c r="E210" s="144">
        <v>1</v>
      </c>
      <c r="F210" s="142"/>
      <c r="G210" s="143">
        <v>0.12</v>
      </c>
      <c r="H210" s="143">
        <v>0</v>
      </c>
      <c r="I210" s="49">
        <v>3958</v>
      </c>
      <c r="J210" s="49">
        <f t="shared" si="83"/>
        <v>3312.846</v>
      </c>
      <c r="K210" s="49">
        <f t="shared" si="84"/>
        <v>2915.3044800000002</v>
      </c>
      <c r="L210" s="58"/>
      <c r="M210" s="141">
        <v>0</v>
      </c>
      <c r="N210" s="50">
        <f t="shared" si="85"/>
        <v>0</v>
      </c>
      <c r="O210" s="50">
        <f t="shared" si="86"/>
        <v>0</v>
      </c>
      <c r="P210" s="59"/>
      <c r="Q210" s="141">
        <v>0</v>
      </c>
      <c r="R210" s="50">
        <f t="shared" si="87"/>
        <v>0</v>
      </c>
      <c r="S210" s="51">
        <f t="shared" si="88"/>
        <v>0</v>
      </c>
      <c r="T210" s="60">
        <v>25</v>
      </c>
      <c r="U210" s="61" t="s">
        <v>81</v>
      </c>
      <c r="V210" s="53">
        <f>SUMIF('Avoided Costs 2014-2023'!$A:$A,'2014 Actuals'!U210&amp;ROUNDDOWN('2014 Actuals'!T210,0),'Avoided Costs 2014-2023'!$E:$E)*K210</f>
        <v>9259.8337473290267</v>
      </c>
      <c r="W210" s="53">
        <f>SUMIF('Avoided Costs 2014-2023'!$A:$A,'2014 Actuals'!U210&amp;ROUNDDOWN('2014 Actuals'!T210,0),'Avoided Costs 2014-2023'!$K:$K)*O210</f>
        <v>0</v>
      </c>
      <c r="X210" s="53">
        <f>SUMIF('Avoided Costs 2014-2023'!$A:$A,'2014 Actuals'!U210&amp;ROUNDDOWN('2014 Actuals'!T210,0),'Avoided Costs 2014-2023'!$M:$M)*S210</f>
        <v>0</v>
      </c>
      <c r="Y210" s="53">
        <f t="shared" si="89"/>
        <v>9259.8337473290267</v>
      </c>
      <c r="Z210" s="55">
        <v>9790</v>
      </c>
      <c r="AA210" s="54">
        <f t="shared" si="90"/>
        <v>8615.2000000000007</v>
      </c>
      <c r="AB210" s="54"/>
      <c r="AC210" s="54"/>
      <c r="AD210" s="54"/>
      <c r="AE210" s="54">
        <f t="shared" si="91"/>
        <v>8615.2000000000007</v>
      </c>
      <c r="AF210" s="54">
        <f t="shared" si="92"/>
        <v>644.63374732902594</v>
      </c>
      <c r="AG210" s="49">
        <f t="shared" si="93"/>
        <v>72882.612000000008</v>
      </c>
      <c r="AH210" s="49">
        <f t="shared" si="94"/>
        <v>82821.149999999994</v>
      </c>
    </row>
    <row r="211" spans="1:34" s="56" customFormat="1">
      <c r="A211" s="136" t="s">
        <v>315</v>
      </c>
      <c r="B211" s="136"/>
      <c r="C211" s="136"/>
      <c r="D211" s="136"/>
      <c r="E211" s="144">
        <v>1</v>
      </c>
      <c r="F211" s="138"/>
      <c r="G211" s="139">
        <v>0.12</v>
      </c>
      <c r="H211" s="139">
        <v>0</v>
      </c>
      <c r="I211" s="49">
        <v>10108</v>
      </c>
      <c r="J211" s="49">
        <f t="shared" si="83"/>
        <v>8460.3959999999988</v>
      </c>
      <c r="K211" s="49">
        <f t="shared" si="84"/>
        <v>7445.1484799999989</v>
      </c>
      <c r="L211" s="138"/>
      <c r="M211" s="137">
        <v>0</v>
      </c>
      <c r="N211" s="50">
        <f t="shared" si="85"/>
        <v>0</v>
      </c>
      <c r="O211" s="50">
        <f t="shared" si="86"/>
        <v>0</v>
      </c>
      <c r="P211" s="140"/>
      <c r="Q211" s="137">
        <v>0</v>
      </c>
      <c r="R211" s="50">
        <f t="shared" si="87"/>
        <v>0</v>
      </c>
      <c r="S211" s="51">
        <f t="shared" si="88"/>
        <v>0</v>
      </c>
      <c r="T211" s="57">
        <v>25</v>
      </c>
      <c r="U211" s="52" t="s">
        <v>81</v>
      </c>
      <c r="V211" s="53">
        <f>SUMIF('Avoided Costs 2014-2023'!$A:$A,'2014 Actuals'!U211&amp;ROUNDDOWN('2014 Actuals'!T211,0),'Avoided Costs 2014-2023'!$E:$E)*K211</f>
        <v>23647.902859525464</v>
      </c>
      <c r="W211" s="53">
        <f>SUMIF('Avoided Costs 2014-2023'!$A:$A,'2014 Actuals'!U211&amp;ROUNDDOWN('2014 Actuals'!T211,0),'Avoided Costs 2014-2023'!$K:$K)*O211</f>
        <v>0</v>
      </c>
      <c r="X211" s="53">
        <f>SUMIF('Avoided Costs 2014-2023'!$A:$A,'2014 Actuals'!U211&amp;ROUNDDOWN('2014 Actuals'!T211,0),'Avoided Costs 2014-2023'!$M:$M)*S211</f>
        <v>0</v>
      </c>
      <c r="Y211" s="53">
        <f t="shared" si="89"/>
        <v>23647.902859525464</v>
      </c>
      <c r="Z211" s="55">
        <v>12610</v>
      </c>
      <c r="AA211" s="54">
        <f t="shared" si="90"/>
        <v>11096.8</v>
      </c>
      <c r="AB211" s="54"/>
      <c r="AC211" s="54"/>
      <c r="AD211" s="54"/>
      <c r="AE211" s="54">
        <f t="shared" si="91"/>
        <v>11096.8</v>
      </c>
      <c r="AF211" s="54">
        <f t="shared" si="92"/>
        <v>12551.102859525465</v>
      </c>
      <c r="AG211" s="49">
        <f t="shared" si="93"/>
        <v>186128.71199999997</v>
      </c>
      <c r="AH211" s="49">
        <f t="shared" si="94"/>
        <v>211509.89999999997</v>
      </c>
    </row>
    <row r="212" spans="1:34" s="56" customFormat="1">
      <c r="A212" s="136" t="s">
        <v>316</v>
      </c>
      <c r="B212" s="136"/>
      <c r="C212" s="136"/>
      <c r="D212" s="136"/>
      <c r="E212" s="144">
        <v>1</v>
      </c>
      <c r="F212" s="138"/>
      <c r="G212" s="139">
        <v>0.12</v>
      </c>
      <c r="H212" s="139">
        <v>0</v>
      </c>
      <c r="I212" s="49">
        <v>36681</v>
      </c>
      <c r="J212" s="49">
        <f t="shared" si="83"/>
        <v>30701.996999999999</v>
      </c>
      <c r="K212" s="49">
        <f t="shared" si="84"/>
        <v>27017.75736</v>
      </c>
      <c r="L212" s="138"/>
      <c r="M212" s="137">
        <v>0</v>
      </c>
      <c r="N212" s="50">
        <f t="shared" si="85"/>
        <v>0</v>
      </c>
      <c r="O212" s="50">
        <f t="shared" si="86"/>
        <v>0</v>
      </c>
      <c r="P212" s="140"/>
      <c r="Q212" s="137">
        <v>0</v>
      </c>
      <c r="R212" s="50">
        <f t="shared" si="87"/>
        <v>0</v>
      </c>
      <c r="S212" s="51">
        <f t="shared" si="88"/>
        <v>0</v>
      </c>
      <c r="T212" s="57">
        <v>25</v>
      </c>
      <c r="U212" s="52" t="s">
        <v>81</v>
      </c>
      <c r="V212" s="53">
        <f>SUMIF('Avoided Costs 2014-2023'!$A:$A,'2014 Actuals'!U212&amp;ROUNDDOWN('2014 Actuals'!T212,0),'Avoided Costs 2014-2023'!$E:$E)*K212</f>
        <v>85816.059041378481</v>
      </c>
      <c r="W212" s="53">
        <f>SUMIF('Avoided Costs 2014-2023'!$A:$A,'2014 Actuals'!U212&amp;ROUNDDOWN('2014 Actuals'!T212,0),'Avoided Costs 2014-2023'!$K:$K)*O212</f>
        <v>0</v>
      </c>
      <c r="X212" s="53">
        <f>SUMIF('Avoided Costs 2014-2023'!$A:$A,'2014 Actuals'!U212&amp;ROUNDDOWN('2014 Actuals'!T212,0),'Avoided Costs 2014-2023'!$M:$M)*S212</f>
        <v>0</v>
      </c>
      <c r="Y212" s="53">
        <f t="shared" si="89"/>
        <v>85816.059041378481</v>
      </c>
      <c r="Z212" s="55">
        <v>30802</v>
      </c>
      <c r="AA212" s="54">
        <f t="shared" si="90"/>
        <v>27105.759999999998</v>
      </c>
      <c r="AB212" s="54"/>
      <c r="AC212" s="54"/>
      <c r="AD212" s="54"/>
      <c r="AE212" s="54">
        <f t="shared" si="91"/>
        <v>27105.759999999998</v>
      </c>
      <c r="AF212" s="54">
        <f t="shared" si="92"/>
        <v>58710.299041378486</v>
      </c>
      <c r="AG212" s="49">
        <f t="shared" si="93"/>
        <v>675443.93400000001</v>
      </c>
      <c r="AH212" s="49">
        <f t="shared" si="94"/>
        <v>767549.92499999993</v>
      </c>
    </row>
    <row r="213" spans="1:34" s="56" customFormat="1">
      <c r="A213" s="136" t="s">
        <v>317</v>
      </c>
      <c r="B213" s="136"/>
      <c r="C213" s="136"/>
      <c r="D213" s="136"/>
      <c r="E213" s="144">
        <v>1</v>
      </c>
      <c r="F213" s="138"/>
      <c r="G213" s="139">
        <v>0.12</v>
      </c>
      <c r="H213" s="139">
        <v>0</v>
      </c>
      <c r="I213" s="49">
        <v>17752</v>
      </c>
      <c r="J213" s="49">
        <f t="shared" si="83"/>
        <v>14858.423999999999</v>
      </c>
      <c r="K213" s="49">
        <f t="shared" si="84"/>
        <v>13075.413119999999</v>
      </c>
      <c r="L213" s="138"/>
      <c r="M213" s="137">
        <v>0</v>
      </c>
      <c r="N213" s="50">
        <f t="shared" si="85"/>
        <v>0</v>
      </c>
      <c r="O213" s="50">
        <f t="shared" si="86"/>
        <v>0</v>
      </c>
      <c r="P213" s="140"/>
      <c r="Q213" s="137">
        <v>0</v>
      </c>
      <c r="R213" s="50">
        <f t="shared" si="87"/>
        <v>0</v>
      </c>
      <c r="S213" s="51">
        <f t="shared" si="88"/>
        <v>0</v>
      </c>
      <c r="T213" s="57">
        <v>15</v>
      </c>
      <c r="U213" s="52" t="s">
        <v>81</v>
      </c>
      <c r="V213" s="53">
        <f>SUMIF('Avoided Costs 2014-2023'!$A:$A,'2014 Actuals'!U213&amp;ROUNDDOWN('2014 Actuals'!T213,0),'Avoided Costs 2014-2023'!$E:$E)*K213</f>
        <v>30267.906612507792</v>
      </c>
      <c r="W213" s="53">
        <f>SUMIF('Avoided Costs 2014-2023'!$A:$A,'2014 Actuals'!U213&amp;ROUNDDOWN('2014 Actuals'!T213,0),'Avoided Costs 2014-2023'!$K:$K)*O213</f>
        <v>0</v>
      </c>
      <c r="X213" s="53">
        <f>SUMIF('Avoided Costs 2014-2023'!$A:$A,'2014 Actuals'!U213&amp;ROUNDDOWN('2014 Actuals'!T213,0),'Avoided Costs 2014-2023'!$M:$M)*S213</f>
        <v>0</v>
      </c>
      <c r="Y213" s="53">
        <f t="shared" si="89"/>
        <v>30267.906612507792</v>
      </c>
      <c r="Z213" s="55">
        <v>16008.5</v>
      </c>
      <c r="AA213" s="54">
        <f t="shared" si="90"/>
        <v>14087.48</v>
      </c>
      <c r="AB213" s="54"/>
      <c r="AC213" s="54"/>
      <c r="AD213" s="54"/>
      <c r="AE213" s="54">
        <f t="shared" si="91"/>
        <v>14087.48</v>
      </c>
      <c r="AF213" s="54">
        <f t="shared" si="92"/>
        <v>16180.426612507792</v>
      </c>
      <c r="AG213" s="49">
        <f t="shared" si="93"/>
        <v>196131.19679999998</v>
      </c>
      <c r="AH213" s="49">
        <f t="shared" si="94"/>
        <v>222876.36</v>
      </c>
    </row>
    <row r="214" spans="1:34" s="56" customFormat="1">
      <c r="A214" s="136" t="s">
        <v>318</v>
      </c>
      <c r="B214" s="136"/>
      <c r="C214" s="136"/>
      <c r="D214" s="136"/>
      <c r="E214" s="144">
        <v>1</v>
      </c>
      <c r="F214" s="138"/>
      <c r="G214" s="139">
        <v>0.12</v>
      </c>
      <c r="H214" s="139">
        <v>0</v>
      </c>
      <c r="I214" s="49">
        <v>12759</v>
      </c>
      <c r="J214" s="49">
        <f t="shared" si="83"/>
        <v>10679.282999999999</v>
      </c>
      <c r="K214" s="49">
        <f t="shared" si="84"/>
        <v>9397.7690399999992</v>
      </c>
      <c r="L214" s="138"/>
      <c r="M214" s="137">
        <v>0</v>
      </c>
      <c r="N214" s="50">
        <f t="shared" si="85"/>
        <v>0</v>
      </c>
      <c r="O214" s="50">
        <f t="shared" si="86"/>
        <v>0</v>
      </c>
      <c r="P214" s="140"/>
      <c r="Q214" s="137">
        <v>0</v>
      </c>
      <c r="R214" s="50">
        <f t="shared" si="87"/>
        <v>0</v>
      </c>
      <c r="S214" s="51">
        <f t="shared" si="88"/>
        <v>0</v>
      </c>
      <c r="T214" s="57">
        <v>25</v>
      </c>
      <c r="U214" s="52" t="s">
        <v>81</v>
      </c>
      <c r="V214" s="53">
        <f>SUMIF('Avoided Costs 2014-2023'!$A:$A,'2014 Actuals'!U214&amp;ROUNDDOWN('2014 Actuals'!T214,0),'Avoided Costs 2014-2023'!$E:$E)*K214</f>
        <v>29849.979480083639</v>
      </c>
      <c r="W214" s="53">
        <f>SUMIF('Avoided Costs 2014-2023'!$A:$A,'2014 Actuals'!U214&amp;ROUNDDOWN('2014 Actuals'!T214,0),'Avoided Costs 2014-2023'!$K:$K)*O214</f>
        <v>0</v>
      </c>
      <c r="X214" s="53">
        <f>SUMIF('Avoided Costs 2014-2023'!$A:$A,'2014 Actuals'!U214&amp;ROUNDDOWN('2014 Actuals'!T214,0),'Avoided Costs 2014-2023'!$M:$M)*S214</f>
        <v>0</v>
      </c>
      <c r="Y214" s="53">
        <f t="shared" si="89"/>
        <v>29849.979480083639</v>
      </c>
      <c r="Z214" s="55">
        <v>14264</v>
      </c>
      <c r="AA214" s="54">
        <f t="shared" si="90"/>
        <v>12552.32</v>
      </c>
      <c r="AB214" s="54"/>
      <c r="AC214" s="54"/>
      <c r="AD214" s="54"/>
      <c r="AE214" s="54">
        <f t="shared" si="91"/>
        <v>12552.32</v>
      </c>
      <c r="AF214" s="54">
        <f t="shared" si="92"/>
        <v>17297.659480083639</v>
      </c>
      <c r="AG214" s="49">
        <f t="shared" si="93"/>
        <v>234944.22599999997</v>
      </c>
      <c r="AH214" s="49">
        <f t="shared" si="94"/>
        <v>266982.07500000001</v>
      </c>
    </row>
    <row r="215" spans="1:34" s="56" customFormat="1">
      <c r="A215" s="136" t="s">
        <v>319</v>
      </c>
      <c r="B215" s="136"/>
      <c r="C215" s="136"/>
      <c r="D215" s="136"/>
      <c r="E215" s="144">
        <v>1</v>
      </c>
      <c r="F215" s="138"/>
      <c r="G215" s="139">
        <v>0.12</v>
      </c>
      <c r="H215" s="139">
        <v>0</v>
      </c>
      <c r="I215" s="49">
        <v>36172</v>
      </c>
      <c r="J215" s="49">
        <f t="shared" si="83"/>
        <v>30275.964</v>
      </c>
      <c r="K215" s="49">
        <f t="shared" si="84"/>
        <v>26642.848320000001</v>
      </c>
      <c r="L215" s="138"/>
      <c r="M215" s="137">
        <v>0</v>
      </c>
      <c r="N215" s="50">
        <f t="shared" si="85"/>
        <v>0</v>
      </c>
      <c r="O215" s="50">
        <f t="shared" si="86"/>
        <v>0</v>
      </c>
      <c r="P215" s="140"/>
      <c r="Q215" s="137">
        <v>0</v>
      </c>
      <c r="R215" s="50">
        <f t="shared" si="87"/>
        <v>0</v>
      </c>
      <c r="S215" s="51">
        <f t="shared" si="88"/>
        <v>0</v>
      </c>
      <c r="T215" s="57">
        <v>25</v>
      </c>
      <c r="U215" s="52" t="s">
        <v>81</v>
      </c>
      <c r="V215" s="53">
        <f>SUMIF('Avoided Costs 2014-2023'!$A:$A,'2014 Actuals'!U215&amp;ROUNDDOWN('2014 Actuals'!T215,0),'Avoided Costs 2014-2023'!$E:$E)*K215</f>
        <v>84625.241614043858</v>
      </c>
      <c r="W215" s="53">
        <f>SUMIF('Avoided Costs 2014-2023'!$A:$A,'2014 Actuals'!U215&amp;ROUNDDOWN('2014 Actuals'!T215,0),'Avoided Costs 2014-2023'!$K:$K)*O215</f>
        <v>0</v>
      </c>
      <c r="X215" s="53">
        <f>SUMIF('Avoided Costs 2014-2023'!$A:$A,'2014 Actuals'!U215&amp;ROUNDDOWN('2014 Actuals'!T215,0),'Avoided Costs 2014-2023'!$M:$M)*S215</f>
        <v>0</v>
      </c>
      <c r="Y215" s="53">
        <f t="shared" si="89"/>
        <v>84625.241614043858</v>
      </c>
      <c r="Z215" s="55">
        <v>84800</v>
      </c>
      <c r="AA215" s="54">
        <f t="shared" si="90"/>
        <v>74624</v>
      </c>
      <c r="AB215" s="54"/>
      <c r="AC215" s="54"/>
      <c r="AD215" s="54"/>
      <c r="AE215" s="54">
        <f t="shared" si="91"/>
        <v>74624</v>
      </c>
      <c r="AF215" s="54">
        <f t="shared" si="92"/>
        <v>10001.241614043858</v>
      </c>
      <c r="AG215" s="49">
        <f t="shared" si="93"/>
        <v>666071.20799999998</v>
      </c>
      <c r="AH215" s="49">
        <f t="shared" si="94"/>
        <v>756899.1</v>
      </c>
    </row>
    <row r="216" spans="1:34" s="56" customFormat="1">
      <c r="A216" s="136" t="s">
        <v>320</v>
      </c>
      <c r="B216" s="136"/>
      <c r="C216" s="136"/>
      <c r="D216" s="136"/>
      <c r="E216" s="144">
        <v>1</v>
      </c>
      <c r="F216" s="138"/>
      <c r="G216" s="139">
        <v>0.12</v>
      </c>
      <c r="H216" s="139">
        <v>0</v>
      </c>
      <c r="I216" s="49">
        <v>10712</v>
      </c>
      <c r="J216" s="49">
        <f t="shared" si="83"/>
        <v>8965.9439999999995</v>
      </c>
      <c r="K216" s="49">
        <f t="shared" si="84"/>
        <v>7890.0307199999997</v>
      </c>
      <c r="L216" s="138"/>
      <c r="M216" s="137">
        <v>0</v>
      </c>
      <c r="N216" s="50">
        <f t="shared" si="85"/>
        <v>0</v>
      </c>
      <c r="O216" s="50">
        <f t="shared" si="86"/>
        <v>0</v>
      </c>
      <c r="P216" s="140"/>
      <c r="Q216" s="137">
        <v>0</v>
      </c>
      <c r="R216" s="50">
        <f t="shared" si="87"/>
        <v>0</v>
      </c>
      <c r="S216" s="51">
        <f t="shared" si="88"/>
        <v>0</v>
      </c>
      <c r="T216" s="57">
        <v>25</v>
      </c>
      <c r="U216" s="52" t="s">
        <v>81</v>
      </c>
      <c r="V216" s="53">
        <f>SUMIF('Avoided Costs 2014-2023'!$A:$A,'2014 Actuals'!U216&amp;ROUNDDOWN('2014 Actuals'!T216,0),'Avoided Costs 2014-2023'!$E:$E)*K216</f>
        <v>25060.975012983457</v>
      </c>
      <c r="W216" s="53">
        <f>SUMIF('Avoided Costs 2014-2023'!$A:$A,'2014 Actuals'!U216&amp;ROUNDDOWN('2014 Actuals'!T216,0),'Avoided Costs 2014-2023'!$K:$K)*O216</f>
        <v>0</v>
      </c>
      <c r="X216" s="53">
        <f>SUMIF('Avoided Costs 2014-2023'!$A:$A,'2014 Actuals'!U216&amp;ROUNDDOWN('2014 Actuals'!T216,0),'Avoided Costs 2014-2023'!$M:$M)*S216</f>
        <v>0</v>
      </c>
      <c r="Y216" s="53">
        <f t="shared" si="89"/>
        <v>25060.975012983457</v>
      </c>
      <c r="Z216" s="55">
        <v>9231</v>
      </c>
      <c r="AA216" s="54">
        <f t="shared" si="90"/>
        <v>8123.28</v>
      </c>
      <c r="AB216" s="54"/>
      <c r="AC216" s="54"/>
      <c r="AD216" s="54"/>
      <c r="AE216" s="54">
        <f t="shared" si="91"/>
        <v>8123.28</v>
      </c>
      <c r="AF216" s="54">
        <f t="shared" si="92"/>
        <v>16937.695012983459</v>
      </c>
      <c r="AG216" s="49">
        <f t="shared" si="93"/>
        <v>197250.76799999998</v>
      </c>
      <c r="AH216" s="49">
        <f t="shared" si="94"/>
        <v>224148.59999999998</v>
      </c>
    </row>
    <row r="217" spans="1:34" s="56" customFormat="1">
      <c r="A217" s="136" t="s">
        <v>321</v>
      </c>
      <c r="B217" s="136"/>
      <c r="C217" s="136"/>
      <c r="D217" s="136"/>
      <c r="E217" s="144">
        <v>1</v>
      </c>
      <c r="F217" s="138"/>
      <c r="G217" s="139">
        <v>0.12</v>
      </c>
      <c r="H217" s="139">
        <v>0</v>
      </c>
      <c r="I217" s="49">
        <v>2669</v>
      </c>
      <c r="J217" s="49">
        <f t="shared" si="83"/>
        <v>2233.953</v>
      </c>
      <c r="K217" s="49">
        <f t="shared" si="84"/>
        <v>1965.8786399999999</v>
      </c>
      <c r="L217" s="138"/>
      <c r="M217" s="137">
        <v>0</v>
      </c>
      <c r="N217" s="50">
        <f t="shared" si="85"/>
        <v>0</v>
      </c>
      <c r="O217" s="50">
        <f t="shared" si="86"/>
        <v>0</v>
      </c>
      <c r="P217" s="140"/>
      <c r="Q217" s="137">
        <v>0</v>
      </c>
      <c r="R217" s="50">
        <f t="shared" si="87"/>
        <v>0</v>
      </c>
      <c r="S217" s="51">
        <f t="shared" si="88"/>
        <v>0</v>
      </c>
      <c r="T217" s="57">
        <v>25</v>
      </c>
      <c r="U217" s="52" t="s">
        <v>81</v>
      </c>
      <c r="V217" s="53">
        <f>SUMIF('Avoided Costs 2014-2023'!$A:$A,'2014 Actuals'!U217&amp;ROUNDDOWN('2014 Actuals'!T217,0),'Avoided Costs 2014-2023'!$E:$E)*K217</f>
        <v>6244.188042349967</v>
      </c>
      <c r="W217" s="53">
        <f>SUMIF('Avoided Costs 2014-2023'!$A:$A,'2014 Actuals'!U217&amp;ROUNDDOWN('2014 Actuals'!T217,0),'Avoided Costs 2014-2023'!$K:$K)*O217</f>
        <v>0</v>
      </c>
      <c r="X217" s="53">
        <f>SUMIF('Avoided Costs 2014-2023'!$A:$A,'2014 Actuals'!U217&amp;ROUNDDOWN('2014 Actuals'!T217,0),'Avoided Costs 2014-2023'!$M:$M)*S217</f>
        <v>0</v>
      </c>
      <c r="Y217" s="53">
        <f t="shared" si="89"/>
        <v>6244.188042349967</v>
      </c>
      <c r="Z217" s="55">
        <v>1094</v>
      </c>
      <c r="AA217" s="54">
        <f t="shared" si="90"/>
        <v>962.72</v>
      </c>
      <c r="AB217" s="54"/>
      <c r="AC217" s="54"/>
      <c r="AD217" s="54"/>
      <c r="AE217" s="54">
        <f t="shared" si="91"/>
        <v>962.72</v>
      </c>
      <c r="AF217" s="54">
        <f t="shared" si="92"/>
        <v>5281.4680423499667</v>
      </c>
      <c r="AG217" s="49">
        <f t="shared" si="93"/>
        <v>49146.966</v>
      </c>
      <c r="AH217" s="49">
        <f t="shared" si="94"/>
        <v>55848.824999999997</v>
      </c>
    </row>
    <row r="218" spans="1:34" s="56" customFormat="1">
      <c r="A218" s="136" t="s">
        <v>322</v>
      </c>
      <c r="B218" s="136"/>
      <c r="C218" s="136"/>
      <c r="D218" s="136"/>
      <c r="E218" s="144">
        <v>1</v>
      </c>
      <c r="F218" s="138"/>
      <c r="G218" s="139">
        <v>0.12</v>
      </c>
      <c r="H218" s="139">
        <v>0</v>
      </c>
      <c r="I218" s="49">
        <v>5797</v>
      </c>
      <c r="J218" s="49">
        <f t="shared" si="83"/>
        <v>4852.0889999999999</v>
      </c>
      <c r="K218" s="49">
        <f t="shared" si="84"/>
        <v>4269.8383199999998</v>
      </c>
      <c r="L218" s="138"/>
      <c r="M218" s="137">
        <v>0</v>
      </c>
      <c r="N218" s="50">
        <f t="shared" si="85"/>
        <v>0</v>
      </c>
      <c r="O218" s="50">
        <f t="shared" si="86"/>
        <v>0</v>
      </c>
      <c r="P218" s="140"/>
      <c r="Q218" s="137">
        <v>0</v>
      </c>
      <c r="R218" s="50">
        <f t="shared" si="87"/>
        <v>0</v>
      </c>
      <c r="S218" s="51">
        <f t="shared" si="88"/>
        <v>0</v>
      </c>
      <c r="T218" s="57">
        <v>25</v>
      </c>
      <c r="U218" s="52" t="s">
        <v>81</v>
      </c>
      <c r="V218" s="53">
        <f>SUMIF('Avoided Costs 2014-2023'!$A:$A,'2014 Actuals'!U218&amp;ROUNDDOWN('2014 Actuals'!T218,0),'Avoided Costs 2014-2023'!$E:$E)*K218</f>
        <v>13562.217340390693</v>
      </c>
      <c r="W218" s="53">
        <f>SUMIF('Avoided Costs 2014-2023'!$A:$A,'2014 Actuals'!U218&amp;ROUNDDOWN('2014 Actuals'!T218,0),'Avoided Costs 2014-2023'!$K:$K)*O218</f>
        <v>0</v>
      </c>
      <c r="X218" s="53">
        <f>SUMIF('Avoided Costs 2014-2023'!$A:$A,'2014 Actuals'!U218&amp;ROUNDDOWN('2014 Actuals'!T218,0),'Avoided Costs 2014-2023'!$M:$M)*S218</f>
        <v>0</v>
      </c>
      <c r="Y218" s="53">
        <f t="shared" si="89"/>
        <v>13562.217340390693</v>
      </c>
      <c r="Z218" s="55">
        <v>16925</v>
      </c>
      <c r="AA218" s="54">
        <f t="shared" si="90"/>
        <v>14894</v>
      </c>
      <c r="AB218" s="54"/>
      <c r="AC218" s="54"/>
      <c r="AD218" s="54"/>
      <c r="AE218" s="54">
        <f t="shared" si="91"/>
        <v>14894</v>
      </c>
      <c r="AF218" s="54">
        <f t="shared" si="92"/>
        <v>-1331.7826596093073</v>
      </c>
      <c r="AG218" s="49">
        <f t="shared" si="93"/>
        <v>106745.958</v>
      </c>
      <c r="AH218" s="49">
        <f t="shared" si="94"/>
        <v>121302.22500000001</v>
      </c>
    </row>
    <row r="219" spans="1:34" s="56" customFormat="1">
      <c r="A219" s="136" t="s">
        <v>323</v>
      </c>
      <c r="B219" s="136"/>
      <c r="C219" s="136"/>
      <c r="D219" s="136"/>
      <c r="E219" s="144">
        <v>1</v>
      </c>
      <c r="F219" s="138"/>
      <c r="G219" s="139">
        <v>0.12</v>
      </c>
      <c r="H219" s="139">
        <v>0</v>
      </c>
      <c r="I219" s="49">
        <v>25377</v>
      </c>
      <c r="J219" s="49">
        <f t="shared" si="83"/>
        <v>21240.548999999999</v>
      </c>
      <c r="K219" s="49">
        <f t="shared" si="84"/>
        <v>18691.683119999998</v>
      </c>
      <c r="L219" s="138"/>
      <c r="M219" s="137">
        <v>21783</v>
      </c>
      <c r="N219" s="50">
        <f t="shared" si="85"/>
        <v>21783</v>
      </c>
      <c r="O219" s="50">
        <f t="shared" si="86"/>
        <v>19169.04</v>
      </c>
      <c r="P219" s="140"/>
      <c r="Q219" s="137">
        <v>0</v>
      </c>
      <c r="R219" s="50">
        <f t="shared" si="87"/>
        <v>0</v>
      </c>
      <c r="S219" s="51">
        <f t="shared" si="88"/>
        <v>0</v>
      </c>
      <c r="T219" s="57">
        <v>15</v>
      </c>
      <c r="U219" s="52" t="s">
        <v>81</v>
      </c>
      <c r="V219" s="53">
        <f>SUMIF('Avoided Costs 2014-2023'!$A:$A,'2014 Actuals'!U219&amp;ROUNDDOWN('2014 Actuals'!T219,0),'Avoided Costs 2014-2023'!$E:$E)*K219</f>
        <v>43268.852304281783</v>
      </c>
      <c r="W219" s="53">
        <f>SUMIF('Avoided Costs 2014-2023'!$A:$A,'2014 Actuals'!U219&amp;ROUNDDOWN('2014 Actuals'!T219,0),'Avoided Costs 2014-2023'!$K:$K)*O219</f>
        <v>22667.013372292546</v>
      </c>
      <c r="X219" s="53">
        <f>SUMIF('Avoided Costs 2014-2023'!$A:$A,'2014 Actuals'!U219&amp;ROUNDDOWN('2014 Actuals'!T219,0),'Avoided Costs 2014-2023'!$M:$M)*S219</f>
        <v>0</v>
      </c>
      <c r="Y219" s="53">
        <f t="shared" si="89"/>
        <v>65935.865676574322</v>
      </c>
      <c r="Z219" s="55">
        <v>92500</v>
      </c>
      <c r="AA219" s="54">
        <f t="shared" si="90"/>
        <v>81400</v>
      </c>
      <c r="AB219" s="54"/>
      <c r="AC219" s="54"/>
      <c r="AD219" s="54"/>
      <c r="AE219" s="54">
        <f t="shared" si="91"/>
        <v>81400</v>
      </c>
      <c r="AF219" s="54">
        <f t="shared" si="92"/>
        <v>-15464.134323425678</v>
      </c>
      <c r="AG219" s="49">
        <f t="shared" si="93"/>
        <v>280375.24679999996</v>
      </c>
      <c r="AH219" s="49">
        <f t="shared" si="94"/>
        <v>318608.23499999999</v>
      </c>
    </row>
    <row r="220" spans="1:34" s="56" customFormat="1">
      <c r="A220" s="136" t="s">
        <v>324</v>
      </c>
      <c r="B220" s="136"/>
      <c r="C220" s="136"/>
      <c r="D220" s="136"/>
      <c r="E220" s="144">
        <v>1</v>
      </c>
      <c r="F220" s="138"/>
      <c r="G220" s="139">
        <v>0.12</v>
      </c>
      <c r="H220" s="139">
        <v>0</v>
      </c>
      <c r="I220" s="49">
        <v>21369</v>
      </c>
      <c r="J220" s="49">
        <f t="shared" si="83"/>
        <v>17885.852999999999</v>
      </c>
      <c r="K220" s="49">
        <f t="shared" si="84"/>
        <v>15739.550639999999</v>
      </c>
      <c r="L220" s="138"/>
      <c r="M220" s="137">
        <v>0</v>
      </c>
      <c r="N220" s="50">
        <f t="shared" si="85"/>
        <v>0</v>
      </c>
      <c r="O220" s="50">
        <f t="shared" si="86"/>
        <v>0</v>
      </c>
      <c r="P220" s="140"/>
      <c r="Q220" s="137">
        <v>0</v>
      </c>
      <c r="R220" s="50">
        <f t="shared" si="87"/>
        <v>0</v>
      </c>
      <c r="S220" s="51">
        <f t="shared" si="88"/>
        <v>0</v>
      </c>
      <c r="T220" s="57">
        <v>15</v>
      </c>
      <c r="U220" s="52" t="s">
        <v>81</v>
      </c>
      <c r="V220" s="53">
        <f>SUMIF('Avoided Costs 2014-2023'!$A:$A,'2014 Actuals'!U220&amp;ROUNDDOWN('2014 Actuals'!T220,0),'Avoided Costs 2014-2023'!$E:$E)*K220</f>
        <v>36435.043736067993</v>
      </c>
      <c r="W220" s="53">
        <f>SUMIF('Avoided Costs 2014-2023'!$A:$A,'2014 Actuals'!U220&amp;ROUNDDOWN('2014 Actuals'!T220,0),'Avoided Costs 2014-2023'!$K:$K)*O220</f>
        <v>0</v>
      </c>
      <c r="X220" s="53">
        <f>SUMIF('Avoided Costs 2014-2023'!$A:$A,'2014 Actuals'!U220&amp;ROUNDDOWN('2014 Actuals'!T220,0),'Avoided Costs 2014-2023'!$M:$M)*S220</f>
        <v>0</v>
      </c>
      <c r="Y220" s="53">
        <f t="shared" si="89"/>
        <v>36435.043736067993</v>
      </c>
      <c r="Z220" s="55">
        <v>9414</v>
      </c>
      <c r="AA220" s="54">
        <f t="shared" si="90"/>
        <v>8284.32</v>
      </c>
      <c r="AB220" s="54"/>
      <c r="AC220" s="54"/>
      <c r="AD220" s="54"/>
      <c r="AE220" s="54">
        <f t="shared" si="91"/>
        <v>8284.32</v>
      </c>
      <c r="AF220" s="54">
        <f t="shared" si="92"/>
        <v>28150.723736067994</v>
      </c>
      <c r="AG220" s="49">
        <f t="shared" si="93"/>
        <v>236093.25959999999</v>
      </c>
      <c r="AH220" s="49">
        <f t="shared" si="94"/>
        <v>268287.79499999998</v>
      </c>
    </row>
    <row r="221" spans="1:34" s="56" customFormat="1">
      <c r="A221" s="136" t="s">
        <v>325</v>
      </c>
      <c r="B221" s="136"/>
      <c r="C221" s="136"/>
      <c r="D221" s="136"/>
      <c r="E221" s="144">
        <v>1</v>
      </c>
      <c r="F221" s="138"/>
      <c r="G221" s="139">
        <v>0.12</v>
      </c>
      <c r="H221" s="139">
        <v>0</v>
      </c>
      <c r="I221" s="49">
        <v>260524</v>
      </c>
      <c r="J221" s="49">
        <f t="shared" si="83"/>
        <v>218058.58799999999</v>
      </c>
      <c r="K221" s="49">
        <f t="shared" si="84"/>
        <v>191891.55744</v>
      </c>
      <c r="L221" s="138"/>
      <c r="M221" s="137">
        <v>185589</v>
      </c>
      <c r="N221" s="50">
        <f t="shared" si="85"/>
        <v>185589</v>
      </c>
      <c r="O221" s="50">
        <f t="shared" si="86"/>
        <v>163318.32</v>
      </c>
      <c r="P221" s="140"/>
      <c r="Q221" s="137">
        <v>0</v>
      </c>
      <c r="R221" s="50">
        <f t="shared" si="87"/>
        <v>0</v>
      </c>
      <c r="S221" s="51">
        <f t="shared" si="88"/>
        <v>0</v>
      </c>
      <c r="T221" s="57">
        <v>15</v>
      </c>
      <c r="U221" s="52" t="s">
        <v>81</v>
      </c>
      <c r="V221" s="53">
        <f>SUMIF('Avoided Costs 2014-2023'!$A:$A,'2014 Actuals'!U221&amp;ROUNDDOWN('2014 Actuals'!T221,0),'Avoided Costs 2014-2023'!$E:$E)*K221</f>
        <v>444204.37710212823</v>
      </c>
      <c r="W221" s="53">
        <f>SUMIF('Avoided Costs 2014-2023'!$A:$A,'2014 Actuals'!U221&amp;ROUNDDOWN('2014 Actuals'!T221,0),'Avoided Costs 2014-2023'!$K:$K)*O221</f>
        <v>193120.70627325904</v>
      </c>
      <c r="X221" s="53">
        <f>SUMIF('Avoided Costs 2014-2023'!$A:$A,'2014 Actuals'!U221&amp;ROUNDDOWN('2014 Actuals'!T221,0),'Avoided Costs 2014-2023'!$M:$M)*S221</f>
        <v>0</v>
      </c>
      <c r="Y221" s="53">
        <f t="shared" si="89"/>
        <v>637325.08337538724</v>
      </c>
      <c r="Z221" s="55">
        <v>15000</v>
      </c>
      <c r="AA221" s="54">
        <f t="shared" si="90"/>
        <v>13200</v>
      </c>
      <c r="AB221" s="54"/>
      <c r="AC221" s="54"/>
      <c r="AD221" s="54"/>
      <c r="AE221" s="54">
        <f t="shared" si="91"/>
        <v>13200</v>
      </c>
      <c r="AF221" s="54">
        <f t="shared" si="92"/>
        <v>624125.08337538724</v>
      </c>
      <c r="AG221" s="49">
        <f t="shared" si="93"/>
        <v>2878373.3615999999</v>
      </c>
      <c r="AH221" s="49">
        <f t="shared" si="94"/>
        <v>3270878.82</v>
      </c>
    </row>
    <row r="222" spans="1:34" s="56" customFormat="1">
      <c r="A222" s="136" t="s">
        <v>326</v>
      </c>
      <c r="B222" s="136"/>
      <c r="C222" s="136"/>
      <c r="D222" s="136"/>
      <c r="E222" s="144">
        <v>1</v>
      </c>
      <c r="F222" s="138"/>
      <c r="G222" s="139">
        <v>0.12</v>
      </c>
      <c r="H222" s="139">
        <v>0</v>
      </c>
      <c r="I222" s="49">
        <v>3342</v>
      </c>
      <c r="J222" s="49">
        <f t="shared" si="83"/>
        <v>2797.2539999999999</v>
      </c>
      <c r="K222" s="49">
        <f t="shared" si="84"/>
        <v>2461.5835200000001</v>
      </c>
      <c r="L222" s="138"/>
      <c r="M222" s="137">
        <v>-4828</v>
      </c>
      <c r="N222" s="50">
        <f t="shared" si="85"/>
        <v>-4828</v>
      </c>
      <c r="O222" s="50">
        <f t="shared" si="86"/>
        <v>-4248.6400000000003</v>
      </c>
      <c r="P222" s="140"/>
      <c r="Q222" s="137">
        <v>0</v>
      </c>
      <c r="R222" s="50">
        <f t="shared" si="87"/>
        <v>0</v>
      </c>
      <c r="S222" s="51">
        <f t="shared" si="88"/>
        <v>0</v>
      </c>
      <c r="T222" s="57">
        <v>15</v>
      </c>
      <c r="U222" s="52" t="s">
        <v>81</v>
      </c>
      <c r="V222" s="53">
        <f>SUMIF('Avoided Costs 2014-2023'!$A:$A,'2014 Actuals'!U222&amp;ROUNDDOWN('2014 Actuals'!T222,0),'Avoided Costs 2014-2023'!$E:$E)*K222</f>
        <v>5698.2505576273688</v>
      </c>
      <c r="W222" s="53">
        <f>SUMIF('Avoided Costs 2014-2023'!$A:$A,'2014 Actuals'!U222&amp;ROUNDDOWN('2014 Actuals'!T222,0),'Avoided Costs 2014-2023'!$K:$K)*O222</f>
        <v>-5023.9333682885008</v>
      </c>
      <c r="X222" s="53">
        <f>SUMIF('Avoided Costs 2014-2023'!$A:$A,'2014 Actuals'!U222&amp;ROUNDDOWN('2014 Actuals'!T222,0),'Avoided Costs 2014-2023'!$M:$M)*S222</f>
        <v>0</v>
      </c>
      <c r="Y222" s="53">
        <f t="shared" si="89"/>
        <v>674.31718933886805</v>
      </c>
      <c r="Z222" s="55">
        <v>7524</v>
      </c>
      <c r="AA222" s="54">
        <f t="shared" si="90"/>
        <v>6621.12</v>
      </c>
      <c r="AB222" s="54"/>
      <c r="AC222" s="54"/>
      <c r="AD222" s="54"/>
      <c r="AE222" s="54">
        <f t="shared" si="91"/>
        <v>6621.12</v>
      </c>
      <c r="AF222" s="54">
        <f t="shared" si="92"/>
        <v>-5946.8028106611318</v>
      </c>
      <c r="AG222" s="49">
        <f t="shared" si="93"/>
        <v>36923.752800000002</v>
      </c>
      <c r="AH222" s="49">
        <f t="shared" si="94"/>
        <v>41958.81</v>
      </c>
    </row>
    <row r="223" spans="1:34" s="56" customFormat="1">
      <c r="A223" s="136" t="s">
        <v>327</v>
      </c>
      <c r="B223" s="136"/>
      <c r="C223" s="136"/>
      <c r="D223" s="136"/>
      <c r="E223" s="144">
        <v>1</v>
      </c>
      <c r="F223" s="138"/>
      <c r="G223" s="139">
        <v>0.12</v>
      </c>
      <c r="H223" s="139">
        <v>0</v>
      </c>
      <c r="I223" s="49">
        <v>6956</v>
      </c>
      <c r="J223" s="49">
        <f t="shared" si="83"/>
        <v>5822.1719999999996</v>
      </c>
      <c r="K223" s="49">
        <f t="shared" si="84"/>
        <v>5123.5113599999995</v>
      </c>
      <c r="L223" s="138"/>
      <c r="M223" s="137">
        <v>0</v>
      </c>
      <c r="N223" s="50">
        <f t="shared" si="85"/>
        <v>0</v>
      </c>
      <c r="O223" s="50">
        <f t="shared" si="86"/>
        <v>0</v>
      </c>
      <c r="P223" s="140"/>
      <c r="Q223" s="137">
        <v>0</v>
      </c>
      <c r="R223" s="50">
        <f t="shared" si="87"/>
        <v>0</v>
      </c>
      <c r="S223" s="51">
        <f t="shared" si="88"/>
        <v>0</v>
      </c>
      <c r="T223" s="57">
        <v>25</v>
      </c>
      <c r="U223" s="52" t="s">
        <v>81</v>
      </c>
      <c r="V223" s="53">
        <f>SUMIF('Avoided Costs 2014-2023'!$A:$A,'2014 Actuals'!U223&amp;ROUNDDOWN('2014 Actuals'!T223,0),'Avoided Costs 2014-2023'!$E:$E)*K223</f>
        <v>16273.724999095681</v>
      </c>
      <c r="W223" s="53">
        <f>SUMIF('Avoided Costs 2014-2023'!$A:$A,'2014 Actuals'!U223&amp;ROUNDDOWN('2014 Actuals'!T223,0),'Avoided Costs 2014-2023'!$K:$K)*O223</f>
        <v>0</v>
      </c>
      <c r="X223" s="53">
        <f>SUMIF('Avoided Costs 2014-2023'!$A:$A,'2014 Actuals'!U223&amp;ROUNDDOWN('2014 Actuals'!T223,0),'Avoided Costs 2014-2023'!$M:$M)*S223</f>
        <v>0</v>
      </c>
      <c r="Y223" s="53">
        <f t="shared" si="89"/>
        <v>16273.724999095681</v>
      </c>
      <c r="Z223" s="55">
        <v>60217</v>
      </c>
      <c r="AA223" s="54">
        <f t="shared" si="90"/>
        <v>52990.96</v>
      </c>
      <c r="AB223" s="54"/>
      <c r="AC223" s="54"/>
      <c r="AD223" s="54"/>
      <c r="AE223" s="54">
        <f t="shared" si="91"/>
        <v>52990.96</v>
      </c>
      <c r="AF223" s="54">
        <f t="shared" si="92"/>
        <v>-36717.235000904315</v>
      </c>
      <c r="AG223" s="49">
        <f t="shared" si="93"/>
        <v>128087.78399999999</v>
      </c>
      <c r="AH223" s="49">
        <f t="shared" si="94"/>
        <v>145554.29999999999</v>
      </c>
    </row>
    <row r="224" spans="1:34" s="56" customFormat="1">
      <c r="A224" s="136" t="s">
        <v>328</v>
      </c>
      <c r="B224" s="136"/>
      <c r="C224" s="136"/>
      <c r="D224" s="136"/>
      <c r="E224" s="144">
        <v>1</v>
      </c>
      <c r="F224" s="138"/>
      <c r="G224" s="139">
        <v>0.12</v>
      </c>
      <c r="H224" s="139">
        <v>0</v>
      </c>
      <c r="I224" s="49">
        <v>6564</v>
      </c>
      <c r="J224" s="49">
        <f t="shared" si="83"/>
        <v>5494.0680000000002</v>
      </c>
      <c r="K224" s="49">
        <f t="shared" si="84"/>
        <v>4834.7798400000001</v>
      </c>
      <c r="L224" s="138"/>
      <c r="M224" s="137">
        <v>4621</v>
      </c>
      <c r="N224" s="50">
        <f t="shared" si="85"/>
        <v>4621</v>
      </c>
      <c r="O224" s="50">
        <f t="shared" si="86"/>
        <v>4066.48</v>
      </c>
      <c r="P224" s="140"/>
      <c r="Q224" s="137">
        <v>0</v>
      </c>
      <c r="R224" s="50">
        <f t="shared" si="87"/>
        <v>0</v>
      </c>
      <c r="S224" s="51">
        <f t="shared" si="88"/>
        <v>0</v>
      </c>
      <c r="T224" s="57">
        <v>15</v>
      </c>
      <c r="U224" s="52" t="s">
        <v>81</v>
      </c>
      <c r="V224" s="53">
        <f>SUMIF('Avoided Costs 2014-2023'!$A:$A,'2014 Actuals'!U224&amp;ROUNDDOWN('2014 Actuals'!T224,0),'Avoided Costs 2014-2023'!$E:$E)*K224</f>
        <v>11191.896068302229</v>
      </c>
      <c r="W224" s="53">
        <f>SUMIF('Avoided Costs 2014-2023'!$A:$A,'2014 Actuals'!U224&amp;ROUNDDOWN('2014 Actuals'!T224,0),'Avoided Costs 2014-2023'!$K:$K)*O224</f>
        <v>4808.5327454144908</v>
      </c>
      <c r="X224" s="53">
        <f>SUMIF('Avoided Costs 2014-2023'!$A:$A,'2014 Actuals'!U224&amp;ROUNDDOWN('2014 Actuals'!T224,0),'Avoided Costs 2014-2023'!$M:$M)*S224</f>
        <v>0</v>
      </c>
      <c r="Y224" s="53">
        <f t="shared" si="89"/>
        <v>16000.42881371672</v>
      </c>
      <c r="Z224" s="55">
        <v>12916</v>
      </c>
      <c r="AA224" s="54">
        <f t="shared" si="90"/>
        <v>11366.08</v>
      </c>
      <c r="AB224" s="54"/>
      <c r="AC224" s="54"/>
      <c r="AD224" s="54"/>
      <c r="AE224" s="54">
        <f t="shared" si="91"/>
        <v>11366.08</v>
      </c>
      <c r="AF224" s="54">
        <f t="shared" si="92"/>
        <v>4634.3488137167205</v>
      </c>
      <c r="AG224" s="49">
        <f t="shared" si="93"/>
        <v>72521.6976</v>
      </c>
      <c r="AH224" s="49">
        <f t="shared" si="94"/>
        <v>82411.02</v>
      </c>
    </row>
    <row r="225" spans="1:34" s="56" customFormat="1">
      <c r="A225" s="136" t="s">
        <v>329</v>
      </c>
      <c r="B225" s="136"/>
      <c r="C225" s="136"/>
      <c r="D225" s="136"/>
      <c r="E225" s="144">
        <v>1</v>
      </c>
      <c r="F225" s="138"/>
      <c r="G225" s="139">
        <v>0.12</v>
      </c>
      <c r="H225" s="139">
        <v>0</v>
      </c>
      <c r="I225" s="49">
        <v>8195</v>
      </c>
      <c r="J225" s="49">
        <f t="shared" si="83"/>
        <v>6859.2150000000001</v>
      </c>
      <c r="K225" s="49">
        <f t="shared" si="84"/>
        <v>6036.1091999999999</v>
      </c>
      <c r="L225" s="138"/>
      <c r="M225" s="137">
        <v>0</v>
      </c>
      <c r="N225" s="50">
        <f t="shared" si="85"/>
        <v>0</v>
      </c>
      <c r="O225" s="50">
        <f t="shared" si="86"/>
        <v>0</v>
      </c>
      <c r="P225" s="140"/>
      <c r="Q225" s="137">
        <v>0</v>
      </c>
      <c r="R225" s="50">
        <f t="shared" si="87"/>
        <v>0</v>
      </c>
      <c r="S225" s="51">
        <f t="shared" si="88"/>
        <v>0</v>
      </c>
      <c r="T225" s="57">
        <v>25</v>
      </c>
      <c r="U225" s="52" t="s">
        <v>81</v>
      </c>
      <c r="V225" s="53">
        <f>SUMIF('Avoided Costs 2014-2023'!$A:$A,'2014 Actuals'!U225&amp;ROUNDDOWN('2014 Actuals'!T225,0),'Avoided Costs 2014-2023'!$E:$E)*K225</f>
        <v>19172.394532430866</v>
      </c>
      <c r="W225" s="53">
        <f>SUMIF('Avoided Costs 2014-2023'!$A:$A,'2014 Actuals'!U225&amp;ROUNDDOWN('2014 Actuals'!T225,0),'Avoided Costs 2014-2023'!$K:$K)*O225</f>
        <v>0</v>
      </c>
      <c r="X225" s="53">
        <f>SUMIF('Avoided Costs 2014-2023'!$A:$A,'2014 Actuals'!U225&amp;ROUNDDOWN('2014 Actuals'!T225,0),'Avoided Costs 2014-2023'!$M:$M)*S225</f>
        <v>0</v>
      </c>
      <c r="Y225" s="53">
        <f t="shared" si="89"/>
        <v>19172.394532430866</v>
      </c>
      <c r="Z225" s="55">
        <v>9790</v>
      </c>
      <c r="AA225" s="54">
        <f t="shared" si="90"/>
        <v>8615.2000000000007</v>
      </c>
      <c r="AB225" s="54"/>
      <c r="AC225" s="54"/>
      <c r="AD225" s="54"/>
      <c r="AE225" s="54">
        <f t="shared" si="91"/>
        <v>8615.2000000000007</v>
      </c>
      <c r="AF225" s="54">
        <f t="shared" si="92"/>
        <v>10557.194532430865</v>
      </c>
      <c r="AG225" s="49">
        <f t="shared" si="93"/>
        <v>150902.73000000001</v>
      </c>
      <c r="AH225" s="49">
        <f t="shared" si="94"/>
        <v>171480.375</v>
      </c>
    </row>
    <row r="226" spans="1:34" s="69" customFormat="1" collapsed="1">
      <c r="A226" s="145" t="s">
        <v>35</v>
      </c>
      <c r="B226" s="145" t="s">
        <v>330</v>
      </c>
      <c r="C226" s="65"/>
      <c r="D226" s="65">
        <v>0</v>
      </c>
      <c r="E226" s="51">
        <f>SUM(E193:E225)</f>
        <v>32</v>
      </c>
      <c r="F226" s="105"/>
      <c r="G226" s="147"/>
      <c r="H226" s="211"/>
      <c r="I226" s="49">
        <f>SUM(I193:I225)</f>
        <v>664658</v>
      </c>
      <c r="J226" s="49">
        <f>SUM(J193:J225)</f>
        <v>556318.74599999993</v>
      </c>
      <c r="K226" s="49">
        <f>SUM(K193:K225)</f>
        <v>489560.49648000003</v>
      </c>
      <c r="L226" s="146"/>
      <c r="M226" s="49">
        <f>SUM(M193:M225)</f>
        <v>233936</v>
      </c>
      <c r="N226" s="49">
        <f>SUM(N193:N225)</f>
        <v>233936</v>
      </c>
      <c r="O226" s="49">
        <f>SUM(O193:O225)</f>
        <v>205863.68000000002</v>
      </c>
      <c r="P226" s="148"/>
      <c r="Q226" s="49">
        <v>0</v>
      </c>
      <c r="R226" s="49">
        <f>SUM(R193:R225)</f>
        <v>0</v>
      </c>
      <c r="S226" s="49">
        <f>SUM(S193:S225)</f>
        <v>0</v>
      </c>
      <c r="T226" s="103"/>
      <c r="U226" s="65" t="s">
        <v>160</v>
      </c>
      <c r="V226" s="54">
        <f t="shared" ref="V226:AA226" si="95">SUM(V193:V225)</f>
        <v>1293292.4825645532</v>
      </c>
      <c r="W226" s="54">
        <f t="shared" si="95"/>
        <v>243429.75899833033</v>
      </c>
      <c r="X226" s="54">
        <f t="shared" si="95"/>
        <v>0</v>
      </c>
      <c r="Y226" s="54">
        <f t="shared" si="95"/>
        <v>1536722.2415628834</v>
      </c>
      <c r="Z226" s="55"/>
      <c r="AA226" s="54">
        <f t="shared" si="95"/>
        <v>544730.83279999986</v>
      </c>
      <c r="AB226" s="54">
        <v>96399.17</v>
      </c>
      <c r="AC226" s="54">
        <v>689300.78</v>
      </c>
      <c r="AD226" s="54">
        <f>AB226+AC226</f>
        <v>785699.95000000007</v>
      </c>
      <c r="AE226" s="54">
        <f t="shared" si="91"/>
        <v>1234031.6127999998</v>
      </c>
      <c r="AF226" s="212">
        <f t="shared" si="92"/>
        <v>302690.6287628836</v>
      </c>
      <c r="AG226" s="49">
        <f>SUM(AG193:AG225)</f>
        <v>9233597.1816000007</v>
      </c>
      <c r="AH226" s="49">
        <f>SUM(AH193:AH225)</f>
        <v>10492724.07</v>
      </c>
    </row>
    <row r="227" spans="1:34">
      <c r="A227" s="135"/>
      <c r="P227" s="23"/>
      <c r="Q227" s="11"/>
      <c r="S227" s="11"/>
      <c r="T227" s="48"/>
      <c r="AA227" s="40"/>
      <c r="AB227" s="40"/>
      <c r="AD227" s="40"/>
      <c r="AE227" s="40"/>
      <c r="AF227" s="40"/>
      <c r="AG227" s="38"/>
      <c r="AH227" s="38"/>
    </row>
    <row r="228" spans="1:34">
      <c r="A228" s="135" t="s">
        <v>331</v>
      </c>
      <c r="B228" s="9" t="s">
        <v>332</v>
      </c>
      <c r="K228" s="11"/>
      <c r="P228" s="23"/>
      <c r="Q228" s="11"/>
      <c r="S228" s="11"/>
      <c r="T228" s="48"/>
      <c r="AA228" s="40"/>
      <c r="AB228" s="40"/>
      <c r="AD228" s="40"/>
      <c r="AE228" s="40"/>
      <c r="AF228" s="40"/>
      <c r="AG228" s="38"/>
      <c r="AH228" s="38"/>
    </row>
    <row r="229" spans="1:34" s="56" customFormat="1">
      <c r="A229" s="62" t="s">
        <v>333</v>
      </c>
      <c r="B229" s="62"/>
      <c r="C229" s="62"/>
      <c r="D229" s="62"/>
      <c r="E229" s="141">
        <v>1</v>
      </c>
      <c r="F229" s="142"/>
      <c r="G229" s="143">
        <v>0.12</v>
      </c>
      <c r="H229" s="143">
        <v>0</v>
      </c>
      <c r="I229" s="49">
        <v>43265</v>
      </c>
      <c r="J229" s="49">
        <f t="shared" ref="J229:J273" si="96">+$I$42*I229</f>
        <v>36212.805</v>
      </c>
      <c r="K229" s="49">
        <f t="shared" ref="K229:K273" si="97">J229*(1-G229)</f>
        <v>31867.268400000001</v>
      </c>
      <c r="L229" s="58"/>
      <c r="M229" s="141">
        <v>0</v>
      </c>
      <c r="N229" s="50">
        <f t="shared" ref="N229:N273" si="98">+$M$42*M229</f>
        <v>0</v>
      </c>
      <c r="O229" s="50">
        <f t="shared" ref="O229:O273" si="99">N229*(1-G229)</f>
        <v>0</v>
      </c>
      <c r="P229" s="59"/>
      <c r="Q229" s="141">
        <v>0</v>
      </c>
      <c r="R229" s="50">
        <f t="shared" ref="R229:R273" si="100">+Q229*$Q$42</f>
        <v>0</v>
      </c>
      <c r="S229" s="51">
        <f t="shared" ref="S229:S273" si="101">R229*(1-G229)</f>
        <v>0</v>
      </c>
      <c r="T229" s="60">
        <v>25</v>
      </c>
      <c r="U229" s="61" t="s">
        <v>94</v>
      </c>
      <c r="V229" s="53">
        <f>SUMIF('Avoided Costs 2014-2023'!$A:$A,'2014 Actuals'!U229&amp;ROUNDDOWN('2014 Actuals'!T229,0),'Avoided Costs 2014-2023'!$E:$E)*K229</f>
        <v>94828.929432873963</v>
      </c>
      <c r="W229" s="53">
        <f>SUMIF('Avoided Costs 2014-2023'!$A:$A,'2014 Actuals'!U229&amp;ROUNDDOWN('2014 Actuals'!T229,0),'Avoided Costs 2014-2023'!$K:$K)*O229</f>
        <v>0</v>
      </c>
      <c r="X229" s="53">
        <f>SUMIF('Avoided Costs 2014-2023'!$A:$A,'2014 Actuals'!U229&amp;ROUNDDOWN('2014 Actuals'!T229,0),'Avoided Costs 2014-2023'!$M:$M)*S229</f>
        <v>0</v>
      </c>
      <c r="Y229" s="53">
        <f t="shared" ref="Y229:Y273" si="102">SUM(V229:X229)</f>
        <v>94828.929432873963</v>
      </c>
      <c r="Z229" s="55">
        <v>53600</v>
      </c>
      <c r="AA229" s="54">
        <f t="shared" ref="AA229:AA273" si="103">Z229*(1-G229)</f>
        <v>47168</v>
      </c>
      <c r="AB229" s="54"/>
      <c r="AC229" s="54"/>
      <c r="AD229" s="54"/>
      <c r="AE229" s="54">
        <f t="shared" ref="AE229:AE274" si="104">AA229+AC229</f>
        <v>47168</v>
      </c>
      <c r="AF229" s="54">
        <f t="shared" ref="AF229:AF274" si="105">Y229-AE229</f>
        <v>47660.929432873963</v>
      </c>
      <c r="AG229" s="49">
        <f t="shared" ref="AG229:AG273" si="106">K229*T229</f>
        <v>796681.71</v>
      </c>
      <c r="AH229" s="49">
        <f t="shared" ref="AH229:AH273" si="107">(J229*T229)</f>
        <v>905320.125</v>
      </c>
    </row>
    <row r="230" spans="1:34" s="56" customFormat="1">
      <c r="A230" s="62" t="s">
        <v>334</v>
      </c>
      <c r="B230" s="62"/>
      <c r="C230" s="62"/>
      <c r="D230" s="62"/>
      <c r="E230" s="141">
        <v>1</v>
      </c>
      <c r="F230" s="142"/>
      <c r="G230" s="143">
        <v>0.12</v>
      </c>
      <c r="H230" s="143">
        <v>0</v>
      </c>
      <c r="I230" s="49">
        <v>29744</v>
      </c>
      <c r="J230" s="49">
        <f t="shared" si="96"/>
        <v>24895.727999999999</v>
      </c>
      <c r="K230" s="49">
        <f t="shared" si="97"/>
        <v>21908.24064</v>
      </c>
      <c r="L230" s="58"/>
      <c r="M230" s="141">
        <v>0</v>
      </c>
      <c r="N230" s="50">
        <f t="shared" si="98"/>
        <v>0</v>
      </c>
      <c r="O230" s="50">
        <f t="shared" si="99"/>
        <v>0</v>
      </c>
      <c r="P230" s="59"/>
      <c r="Q230" s="141">
        <v>0</v>
      </c>
      <c r="R230" s="50">
        <f t="shared" si="100"/>
        <v>0</v>
      </c>
      <c r="S230" s="51">
        <f t="shared" si="101"/>
        <v>0</v>
      </c>
      <c r="T230" s="60">
        <v>5</v>
      </c>
      <c r="U230" s="61" t="s">
        <v>81</v>
      </c>
      <c r="V230" s="53">
        <f>SUMIF('Avoided Costs 2014-2023'!$A:$A,'2014 Actuals'!U230&amp;ROUNDDOWN('2014 Actuals'!T230,0),'Avoided Costs 2014-2023'!$E:$E)*K230</f>
        <v>18641.022540090675</v>
      </c>
      <c r="W230" s="53">
        <f>SUMIF('Avoided Costs 2014-2023'!$A:$A,'2014 Actuals'!U230&amp;ROUNDDOWN('2014 Actuals'!T230,0),'Avoided Costs 2014-2023'!$K:$K)*O230</f>
        <v>0</v>
      </c>
      <c r="X230" s="53">
        <f>SUMIF('Avoided Costs 2014-2023'!$A:$A,'2014 Actuals'!U230&amp;ROUNDDOWN('2014 Actuals'!T230,0),'Avoided Costs 2014-2023'!$M:$M)*S230</f>
        <v>0</v>
      </c>
      <c r="Y230" s="53">
        <f t="shared" si="102"/>
        <v>18641.022540090675</v>
      </c>
      <c r="Z230" s="55">
        <v>8142</v>
      </c>
      <c r="AA230" s="54">
        <f t="shared" si="103"/>
        <v>7164.96</v>
      </c>
      <c r="AB230" s="54"/>
      <c r="AC230" s="54"/>
      <c r="AD230" s="54"/>
      <c r="AE230" s="54">
        <f t="shared" si="104"/>
        <v>7164.96</v>
      </c>
      <c r="AF230" s="54">
        <f t="shared" si="105"/>
        <v>11476.062540090676</v>
      </c>
      <c r="AG230" s="49">
        <f t="shared" si="106"/>
        <v>109541.2032</v>
      </c>
      <c r="AH230" s="49">
        <f t="shared" si="107"/>
        <v>124478.64</v>
      </c>
    </row>
    <row r="231" spans="1:34" s="56" customFormat="1">
      <c r="A231" s="62" t="s">
        <v>335</v>
      </c>
      <c r="B231" s="62"/>
      <c r="C231" s="62"/>
      <c r="D231" s="62"/>
      <c r="E231" s="141">
        <v>1</v>
      </c>
      <c r="F231" s="142"/>
      <c r="G231" s="143">
        <v>0.12</v>
      </c>
      <c r="H231" s="143">
        <v>0</v>
      </c>
      <c r="I231" s="49">
        <v>48890</v>
      </c>
      <c r="J231" s="49">
        <f t="shared" si="96"/>
        <v>40920.93</v>
      </c>
      <c r="K231" s="49">
        <f t="shared" si="97"/>
        <v>36010.418400000002</v>
      </c>
      <c r="L231" s="58"/>
      <c r="M231" s="141">
        <v>0</v>
      </c>
      <c r="N231" s="50">
        <f t="shared" si="98"/>
        <v>0</v>
      </c>
      <c r="O231" s="50">
        <f t="shared" si="99"/>
        <v>0</v>
      </c>
      <c r="P231" s="59"/>
      <c r="Q231" s="141">
        <v>0</v>
      </c>
      <c r="R231" s="50">
        <f t="shared" si="100"/>
        <v>0</v>
      </c>
      <c r="S231" s="51">
        <f t="shared" si="101"/>
        <v>0</v>
      </c>
      <c r="T231" s="60">
        <v>5</v>
      </c>
      <c r="U231" s="61" t="s">
        <v>81</v>
      </c>
      <c r="V231" s="53">
        <f>SUMIF('Avoided Costs 2014-2023'!$A:$A,'2014 Actuals'!U231&amp;ROUNDDOWN('2014 Actuals'!T231,0),'Avoided Costs 2014-2023'!$E:$E)*K231</f>
        <v>30640.115384112196</v>
      </c>
      <c r="W231" s="53">
        <f>SUMIF('Avoided Costs 2014-2023'!$A:$A,'2014 Actuals'!U231&amp;ROUNDDOWN('2014 Actuals'!T231,0),'Avoided Costs 2014-2023'!$K:$K)*O231</f>
        <v>0</v>
      </c>
      <c r="X231" s="53">
        <f>SUMIF('Avoided Costs 2014-2023'!$A:$A,'2014 Actuals'!U231&amp;ROUNDDOWN('2014 Actuals'!T231,0),'Avoided Costs 2014-2023'!$M:$M)*S231</f>
        <v>0</v>
      </c>
      <c r="Y231" s="53">
        <f t="shared" si="102"/>
        <v>30640.115384112196</v>
      </c>
      <c r="Z231" s="55">
        <v>7086</v>
      </c>
      <c r="AA231" s="54">
        <f t="shared" si="103"/>
        <v>6235.68</v>
      </c>
      <c r="AB231" s="54"/>
      <c r="AC231" s="54"/>
      <c r="AD231" s="54"/>
      <c r="AE231" s="54">
        <f t="shared" si="104"/>
        <v>6235.68</v>
      </c>
      <c r="AF231" s="54">
        <f t="shared" si="105"/>
        <v>24404.435384112196</v>
      </c>
      <c r="AG231" s="49">
        <f t="shared" si="106"/>
        <v>180052.092</v>
      </c>
      <c r="AH231" s="49">
        <f t="shared" si="107"/>
        <v>204604.65</v>
      </c>
    </row>
    <row r="232" spans="1:34" s="56" customFormat="1">
      <c r="A232" s="62" t="s">
        <v>336</v>
      </c>
      <c r="B232" s="62"/>
      <c r="C232" s="62"/>
      <c r="D232" s="62"/>
      <c r="E232" s="141">
        <v>1</v>
      </c>
      <c r="F232" s="142"/>
      <c r="G232" s="143">
        <v>0.12</v>
      </c>
      <c r="H232" s="143">
        <v>0</v>
      </c>
      <c r="I232" s="49">
        <v>39573</v>
      </c>
      <c r="J232" s="49">
        <f t="shared" si="96"/>
        <v>33122.600999999995</v>
      </c>
      <c r="K232" s="49">
        <f t="shared" si="97"/>
        <v>29147.888879999995</v>
      </c>
      <c r="L232" s="58"/>
      <c r="M232" s="141">
        <v>0</v>
      </c>
      <c r="N232" s="50">
        <f t="shared" si="98"/>
        <v>0</v>
      </c>
      <c r="O232" s="50">
        <f t="shared" si="99"/>
        <v>0</v>
      </c>
      <c r="P232" s="59"/>
      <c r="Q232" s="141">
        <v>0</v>
      </c>
      <c r="R232" s="50">
        <f t="shared" si="100"/>
        <v>0</v>
      </c>
      <c r="S232" s="51">
        <f t="shared" si="101"/>
        <v>0</v>
      </c>
      <c r="T232" s="60">
        <v>5</v>
      </c>
      <c r="U232" s="61" t="s">
        <v>81</v>
      </c>
      <c r="V232" s="53">
        <f>SUMIF('Avoided Costs 2014-2023'!$A:$A,'2014 Actuals'!U232&amp;ROUNDDOWN('2014 Actuals'!T232,0),'Avoided Costs 2014-2023'!$E:$E)*K232</f>
        <v>24801.008101768697</v>
      </c>
      <c r="W232" s="53">
        <f>SUMIF('Avoided Costs 2014-2023'!$A:$A,'2014 Actuals'!U232&amp;ROUNDDOWN('2014 Actuals'!T232,0),'Avoided Costs 2014-2023'!$K:$K)*O232</f>
        <v>0</v>
      </c>
      <c r="X232" s="53">
        <f>SUMIF('Avoided Costs 2014-2023'!$A:$A,'2014 Actuals'!U232&amp;ROUNDDOWN('2014 Actuals'!T232,0),'Avoided Costs 2014-2023'!$M:$M)*S232</f>
        <v>0</v>
      </c>
      <c r="Y232" s="53">
        <f t="shared" si="102"/>
        <v>24801.008101768697</v>
      </c>
      <c r="Z232" s="55">
        <v>16266.46</v>
      </c>
      <c r="AA232" s="54">
        <f t="shared" si="103"/>
        <v>14314.4848</v>
      </c>
      <c r="AB232" s="54"/>
      <c r="AC232" s="54"/>
      <c r="AD232" s="54"/>
      <c r="AE232" s="54">
        <f t="shared" si="104"/>
        <v>14314.4848</v>
      </c>
      <c r="AF232" s="54">
        <f t="shared" si="105"/>
        <v>10486.523301768697</v>
      </c>
      <c r="AG232" s="49">
        <f t="shared" si="106"/>
        <v>145739.44439999998</v>
      </c>
      <c r="AH232" s="49">
        <f t="shared" si="107"/>
        <v>165613.00499999998</v>
      </c>
    </row>
    <row r="233" spans="1:34" s="56" customFormat="1">
      <c r="A233" s="62" t="s">
        <v>337</v>
      </c>
      <c r="B233" s="62"/>
      <c r="C233" s="62"/>
      <c r="D233" s="62"/>
      <c r="E233" s="141">
        <v>1</v>
      </c>
      <c r="F233" s="142"/>
      <c r="G233" s="143">
        <v>0.12</v>
      </c>
      <c r="H233" s="143">
        <v>0</v>
      </c>
      <c r="I233" s="49">
        <v>92672</v>
      </c>
      <c r="J233" s="49">
        <f t="shared" si="96"/>
        <v>77566.463999999993</v>
      </c>
      <c r="K233" s="49">
        <f t="shared" si="97"/>
        <v>68258.488319999989</v>
      </c>
      <c r="L233" s="58"/>
      <c r="M233" s="141">
        <v>0</v>
      </c>
      <c r="N233" s="50">
        <f t="shared" si="98"/>
        <v>0</v>
      </c>
      <c r="O233" s="50">
        <f t="shared" si="99"/>
        <v>0</v>
      </c>
      <c r="P233" s="59"/>
      <c r="Q233" s="141">
        <v>0</v>
      </c>
      <c r="R233" s="50">
        <f t="shared" si="100"/>
        <v>0</v>
      </c>
      <c r="S233" s="51">
        <f t="shared" si="101"/>
        <v>0</v>
      </c>
      <c r="T233" s="60">
        <v>5</v>
      </c>
      <c r="U233" s="61" t="s">
        <v>81</v>
      </c>
      <c r="V233" s="53">
        <f>SUMIF('Avoided Costs 2014-2023'!$A:$A,'2014 Actuals'!U233&amp;ROUNDDOWN('2014 Actuals'!T233,0),'Avoided Costs 2014-2023'!$E:$E)*K233</f>
        <v>58078.968559550922</v>
      </c>
      <c r="W233" s="53">
        <f>SUMIF('Avoided Costs 2014-2023'!$A:$A,'2014 Actuals'!U233&amp;ROUNDDOWN('2014 Actuals'!T233,0),'Avoided Costs 2014-2023'!$K:$K)*O233</f>
        <v>0</v>
      </c>
      <c r="X233" s="53">
        <f>SUMIF('Avoided Costs 2014-2023'!$A:$A,'2014 Actuals'!U233&amp;ROUNDDOWN('2014 Actuals'!T233,0),'Avoided Costs 2014-2023'!$M:$M)*S233</f>
        <v>0</v>
      </c>
      <c r="Y233" s="53">
        <f t="shared" si="102"/>
        <v>58078.968559550922</v>
      </c>
      <c r="Z233" s="55">
        <v>46891.01</v>
      </c>
      <c r="AA233" s="54">
        <f t="shared" si="103"/>
        <v>41264.088800000005</v>
      </c>
      <c r="AB233" s="54"/>
      <c r="AC233" s="54"/>
      <c r="AD233" s="54"/>
      <c r="AE233" s="54">
        <f t="shared" si="104"/>
        <v>41264.088800000005</v>
      </c>
      <c r="AF233" s="54">
        <f t="shared" si="105"/>
        <v>16814.879759550917</v>
      </c>
      <c r="AG233" s="49">
        <f t="shared" si="106"/>
        <v>341292.44159999996</v>
      </c>
      <c r="AH233" s="49">
        <f t="shared" si="107"/>
        <v>387832.31999999995</v>
      </c>
    </row>
    <row r="234" spans="1:34" s="56" customFormat="1">
      <c r="A234" s="62" t="s">
        <v>338</v>
      </c>
      <c r="B234" s="62"/>
      <c r="C234" s="62"/>
      <c r="D234" s="62"/>
      <c r="E234" s="141">
        <v>1</v>
      </c>
      <c r="F234" s="142"/>
      <c r="G234" s="143">
        <v>0.12</v>
      </c>
      <c r="H234" s="143">
        <v>0</v>
      </c>
      <c r="I234" s="49">
        <v>106742</v>
      </c>
      <c r="J234" s="49">
        <f t="shared" si="96"/>
        <v>89343.053999999989</v>
      </c>
      <c r="K234" s="49">
        <f t="shared" si="97"/>
        <v>78621.887519999989</v>
      </c>
      <c r="L234" s="58"/>
      <c r="M234" s="141">
        <v>0</v>
      </c>
      <c r="N234" s="50">
        <f t="shared" si="98"/>
        <v>0</v>
      </c>
      <c r="O234" s="50">
        <f t="shared" si="99"/>
        <v>0</v>
      </c>
      <c r="P234" s="59"/>
      <c r="Q234" s="141">
        <v>0</v>
      </c>
      <c r="R234" s="50">
        <f t="shared" si="100"/>
        <v>0</v>
      </c>
      <c r="S234" s="51">
        <f t="shared" si="101"/>
        <v>0</v>
      </c>
      <c r="T234" s="60">
        <v>5</v>
      </c>
      <c r="U234" s="61" t="s">
        <v>81</v>
      </c>
      <c r="V234" s="53">
        <f>SUMIF('Avoided Costs 2014-2023'!$A:$A,'2014 Actuals'!U234&amp;ROUNDDOWN('2014 Actuals'!T234,0),'Avoided Costs 2014-2023'!$E:$E)*K234</f>
        <v>66896.854087357395</v>
      </c>
      <c r="W234" s="53">
        <f>SUMIF('Avoided Costs 2014-2023'!$A:$A,'2014 Actuals'!U234&amp;ROUNDDOWN('2014 Actuals'!T234,0),'Avoided Costs 2014-2023'!$K:$K)*O234</f>
        <v>0</v>
      </c>
      <c r="X234" s="53">
        <f>SUMIF('Avoided Costs 2014-2023'!$A:$A,'2014 Actuals'!U234&amp;ROUNDDOWN('2014 Actuals'!T234,0),'Avoided Costs 2014-2023'!$M:$M)*S234</f>
        <v>0</v>
      </c>
      <c r="Y234" s="53">
        <f t="shared" si="102"/>
        <v>66896.854087357395</v>
      </c>
      <c r="Z234" s="55">
        <v>112000</v>
      </c>
      <c r="AA234" s="54">
        <f t="shared" si="103"/>
        <v>98560</v>
      </c>
      <c r="AB234" s="54"/>
      <c r="AC234" s="54"/>
      <c r="AD234" s="54"/>
      <c r="AE234" s="54">
        <f t="shared" si="104"/>
        <v>98560</v>
      </c>
      <c r="AF234" s="54">
        <f t="shared" si="105"/>
        <v>-31663.145912642605</v>
      </c>
      <c r="AG234" s="49">
        <f t="shared" si="106"/>
        <v>393109.43759999995</v>
      </c>
      <c r="AH234" s="49">
        <f t="shared" si="107"/>
        <v>446715.26999999996</v>
      </c>
    </row>
    <row r="235" spans="1:34" s="56" customFormat="1">
      <c r="A235" s="62" t="s">
        <v>339</v>
      </c>
      <c r="B235" s="62"/>
      <c r="C235" s="62"/>
      <c r="D235" s="62"/>
      <c r="E235" s="141">
        <v>1</v>
      </c>
      <c r="F235" s="142"/>
      <c r="G235" s="143">
        <v>0.12</v>
      </c>
      <c r="H235" s="143">
        <v>0</v>
      </c>
      <c r="I235" s="49">
        <v>2653</v>
      </c>
      <c r="J235" s="49">
        <f t="shared" si="96"/>
        <v>2220.5609999999997</v>
      </c>
      <c r="K235" s="49">
        <f t="shared" si="97"/>
        <v>1954.0936799999997</v>
      </c>
      <c r="L235" s="58"/>
      <c r="M235" s="141">
        <v>0</v>
      </c>
      <c r="N235" s="50">
        <f t="shared" si="98"/>
        <v>0</v>
      </c>
      <c r="O235" s="50">
        <f t="shared" si="99"/>
        <v>0</v>
      </c>
      <c r="P235" s="59"/>
      <c r="Q235" s="141">
        <v>0</v>
      </c>
      <c r="R235" s="50">
        <f t="shared" si="100"/>
        <v>0</v>
      </c>
      <c r="S235" s="51">
        <f t="shared" si="101"/>
        <v>0</v>
      </c>
      <c r="T235" s="60">
        <v>10</v>
      </c>
      <c r="U235" s="61" t="s">
        <v>81</v>
      </c>
      <c r="V235" s="53">
        <f>SUMIF('Avoided Costs 2014-2023'!$A:$A,'2014 Actuals'!U235&amp;ROUNDDOWN('2014 Actuals'!T235,0),'Avoided Costs 2014-2023'!$E:$E)*K235</f>
        <v>3327.0050363687865</v>
      </c>
      <c r="W235" s="53">
        <f>SUMIF('Avoided Costs 2014-2023'!$A:$A,'2014 Actuals'!U235&amp;ROUNDDOWN('2014 Actuals'!T235,0),'Avoided Costs 2014-2023'!$K:$K)*O235</f>
        <v>0</v>
      </c>
      <c r="X235" s="53">
        <f>SUMIF('Avoided Costs 2014-2023'!$A:$A,'2014 Actuals'!U235&amp;ROUNDDOWN('2014 Actuals'!T235,0),'Avoided Costs 2014-2023'!$M:$M)*S235</f>
        <v>0</v>
      </c>
      <c r="Y235" s="53">
        <f t="shared" si="102"/>
        <v>3327.0050363687865</v>
      </c>
      <c r="Z235" s="55">
        <v>13525</v>
      </c>
      <c r="AA235" s="54">
        <f t="shared" si="103"/>
        <v>11902</v>
      </c>
      <c r="AB235" s="54"/>
      <c r="AC235" s="54"/>
      <c r="AD235" s="54"/>
      <c r="AE235" s="54">
        <f t="shared" si="104"/>
        <v>11902</v>
      </c>
      <c r="AF235" s="54">
        <f t="shared" si="105"/>
        <v>-8574.994963631214</v>
      </c>
      <c r="AG235" s="49">
        <f t="shared" si="106"/>
        <v>19540.936799999996</v>
      </c>
      <c r="AH235" s="49">
        <f t="shared" si="107"/>
        <v>22205.609999999997</v>
      </c>
    </row>
    <row r="236" spans="1:34" s="56" customFormat="1">
      <c r="A236" s="62" t="s">
        <v>340</v>
      </c>
      <c r="B236" s="62"/>
      <c r="C236" s="62"/>
      <c r="D236" s="62"/>
      <c r="E236" s="141">
        <v>1</v>
      </c>
      <c r="F236" s="142"/>
      <c r="G236" s="143">
        <v>0.12</v>
      </c>
      <c r="H236" s="143">
        <v>0</v>
      </c>
      <c r="I236" s="49">
        <v>96948</v>
      </c>
      <c r="J236" s="49">
        <f t="shared" si="96"/>
        <v>81145.475999999995</v>
      </c>
      <c r="K236" s="49">
        <f t="shared" si="97"/>
        <v>71408.018880000003</v>
      </c>
      <c r="L236" s="58"/>
      <c r="M236" s="141">
        <v>0</v>
      </c>
      <c r="N236" s="50">
        <f t="shared" si="98"/>
        <v>0</v>
      </c>
      <c r="O236" s="50">
        <f t="shared" si="99"/>
        <v>0</v>
      </c>
      <c r="P236" s="59"/>
      <c r="Q236" s="141">
        <v>0</v>
      </c>
      <c r="R236" s="50">
        <f t="shared" si="100"/>
        <v>0</v>
      </c>
      <c r="S236" s="51">
        <f t="shared" si="101"/>
        <v>0</v>
      </c>
      <c r="T236" s="60">
        <v>5</v>
      </c>
      <c r="U236" s="61" t="s">
        <v>81</v>
      </c>
      <c r="V236" s="53">
        <f>SUMIF('Avoided Costs 2014-2023'!$A:$A,'2014 Actuals'!U236&amp;ROUNDDOWN('2014 Actuals'!T236,0),'Avoided Costs 2014-2023'!$E:$E)*K236</f>
        <v>60758.803564305766</v>
      </c>
      <c r="W236" s="53">
        <f>SUMIF('Avoided Costs 2014-2023'!$A:$A,'2014 Actuals'!U236&amp;ROUNDDOWN('2014 Actuals'!T236,0),'Avoided Costs 2014-2023'!$K:$K)*O236</f>
        <v>0</v>
      </c>
      <c r="X236" s="53">
        <f>SUMIF('Avoided Costs 2014-2023'!$A:$A,'2014 Actuals'!U236&amp;ROUNDDOWN('2014 Actuals'!T236,0),'Avoided Costs 2014-2023'!$M:$M)*S236</f>
        <v>0</v>
      </c>
      <c r="Y236" s="53">
        <f t="shared" si="102"/>
        <v>60758.803564305766</v>
      </c>
      <c r="Z236" s="55">
        <v>29792</v>
      </c>
      <c r="AA236" s="54">
        <f t="shared" si="103"/>
        <v>26216.959999999999</v>
      </c>
      <c r="AB236" s="54"/>
      <c r="AC236" s="54"/>
      <c r="AD236" s="54"/>
      <c r="AE236" s="54">
        <f t="shared" si="104"/>
        <v>26216.959999999999</v>
      </c>
      <c r="AF236" s="54">
        <f t="shared" si="105"/>
        <v>34541.843564305767</v>
      </c>
      <c r="AG236" s="49">
        <f t="shared" si="106"/>
        <v>357040.0944</v>
      </c>
      <c r="AH236" s="49">
        <f t="shared" si="107"/>
        <v>405727.38</v>
      </c>
    </row>
    <row r="237" spans="1:34" s="56" customFormat="1">
      <c r="A237" s="62" t="s">
        <v>341</v>
      </c>
      <c r="B237" s="62"/>
      <c r="C237" s="62"/>
      <c r="D237" s="62"/>
      <c r="E237" s="141">
        <v>1</v>
      </c>
      <c r="F237" s="142"/>
      <c r="G237" s="143">
        <v>0.12</v>
      </c>
      <c r="H237" s="143">
        <v>0</v>
      </c>
      <c r="I237" s="49">
        <v>44213</v>
      </c>
      <c r="J237" s="49">
        <f t="shared" si="96"/>
        <v>37006.280999999995</v>
      </c>
      <c r="K237" s="49">
        <f t="shared" si="97"/>
        <v>32565.527279999995</v>
      </c>
      <c r="L237" s="58"/>
      <c r="M237" s="141">
        <v>0</v>
      </c>
      <c r="N237" s="50">
        <f t="shared" si="98"/>
        <v>0</v>
      </c>
      <c r="O237" s="50">
        <f t="shared" si="99"/>
        <v>0</v>
      </c>
      <c r="P237" s="59"/>
      <c r="Q237" s="141">
        <v>0</v>
      </c>
      <c r="R237" s="50">
        <f t="shared" si="100"/>
        <v>0</v>
      </c>
      <c r="S237" s="51">
        <f t="shared" si="101"/>
        <v>0</v>
      </c>
      <c r="T237" s="60">
        <v>5</v>
      </c>
      <c r="U237" s="61" t="s">
        <v>81</v>
      </c>
      <c r="V237" s="53">
        <f>SUMIF('Avoided Costs 2014-2023'!$A:$A,'2014 Actuals'!U237&amp;ROUNDDOWN('2014 Actuals'!T237,0),'Avoided Costs 2014-2023'!$E:$E)*K237</f>
        <v>27708.967508237925</v>
      </c>
      <c r="W237" s="53">
        <f>SUMIF('Avoided Costs 2014-2023'!$A:$A,'2014 Actuals'!U237&amp;ROUNDDOWN('2014 Actuals'!T237,0),'Avoided Costs 2014-2023'!$K:$K)*O237</f>
        <v>0</v>
      </c>
      <c r="X237" s="53">
        <f>SUMIF('Avoided Costs 2014-2023'!$A:$A,'2014 Actuals'!U237&amp;ROUNDDOWN('2014 Actuals'!T237,0),'Avoided Costs 2014-2023'!$M:$M)*S237</f>
        <v>0</v>
      </c>
      <c r="Y237" s="53">
        <f t="shared" si="102"/>
        <v>27708.967508237925</v>
      </c>
      <c r="Z237" s="55">
        <v>59025</v>
      </c>
      <c r="AA237" s="54">
        <f t="shared" si="103"/>
        <v>51942</v>
      </c>
      <c r="AB237" s="54"/>
      <c r="AC237" s="54"/>
      <c r="AD237" s="54"/>
      <c r="AE237" s="54">
        <f t="shared" si="104"/>
        <v>51942</v>
      </c>
      <c r="AF237" s="54">
        <f t="shared" si="105"/>
        <v>-24233.032491762075</v>
      </c>
      <c r="AG237" s="49">
        <f t="shared" si="106"/>
        <v>162827.63639999996</v>
      </c>
      <c r="AH237" s="49">
        <f t="shared" si="107"/>
        <v>185031.40499999997</v>
      </c>
    </row>
    <row r="238" spans="1:34" s="56" customFormat="1">
      <c r="A238" s="62" t="s">
        <v>342</v>
      </c>
      <c r="B238" s="62"/>
      <c r="C238" s="62"/>
      <c r="D238" s="62"/>
      <c r="E238" s="141">
        <v>1</v>
      </c>
      <c r="F238" s="142"/>
      <c r="G238" s="143">
        <v>0.12</v>
      </c>
      <c r="H238" s="143">
        <v>0</v>
      </c>
      <c r="I238" s="49">
        <v>30695</v>
      </c>
      <c r="J238" s="49">
        <f t="shared" si="96"/>
        <v>25691.715</v>
      </c>
      <c r="K238" s="49">
        <f t="shared" si="97"/>
        <v>22608.709200000001</v>
      </c>
      <c r="L238" s="58"/>
      <c r="M238" s="141">
        <v>0</v>
      </c>
      <c r="N238" s="50">
        <f t="shared" si="98"/>
        <v>0</v>
      </c>
      <c r="O238" s="50">
        <f t="shared" si="99"/>
        <v>0</v>
      </c>
      <c r="P238" s="59"/>
      <c r="Q238" s="141">
        <v>0</v>
      </c>
      <c r="R238" s="50">
        <f t="shared" si="100"/>
        <v>0</v>
      </c>
      <c r="S238" s="51">
        <f t="shared" si="101"/>
        <v>0</v>
      </c>
      <c r="T238" s="63">
        <v>5</v>
      </c>
      <c r="U238" s="61" t="s">
        <v>81</v>
      </c>
      <c r="V238" s="53">
        <f>SUMIF('Avoided Costs 2014-2023'!$A:$A,'2014 Actuals'!U238&amp;ROUNDDOWN('2014 Actuals'!T238,0),'Avoided Costs 2014-2023'!$E:$E)*K238</f>
        <v>19237.028875339001</v>
      </c>
      <c r="W238" s="53">
        <f>SUMIF('Avoided Costs 2014-2023'!$A:$A,'2014 Actuals'!U238&amp;ROUNDDOWN('2014 Actuals'!T238,0),'Avoided Costs 2014-2023'!$K:$K)*O238</f>
        <v>0</v>
      </c>
      <c r="X238" s="53">
        <f>SUMIF('Avoided Costs 2014-2023'!$A:$A,'2014 Actuals'!U238&amp;ROUNDDOWN('2014 Actuals'!T238,0),'Avoided Costs 2014-2023'!$M:$M)*S238</f>
        <v>0</v>
      </c>
      <c r="Y238" s="53">
        <f t="shared" si="102"/>
        <v>19237.028875339001</v>
      </c>
      <c r="Z238" s="55">
        <v>5725</v>
      </c>
      <c r="AA238" s="54">
        <f t="shared" si="103"/>
        <v>5038</v>
      </c>
      <c r="AB238" s="54"/>
      <c r="AC238" s="54"/>
      <c r="AD238" s="54"/>
      <c r="AE238" s="54">
        <f t="shared" si="104"/>
        <v>5038</v>
      </c>
      <c r="AF238" s="54">
        <f t="shared" si="105"/>
        <v>14199.028875339001</v>
      </c>
      <c r="AG238" s="49">
        <f t="shared" si="106"/>
        <v>113043.546</v>
      </c>
      <c r="AH238" s="49">
        <f t="shared" si="107"/>
        <v>128458.575</v>
      </c>
    </row>
    <row r="239" spans="1:34" s="56" customFormat="1">
      <c r="A239" s="62" t="s">
        <v>343</v>
      </c>
      <c r="B239" s="62"/>
      <c r="C239" s="62"/>
      <c r="D239" s="62"/>
      <c r="E239" s="141">
        <v>1</v>
      </c>
      <c r="F239" s="142"/>
      <c r="G239" s="143">
        <v>0.12</v>
      </c>
      <c r="H239" s="143">
        <v>0</v>
      </c>
      <c r="I239" s="49">
        <v>25109</v>
      </c>
      <c r="J239" s="49">
        <f t="shared" si="96"/>
        <v>21016.233</v>
      </c>
      <c r="K239" s="49">
        <f t="shared" si="97"/>
        <v>18494.285039999999</v>
      </c>
      <c r="L239" s="58"/>
      <c r="M239" s="141">
        <v>0</v>
      </c>
      <c r="N239" s="50">
        <f t="shared" si="98"/>
        <v>0</v>
      </c>
      <c r="O239" s="50">
        <f t="shared" si="99"/>
        <v>0</v>
      </c>
      <c r="P239" s="59"/>
      <c r="Q239" s="141">
        <v>0</v>
      </c>
      <c r="R239" s="50">
        <f t="shared" si="100"/>
        <v>0</v>
      </c>
      <c r="S239" s="51">
        <f t="shared" si="101"/>
        <v>0</v>
      </c>
      <c r="T239" s="63">
        <v>5</v>
      </c>
      <c r="U239" s="61" t="s">
        <v>81</v>
      </c>
      <c r="V239" s="53">
        <f>SUMIF('Avoided Costs 2014-2023'!$A:$A,'2014 Actuals'!U239&amp;ROUNDDOWN('2014 Actuals'!T239,0),'Avoided Costs 2014-2023'!$E:$E)*K239</f>
        <v>15736.196710568071</v>
      </c>
      <c r="W239" s="53">
        <f>SUMIF('Avoided Costs 2014-2023'!$A:$A,'2014 Actuals'!U239&amp;ROUNDDOWN('2014 Actuals'!T239,0),'Avoided Costs 2014-2023'!$K:$K)*O239</f>
        <v>0</v>
      </c>
      <c r="X239" s="53">
        <f>SUMIF('Avoided Costs 2014-2023'!$A:$A,'2014 Actuals'!U239&amp;ROUNDDOWN('2014 Actuals'!T239,0),'Avoided Costs 2014-2023'!$M:$M)*S239</f>
        <v>0</v>
      </c>
      <c r="Y239" s="53">
        <f t="shared" si="102"/>
        <v>15736.196710568071</v>
      </c>
      <c r="Z239" s="55">
        <v>3397</v>
      </c>
      <c r="AA239" s="54">
        <f t="shared" si="103"/>
        <v>2989.36</v>
      </c>
      <c r="AB239" s="54"/>
      <c r="AC239" s="54"/>
      <c r="AD239" s="54"/>
      <c r="AE239" s="54">
        <f t="shared" si="104"/>
        <v>2989.36</v>
      </c>
      <c r="AF239" s="54">
        <f t="shared" si="105"/>
        <v>12746.83671056807</v>
      </c>
      <c r="AG239" s="49">
        <f t="shared" si="106"/>
        <v>92471.425199999998</v>
      </c>
      <c r="AH239" s="49">
        <f t="shared" si="107"/>
        <v>105081.16500000001</v>
      </c>
    </row>
    <row r="240" spans="1:34" s="56" customFormat="1">
      <c r="A240" s="62" t="s">
        <v>344</v>
      </c>
      <c r="B240" s="62"/>
      <c r="C240" s="62"/>
      <c r="D240" s="62"/>
      <c r="E240" s="141">
        <v>1</v>
      </c>
      <c r="F240" s="142"/>
      <c r="G240" s="143">
        <v>0.12</v>
      </c>
      <c r="H240" s="143">
        <v>0</v>
      </c>
      <c r="I240" s="49">
        <v>2194</v>
      </c>
      <c r="J240" s="49">
        <f t="shared" si="96"/>
        <v>1836.3779999999999</v>
      </c>
      <c r="K240" s="49">
        <f t="shared" si="97"/>
        <v>1616.0126399999999</v>
      </c>
      <c r="L240" s="58"/>
      <c r="M240" s="141">
        <v>0</v>
      </c>
      <c r="N240" s="50">
        <f t="shared" si="98"/>
        <v>0</v>
      </c>
      <c r="O240" s="50">
        <f t="shared" si="99"/>
        <v>0</v>
      </c>
      <c r="P240" s="59"/>
      <c r="Q240" s="141">
        <v>0</v>
      </c>
      <c r="R240" s="50">
        <f t="shared" si="100"/>
        <v>0</v>
      </c>
      <c r="S240" s="51">
        <f t="shared" si="101"/>
        <v>0</v>
      </c>
      <c r="T240" s="63">
        <v>25</v>
      </c>
      <c r="U240" s="61" t="s">
        <v>94</v>
      </c>
      <c r="V240" s="53">
        <f>SUMIF('Avoided Costs 2014-2023'!$A:$A,'2014 Actuals'!U240&amp;ROUNDDOWN('2014 Actuals'!T240,0),'Avoided Costs 2014-2023'!$E:$E)*K240</f>
        <v>4808.8448208881418</v>
      </c>
      <c r="W240" s="53">
        <f>SUMIF('Avoided Costs 2014-2023'!$A:$A,'2014 Actuals'!U240&amp;ROUNDDOWN('2014 Actuals'!T240,0),'Avoided Costs 2014-2023'!$K:$K)*O240</f>
        <v>0</v>
      </c>
      <c r="X240" s="53">
        <f>SUMIF('Avoided Costs 2014-2023'!$A:$A,'2014 Actuals'!U240&amp;ROUNDDOWN('2014 Actuals'!T240,0),'Avoided Costs 2014-2023'!$M:$M)*S240</f>
        <v>0</v>
      </c>
      <c r="Y240" s="53">
        <f t="shared" si="102"/>
        <v>4808.8448208881418</v>
      </c>
      <c r="Z240" s="55">
        <v>6984</v>
      </c>
      <c r="AA240" s="54">
        <f t="shared" si="103"/>
        <v>6145.92</v>
      </c>
      <c r="AB240" s="54"/>
      <c r="AC240" s="54"/>
      <c r="AD240" s="54"/>
      <c r="AE240" s="54">
        <f t="shared" si="104"/>
        <v>6145.92</v>
      </c>
      <c r="AF240" s="54">
        <f t="shared" si="105"/>
        <v>-1337.0751791118582</v>
      </c>
      <c r="AG240" s="49">
        <f t="shared" si="106"/>
        <v>40400.315999999999</v>
      </c>
      <c r="AH240" s="49">
        <f t="shared" si="107"/>
        <v>45909.45</v>
      </c>
    </row>
    <row r="241" spans="1:34" s="56" customFormat="1">
      <c r="A241" s="62" t="s">
        <v>345</v>
      </c>
      <c r="B241" s="62"/>
      <c r="C241" s="62"/>
      <c r="D241" s="62"/>
      <c r="E241" s="141">
        <v>1</v>
      </c>
      <c r="F241" s="142"/>
      <c r="G241" s="143">
        <v>0.12</v>
      </c>
      <c r="H241" s="143">
        <v>0</v>
      </c>
      <c r="I241" s="49">
        <v>26777</v>
      </c>
      <c r="J241" s="49">
        <f t="shared" si="96"/>
        <v>22412.348999999998</v>
      </c>
      <c r="K241" s="49">
        <f t="shared" si="97"/>
        <v>19722.867119999999</v>
      </c>
      <c r="L241" s="58"/>
      <c r="M241" s="141">
        <v>0</v>
      </c>
      <c r="N241" s="50">
        <f t="shared" si="98"/>
        <v>0</v>
      </c>
      <c r="O241" s="50">
        <f t="shared" si="99"/>
        <v>0</v>
      </c>
      <c r="P241" s="59"/>
      <c r="Q241" s="141">
        <v>0</v>
      </c>
      <c r="R241" s="50">
        <f t="shared" si="100"/>
        <v>0</v>
      </c>
      <c r="S241" s="51">
        <f t="shared" si="101"/>
        <v>0</v>
      </c>
      <c r="T241" s="63">
        <v>15.747</v>
      </c>
      <c r="U241" s="61" t="s">
        <v>81</v>
      </c>
      <c r="V241" s="53">
        <f>SUMIF('Avoided Costs 2014-2023'!$A:$A,'2014 Actuals'!U241&amp;ROUNDDOWN('2014 Actuals'!T241,0),'Avoided Costs 2014-2023'!$E:$E)*K241</f>
        <v>45655.911185394383</v>
      </c>
      <c r="W241" s="53">
        <f>SUMIF('Avoided Costs 2014-2023'!$A:$A,'2014 Actuals'!U241&amp;ROUNDDOWN('2014 Actuals'!T241,0),'Avoided Costs 2014-2023'!$K:$K)*O241</f>
        <v>0</v>
      </c>
      <c r="X241" s="53">
        <f>SUMIF('Avoided Costs 2014-2023'!$A:$A,'2014 Actuals'!U241&amp;ROUNDDOWN('2014 Actuals'!T241,0),'Avoided Costs 2014-2023'!$M:$M)*S241</f>
        <v>0</v>
      </c>
      <c r="Y241" s="53">
        <f t="shared" si="102"/>
        <v>45655.911185394383</v>
      </c>
      <c r="Z241" s="55">
        <v>27295</v>
      </c>
      <c r="AA241" s="54">
        <f t="shared" si="103"/>
        <v>24019.599999999999</v>
      </c>
      <c r="AB241" s="54"/>
      <c r="AC241" s="54"/>
      <c r="AD241" s="54"/>
      <c r="AE241" s="54">
        <f t="shared" si="104"/>
        <v>24019.599999999999</v>
      </c>
      <c r="AF241" s="54">
        <f t="shared" si="105"/>
        <v>21636.311185394385</v>
      </c>
      <c r="AG241" s="49">
        <f t="shared" si="106"/>
        <v>310575.98853863997</v>
      </c>
      <c r="AH241" s="49">
        <f t="shared" si="107"/>
        <v>352927.25970299996</v>
      </c>
    </row>
    <row r="242" spans="1:34" s="56" customFormat="1">
      <c r="A242" s="62" t="s">
        <v>346</v>
      </c>
      <c r="B242" s="62"/>
      <c r="C242" s="62"/>
      <c r="D242" s="62"/>
      <c r="E242" s="141">
        <v>1</v>
      </c>
      <c r="F242" s="142"/>
      <c r="G242" s="143">
        <v>0.12</v>
      </c>
      <c r="H242" s="143">
        <v>0</v>
      </c>
      <c r="I242" s="49">
        <v>114818</v>
      </c>
      <c r="J242" s="49">
        <f t="shared" si="96"/>
        <v>96102.665999999997</v>
      </c>
      <c r="K242" s="49">
        <f t="shared" si="97"/>
        <v>84570.346080000003</v>
      </c>
      <c r="L242" s="58"/>
      <c r="M242" s="141">
        <v>1492868</v>
      </c>
      <c r="N242" s="50">
        <f t="shared" si="98"/>
        <v>1492868</v>
      </c>
      <c r="O242" s="50">
        <f t="shared" si="99"/>
        <v>1313723.8400000001</v>
      </c>
      <c r="P242" s="59"/>
      <c r="Q242" s="141">
        <v>0</v>
      </c>
      <c r="R242" s="50">
        <f t="shared" si="100"/>
        <v>0</v>
      </c>
      <c r="S242" s="51">
        <f t="shared" si="101"/>
        <v>0</v>
      </c>
      <c r="T242" s="63">
        <v>15</v>
      </c>
      <c r="U242" s="61" t="s">
        <v>81</v>
      </c>
      <c r="V242" s="53">
        <f>SUMIF('Avoided Costs 2014-2023'!$A:$A,'2014 Actuals'!U242&amp;ROUNDDOWN('2014 Actuals'!T242,0),'Avoided Costs 2014-2023'!$E:$E)*K242</f>
        <v>195769.51900827623</v>
      </c>
      <c r="W242" s="53">
        <f>SUMIF('Avoided Costs 2014-2023'!$A:$A,'2014 Actuals'!U242&amp;ROUNDDOWN('2014 Actuals'!T242,0),'Avoided Costs 2014-2023'!$K:$K)*O242</f>
        <v>1553452.6428438521</v>
      </c>
      <c r="X242" s="53">
        <f>SUMIF('Avoided Costs 2014-2023'!$A:$A,'2014 Actuals'!U242&amp;ROUNDDOWN('2014 Actuals'!T242,0),'Avoided Costs 2014-2023'!$M:$M)*S242</f>
        <v>0</v>
      </c>
      <c r="Y242" s="53">
        <f t="shared" si="102"/>
        <v>1749222.1618521283</v>
      </c>
      <c r="Z242" s="55">
        <v>117907.2</v>
      </c>
      <c r="AA242" s="54">
        <f t="shared" si="103"/>
        <v>103758.336</v>
      </c>
      <c r="AB242" s="54"/>
      <c r="AC242" s="54"/>
      <c r="AD242" s="54"/>
      <c r="AE242" s="54">
        <f t="shared" si="104"/>
        <v>103758.336</v>
      </c>
      <c r="AF242" s="54">
        <f t="shared" si="105"/>
        <v>1645463.8258521284</v>
      </c>
      <c r="AG242" s="49">
        <f t="shared" si="106"/>
        <v>1268555.1912</v>
      </c>
      <c r="AH242" s="49">
        <f t="shared" si="107"/>
        <v>1441539.99</v>
      </c>
    </row>
    <row r="243" spans="1:34" s="56" customFormat="1">
      <c r="A243" s="62" t="s">
        <v>347</v>
      </c>
      <c r="B243" s="62"/>
      <c r="C243" s="62"/>
      <c r="D243" s="62"/>
      <c r="E243" s="141">
        <v>1</v>
      </c>
      <c r="F243" s="142"/>
      <c r="G243" s="143">
        <v>0.12</v>
      </c>
      <c r="H243" s="143">
        <v>0</v>
      </c>
      <c r="I243" s="49">
        <v>4874</v>
      </c>
      <c r="J243" s="49">
        <f t="shared" si="96"/>
        <v>4079.538</v>
      </c>
      <c r="K243" s="49">
        <f t="shared" si="97"/>
        <v>3589.9934400000002</v>
      </c>
      <c r="L243" s="58"/>
      <c r="M243" s="141">
        <v>0</v>
      </c>
      <c r="N243" s="50">
        <f t="shared" si="98"/>
        <v>0</v>
      </c>
      <c r="O243" s="50">
        <f t="shared" si="99"/>
        <v>0</v>
      </c>
      <c r="P243" s="59"/>
      <c r="Q243" s="141">
        <v>0</v>
      </c>
      <c r="R243" s="50">
        <f t="shared" si="100"/>
        <v>0</v>
      </c>
      <c r="S243" s="51">
        <f t="shared" si="101"/>
        <v>0</v>
      </c>
      <c r="T243" s="63">
        <v>10</v>
      </c>
      <c r="U243" s="61" t="s">
        <v>81</v>
      </c>
      <c r="V243" s="53">
        <f>SUMIF('Avoided Costs 2014-2023'!$A:$A,'2014 Actuals'!U243&amp;ROUNDDOWN('2014 Actuals'!T243,0),'Avoided Costs 2014-2023'!$E:$E)*K243</f>
        <v>6112.2587814781264</v>
      </c>
      <c r="W243" s="53">
        <f>SUMIF('Avoided Costs 2014-2023'!$A:$A,'2014 Actuals'!U243&amp;ROUNDDOWN('2014 Actuals'!T243,0),'Avoided Costs 2014-2023'!$K:$K)*O243</f>
        <v>0</v>
      </c>
      <c r="X243" s="53">
        <f>SUMIF('Avoided Costs 2014-2023'!$A:$A,'2014 Actuals'!U243&amp;ROUNDDOWN('2014 Actuals'!T243,0),'Avoided Costs 2014-2023'!$M:$M)*S243</f>
        <v>0</v>
      </c>
      <c r="Y243" s="53">
        <f t="shared" si="102"/>
        <v>6112.2587814781264</v>
      </c>
      <c r="Z243" s="55">
        <v>47301</v>
      </c>
      <c r="AA243" s="54">
        <f t="shared" si="103"/>
        <v>41624.879999999997</v>
      </c>
      <c r="AB243" s="54"/>
      <c r="AC243" s="54"/>
      <c r="AD243" s="54"/>
      <c r="AE243" s="54">
        <f t="shared" si="104"/>
        <v>41624.879999999997</v>
      </c>
      <c r="AF243" s="54">
        <f t="shared" si="105"/>
        <v>-35512.621218521868</v>
      </c>
      <c r="AG243" s="49">
        <f t="shared" si="106"/>
        <v>35899.934399999998</v>
      </c>
      <c r="AH243" s="49">
        <f t="shared" si="107"/>
        <v>40795.379999999997</v>
      </c>
    </row>
    <row r="244" spans="1:34" s="56" customFormat="1">
      <c r="A244" s="62" t="s">
        <v>348</v>
      </c>
      <c r="B244" s="62"/>
      <c r="C244" s="62"/>
      <c r="D244" s="62"/>
      <c r="E244" s="141">
        <v>1</v>
      </c>
      <c r="F244" s="142"/>
      <c r="G244" s="143">
        <v>0.12</v>
      </c>
      <c r="H244" s="143">
        <v>0</v>
      </c>
      <c r="I244" s="49">
        <v>395554</v>
      </c>
      <c r="J244" s="49">
        <f t="shared" si="96"/>
        <v>331078.69799999997</v>
      </c>
      <c r="K244" s="49">
        <f t="shared" si="97"/>
        <v>291349.25423999998</v>
      </c>
      <c r="L244" s="58"/>
      <c r="M244" s="141">
        <v>0</v>
      </c>
      <c r="N244" s="50">
        <f t="shared" si="98"/>
        <v>0</v>
      </c>
      <c r="O244" s="50">
        <f t="shared" si="99"/>
        <v>0</v>
      </c>
      <c r="P244" s="59"/>
      <c r="Q244" s="141">
        <v>0</v>
      </c>
      <c r="R244" s="50">
        <f t="shared" si="100"/>
        <v>0</v>
      </c>
      <c r="S244" s="51">
        <f t="shared" si="101"/>
        <v>0</v>
      </c>
      <c r="T244" s="63">
        <v>5</v>
      </c>
      <c r="U244" s="61" t="s">
        <v>81</v>
      </c>
      <c r="V244" s="53">
        <f>SUMIF('Avoided Costs 2014-2023'!$A:$A,'2014 Actuals'!U244&amp;ROUNDDOWN('2014 Actuals'!T244,0),'Avoided Costs 2014-2023'!$E:$E)*K244</f>
        <v>247899.77910916574</v>
      </c>
      <c r="W244" s="53">
        <f>SUMIF('Avoided Costs 2014-2023'!$A:$A,'2014 Actuals'!U244&amp;ROUNDDOWN('2014 Actuals'!T244,0),'Avoided Costs 2014-2023'!$K:$K)*O244</f>
        <v>0</v>
      </c>
      <c r="X244" s="53">
        <f>SUMIF('Avoided Costs 2014-2023'!$A:$A,'2014 Actuals'!U244&amp;ROUNDDOWN('2014 Actuals'!T244,0),'Avoided Costs 2014-2023'!$M:$M)*S244</f>
        <v>0</v>
      </c>
      <c r="Y244" s="53">
        <f t="shared" si="102"/>
        <v>247899.77910916574</v>
      </c>
      <c r="Z244" s="55">
        <v>21975</v>
      </c>
      <c r="AA244" s="54">
        <f t="shared" si="103"/>
        <v>19338</v>
      </c>
      <c r="AB244" s="54"/>
      <c r="AC244" s="54"/>
      <c r="AD244" s="54"/>
      <c r="AE244" s="54">
        <f t="shared" si="104"/>
        <v>19338</v>
      </c>
      <c r="AF244" s="54">
        <f t="shared" si="105"/>
        <v>228561.77910916574</v>
      </c>
      <c r="AG244" s="49">
        <f t="shared" si="106"/>
        <v>1456746.2711999998</v>
      </c>
      <c r="AH244" s="49">
        <f t="shared" si="107"/>
        <v>1655393.4899999998</v>
      </c>
    </row>
    <row r="245" spans="1:34" s="56" customFormat="1">
      <c r="A245" s="62" t="s">
        <v>349</v>
      </c>
      <c r="B245" s="62"/>
      <c r="C245" s="62"/>
      <c r="D245" s="62"/>
      <c r="E245" s="141">
        <v>1</v>
      </c>
      <c r="F245" s="142"/>
      <c r="G245" s="143">
        <v>0.12</v>
      </c>
      <c r="H245" s="143">
        <v>0</v>
      </c>
      <c r="I245" s="49">
        <v>29205</v>
      </c>
      <c r="J245" s="49">
        <f t="shared" si="96"/>
        <v>24444.584999999999</v>
      </c>
      <c r="K245" s="49">
        <f t="shared" si="97"/>
        <v>21511.234799999998</v>
      </c>
      <c r="L245" s="58"/>
      <c r="M245" s="141">
        <v>0</v>
      </c>
      <c r="N245" s="50">
        <f t="shared" si="98"/>
        <v>0</v>
      </c>
      <c r="O245" s="50">
        <f t="shared" si="99"/>
        <v>0</v>
      </c>
      <c r="P245" s="59"/>
      <c r="Q245" s="141">
        <v>0</v>
      </c>
      <c r="R245" s="50">
        <f t="shared" si="100"/>
        <v>0</v>
      </c>
      <c r="S245" s="51">
        <f t="shared" si="101"/>
        <v>0</v>
      </c>
      <c r="T245" s="63">
        <v>22.322001</v>
      </c>
      <c r="U245" s="61" t="s">
        <v>94</v>
      </c>
      <c r="V245" s="53">
        <f>SUMIF('Avoided Costs 2014-2023'!$A:$A,'2014 Actuals'!U245&amp;ROUNDDOWN('2014 Actuals'!T245,0),'Avoided Costs 2014-2023'!$E:$E)*K245</f>
        <v>59640.057540231013</v>
      </c>
      <c r="W245" s="53">
        <f>SUMIF('Avoided Costs 2014-2023'!$A:$A,'2014 Actuals'!U245&amp;ROUNDDOWN('2014 Actuals'!T245,0),'Avoided Costs 2014-2023'!$K:$K)*O245</f>
        <v>0</v>
      </c>
      <c r="X245" s="53">
        <f>SUMIF('Avoided Costs 2014-2023'!$A:$A,'2014 Actuals'!U245&amp;ROUNDDOWN('2014 Actuals'!T245,0),'Avoided Costs 2014-2023'!$M:$M)*S245</f>
        <v>0</v>
      </c>
      <c r="Y245" s="53">
        <f t="shared" si="102"/>
        <v>59640.057540231013</v>
      </c>
      <c r="Z245" s="55">
        <v>55645.760000000002</v>
      </c>
      <c r="AA245" s="54">
        <f t="shared" si="103"/>
        <v>48968.268800000005</v>
      </c>
      <c r="AB245" s="54"/>
      <c r="AC245" s="54"/>
      <c r="AD245" s="54"/>
      <c r="AE245" s="54">
        <f t="shared" si="104"/>
        <v>48968.268800000005</v>
      </c>
      <c r="AF245" s="54">
        <f t="shared" si="105"/>
        <v>10671.788740231008</v>
      </c>
      <c r="AG245" s="49">
        <f t="shared" si="106"/>
        <v>480173.80471683474</v>
      </c>
      <c r="AH245" s="49">
        <f t="shared" si="107"/>
        <v>545652.05081458495</v>
      </c>
    </row>
    <row r="246" spans="1:34" s="56" customFormat="1">
      <c r="A246" s="62" t="s">
        <v>350</v>
      </c>
      <c r="B246" s="62"/>
      <c r="C246" s="62"/>
      <c r="D246" s="62"/>
      <c r="E246" s="141">
        <v>1</v>
      </c>
      <c r="F246" s="142"/>
      <c r="G246" s="143">
        <v>0.12</v>
      </c>
      <c r="H246" s="143">
        <v>0</v>
      </c>
      <c r="I246" s="49">
        <v>3466</v>
      </c>
      <c r="J246" s="49">
        <f t="shared" si="96"/>
        <v>2901.0419999999999</v>
      </c>
      <c r="K246" s="49">
        <f t="shared" si="97"/>
        <v>2552.91696</v>
      </c>
      <c r="L246" s="58"/>
      <c r="M246" s="141">
        <v>0</v>
      </c>
      <c r="N246" s="50">
        <f t="shared" si="98"/>
        <v>0</v>
      </c>
      <c r="O246" s="50">
        <f t="shared" si="99"/>
        <v>0</v>
      </c>
      <c r="P246" s="59"/>
      <c r="Q246" s="141">
        <v>0</v>
      </c>
      <c r="R246" s="50">
        <f t="shared" si="100"/>
        <v>0</v>
      </c>
      <c r="S246" s="51">
        <f t="shared" si="101"/>
        <v>0</v>
      </c>
      <c r="T246" s="63">
        <v>10</v>
      </c>
      <c r="U246" s="61" t="s">
        <v>81</v>
      </c>
      <c r="V246" s="53">
        <f>SUMIF('Avoided Costs 2014-2023'!$A:$A,'2014 Actuals'!U246&amp;ROUNDDOWN('2014 Actuals'!T246,0),'Avoided Costs 2014-2023'!$E:$E)*K246</f>
        <v>4346.5508692251096</v>
      </c>
      <c r="W246" s="53">
        <f>SUMIF('Avoided Costs 2014-2023'!$A:$A,'2014 Actuals'!U246&amp;ROUNDDOWN('2014 Actuals'!T246,0),'Avoided Costs 2014-2023'!$K:$K)*O246</f>
        <v>0</v>
      </c>
      <c r="X246" s="53">
        <f>SUMIF('Avoided Costs 2014-2023'!$A:$A,'2014 Actuals'!U246&amp;ROUNDDOWN('2014 Actuals'!T246,0),'Avoided Costs 2014-2023'!$M:$M)*S246</f>
        <v>0</v>
      </c>
      <c r="Y246" s="53">
        <f t="shared" si="102"/>
        <v>4346.5508692251096</v>
      </c>
      <c r="Z246" s="55">
        <v>12750</v>
      </c>
      <c r="AA246" s="54">
        <f t="shared" si="103"/>
        <v>11220</v>
      </c>
      <c r="AB246" s="54"/>
      <c r="AC246" s="54"/>
      <c r="AD246" s="54"/>
      <c r="AE246" s="54">
        <f t="shared" si="104"/>
        <v>11220</v>
      </c>
      <c r="AF246" s="54">
        <f t="shared" si="105"/>
        <v>-6873.4491307748904</v>
      </c>
      <c r="AG246" s="49">
        <f t="shared" si="106"/>
        <v>25529.169600000001</v>
      </c>
      <c r="AH246" s="49">
        <f t="shared" si="107"/>
        <v>29010.42</v>
      </c>
    </row>
    <row r="247" spans="1:34" s="56" customFormat="1">
      <c r="A247" s="62" t="s">
        <v>351</v>
      </c>
      <c r="B247" s="62"/>
      <c r="C247" s="62"/>
      <c r="D247" s="62"/>
      <c r="E247" s="141">
        <v>1</v>
      </c>
      <c r="F247" s="142"/>
      <c r="G247" s="143">
        <v>0.12</v>
      </c>
      <c r="H247" s="143">
        <v>0</v>
      </c>
      <c r="I247" s="49">
        <v>31255</v>
      </c>
      <c r="J247" s="49">
        <f t="shared" si="96"/>
        <v>26160.434999999998</v>
      </c>
      <c r="K247" s="49">
        <f t="shared" si="97"/>
        <v>23021.182799999999</v>
      </c>
      <c r="L247" s="58"/>
      <c r="M247" s="141">
        <v>0</v>
      </c>
      <c r="N247" s="50">
        <f t="shared" si="98"/>
        <v>0</v>
      </c>
      <c r="O247" s="50">
        <f t="shared" si="99"/>
        <v>0</v>
      </c>
      <c r="P247" s="59"/>
      <c r="Q247" s="141">
        <v>0</v>
      </c>
      <c r="R247" s="50">
        <f t="shared" si="100"/>
        <v>0</v>
      </c>
      <c r="S247" s="51">
        <f t="shared" si="101"/>
        <v>0</v>
      </c>
      <c r="T247" s="60">
        <v>5</v>
      </c>
      <c r="U247" s="61" t="s">
        <v>81</v>
      </c>
      <c r="V247" s="53">
        <f>SUMIF('Avoided Costs 2014-2023'!$A:$A,'2014 Actuals'!U247&amp;ROUNDDOWN('2014 Actuals'!T247,0),'Avoided Costs 2014-2023'!$E:$E)*K247</f>
        <v>19587.989493361147</v>
      </c>
      <c r="W247" s="53">
        <f>SUMIF('Avoided Costs 2014-2023'!$A:$A,'2014 Actuals'!U247&amp;ROUNDDOWN('2014 Actuals'!T247,0),'Avoided Costs 2014-2023'!$K:$K)*O247</f>
        <v>0</v>
      </c>
      <c r="X247" s="53">
        <f>SUMIF('Avoided Costs 2014-2023'!$A:$A,'2014 Actuals'!U247&amp;ROUNDDOWN('2014 Actuals'!T247,0),'Avoided Costs 2014-2023'!$M:$M)*S247</f>
        <v>0</v>
      </c>
      <c r="Y247" s="53">
        <f t="shared" si="102"/>
        <v>19587.989493361147</v>
      </c>
      <c r="Z247" s="55">
        <v>7616</v>
      </c>
      <c r="AA247" s="54">
        <f t="shared" si="103"/>
        <v>6702.08</v>
      </c>
      <c r="AB247" s="54"/>
      <c r="AC247" s="54"/>
      <c r="AD247" s="54"/>
      <c r="AE247" s="54">
        <f t="shared" si="104"/>
        <v>6702.08</v>
      </c>
      <c r="AF247" s="54">
        <f t="shared" si="105"/>
        <v>12885.909493361147</v>
      </c>
      <c r="AG247" s="49">
        <f t="shared" si="106"/>
        <v>115105.91399999999</v>
      </c>
      <c r="AH247" s="49">
        <f t="shared" si="107"/>
        <v>130802.17499999999</v>
      </c>
    </row>
    <row r="248" spans="1:34" s="56" customFormat="1">
      <c r="A248" s="62" t="s">
        <v>352</v>
      </c>
      <c r="B248" s="62"/>
      <c r="C248" s="62"/>
      <c r="D248" s="62"/>
      <c r="E248" s="141">
        <v>1</v>
      </c>
      <c r="F248" s="142"/>
      <c r="G248" s="143">
        <v>0.12</v>
      </c>
      <c r="H248" s="143">
        <v>0</v>
      </c>
      <c r="I248" s="49">
        <v>146041</v>
      </c>
      <c r="J248" s="49">
        <f t="shared" si="96"/>
        <v>122236.317</v>
      </c>
      <c r="K248" s="49">
        <f t="shared" si="97"/>
        <v>107567.95896</v>
      </c>
      <c r="L248" s="58"/>
      <c r="M248" s="141">
        <v>0</v>
      </c>
      <c r="N248" s="50">
        <f t="shared" si="98"/>
        <v>0</v>
      </c>
      <c r="O248" s="50">
        <f t="shared" si="99"/>
        <v>0</v>
      </c>
      <c r="P248" s="59"/>
      <c r="Q248" s="141">
        <v>0</v>
      </c>
      <c r="R248" s="50">
        <f t="shared" si="100"/>
        <v>0</v>
      </c>
      <c r="S248" s="51">
        <f t="shared" si="101"/>
        <v>0</v>
      </c>
      <c r="T248" s="60">
        <v>5</v>
      </c>
      <c r="U248" s="61" t="s">
        <v>81</v>
      </c>
      <c r="V248" s="53">
        <f>SUMIF('Avoided Costs 2014-2023'!$A:$A,'2014 Actuals'!U248&amp;ROUNDDOWN('2014 Actuals'!T248,0),'Avoided Costs 2014-2023'!$E:$E)*K248</f>
        <v>91526.142172450986</v>
      </c>
      <c r="W248" s="53">
        <f>SUMIF('Avoided Costs 2014-2023'!$A:$A,'2014 Actuals'!U248&amp;ROUNDDOWN('2014 Actuals'!T248,0),'Avoided Costs 2014-2023'!$K:$K)*O248</f>
        <v>0</v>
      </c>
      <c r="X248" s="53">
        <f>SUMIF('Avoided Costs 2014-2023'!$A:$A,'2014 Actuals'!U248&amp;ROUNDDOWN('2014 Actuals'!T248,0),'Avoided Costs 2014-2023'!$M:$M)*S248</f>
        <v>0</v>
      </c>
      <c r="Y248" s="53">
        <f t="shared" si="102"/>
        <v>91526.142172450986</v>
      </c>
      <c r="Z248" s="55">
        <v>6567.34</v>
      </c>
      <c r="AA248" s="54">
        <f t="shared" si="103"/>
        <v>5779.2592000000004</v>
      </c>
      <c r="AB248" s="54"/>
      <c r="AC248" s="54"/>
      <c r="AD248" s="54"/>
      <c r="AE248" s="54">
        <f t="shared" si="104"/>
        <v>5779.2592000000004</v>
      </c>
      <c r="AF248" s="54">
        <f t="shared" si="105"/>
        <v>85746.882972450985</v>
      </c>
      <c r="AG248" s="49">
        <f t="shared" si="106"/>
        <v>537839.79480000003</v>
      </c>
      <c r="AH248" s="49">
        <f t="shared" si="107"/>
        <v>611181.58499999996</v>
      </c>
    </row>
    <row r="249" spans="1:34" s="56" customFormat="1">
      <c r="A249" s="62" t="s">
        <v>353</v>
      </c>
      <c r="B249" s="62"/>
      <c r="C249" s="62"/>
      <c r="D249" s="62"/>
      <c r="E249" s="141">
        <v>1</v>
      </c>
      <c r="F249" s="142"/>
      <c r="G249" s="143">
        <v>0.12</v>
      </c>
      <c r="H249" s="143">
        <v>0</v>
      </c>
      <c r="I249" s="49">
        <v>19335</v>
      </c>
      <c r="J249" s="49">
        <f t="shared" si="96"/>
        <v>16183.394999999999</v>
      </c>
      <c r="K249" s="49">
        <f t="shared" si="97"/>
        <v>14241.387599999998</v>
      </c>
      <c r="L249" s="58"/>
      <c r="M249" s="141">
        <v>0</v>
      </c>
      <c r="N249" s="50">
        <f t="shared" si="98"/>
        <v>0</v>
      </c>
      <c r="O249" s="50">
        <f t="shared" si="99"/>
        <v>0</v>
      </c>
      <c r="P249" s="59"/>
      <c r="Q249" s="141">
        <v>0</v>
      </c>
      <c r="R249" s="50">
        <f t="shared" si="100"/>
        <v>0</v>
      </c>
      <c r="S249" s="51">
        <f t="shared" si="101"/>
        <v>0</v>
      </c>
      <c r="T249" s="60">
        <v>15</v>
      </c>
      <c r="U249" s="61" t="s">
        <v>81</v>
      </c>
      <c r="V249" s="53">
        <f>SUMIF('Avoided Costs 2014-2023'!$A:$A,'2014 Actuals'!U249&amp;ROUNDDOWN('2014 Actuals'!T249,0),'Avoided Costs 2014-2023'!$E:$E)*K249</f>
        <v>32966.988190222968</v>
      </c>
      <c r="W249" s="53">
        <f>SUMIF('Avoided Costs 2014-2023'!$A:$A,'2014 Actuals'!U249&amp;ROUNDDOWN('2014 Actuals'!T249,0),'Avoided Costs 2014-2023'!$K:$K)*O249</f>
        <v>0</v>
      </c>
      <c r="X249" s="53">
        <f>SUMIF('Avoided Costs 2014-2023'!$A:$A,'2014 Actuals'!U249&amp;ROUNDDOWN('2014 Actuals'!T249,0),'Avoided Costs 2014-2023'!$M:$M)*S249</f>
        <v>0</v>
      </c>
      <c r="Y249" s="53">
        <f t="shared" si="102"/>
        <v>32966.988190222968</v>
      </c>
      <c r="Z249" s="55">
        <v>8972</v>
      </c>
      <c r="AA249" s="54">
        <f t="shared" si="103"/>
        <v>7895.36</v>
      </c>
      <c r="AB249" s="54"/>
      <c r="AC249" s="54"/>
      <c r="AD249" s="54"/>
      <c r="AE249" s="54">
        <f t="shared" si="104"/>
        <v>7895.36</v>
      </c>
      <c r="AF249" s="54">
        <f t="shared" si="105"/>
        <v>25071.628190222968</v>
      </c>
      <c r="AG249" s="49">
        <f t="shared" si="106"/>
        <v>213620.81399999998</v>
      </c>
      <c r="AH249" s="49">
        <f t="shared" si="107"/>
        <v>242750.92499999999</v>
      </c>
    </row>
    <row r="250" spans="1:34" s="56" customFormat="1">
      <c r="A250" s="62" t="s">
        <v>354</v>
      </c>
      <c r="B250" s="62"/>
      <c r="C250" s="62"/>
      <c r="D250" s="62"/>
      <c r="E250" s="141">
        <v>1</v>
      </c>
      <c r="F250" s="142"/>
      <c r="G250" s="143">
        <v>0.12</v>
      </c>
      <c r="H250" s="143">
        <v>0</v>
      </c>
      <c r="I250" s="49">
        <v>42948</v>
      </c>
      <c r="J250" s="49">
        <f t="shared" si="96"/>
        <v>35947.475999999995</v>
      </c>
      <c r="K250" s="49">
        <f t="shared" si="97"/>
        <v>31633.778879999994</v>
      </c>
      <c r="L250" s="58"/>
      <c r="M250" s="141">
        <v>0</v>
      </c>
      <c r="N250" s="50">
        <f t="shared" si="98"/>
        <v>0</v>
      </c>
      <c r="O250" s="50">
        <f t="shared" si="99"/>
        <v>0</v>
      </c>
      <c r="P250" s="59"/>
      <c r="Q250" s="141">
        <v>0</v>
      </c>
      <c r="R250" s="50">
        <f t="shared" si="100"/>
        <v>0</v>
      </c>
      <c r="S250" s="51">
        <f t="shared" si="101"/>
        <v>0</v>
      </c>
      <c r="T250" s="60">
        <v>5</v>
      </c>
      <c r="U250" s="61" t="s">
        <v>81</v>
      </c>
      <c r="V250" s="53">
        <f>SUMIF('Avoided Costs 2014-2023'!$A:$A,'2014 Actuals'!U250&amp;ROUNDDOWN('2014 Actuals'!T250,0),'Avoided Costs 2014-2023'!$E:$E)*K250</f>
        <v>26916.172540741463</v>
      </c>
      <c r="W250" s="53">
        <f>SUMIF('Avoided Costs 2014-2023'!$A:$A,'2014 Actuals'!U250&amp;ROUNDDOWN('2014 Actuals'!T250,0),'Avoided Costs 2014-2023'!$K:$K)*O250</f>
        <v>0</v>
      </c>
      <c r="X250" s="53">
        <f>SUMIF('Avoided Costs 2014-2023'!$A:$A,'2014 Actuals'!U250&amp;ROUNDDOWN('2014 Actuals'!T250,0),'Avoided Costs 2014-2023'!$M:$M)*S250</f>
        <v>0</v>
      </c>
      <c r="Y250" s="53">
        <f t="shared" si="102"/>
        <v>26916.172540741463</v>
      </c>
      <c r="Z250" s="55">
        <v>5601</v>
      </c>
      <c r="AA250" s="54">
        <f t="shared" si="103"/>
        <v>4928.88</v>
      </c>
      <c r="AB250" s="54"/>
      <c r="AC250" s="54"/>
      <c r="AD250" s="54"/>
      <c r="AE250" s="54">
        <f t="shared" si="104"/>
        <v>4928.88</v>
      </c>
      <c r="AF250" s="54">
        <f t="shared" si="105"/>
        <v>21987.292540741462</v>
      </c>
      <c r="AG250" s="49">
        <f t="shared" si="106"/>
        <v>158168.89439999996</v>
      </c>
      <c r="AH250" s="49">
        <f t="shared" si="107"/>
        <v>179737.37999999998</v>
      </c>
    </row>
    <row r="251" spans="1:34" s="56" customFormat="1">
      <c r="A251" s="62" t="s">
        <v>355</v>
      </c>
      <c r="B251" s="62"/>
      <c r="C251" s="62"/>
      <c r="D251" s="62"/>
      <c r="E251" s="141">
        <v>1</v>
      </c>
      <c r="F251" s="142"/>
      <c r="G251" s="143">
        <v>0.12</v>
      </c>
      <c r="H251" s="143">
        <v>0</v>
      </c>
      <c r="I251" s="49">
        <v>49902</v>
      </c>
      <c r="J251" s="49">
        <f t="shared" si="96"/>
        <v>41767.973999999995</v>
      </c>
      <c r="K251" s="49">
        <f t="shared" si="97"/>
        <v>36755.817119999992</v>
      </c>
      <c r="L251" s="58"/>
      <c r="M251" s="141">
        <v>0</v>
      </c>
      <c r="N251" s="50">
        <f t="shared" si="98"/>
        <v>0</v>
      </c>
      <c r="O251" s="50">
        <f t="shared" si="99"/>
        <v>0</v>
      </c>
      <c r="P251" s="59"/>
      <c r="Q251" s="141">
        <v>0</v>
      </c>
      <c r="R251" s="50">
        <f t="shared" si="100"/>
        <v>0</v>
      </c>
      <c r="S251" s="51">
        <f t="shared" si="101"/>
        <v>0</v>
      </c>
      <c r="T251" s="60">
        <v>15</v>
      </c>
      <c r="U251" s="61" t="s">
        <v>81</v>
      </c>
      <c r="V251" s="53">
        <f>SUMIF('Avoided Costs 2014-2023'!$A:$A,'2014 Actuals'!U251&amp;ROUNDDOWN('2014 Actuals'!T251,0),'Avoided Costs 2014-2023'!$E:$E)*K251</f>
        <v>85085.008775200738</v>
      </c>
      <c r="W251" s="53">
        <f>SUMIF('Avoided Costs 2014-2023'!$A:$A,'2014 Actuals'!U251&amp;ROUNDDOWN('2014 Actuals'!T251,0),'Avoided Costs 2014-2023'!$K:$K)*O251</f>
        <v>0</v>
      </c>
      <c r="X251" s="53">
        <f>SUMIF('Avoided Costs 2014-2023'!$A:$A,'2014 Actuals'!U251&amp;ROUNDDOWN('2014 Actuals'!T251,0),'Avoided Costs 2014-2023'!$M:$M)*S251</f>
        <v>0</v>
      </c>
      <c r="Y251" s="53">
        <f t="shared" si="102"/>
        <v>85085.008775200738</v>
      </c>
      <c r="Z251" s="55">
        <v>13500</v>
      </c>
      <c r="AA251" s="54">
        <f t="shared" si="103"/>
        <v>11880</v>
      </c>
      <c r="AB251" s="54"/>
      <c r="AC251" s="54"/>
      <c r="AD251" s="54"/>
      <c r="AE251" s="54">
        <f t="shared" si="104"/>
        <v>11880</v>
      </c>
      <c r="AF251" s="54">
        <f t="shared" si="105"/>
        <v>73205.008775200738</v>
      </c>
      <c r="AG251" s="49">
        <f t="shared" si="106"/>
        <v>551337.25679999986</v>
      </c>
      <c r="AH251" s="49">
        <f t="shared" si="107"/>
        <v>626519.60999999987</v>
      </c>
    </row>
    <row r="252" spans="1:34" s="56" customFormat="1">
      <c r="A252" s="62" t="s">
        <v>356</v>
      </c>
      <c r="B252" s="62"/>
      <c r="C252" s="62"/>
      <c r="D252" s="62"/>
      <c r="E252" s="141">
        <v>0</v>
      </c>
      <c r="F252" s="142"/>
      <c r="G252" s="143">
        <v>0.12</v>
      </c>
      <c r="H252" s="143">
        <v>0</v>
      </c>
      <c r="I252" s="49">
        <v>13462</v>
      </c>
      <c r="J252" s="49">
        <f t="shared" si="96"/>
        <v>11267.694</v>
      </c>
      <c r="K252" s="49">
        <f t="shared" si="97"/>
        <v>9915.5707199999997</v>
      </c>
      <c r="L252" s="58"/>
      <c r="M252" s="141">
        <v>0</v>
      </c>
      <c r="N252" s="50">
        <f t="shared" si="98"/>
        <v>0</v>
      </c>
      <c r="O252" s="50">
        <f t="shared" si="99"/>
        <v>0</v>
      </c>
      <c r="P252" s="59"/>
      <c r="Q252" s="141">
        <v>0</v>
      </c>
      <c r="R252" s="50">
        <f t="shared" si="100"/>
        <v>0</v>
      </c>
      <c r="S252" s="51">
        <f t="shared" si="101"/>
        <v>0</v>
      </c>
      <c r="T252" s="60">
        <v>25</v>
      </c>
      <c r="U252" s="61" t="s">
        <v>94</v>
      </c>
      <c r="V252" s="53">
        <f>SUMIF('Avoided Costs 2014-2023'!$A:$A,'2014 Actuals'!U252&amp;ROUNDDOWN('2014 Actuals'!T252,0),'Avoided Costs 2014-2023'!$E:$E)*K252</f>
        <v>29506.230163535172</v>
      </c>
      <c r="W252" s="53">
        <f>SUMIF('Avoided Costs 2014-2023'!$A:$A,'2014 Actuals'!U252&amp;ROUNDDOWN('2014 Actuals'!T252,0),'Avoided Costs 2014-2023'!$K:$K)*O252</f>
        <v>0</v>
      </c>
      <c r="X252" s="53">
        <f>SUMIF('Avoided Costs 2014-2023'!$A:$A,'2014 Actuals'!U252&amp;ROUNDDOWN('2014 Actuals'!T252,0),'Avoided Costs 2014-2023'!$M:$M)*S252</f>
        <v>0</v>
      </c>
      <c r="Y252" s="53">
        <f t="shared" si="102"/>
        <v>29506.230163535172</v>
      </c>
      <c r="Z252" s="55">
        <v>27624</v>
      </c>
      <c r="AA252" s="54">
        <f t="shared" si="103"/>
        <v>24309.119999999999</v>
      </c>
      <c r="AB252" s="54"/>
      <c r="AC252" s="54"/>
      <c r="AD252" s="54"/>
      <c r="AE252" s="54">
        <f t="shared" si="104"/>
        <v>24309.119999999999</v>
      </c>
      <c r="AF252" s="54">
        <f t="shared" si="105"/>
        <v>5197.1101635351733</v>
      </c>
      <c r="AG252" s="49">
        <f t="shared" si="106"/>
        <v>247889.26799999998</v>
      </c>
      <c r="AH252" s="49">
        <f t="shared" si="107"/>
        <v>281692.34999999998</v>
      </c>
    </row>
    <row r="253" spans="1:34" s="56" customFormat="1">
      <c r="A253" s="62" t="s">
        <v>357</v>
      </c>
      <c r="B253" s="62"/>
      <c r="C253" s="62"/>
      <c r="D253" s="62"/>
      <c r="E253" s="141">
        <v>1</v>
      </c>
      <c r="F253" s="142"/>
      <c r="G253" s="143">
        <v>0.12</v>
      </c>
      <c r="H253" s="143">
        <v>0</v>
      </c>
      <c r="I253" s="49">
        <v>53340</v>
      </c>
      <c r="J253" s="49">
        <f t="shared" si="96"/>
        <v>44645.58</v>
      </c>
      <c r="K253" s="49">
        <f t="shared" si="97"/>
        <v>39288.110400000005</v>
      </c>
      <c r="L253" s="58"/>
      <c r="M253" s="141">
        <v>0</v>
      </c>
      <c r="N253" s="50">
        <f t="shared" si="98"/>
        <v>0</v>
      </c>
      <c r="O253" s="50">
        <f t="shared" si="99"/>
        <v>0</v>
      </c>
      <c r="P253" s="59"/>
      <c r="Q253" s="141">
        <v>0</v>
      </c>
      <c r="R253" s="50">
        <f t="shared" si="100"/>
        <v>0</v>
      </c>
      <c r="S253" s="51">
        <f t="shared" si="101"/>
        <v>0</v>
      </c>
      <c r="T253" s="60">
        <v>25</v>
      </c>
      <c r="U253" s="61" t="s">
        <v>81</v>
      </c>
      <c r="V253" s="53">
        <f>SUMIF('Avoided Costs 2014-2023'!$A:$A,'2014 Actuals'!U253&amp;ROUNDDOWN('2014 Actuals'!T253,0),'Avoided Costs 2014-2023'!$E:$E)*K253</f>
        <v>124790.17990968427</v>
      </c>
      <c r="W253" s="53">
        <f>SUMIF('Avoided Costs 2014-2023'!$A:$A,'2014 Actuals'!U253&amp;ROUNDDOWN('2014 Actuals'!T253,0),'Avoided Costs 2014-2023'!$K:$K)*O253</f>
        <v>0</v>
      </c>
      <c r="X253" s="53">
        <f>SUMIF('Avoided Costs 2014-2023'!$A:$A,'2014 Actuals'!U253&amp;ROUNDDOWN('2014 Actuals'!T253,0),'Avoided Costs 2014-2023'!$M:$M)*S253</f>
        <v>0</v>
      </c>
      <c r="Y253" s="53">
        <f t="shared" si="102"/>
        <v>124790.17990968427</v>
      </c>
      <c r="Z253" s="55">
        <v>70504</v>
      </c>
      <c r="AA253" s="54">
        <f t="shared" si="103"/>
        <v>62043.519999999997</v>
      </c>
      <c r="AB253" s="54"/>
      <c r="AC253" s="54"/>
      <c r="AD253" s="54"/>
      <c r="AE253" s="54">
        <f t="shared" si="104"/>
        <v>62043.519999999997</v>
      </c>
      <c r="AF253" s="54">
        <f t="shared" si="105"/>
        <v>62746.659909684276</v>
      </c>
      <c r="AG253" s="49">
        <f t="shared" si="106"/>
        <v>982202.76000000013</v>
      </c>
      <c r="AH253" s="49">
        <f t="shared" si="107"/>
        <v>1116139.5</v>
      </c>
    </row>
    <row r="254" spans="1:34" s="56" customFormat="1">
      <c r="A254" s="62" t="s">
        <v>358</v>
      </c>
      <c r="B254" s="62"/>
      <c r="C254" s="62"/>
      <c r="D254" s="62"/>
      <c r="E254" s="141">
        <v>1</v>
      </c>
      <c r="F254" s="142"/>
      <c r="G254" s="143">
        <v>0.12</v>
      </c>
      <c r="H254" s="143">
        <v>0</v>
      </c>
      <c r="I254" s="49">
        <v>12524</v>
      </c>
      <c r="J254" s="49">
        <f t="shared" si="96"/>
        <v>10482.588</v>
      </c>
      <c r="K254" s="49">
        <f t="shared" si="97"/>
        <v>9224.6774399999995</v>
      </c>
      <c r="L254" s="58"/>
      <c r="M254" s="141">
        <v>0</v>
      </c>
      <c r="N254" s="50">
        <f t="shared" si="98"/>
        <v>0</v>
      </c>
      <c r="O254" s="50">
        <f t="shared" si="99"/>
        <v>0</v>
      </c>
      <c r="P254" s="59"/>
      <c r="Q254" s="141">
        <v>0</v>
      </c>
      <c r="R254" s="50">
        <f t="shared" si="100"/>
        <v>0</v>
      </c>
      <c r="S254" s="51">
        <f t="shared" si="101"/>
        <v>0</v>
      </c>
      <c r="T254" s="60">
        <v>15</v>
      </c>
      <c r="U254" s="61" t="s">
        <v>81</v>
      </c>
      <c r="V254" s="53">
        <f>SUMIF('Avoided Costs 2014-2023'!$A:$A,'2014 Actuals'!U254&amp;ROUNDDOWN('2014 Actuals'!T254,0),'Avoided Costs 2014-2023'!$E:$E)*K254</f>
        <v>21353.946733610159</v>
      </c>
      <c r="W254" s="53">
        <f>SUMIF('Avoided Costs 2014-2023'!$A:$A,'2014 Actuals'!U254&amp;ROUNDDOWN('2014 Actuals'!T254,0),'Avoided Costs 2014-2023'!$K:$K)*O254</f>
        <v>0</v>
      </c>
      <c r="X254" s="53">
        <f>SUMIF('Avoided Costs 2014-2023'!$A:$A,'2014 Actuals'!U254&amp;ROUNDDOWN('2014 Actuals'!T254,0),'Avoided Costs 2014-2023'!$M:$M)*S254</f>
        <v>0</v>
      </c>
      <c r="Y254" s="53">
        <f t="shared" si="102"/>
        <v>21353.946733610159</v>
      </c>
      <c r="Z254" s="55">
        <v>4350</v>
      </c>
      <c r="AA254" s="54">
        <f t="shared" si="103"/>
        <v>3828</v>
      </c>
      <c r="AB254" s="54"/>
      <c r="AC254" s="54"/>
      <c r="AD254" s="54"/>
      <c r="AE254" s="54">
        <f t="shared" si="104"/>
        <v>3828</v>
      </c>
      <c r="AF254" s="54">
        <f t="shared" si="105"/>
        <v>17525.946733610159</v>
      </c>
      <c r="AG254" s="49">
        <f t="shared" si="106"/>
        <v>138370.16159999999</v>
      </c>
      <c r="AH254" s="49">
        <f t="shared" si="107"/>
        <v>157238.82</v>
      </c>
    </row>
    <row r="255" spans="1:34" s="56" customFormat="1">
      <c r="A255" s="62" t="s">
        <v>359</v>
      </c>
      <c r="B255" s="62"/>
      <c r="C255" s="62"/>
      <c r="D255" s="62"/>
      <c r="E255" s="141">
        <v>1</v>
      </c>
      <c r="F255" s="142"/>
      <c r="G255" s="143">
        <v>0.12</v>
      </c>
      <c r="H255" s="143">
        <v>0</v>
      </c>
      <c r="I255" s="49">
        <v>56269</v>
      </c>
      <c r="J255" s="49">
        <f t="shared" si="96"/>
        <v>47097.152999999998</v>
      </c>
      <c r="K255" s="49">
        <f t="shared" si="97"/>
        <v>41445.494639999997</v>
      </c>
      <c r="L255" s="58"/>
      <c r="M255" s="141">
        <v>0</v>
      </c>
      <c r="N255" s="50">
        <f t="shared" si="98"/>
        <v>0</v>
      </c>
      <c r="O255" s="50">
        <f t="shared" si="99"/>
        <v>0</v>
      </c>
      <c r="P255" s="59"/>
      <c r="Q255" s="141">
        <v>0</v>
      </c>
      <c r="R255" s="50">
        <f t="shared" si="100"/>
        <v>0</v>
      </c>
      <c r="S255" s="51">
        <f t="shared" si="101"/>
        <v>0</v>
      </c>
      <c r="T255" s="60">
        <v>25</v>
      </c>
      <c r="U255" s="61" t="s">
        <v>81</v>
      </c>
      <c r="V255" s="53">
        <f>SUMIF('Avoided Costs 2014-2023'!$A:$A,'2014 Actuals'!U255&amp;ROUNDDOWN('2014 Actuals'!T255,0),'Avoided Costs 2014-2023'!$E:$E)*K255</f>
        <v>131642.64404458235</v>
      </c>
      <c r="W255" s="53">
        <f>SUMIF('Avoided Costs 2014-2023'!$A:$A,'2014 Actuals'!U255&amp;ROUNDDOWN('2014 Actuals'!T255,0),'Avoided Costs 2014-2023'!$K:$K)*O255</f>
        <v>0</v>
      </c>
      <c r="X255" s="53">
        <f>SUMIF('Avoided Costs 2014-2023'!$A:$A,'2014 Actuals'!U255&amp;ROUNDDOWN('2014 Actuals'!T255,0),'Avoided Costs 2014-2023'!$M:$M)*S255</f>
        <v>0</v>
      </c>
      <c r="Y255" s="53">
        <f t="shared" si="102"/>
        <v>131642.64404458235</v>
      </c>
      <c r="Z255" s="55">
        <v>40140</v>
      </c>
      <c r="AA255" s="54">
        <f t="shared" si="103"/>
        <v>35323.199999999997</v>
      </c>
      <c r="AB255" s="54"/>
      <c r="AC255" s="54"/>
      <c r="AD255" s="54"/>
      <c r="AE255" s="54">
        <f t="shared" si="104"/>
        <v>35323.199999999997</v>
      </c>
      <c r="AF255" s="54">
        <f t="shared" si="105"/>
        <v>96319.444044582357</v>
      </c>
      <c r="AG255" s="49">
        <f t="shared" si="106"/>
        <v>1036137.3659999999</v>
      </c>
      <c r="AH255" s="49">
        <f t="shared" si="107"/>
        <v>1177428.825</v>
      </c>
    </row>
    <row r="256" spans="1:34" s="56" customFormat="1">
      <c r="A256" s="62" t="s">
        <v>360</v>
      </c>
      <c r="B256" s="62"/>
      <c r="C256" s="62"/>
      <c r="D256" s="62"/>
      <c r="E256" s="141">
        <v>1</v>
      </c>
      <c r="F256" s="142"/>
      <c r="G256" s="143">
        <v>0.12</v>
      </c>
      <c r="H256" s="143">
        <v>0</v>
      </c>
      <c r="I256" s="49">
        <v>55773</v>
      </c>
      <c r="J256" s="49">
        <f t="shared" si="96"/>
        <v>46682.000999999997</v>
      </c>
      <c r="K256" s="49">
        <f t="shared" si="97"/>
        <v>41080.160879999996</v>
      </c>
      <c r="L256" s="58"/>
      <c r="M256" s="141">
        <v>0</v>
      </c>
      <c r="N256" s="50">
        <f t="shared" si="98"/>
        <v>0</v>
      </c>
      <c r="O256" s="50">
        <f t="shared" si="99"/>
        <v>0</v>
      </c>
      <c r="P256" s="59"/>
      <c r="Q256" s="141">
        <v>0</v>
      </c>
      <c r="R256" s="50">
        <f t="shared" si="100"/>
        <v>0</v>
      </c>
      <c r="S256" s="51">
        <f t="shared" si="101"/>
        <v>0</v>
      </c>
      <c r="T256" s="60">
        <v>5</v>
      </c>
      <c r="U256" s="61" t="s">
        <v>81</v>
      </c>
      <c r="V256" s="53">
        <f>SUMIF('Avoided Costs 2014-2023'!$A:$A,'2014 Actuals'!U256&amp;ROUNDDOWN('2014 Actuals'!T256,0),'Avoided Costs 2014-2023'!$E:$E)*K256</f>
        <v>34953.797408837985</v>
      </c>
      <c r="W256" s="53">
        <f>SUMIF('Avoided Costs 2014-2023'!$A:$A,'2014 Actuals'!U256&amp;ROUNDDOWN('2014 Actuals'!T256,0),'Avoided Costs 2014-2023'!$K:$K)*O256</f>
        <v>0</v>
      </c>
      <c r="X256" s="53">
        <f>SUMIF('Avoided Costs 2014-2023'!$A:$A,'2014 Actuals'!U256&amp;ROUNDDOWN('2014 Actuals'!T256,0),'Avoided Costs 2014-2023'!$M:$M)*S256</f>
        <v>0</v>
      </c>
      <c r="Y256" s="53">
        <f t="shared" si="102"/>
        <v>34953.797408837985</v>
      </c>
      <c r="Z256" s="55">
        <v>10560</v>
      </c>
      <c r="AA256" s="54">
        <f t="shared" si="103"/>
        <v>9292.7999999999993</v>
      </c>
      <c r="AB256" s="54"/>
      <c r="AC256" s="54"/>
      <c r="AD256" s="54"/>
      <c r="AE256" s="54">
        <f t="shared" si="104"/>
        <v>9292.7999999999993</v>
      </c>
      <c r="AF256" s="54">
        <f t="shared" si="105"/>
        <v>25660.997408837986</v>
      </c>
      <c r="AG256" s="49">
        <f t="shared" si="106"/>
        <v>205400.80439999996</v>
      </c>
      <c r="AH256" s="49">
        <f t="shared" si="107"/>
        <v>233410.00499999998</v>
      </c>
    </row>
    <row r="257" spans="1:34" s="56" customFormat="1">
      <c r="A257" s="62" t="s">
        <v>361</v>
      </c>
      <c r="B257" s="62"/>
      <c r="C257" s="62"/>
      <c r="D257" s="62"/>
      <c r="E257" s="141">
        <v>1</v>
      </c>
      <c r="F257" s="142"/>
      <c r="G257" s="143">
        <v>0.12</v>
      </c>
      <c r="H257" s="143">
        <v>0</v>
      </c>
      <c r="I257" s="49">
        <v>71627</v>
      </c>
      <c r="J257" s="49">
        <f t="shared" si="96"/>
        <v>59951.798999999999</v>
      </c>
      <c r="K257" s="49">
        <f t="shared" si="97"/>
        <v>52757.583120000003</v>
      </c>
      <c r="L257" s="58"/>
      <c r="M257" s="141">
        <v>0</v>
      </c>
      <c r="N257" s="50">
        <f t="shared" si="98"/>
        <v>0</v>
      </c>
      <c r="O257" s="50">
        <f t="shared" si="99"/>
        <v>0</v>
      </c>
      <c r="P257" s="59"/>
      <c r="Q257" s="141">
        <v>0</v>
      </c>
      <c r="R257" s="50">
        <f t="shared" si="100"/>
        <v>0</v>
      </c>
      <c r="S257" s="51">
        <f t="shared" si="101"/>
        <v>0</v>
      </c>
      <c r="T257" s="60">
        <v>5</v>
      </c>
      <c r="U257" s="61" t="s">
        <v>81</v>
      </c>
      <c r="V257" s="53">
        <f>SUMIF('Avoided Costs 2014-2023'!$A:$A,'2014 Actuals'!U257&amp;ROUNDDOWN('2014 Actuals'!T257,0),'Avoided Costs 2014-2023'!$E:$E)*K257</f>
        <v>44889.743191200738</v>
      </c>
      <c r="W257" s="53">
        <f>SUMIF('Avoided Costs 2014-2023'!$A:$A,'2014 Actuals'!U257&amp;ROUNDDOWN('2014 Actuals'!T257,0),'Avoided Costs 2014-2023'!$K:$K)*O257</f>
        <v>0</v>
      </c>
      <c r="X257" s="53">
        <f>SUMIF('Avoided Costs 2014-2023'!$A:$A,'2014 Actuals'!U257&amp;ROUNDDOWN('2014 Actuals'!T257,0),'Avoided Costs 2014-2023'!$M:$M)*S257</f>
        <v>0</v>
      </c>
      <c r="Y257" s="53">
        <f t="shared" si="102"/>
        <v>44889.743191200738</v>
      </c>
      <c r="Z257" s="55">
        <v>35026</v>
      </c>
      <c r="AA257" s="54">
        <f t="shared" si="103"/>
        <v>30822.880000000001</v>
      </c>
      <c r="AB257" s="54"/>
      <c r="AC257" s="54"/>
      <c r="AD257" s="54"/>
      <c r="AE257" s="54">
        <f t="shared" si="104"/>
        <v>30822.880000000001</v>
      </c>
      <c r="AF257" s="54">
        <f t="shared" si="105"/>
        <v>14066.863191200737</v>
      </c>
      <c r="AG257" s="49">
        <f t="shared" si="106"/>
        <v>263787.91560000001</v>
      </c>
      <c r="AH257" s="49">
        <f t="shared" si="107"/>
        <v>299758.995</v>
      </c>
    </row>
    <row r="258" spans="1:34" s="56" customFormat="1">
      <c r="A258" s="62" t="s">
        <v>362</v>
      </c>
      <c r="B258" s="62"/>
      <c r="C258" s="62"/>
      <c r="D258" s="62"/>
      <c r="E258" s="141">
        <v>0</v>
      </c>
      <c r="F258" s="142"/>
      <c r="G258" s="143">
        <v>0.12</v>
      </c>
      <c r="H258" s="143">
        <v>0</v>
      </c>
      <c r="I258" s="49">
        <v>7530</v>
      </c>
      <c r="J258" s="49">
        <f t="shared" si="96"/>
        <v>6302.61</v>
      </c>
      <c r="K258" s="49">
        <f t="shared" si="97"/>
        <v>5546.2968000000001</v>
      </c>
      <c r="L258" s="58"/>
      <c r="M258" s="141">
        <v>0</v>
      </c>
      <c r="N258" s="50">
        <f t="shared" si="98"/>
        <v>0</v>
      </c>
      <c r="O258" s="50">
        <f t="shared" si="99"/>
        <v>0</v>
      </c>
      <c r="P258" s="59"/>
      <c r="Q258" s="141">
        <v>0</v>
      </c>
      <c r="R258" s="50">
        <f t="shared" si="100"/>
        <v>0</v>
      </c>
      <c r="S258" s="51">
        <f t="shared" si="101"/>
        <v>0</v>
      </c>
      <c r="T258" s="60">
        <v>15</v>
      </c>
      <c r="U258" s="61" t="s">
        <v>81</v>
      </c>
      <c r="V258" s="53">
        <f>SUMIF('Avoided Costs 2014-2023'!$A:$A,'2014 Actuals'!U258&amp;ROUNDDOWN('2014 Actuals'!T258,0),'Avoided Costs 2014-2023'!$E:$E)*K258</f>
        <v>12838.966696269923</v>
      </c>
      <c r="W258" s="53">
        <f>SUMIF('Avoided Costs 2014-2023'!$A:$A,'2014 Actuals'!U258&amp;ROUNDDOWN('2014 Actuals'!T258,0),'Avoided Costs 2014-2023'!$K:$K)*O258</f>
        <v>0</v>
      </c>
      <c r="X258" s="53">
        <f>SUMIF('Avoided Costs 2014-2023'!$A:$A,'2014 Actuals'!U258&amp;ROUNDDOWN('2014 Actuals'!T258,0),'Avoided Costs 2014-2023'!$M:$M)*S258</f>
        <v>0</v>
      </c>
      <c r="Y258" s="53">
        <f t="shared" si="102"/>
        <v>12838.966696269923</v>
      </c>
      <c r="Z258" s="55">
        <v>9600</v>
      </c>
      <c r="AA258" s="54">
        <f t="shared" si="103"/>
        <v>8448</v>
      </c>
      <c r="AB258" s="54"/>
      <c r="AC258" s="54"/>
      <c r="AD258" s="54"/>
      <c r="AE258" s="54">
        <f t="shared" si="104"/>
        <v>8448</v>
      </c>
      <c r="AF258" s="54">
        <f t="shared" si="105"/>
        <v>4390.966696269923</v>
      </c>
      <c r="AG258" s="49">
        <f t="shared" si="106"/>
        <v>83194.452000000005</v>
      </c>
      <c r="AH258" s="49">
        <f t="shared" si="107"/>
        <v>94539.15</v>
      </c>
    </row>
    <row r="259" spans="1:34" s="56" customFormat="1">
      <c r="A259" s="62" t="s">
        <v>363</v>
      </c>
      <c r="B259" s="62"/>
      <c r="C259" s="62"/>
      <c r="D259" s="62"/>
      <c r="E259" s="141">
        <v>1</v>
      </c>
      <c r="F259" s="142"/>
      <c r="G259" s="143">
        <v>0.12</v>
      </c>
      <c r="H259" s="143">
        <v>0</v>
      </c>
      <c r="I259" s="49">
        <v>12461</v>
      </c>
      <c r="J259" s="49">
        <f t="shared" si="96"/>
        <v>10429.857</v>
      </c>
      <c r="K259" s="49">
        <f t="shared" si="97"/>
        <v>9178.2741600000008</v>
      </c>
      <c r="L259" s="58"/>
      <c r="M259" s="141">
        <v>0</v>
      </c>
      <c r="N259" s="50">
        <f t="shared" si="98"/>
        <v>0</v>
      </c>
      <c r="O259" s="50">
        <f t="shared" si="99"/>
        <v>0</v>
      </c>
      <c r="P259" s="59"/>
      <c r="Q259" s="141">
        <v>0</v>
      </c>
      <c r="R259" s="50">
        <f t="shared" si="100"/>
        <v>0</v>
      </c>
      <c r="S259" s="51">
        <f t="shared" si="101"/>
        <v>0</v>
      </c>
      <c r="T259" s="60">
        <v>5</v>
      </c>
      <c r="U259" s="61" t="s">
        <v>81</v>
      </c>
      <c r="V259" s="53">
        <f>SUMIF('Avoided Costs 2014-2023'!$A:$A,'2014 Actuals'!U259&amp;ROUNDDOWN('2014 Actuals'!T259,0),'Avoided Costs 2014-2023'!$E:$E)*K259</f>
        <v>7809.5004663821246</v>
      </c>
      <c r="W259" s="53">
        <f>SUMIF('Avoided Costs 2014-2023'!$A:$A,'2014 Actuals'!U259&amp;ROUNDDOWN('2014 Actuals'!T259,0),'Avoided Costs 2014-2023'!$K:$K)*O259</f>
        <v>0</v>
      </c>
      <c r="X259" s="53">
        <f>SUMIF('Avoided Costs 2014-2023'!$A:$A,'2014 Actuals'!U259&amp;ROUNDDOWN('2014 Actuals'!T259,0),'Avoided Costs 2014-2023'!$M:$M)*S259</f>
        <v>0</v>
      </c>
      <c r="Y259" s="53">
        <f t="shared" si="102"/>
        <v>7809.5004663821246</v>
      </c>
      <c r="Z259" s="55">
        <v>0</v>
      </c>
      <c r="AA259" s="54">
        <f t="shared" si="103"/>
        <v>0</v>
      </c>
      <c r="AB259" s="54"/>
      <c r="AC259" s="54"/>
      <c r="AD259" s="54"/>
      <c r="AE259" s="54">
        <f t="shared" si="104"/>
        <v>0</v>
      </c>
      <c r="AF259" s="54">
        <f t="shared" si="105"/>
        <v>7809.5004663821246</v>
      </c>
      <c r="AG259" s="49">
        <f t="shared" si="106"/>
        <v>45891.370800000004</v>
      </c>
      <c r="AH259" s="49">
        <f t="shared" si="107"/>
        <v>52149.285000000003</v>
      </c>
    </row>
    <row r="260" spans="1:34" s="56" customFormat="1">
      <c r="A260" s="62" t="s">
        <v>364</v>
      </c>
      <c r="B260" s="62"/>
      <c r="C260" s="62"/>
      <c r="D260" s="62"/>
      <c r="E260" s="141">
        <v>0</v>
      </c>
      <c r="F260" s="142"/>
      <c r="G260" s="143">
        <v>0.12</v>
      </c>
      <c r="H260" s="143">
        <v>0</v>
      </c>
      <c r="I260" s="49">
        <v>50984</v>
      </c>
      <c r="J260" s="49">
        <f t="shared" si="96"/>
        <v>42673.608</v>
      </c>
      <c r="K260" s="49">
        <f t="shared" si="97"/>
        <v>37552.77504</v>
      </c>
      <c r="L260" s="58"/>
      <c r="M260" s="141">
        <v>0</v>
      </c>
      <c r="N260" s="50">
        <f t="shared" si="98"/>
        <v>0</v>
      </c>
      <c r="O260" s="50">
        <f t="shared" si="99"/>
        <v>0</v>
      </c>
      <c r="P260" s="59"/>
      <c r="Q260" s="141">
        <v>0</v>
      </c>
      <c r="R260" s="50">
        <f t="shared" si="100"/>
        <v>0</v>
      </c>
      <c r="S260" s="51">
        <f t="shared" si="101"/>
        <v>0</v>
      </c>
      <c r="T260" s="60">
        <v>15</v>
      </c>
      <c r="U260" s="61" t="s">
        <v>81</v>
      </c>
      <c r="V260" s="53">
        <f>SUMIF('Avoided Costs 2014-2023'!$A:$A,'2014 Actuals'!U260&amp;ROUNDDOWN('2014 Actuals'!T260,0),'Avoided Costs 2014-2023'!$E:$E)*K260</f>
        <v>86929.864281889211</v>
      </c>
      <c r="W260" s="53">
        <f>SUMIF('Avoided Costs 2014-2023'!$A:$A,'2014 Actuals'!U260&amp;ROUNDDOWN('2014 Actuals'!T260,0),'Avoided Costs 2014-2023'!$K:$K)*O260</f>
        <v>0</v>
      </c>
      <c r="X260" s="53">
        <f>SUMIF('Avoided Costs 2014-2023'!$A:$A,'2014 Actuals'!U260&amp;ROUNDDOWN('2014 Actuals'!T260,0),'Avoided Costs 2014-2023'!$M:$M)*S260</f>
        <v>0</v>
      </c>
      <c r="Y260" s="53">
        <f t="shared" si="102"/>
        <v>86929.864281889211</v>
      </c>
      <c r="Z260" s="55">
        <v>70000</v>
      </c>
      <c r="AA260" s="54">
        <f t="shared" si="103"/>
        <v>61600</v>
      </c>
      <c r="AB260" s="54"/>
      <c r="AC260" s="54"/>
      <c r="AD260" s="54"/>
      <c r="AE260" s="54">
        <f t="shared" si="104"/>
        <v>61600</v>
      </c>
      <c r="AF260" s="54">
        <f t="shared" si="105"/>
        <v>25329.864281889211</v>
      </c>
      <c r="AG260" s="49">
        <f t="shared" si="106"/>
        <v>563291.62560000003</v>
      </c>
      <c r="AH260" s="49">
        <f t="shared" si="107"/>
        <v>640104.12</v>
      </c>
    </row>
    <row r="261" spans="1:34" s="56" customFormat="1">
      <c r="A261" s="62" t="s">
        <v>365</v>
      </c>
      <c r="B261" s="62"/>
      <c r="C261" s="62"/>
      <c r="D261" s="62"/>
      <c r="E261" s="141">
        <v>1</v>
      </c>
      <c r="F261" s="142"/>
      <c r="G261" s="143">
        <v>0.12</v>
      </c>
      <c r="H261" s="143">
        <v>0</v>
      </c>
      <c r="I261" s="49">
        <v>207802</v>
      </c>
      <c r="J261" s="49">
        <f t="shared" si="96"/>
        <v>173930.274</v>
      </c>
      <c r="K261" s="49">
        <f t="shared" si="97"/>
        <v>153058.64112000001</v>
      </c>
      <c r="L261" s="58"/>
      <c r="M261" s="141">
        <v>23624</v>
      </c>
      <c r="N261" s="50">
        <f t="shared" si="98"/>
        <v>23624</v>
      </c>
      <c r="O261" s="50">
        <f t="shared" si="99"/>
        <v>20789.12</v>
      </c>
      <c r="P261" s="59"/>
      <c r="Q261" s="141">
        <v>0</v>
      </c>
      <c r="R261" s="50">
        <f t="shared" si="100"/>
        <v>0</v>
      </c>
      <c r="S261" s="51">
        <f t="shared" si="101"/>
        <v>0</v>
      </c>
      <c r="T261" s="60">
        <v>15</v>
      </c>
      <c r="U261" s="61" t="s">
        <v>81</v>
      </c>
      <c r="V261" s="53">
        <f>SUMIF('Avoided Costs 2014-2023'!$A:$A,'2014 Actuals'!U261&amp;ROUNDDOWN('2014 Actuals'!T261,0),'Avoided Costs 2014-2023'!$E:$E)*K261</f>
        <v>354311.14972354355</v>
      </c>
      <c r="W261" s="53">
        <f>SUMIF('Avoided Costs 2014-2023'!$A:$A,'2014 Actuals'!U261&amp;ROUNDDOWN('2014 Actuals'!T261,0),'Avoided Costs 2014-2023'!$K:$K)*O261</f>
        <v>24582.726158336274</v>
      </c>
      <c r="X261" s="53">
        <f>SUMIF('Avoided Costs 2014-2023'!$A:$A,'2014 Actuals'!U261&amp;ROUNDDOWN('2014 Actuals'!T261,0),'Avoided Costs 2014-2023'!$M:$M)*S261</f>
        <v>0</v>
      </c>
      <c r="Y261" s="53">
        <f t="shared" si="102"/>
        <v>378893.87588187982</v>
      </c>
      <c r="Z261" s="55">
        <v>159000</v>
      </c>
      <c r="AA261" s="54">
        <f t="shared" si="103"/>
        <v>139920</v>
      </c>
      <c r="AB261" s="54"/>
      <c r="AC261" s="54"/>
      <c r="AD261" s="54"/>
      <c r="AE261" s="54">
        <f t="shared" si="104"/>
        <v>139920</v>
      </c>
      <c r="AF261" s="54">
        <f t="shared" si="105"/>
        <v>238973.87588187982</v>
      </c>
      <c r="AG261" s="49">
        <f t="shared" si="106"/>
        <v>2295879.6168000004</v>
      </c>
      <c r="AH261" s="49">
        <f t="shared" si="107"/>
        <v>2608954.11</v>
      </c>
    </row>
    <row r="262" spans="1:34" s="56" customFormat="1">
      <c r="A262" s="62" t="s">
        <v>366</v>
      </c>
      <c r="B262" s="62"/>
      <c r="C262" s="62"/>
      <c r="D262" s="62"/>
      <c r="E262" s="141">
        <v>1</v>
      </c>
      <c r="F262" s="142"/>
      <c r="G262" s="143">
        <v>0.12</v>
      </c>
      <c r="H262" s="143">
        <v>0</v>
      </c>
      <c r="I262" s="49">
        <v>28338</v>
      </c>
      <c r="J262" s="49">
        <f t="shared" si="96"/>
        <v>23718.905999999999</v>
      </c>
      <c r="K262" s="49">
        <f t="shared" si="97"/>
        <v>20872.637279999999</v>
      </c>
      <c r="L262" s="58"/>
      <c r="M262" s="141">
        <v>0</v>
      </c>
      <c r="N262" s="50">
        <f t="shared" si="98"/>
        <v>0</v>
      </c>
      <c r="O262" s="50">
        <f t="shared" si="99"/>
        <v>0</v>
      </c>
      <c r="P262" s="59"/>
      <c r="Q262" s="141">
        <v>0</v>
      </c>
      <c r="R262" s="50">
        <f t="shared" si="100"/>
        <v>0</v>
      </c>
      <c r="S262" s="51">
        <f t="shared" si="101"/>
        <v>0</v>
      </c>
      <c r="T262" s="60">
        <v>25</v>
      </c>
      <c r="U262" s="61" t="s">
        <v>81</v>
      </c>
      <c r="V262" s="53">
        <f>SUMIF('Avoided Costs 2014-2023'!$A:$A,'2014 Actuals'!U262&amp;ROUNDDOWN('2014 Actuals'!T262,0),'Avoided Costs 2014-2023'!$E:$E)*K262</f>
        <v>66297.415040881737</v>
      </c>
      <c r="W262" s="53">
        <f>SUMIF('Avoided Costs 2014-2023'!$A:$A,'2014 Actuals'!U262&amp;ROUNDDOWN('2014 Actuals'!T262,0),'Avoided Costs 2014-2023'!$K:$K)*O262</f>
        <v>0</v>
      </c>
      <c r="X262" s="53">
        <f>SUMIF('Avoided Costs 2014-2023'!$A:$A,'2014 Actuals'!U262&amp;ROUNDDOWN('2014 Actuals'!T262,0),'Avoided Costs 2014-2023'!$M:$M)*S262</f>
        <v>0</v>
      </c>
      <c r="Y262" s="53">
        <f t="shared" si="102"/>
        <v>66297.415040881737</v>
      </c>
      <c r="Z262" s="55">
        <v>13326</v>
      </c>
      <c r="AA262" s="54">
        <f t="shared" si="103"/>
        <v>11726.88</v>
      </c>
      <c r="AB262" s="54"/>
      <c r="AC262" s="54"/>
      <c r="AD262" s="54"/>
      <c r="AE262" s="54">
        <f t="shared" si="104"/>
        <v>11726.88</v>
      </c>
      <c r="AF262" s="54">
        <f t="shared" si="105"/>
        <v>54570.535040881739</v>
      </c>
      <c r="AG262" s="49">
        <f t="shared" si="106"/>
        <v>521815.93199999997</v>
      </c>
      <c r="AH262" s="49">
        <f t="shared" si="107"/>
        <v>592972.65</v>
      </c>
    </row>
    <row r="263" spans="1:34" s="56" customFormat="1">
      <c r="A263" s="62" t="s">
        <v>367</v>
      </c>
      <c r="B263" s="62"/>
      <c r="C263" s="62"/>
      <c r="D263" s="62"/>
      <c r="E263" s="141">
        <v>0</v>
      </c>
      <c r="F263" s="142"/>
      <c r="G263" s="143">
        <v>0.12</v>
      </c>
      <c r="H263" s="143">
        <v>0</v>
      </c>
      <c r="I263" s="49">
        <v>3538</v>
      </c>
      <c r="J263" s="49">
        <f t="shared" si="96"/>
        <v>2961.306</v>
      </c>
      <c r="K263" s="49">
        <f t="shared" si="97"/>
        <v>2605.9492800000003</v>
      </c>
      <c r="L263" s="58"/>
      <c r="M263" s="141">
        <v>0</v>
      </c>
      <c r="N263" s="50">
        <f t="shared" si="98"/>
        <v>0</v>
      </c>
      <c r="O263" s="50">
        <f t="shared" si="99"/>
        <v>0</v>
      </c>
      <c r="P263" s="59"/>
      <c r="Q263" s="141">
        <v>0</v>
      </c>
      <c r="R263" s="50">
        <f t="shared" si="100"/>
        <v>0</v>
      </c>
      <c r="S263" s="51">
        <f t="shared" si="101"/>
        <v>0</v>
      </c>
      <c r="T263" s="60">
        <v>15</v>
      </c>
      <c r="U263" s="61" t="s">
        <v>94</v>
      </c>
      <c r="V263" s="53">
        <f>SUMIF('Avoided Costs 2014-2023'!$A:$A,'2014 Actuals'!U263&amp;ROUNDDOWN('2014 Actuals'!T263,0),'Avoided Costs 2014-2023'!$E:$E)*K263</f>
        <v>5649.126692627231</v>
      </c>
      <c r="W263" s="53">
        <f>SUMIF('Avoided Costs 2014-2023'!$A:$A,'2014 Actuals'!U263&amp;ROUNDDOWN('2014 Actuals'!T263,0),'Avoided Costs 2014-2023'!$K:$K)*O263</f>
        <v>0</v>
      </c>
      <c r="X263" s="53">
        <f>SUMIF('Avoided Costs 2014-2023'!$A:$A,'2014 Actuals'!U263&amp;ROUNDDOWN('2014 Actuals'!T263,0),'Avoided Costs 2014-2023'!$M:$M)*S263</f>
        <v>0</v>
      </c>
      <c r="Y263" s="53">
        <f t="shared" si="102"/>
        <v>5649.126692627231</v>
      </c>
      <c r="Z263" s="55">
        <v>39411</v>
      </c>
      <c r="AA263" s="54">
        <f t="shared" si="103"/>
        <v>34681.68</v>
      </c>
      <c r="AB263" s="54"/>
      <c r="AC263" s="54"/>
      <c r="AD263" s="54"/>
      <c r="AE263" s="54">
        <f t="shared" si="104"/>
        <v>34681.68</v>
      </c>
      <c r="AF263" s="54">
        <f t="shared" si="105"/>
        <v>-29032.553307372771</v>
      </c>
      <c r="AG263" s="49">
        <f t="shared" si="106"/>
        <v>39089.239200000004</v>
      </c>
      <c r="AH263" s="49">
        <f t="shared" si="107"/>
        <v>44419.590000000004</v>
      </c>
    </row>
    <row r="264" spans="1:34" s="56" customFormat="1">
      <c r="A264" s="62" t="s">
        <v>368</v>
      </c>
      <c r="B264" s="62"/>
      <c r="C264" s="62"/>
      <c r="D264" s="62"/>
      <c r="E264" s="141">
        <v>1</v>
      </c>
      <c r="F264" s="142"/>
      <c r="G264" s="143">
        <v>0.12</v>
      </c>
      <c r="H264" s="143">
        <v>0</v>
      </c>
      <c r="I264" s="49">
        <v>10295</v>
      </c>
      <c r="J264" s="49">
        <f t="shared" si="96"/>
        <v>8616.9149999999991</v>
      </c>
      <c r="K264" s="49">
        <f t="shared" si="97"/>
        <v>7582.8851999999988</v>
      </c>
      <c r="L264" s="58"/>
      <c r="M264" s="141">
        <v>0</v>
      </c>
      <c r="N264" s="50">
        <f t="shared" si="98"/>
        <v>0</v>
      </c>
      <c r="O264" s="50">
        <f t="shared" si="99"/>
        <v>0</v>
      </c>
      <c r="P264" s="59"/>
      <c r="Q264" s="141">
        <v>0</v>
      </c>
      <c r="R264" s="50">
        <f t="shared" si="100"/>
        <v>0</v>
      </c>
      <c r="S264" s="51">
        <f t="shared" si="101"/>
        <v>0</v>
      </c>
      <c r="T264" s="60">
        <v>15</v>
      </c>
      <c r="U264" s="61" t="s">
        <v>81</v>
      </c>
      <c r="V264" s="53">
        <f>SUMIF('Avoided Costs 2014-2023'!$A:$A,'2014 Actuals'!U264&amp;ROUNDDOWN('2014 Actuals'!T264,0),'Avoided Costs 2014-2023'!$E:$E)*K264</f>
        <v>17553.407986467308</v>
      </c>
      <c r="W264" s="53">
        <f>SUMIF('Avoided Costs 2014-2023'!$A:$A,'2014 Actuals'!U264&amp;ROUNDDOWN('2014 Actuals'!T264,0),'Avoided Costs 2014-2023'!$K:$K)*O264</f>
        <v>0</v>
      </c>
      <c r="X264" s="53">
        <f>SUMIF('Avoided Costs 2014-2023'!$A:$A,'2014 Actuals'!U264&amp;ROUNDDOWN('2014 Actuals'!T264,0),'Avoided Costs 2014-2023'!$M:$M)*S264</f>
        <v>0</v>
      </c>
      <c r="Y264" s="53">
        <f t="shared" si="102"/>
        <v>17553.407986467308</v>
      </c>
      <c r="Z264" s="55">
        <v>39411</v>
      </c>
      <c r="AA264" s="54">
        <f t="shared" si="103"/>
        <v>34681.68</v>
      </c>
      <c r="AB264" s="54"/>
      <c r="AC264" s="54"/>
      <c r="AD264" s="54"/>
      <c r="AE264" s="54">
        <f t="shared" si="104"/>
        <v>34681.68</v>
      </c>
      <c r="AF264" s="54">
        <f t="shared" si="105"/>
        <v>-17128.272013532693</v>
      </c>
      <c r="AG264" s="49">
        <f t="shared" si="106"/>
        <v>113743.27799999998</v>
      </c>
      <c r="AH264" s="49">
        <f t="shared" si="107"/>
        <v>129253.72499999999</v>
      </c>
    </row>
    <row r="265" spans="1:34" s="56" customFormat="1">
      <c r="A265" s="62" t="s">
        <v>369</v>
      </c>
      <c r="B265" s="62"/>
      <c r="C265" s="62"/>
      <c r="D265" s="62"/>
      <c r="E265" s="141">
        <v>1</v>
      </c>
      <c r="F265" s="142"/>
      <c r="G265" s="143">
        <v>0.12</v>
      </c>
      <c r="H265" s="143">
        <v>0</v>
      </c>
      <c r="I265" s="49">
        <v>42389</v>
      </c>
      <c r="J265" s="49">
        <f t="shared" si="96"/>
        <v>35479.593000000001</v>
      </c>
      <c r="K265" s="49">
        <f t="shared" si="97"/>
        <v>31222.041840000002</v>
      </c>
      <c r="L265" s="58"/>
      <c r="M265" s="141">
        <v>0</v>
      </c>
      <c r="N265" s="50">
        <f t="shared" si="98"/>
        <v>0</v>
      </c>
      <c r="O265" s="50">
        <f t="shared" si="99"/>
        <v>0</v>
      </c>
      <c r="P265" s="59"/>
      <c r="Q265" s="141">
        <v>0</v>
      </c>
      <c r="R265" s="50">
        <f t="shared" si="100"/>
        <v>0</v>
      </c>
      <c r="S265" s="51">
        <f t="shared" si="101"/>
        <v>0</v>
      </c>
      <c r="T265" s="60">
        <v>25</v>
      </c>
      <c r="U265" s="61" t="s">
        <v>81</v>
      </c>
      <c r="V265" s="53">
        <f>SUMIF('Avoided Costs 2014-2023'!$A:$A,'2014 Actuals'!U265&amp;ROUNDDOWN('2014 Actuals'!T265,0),'Avoided Costs 2014-2023'!$E:$E)*K265</f>
        <v>99170.058796243087</v>
      </c>
      <c r="W265" s="53">
        <f>SUMIF('Avoided Costs 2014-2023'!$A:$A,'2014 Actuals'!U265&amp;ROUNDDOWN('2014 Actuals'!T265,0),'Avoided Costs 2014-2023'!$K:$K)*O265</f>
        <v>0</v>
      </c>
      <c r="X265" s="53">
        <f>SUMIF('Avoided Costs 2014-2023'!$A:$A,'2014 Actuals'!U265&amp;ROUNDDOWN('2014 Actuals'!T265,0),'Avoided Costs 2014-2023'!$M:$M)*S265</f>
        <v>0</v>
      </c>
      <c r="Y265" s="53">
        <f t="shared" si="102"/>
        <v>99170.058796243087</v>
      </c>
      <c r="Z265" s="55">
        <v>15381</v>
      </c>
      <c r="AA265" s="54">
        <f t="shared" si="103"/>
        <v>13535.28</v>
      </c>
      <c r="AB265" s="54"/>
      <c r="AC265" s="54"/>
      <c r="AD265" s="54"/>
      <c r="AE265" s="54">
        <f t="shared" si="104"/>
        <v>13535.28</v>
      </c>
      <c r="AF265" s="54">
        <f t="shared" si="105"/>
        <v>85634.778796243088</v>
      </c>
      <c r="AG265" s="49">
        <f t="shared" si="106"/>
        <v>780551.04600000009</v>
      </c>
      <c r="AH265" s="49">
        <f t="shared" si="107"/>
        <v>886989.82500000007</v>
      </c>
    </row>
    <row r="266" spans="1:34" s="56" customFormat="1">
      <c r="A266" s="62" t="s">
        <v>370</v>
      </c>
      <c r="B266" s="62"/>
      <c r="C266" s="62"/>
      <c r="D266" s="62"/>
      <c r="E266" s="141">
        <v>1</v>
      </c>
      <c r="F266" s="142"/>
      <c r="G266" s="143">
        <v>0.12</v>
      </c>
      <c r="H266" s="143">
        <v>0</v>
      </c>
      <c r="I266" s="49">
        <v>25494</v>
      </c>
      <c r="J266" s="49">
        <f t="shared" si="96"/>
        <v>21338.477999999999</v>
      </c>
      <c r="K266" s="49">
        <f t="shared" si="97"/>
        <v>18777.860639999999</v>
      </c>
      <c r="L266" s="58"/>
      <c r="M266" s="141">
        <v>0</v>
      </c>
      <c r="N266" s="50">
        <f t="shared" si="98"/>
        <v>0</v>
      </c>
      <c r="O266" s="50">
        <f t="shared" si="99"/>
        <v>0</v>
      </c>
      <c r="P266" s="59"/>
      <c r="Q266" s="141">
        <v>0</v>
      </c>
      <c r="R266" s="50">
        <f t="shared" si="100"/>
        <v>0</v>
      </c>
      <c r="S266" s="51">
        <f t="shared" si="101"/>
        <v>0</v>
      </c>
      <c r="T266" s="60">
        <v>18</v>
      </c>
      <c r="U266" s="61" t="s">
        <v>94</v>
      </c>
      <c r="V266" s="53">
        <f>SUMIF('Avoided Costs 2014-2023'!$A:$A,'2014 Actuals'!U266&amp;ROUNDDOWN('2014 Actuals'!T266,0),'Avoided Costs 2014-2023'!$E:$E)*K266</f>
        <v>46041.3505590473</v>
      </c>
      <c r="W266" s="53">
        <f>SUMIF('Avoided Costs 2014-2023'!$A:$A,'2014 Actuals'!U266&amp;ROUNDDOWN('2014 Actuals'!T266,0),'Avoided Costs 2014-2023'!$K:$K)*O266</f>
        <v>0</v>
      </c>
      <c r="X266" s="53">
        <f>SUMIF('Avoided Costs 2014-2023'!$A:$A,'2014 Actuals'!U266&amp;ROUNDDOWN('2014 Actuals'!T266,0),'Avoided Costs 2014-2023'!$M:$M)*S266</f>
        <v>0</v>
      </c>
      <c r="Y266" s="53">
        <f t="shared" si="102"/>
        <v>46041.3505590473</v>
      </c>
      <c r="Z266" s="55">
        <v>24791</v>
      </c>
      <c r="AA266" s="54">
        <f t="shared" si="103"/>
        <v>21816.080000000002</v>
      </c>
      <c r="AB266" s="54"/>
      <c r="AC266" s="54"/>
      <c r="AD266" s="54"/>
      <c r="AE266" s="54">
        <f t="shared" si="104"/>
        <v>21816.080000000002</v>
      </c>
      <c r="AF266" s="54">
        <f t="shared" si="105"/>
        <v>24225.270559047298</v>
      </c>
      <c r="AG266" s="49">
        <f t="shared" si="106"/>
        <v>338001.49151999998</v>
      </c>
      <c r="AH266" s="49">
        <f t="shared" si="107"/>
        <v>384092.60399999999</v>
      </c>
    </row>
    <row r="267" spans="1:34" s="56" customFormat="1">
      <c r="A267" s="62" t="s">
        <v>371</v>
      </c>
      <c r="B267" s="62"/>
      <c r="C267" s="62"/>
      <c r="D267" s="62"/>
      <c r="E267" s="141">
        <v>1</v>
      </c>
      <c r="F267" s="142"/>
      <c r="G267" s="143">
        <v>0.12</v>
      </c>
      <c r="H267" s="143">
        <v>0</v>
      </c>
      <c r="I267" s="49">
        <v>79810</v>
      </c>
      <c r="J267" s="49">
        <f t="shared" si="96"/>
        <v>66800.97</v>
      </c>
      <c r="K267" s="49">
        <f t="shared" si="97"/>
        <v>58784.853600000002</v>
      </c>
      <c r="L267" s="58"/>
      <c r="M267" s="141">
        <v>0</v>
      </c>
      <c r="N267" s="50">
        <f t="shared" si="98"/>
        <v>0</v>
      </c>
      <c r="O267" s="50">
        <f t="shared" si="99"/>
        <v>0</v>
      </c>
      <c r="P267" s="59"/>
      <c r="Q267" s="141">
        <v>0</v>
      </c>
      <c r="R267" s="50">
        <f t="shared" si="100"/>
        <v>0</v>
      </c>
      <c r="S267" s="51">
        <f t="shared" si="101"/>
        <v>0</v>
      </c>
      <c r="T267" s="60">
        <v>15</v>
      </c>
      <c r="U267" s="61" t="s">
        <v>81</v>
      </c>
      <c r="V267" s="53">
        <f>SUMIF('Avoided Costs 2014-2023'!$A:$A,'2014 Actuals'!U267&amp;ROUNDDOWN('2014 Actuals'!T267,0),'Avoided Costs 2014-2023'!$E:$E)*K267</f>
        <v>136079.4066439977</v>
      </c>
      <c r="W267" s="53">
        <f>SUMIF('Avoided Costs 2014-2023'!$A:$A,'2014 Actuals'!U267&amp;ROUNDDOWN('2014 Actuals'!T267,0),'Avoided Costs 2014-2023'!$K:$K)*O267</f>
        <v>0</v>
      </c>
      <c r="X267" s="53">
        <f>SUMIF('Avoided Costs 2014-2023'!$A:$A,'2014 Actuals'!U267&amp;ROUNDDOWN('2014 Actuals'!T267,0),'Avoided Costs 2014-2023'!$M:$M)*S267</f>
        <v>0</v>
      </c>
      <c r="Y267" s="53">
        <f t="shared" si="102"/>
        <v>136079.4066439977</v>
      </c>
      <c r="Z267" s="55">
        <v>65000</v>
      </c>
      <c r="AA267" s="54">
        <f t="shared" si="103"/>
        <v>57200</v>
      </c>
      <c r="AB267" s="54"/>
      <c r="AC267" s="54"/>
      <c r="AD267" s="54"/>
      <c r="AE267" s="54">
        <f t="shared" si="104"/>
        <v>57200</v>
      </c>
      <c r="AF267" s="54">
        <f t="shared" si="105"/>
        <v>78879.406643997703</v>
      </c>
      <c r="AG267" s="49">
        <f t="shared" si="106"/>
        <v>881772.804</v>
      </c>
      <c r="AH267" s="49">
        <f t="shared" si="107"/>
        <v>1002014.55</v>
      </c>
    </row>
    <row r="268" spans="1:34" s="56" customFormat="1">
      <c r="A268" s="62" t="s">
        <v>372</v>
      </c>
      <c r="B268" s="62"/>
      <c r="C268" s="62"/>
      <c r="D268" s="62"/>
      <c r="E268" s="141">
        <v>0</v>
      </c>
      <c r="F268" s="142"/>
      <c r="G268" s="143">
        <v>0.12</v>
      </c>
      <c r="H268" s="143">
        <v>0</v>
      </c>
      <c r="I268" s="49">
        <v>12361</v>
      </c>
      <c r="J268" s="49">
        <f t="shared" si="96"/>
        <v>10346.156999999999</v>
      </c>
      <c r="K268" s="49">
        <f t="shared" si="97"/>
        <v>9104.61816</v>
      </c>
      <c r="L268" s="58"/>
      <c r="M268" s="141">
        <v>0</v>
      </c>
      <c r="N268" s="50">
        <f t="shared" si="98"/>
        <v>0</v>
      </c>
      <c r="O268" s="50">
        <f t="shared" si="99"/>
        <v>0</v>
      </c>
      <c r="P268" s="59"/>
      <c r="Q268" s="141">
        <v>0</v>
      </c>
      <c r="R268" s="50">
        <f t="shared" si="100"/>
        <v>0</v>
      </c>
      <c r="S268" s="51">
        <f t="shared" si="101"/>
        <v>0</v>
      </c>
      <c r="T268" s="60">
        <v>25</v>
      </c>
      <c r="U268" s="61" t="s">
        <v>81</v>
      </c>
      <c r="V268" s="53">
        <f>SUMIF('Avoided Costs 2014-2023'!$A:$A,'2014 Actuals'!U268&amp;ROUNDDOWN('2014 Actuals'!T268,0),'Avoided Costs 2014-2023'!$E:$E)*K268</f>
        <v>28918.849153798408</v>
      </c>
      <c r="W268" s="53">
        <f>SUMIF('Avoided Costs 2014-2023'!$A:$A,'2014 Actuals'!U268&amp;ROUNDDOWN('2014 Actuals'!T268,0),'Avoided Costs 2014-2023'!$K:$K)*O268</f>
        <v>0</v>
      </c>
      <c r="X268" s="53">
        <f>SUMIF('Avoided Costs 2014-2023'!$A:$A,'2014 Actuals'!U268&amp;ROUNDDOWN('2014 Actuals'!T268,0),'Avoided Costs 2014-2023'!$M:$M)*S268</f>
        <v>0</v>
      </c>
      <c r="Y268" s="53">
        <f t="shared" si="102"/>
        <v>28918.849153798408</v>
      </c>
      <c r="Z268" s="55">
        <v>180000</v>
      </c>
      <c r="AA268" s="54">
        <f t="shared" si="103"/>
        <v>158400</v>
      </c>
      <c r="AB268" s="54"/>
      <c r="AC268" s="54"/>
      <c r="AD268" s="54"/>
      <c r="AE268" s="54">
        <f t="shared" si="104"/>
        <v>158400</v>
      </c>
      <c r="AF268" s="54">
        <f t="shared" si="105"/>
        <v>-129481.15084620159</v>
      </c>
      <c r="AG268" s="49">
        <f t="shared" si="106"/>
        <v>227615.454</v>
      </c>
      <c r="AH268" s="49">
        <f t="shared" si="107"/>
        <v>258653.92499999999</v>
      </c>
    </row>
    <row r="269" spans="1:34" s="56" customFormat="1">
      <c r="A269" s="62" t="s">
        <v>373</v>
      </c>
      <c r="B269" s="62"/>
      <c r="C269" s="62"/>
      <c r="D269" s="62"/>
      <c r="E269" s="141">
        <v>1</v>
      </c>
      <c r="F269" s="142"/>
      <c r="G269" s="143">
        <v>0.12</v>
      </c>
      <c r="H269" s="143">
        <v>0</v>
      </c>
      <c r="I269" s="49">
        <v>54011</v>
      </c>
      <c r="J269" s="49">
        <f t="shared" si="96"/>
        <v>45207.206999999995</v>
      </c>
      <c r="K269" s="49">
        <f t="shared" si="97"/>
        <v>39782.342159999993</v>
      </c>
      <c r="L269" s="58"/>
      <c r="M269" s="141">
        <v>0</v>
      </c>
      <c r="N269" s="50">
        <f t="shared" si="98"/>
        <v>0</v>
      </c>
      <c r="O269" s="50">
        <f t="shared" si="99"/>
        <v>0</v>
      </c>
      <c r="P269" s="59"/>
      <c r="Q269" s="141">
        <v>0</v>
      </c>
      <c r="R269" s="50">
        <f t="shared" si="100"/>
        <v>0</v>
      </c>
      <c r="S269" s="51">
        <f t="shared" si="101"/>
        <v>0</v>
      </c>
      <c r="T269" s="60">
        <v>25</v>
      </c>
      <c r="U269" s="61" t="s">
        <v>81</v>
      </c>
      <c r="V269" s="53">
        <f>SUMIF('Avoided Costs 2014-2023'!$A:$A,'2014 Actuals'!U269&amp;ROUNDDOWN('2014 Actuals'!T269,0),'Avoided Costs 2014-2023'!$E:$E)*K269</f>
        <v>126360.00013314502</v>
      </c>
      <c r="W269" s="53">
        <f>SUMIF('Avoided Costs 2014-2023'!$A:$A,'2014 Actuals'!U269&amp;ROUNDDOWN('2014 Actuals'!T269,0),'Avoided Costs 2014-2023'!$K:$K)*O269</f>
        <v>0</v>
      </c>
      <c r="X269" s="53">
        <f>SUMIF('Avoided Costs 2014-2023'!$A:$A,'2014 Actuals'!U269&amp;ROUNDDOWN('2014 Actuals'!T269,0),'Avoided Costs 2014-2023'!$M:$M)*S269</f>
        <v>0</v>
      </c>
      <c r="Y269" s="53">
        <f t="shared" si="102"/>
        <v>126360.00013314502</v>
      </c>
      <c r="Z269" s="55">
        <v>108000</v>
      </c>
      <c r="AA269" s="54">
        <f t="shared" si="103"/>
        <v>95040</v>
      </c>
      <c r="AB269" s="54"/>
      <c r="AC269" s="54"/>
      <c r="AD269" s="54"/>
      <c r="AE269" s="54">
        <f t="shared" si="104"/>
        <v>95040</v>
      </c>
      <c r="AF269" s="54">
        <f t="shared" si="105"/>
        <v>31320.000133145018</v>
      </c>
      <c r="AG269" s="49">
        <f t="shared" si="106"/>
        <v>994558.55399999977</v>
      </c>
      <c r="AH269" s="49">
        <f t="shared" si="107"/>
        <v>1130180.1749999998</v>
      </c>
    </row>
    <row r="270" spans="1:34" s="56" customFormat="1">
      <c r="A270" s="62" t="s">
        <v>374</v>
      </c>
      <c r="B270" s="62"/>
      <c r="C270" s="62"/>
      <c r="D270" s="62"/>
      <c r="E270" s="141">
        <v>1</v>
      </c>
      <c r="F270" s="142"/>
      <c r="G270" s="143">
        <v>0.12</v>
      </c>
      <c r="H270" s="143">
        <v>0</v>
      </c>
      <c r="I270" s="49">
        <v>284358</v>
      </c>
      <c r="J270" s="49">
        <f t="shared" si="96"/>
        <v>238007.64599999998</v>
      </c>
      <c r="K270" s="49">
        <f t="shared" si="97"/>
        <v>209446.72847999999</v>
      </c>
      <c r="L270" s="58"/>
      <c r="M270" s="141">
        <v>0</v>
      </c>
      <c r="N270" s="50">
        <f t="shared" si="98"/>
        <v>0</v>
      </c>
      <c r="O270" s="50">
        <f t="shared" si="99"/>
        <v>0</v>
      </c>
      <c r="P270" s="59"/>
      <c r="Q270" s="141">
        <v>0</v>
      </c>
      <c r="R270" s="50">
        <f t="shared" si="100"/>
        <v>0</v>
      </c>
      <c r="S270" s="51">
        <f t="shared" si="101"/>
        <v>0</v>
      </c>
      <c r="T270" s="60">
        <v>15</v>
      </c>
      <c r="U270" s="61" t="s">
        <v>81</v>
      </c>
      <c r="V270" s="53">
        <f>SUMIF('Avoided Costs 2014-2023'!$A:$A,'2014 Actuals'!U270&amp;ROUNDDOWN('2014 Actuals'!T270,0),'Avoided Costs 2014-2023'!$E:$E)*K270</f>
        <v>484842.34951101232</v>
      </c>
      <c r="W270" s="53">
        <f>SUMIF('Avoided Costs 2014-2023'!$A:$A,'2014 Actuals'!U270&amp;ROUNDDOWN('2014 Actuals'!T270,0),'Avoided Costs 2014-2023'!$K:$K)*O270</f>
        <v>0</v>
      </c>
      <c r="X270" s="53">
        <f>SUMIF('Avoided Costs 2014-2023'!$A:$A,'2014 Actuals'!U270&amp;ROUNDDOWN('2014 Actuals'!T270,0),'Avoided Costs 2014-2023'!$M:$M)*S270</f>
        <v>0</v>
      </c>
      <c r="Y270" s="53">
        <f t="shared" si="102"/>
        <v>484842.34951101232</v>
      </c>
      <c r="Z270" s="55">
        <v>501800</v>
      </c>
      <c r="AA270" s="54">
        <f t="shared" si="103"/>
        <v>441584</v>
      </c>
      <c r="AB270" s="54"/>
      <c r="AC270" s="54"/>
      <c r="AD270" s="54"/>
      <c r="AE270" s="54">
        <f t="shared" si="104"/>
        <v>441584</v>
      </c>
      <c r="AF270" s="54">
        <f t="shared" si="105"/>
        <v>43258.349511012319</v>
      </c>
      <c r="AG270" s="49">
        <f t="shared" si="106"/>
        <v>3141700.9271999998</v>
      </c>
      <c r="AH270" s="49">
        <f t="shared" si="107"/>
        <v>3570114.6899999995</v>
      </c>
    </row>
    <row r="271" spans="1:34" s="56" customFormat="1">
      <c r="A271" s="62" t="s">
        <v>375</v>
      </c>
      <c r="B271" s="62"/>
      <c r="C271" s="62"/>
      <c r="D271" s="62"/>
      <c r="E271" s="141">
        <v>1</v>
      </c>
      <c r="F271" s="142"/>
      <c r="G271" s="143">
        <v>0.12</v>
      </c>
      <c r="H271" s="143">
        <v>0</v>
      </c>
      <c r="I271" s="49">
        <v>206759</v>
      </c>
      <c r="J271" s="49">
        <f t="shared" si="96"/>
        <v>173057.283</v>
      </c>
      <c r="K271" s="49">
        <f t="shared" si="97"/>
        <v>152290.40904</v>
      </c>
      <c r="L271" s="58"/>
      <c r="M271" s="141">
        <v>0</v>
      </c>
      <c r="N271" s="50">
        <f t="shared" si="98"/>
        <v>0</v>
      </c>
      <c r="O271" s="50">
        <f t="shared" si="99"/>
        <v>0</v>
      </c>
      <c r="P271" s="59"/>
      <c r="Q271" s="141">
        <v>0</v>
      </c>
      <c r="R271" s="50">
        <f t="shared" si="100"/>
        <v>0</v>
      </c>
      <c r="S271" s="51">
        <f t="shared" si="101"/>
        <v>0</v>
      </c>
      <c r="T271" s="60">
        <v>15</v>
      </c>
      <c r="U271" s="61" t="s">
        <v>81</v>
      </c>
      <c r="V271" s="53">
        <f>SUMIF('Avoided Costs 2014-2023'!$A:$A,'2014 Actuals'!U271&amp;ROUNDDOWN('2014 Actuals'!T271,0),'Avoided Costs 2014-2023'!$E:$E)*K271</f>
        <v>352532.7908571146</v>
      </c>
      <c r="W271" s="53">
        <f>SUMIF('Avoided Costs 2014-2023'!$A:$A,'2014 Actuals'!U271&amp;ROUNDDOWN('2014 Actuals'!T271,0),'Avoided Costs 2014-2023'!$K:$K)*O271</f>
        <v>0</v>
      </c>
      <c r="X271" s="53">
        <f>SUMIF('Avoided Costs 2014-2023'!$A:$A,'2014 Actuals'!U271&amp;ROUNDDOWN('2014 Actuals'!T271,0),'Avoided Costs 2014-2023'!$M:$M)*S271</f>
        <v>0</v>
      </c>
      <c r="Y271" s="53">
        <f t="shared" si="102"/>
        <v>352532.7908571146</v>
      </c>
      <c r="Z271" s="55">
        <v>150000</v>
      </c>
      <c r="AA271" s="54">
        <f t="shared" si="103"/>
        <v>132000</v>
      </c>
      <c r="AB271" s="54"/>
      <c r="AC271" s="54"/>
      <c r="AD271" s="54"/>
      <c r="AE271" s="54">
        <f t="shared" si="104"/>
        <v>132000</v>
      </c>
      <c r="AF271" s="54">
        <f t="shared" si="105"/>
        <v>220532.7908571146</v>
      </c>
      <c r="AG271" s="49">
        <f t="shared" si="106"/>
        <v>2284356.1356000002</v>
      </c>
      <c r="AH271" s="49">
        <f t="shared" si="107"/>
        <v>2595859.2450000001</v>
      </c>
    </row>
    <row r="272" spans="1:34" s="56" customFormat="1">
      <c r="A272" s="62" t="s">
        <v>376</v>
      </c>
      <c r="B272" s="62"/>
      <c r="C272" s="62"/>
      <c r="D272" s="62"/>
      <c r="E272" s="141">
        <v>1</v>
      </c>
      <c r="F272" s="142"/>
      <c r="G272" s="143">
        <v>0.12</v>
      </c>
      <c r="H272" s="143">
        <v>0</v>
      </c>
      <c r="I272" s="49">
        <v>26659</v>
      </c>
      <c r="J272" s="49">
        <f t="shared" si="96"/>
        <v>22313.582999999999</v>
      </c>
      <c r="K272" s="49">
        <f t="shared" si="97"/>
        <v>19635.95304</v>
      </c>
      <c r="L272" s="58"/>
      <c r="M272" s="141">
        <v>0</v>
      </c>
      <c r="N272" s="50">
        <f t="shared" si="98"/>
        <v>0</v>
      </c>
      <c r="O272" s="50">
        <f t="shared" si="99"/>
        <v>0</v>
      </c>
      <c r="P272" s="59"/>
      <c r="Q272" s="141">
        <v>0</v>
      </c>
      <c r="R272" s="50">
        <f t="shared" si="100"/>
        <v>0</v>
      </c>
      <c r="S272" s="51">
        <f t="shared" si="101"/>
        <v>0</v>
      </c>
      <c r="T272" s="60">
        <v>25</v>
      </c>
      <c r="U272" s="61" t="s">
        <v>81</v>
      </c>
      <c r="V272" s="53">
        <f>SUMIF('Avoided Costs 2014-2023'!$A:$A,'2014 Actuals'!U272&amp;ROUNDDOWN('2014 Actuals'!T272,0),'Avoided Costs 2014-2023'!$E:$E)*K272</f>
        <v>62369.355197080477</v>
      </c>
      <c r="W272" s="53">
        <f>SUMIF('Avoided Costs 2014-2023'!$A:$A,'2014 Actuals'!U272&amp;ROUNDDOWN('2014 Actuals'!T272,0),'Avoided Costs 2014-2023'!$K:$K)*O272</f>
        <v>0</v>
      </c>
      <c r="X272" s="53">
        <f>SUMIF('Avoided Costs 2014-2023'!$A:$A,'2014 Actuals'!U272&amp;ROUNDDOWN('2014 Actuals'!T272,0),'Avoided Costs 2014-2023'!$M:$M)*S272</f>
        <v>0</v>
      </c>
      <c r="Y272" s="53">
        <f t="shared" si="102"/>
        <v>62369.355197080477</v>
      </c>
      <c r="Z272" s="55">
        <v>25032</v>
      </c>
      <c r="AA272" s="54">
        <f t="shared" si="103"/>
        <v>22028.16</v>
      </c>
      <c r="AB272" s="54"/>
      <c r="AC272" s="54"/>
      <c r="AD272" s="54"/>
      <c r="AE272" s="54">
        <f t="shared" si="104"/>
        <v>22028.16</v>
      </c>
      <c r="AF272" s="54">
        <f t="shared" si="105"/>
        <v>40341.19519708048</v>
      </c>
      <c r="AG272" s="49">
        <f t="shared" si="106"/>
        <v>490898.826</v>
      </c>
      <c r="AH272" s="49">
        <f t="shared" si="107"/>
        <v>557839.57499999995</v>
      </c>
    </row>
    <row r="273" spans="1:34" s="56" customFormat="1">
      <c r="A273" s="62" t="s">
        <v>377</v>
      </c>
      <c r="B273" s="62"/>
      <c r="C273" s="62"/>
      <c r="D273" s="62"/>
      <c r="E273" s="141">
        <v>1</v>
      </c>
      <c r="F273" s="142"/>
      <c r="G273" s="143">
        <v>0.12</v>
      </c>
      <c r="H273" s="143">
        <v>0</v>
      </c>
      <c r="I273" s="49">
        <v>52993</v>
      </c>
      <c r="J273" s="49">
        <f t="shared" si="96"/>
        <v>44355.140999999996</v>
      </c>
      <c r="K273" s="49">
        <f t="shared" si="97"/>
        <v>39032.524079999996</v>
      </c>
      <c r="L273" s="58"/>
      <c r="M273" s="141">
        <v>0</v>
      </c>
      <c r="N273" s="50">
        <f t="shared" si="98"/>
        <v>0</v>
      </c>
      <c r="O273" s="50">
        <f t="shared" si="99"/>
        <v>0</v>
      </c>
      <c r="P273" s="59"/>
      <c r="Q273" s="141">
        <v>0</v>
      </c>
      <c r="R273" s="50">
        <f t="shared" si="100"/>
        <v>0</v>
      </c>
      <c r="S273" s="51">
        <f t="shared" si="101"/>
        <v>0</v>
      </c>
      <c r="T273" s="63">
        <v>5</v>
      </c>
      <c r="U273" s="61" t="s">
        <v>81</v>
      </c>
      <c r="V273" s="53">
        <f>SUMIF('Avoided Costs 2014-2023'!$A:$A,'2014 Actuals'!U273&amp;ROUNDDOWN('2014 Actuals'!T273,0),'Avoided Costs 2014-2023'!$E:$E)*K273</f>
        <v>33211.528626513747</v>
      </c>
      <c r="W273" s="53">
        <f>SUMIF('Avoided Costs 2014-2023'!$A:$A,'2014 Actuals'!U273&amp;ROUNDDOWN('2014 Actuals'!T273,0),'Avoided Costs 2014-2023'!$K:$K)*O273</f>
        <v>0</v>
      </c>
      <c r="X273" s="53">
        <f>SUMIF('Avoided Costs 2014-2023'!$A:$A,'2014 Actuals'!U273&amp;ROUNDDOWN('2014 Actuals'!T273,0),'Avoided Costs 2014-2023'!$M:$M)*S273</f>
        <v>0</v>
      </c>
      <c r="Y273" s="53">
        <f t="shared" si="102"/>
        <v>33211.528626513747</v>
      </c>
      <c r="Z273" s="55">
        <v>2422</v>
      </c>
      <c r="AA273" s="54">
        <f t="shared" si="103"/>
        <v>2131.36</v>
      </c>
      <c r="AB273" s="54"/>
      <c r="AC273" s="54"/>
      <c r="AD273" s="54"/>
      <c r="AE273" s="54">
        <f t="shared" si="104"/>
        <v>2131.36</v>
      </c>
      <c r="AF273" s="54">
        <f t="shared" si="105"/>
        <v>31080.168626513747</v>
      </c>
      <c r="AG273" s="49">
        <f t="shared" si="106"/>
        <v>195162.62039999999</v>
      </c>
      <c r="AH273" s="49">
        <f t="shared" si="107"/>
        <v>221775.70499999999</v>
      </c>
    </row>
    <row r="274" spans="1:34" s="69" customFormat="1" collapsed="1">
      <c r="A274" s="145" t="s">
        <v>35</v>
      </c>
      <c r="B274" s="145" t="s">
        <v>378</v>
      </c>
      <c r="C274" s="65"/>
      <c r="D274" s="65">
        <v>0</v>
      </c>
      <c r="E274" s="51">
        <f>SUM(E229:E273)</f>
        <v>40</v>
      </c>
      <c r="F274" s="105"/>
      <c r="G274" s="147"/>
      <c r="H274" s="211"/>
      <c r="I274" s="49">
        <f>SUM(I229:I273)</f>
        <v>2795650</v>
      </c>
      <c r="J274" s="49">
        <f>SUM(J229:J273)</f>
        <v>2339959.0499999998</v>
      </c>
      <c r="K274" s="49">
        <f>SUM(K229:K273)</f>
        <v>2059163.9639999997</v>
      </c>
      <c r="L274" s="146"/>
      <c r="M274" s="49">
        <f>SUM(M229:M273)</f>
        <v>1516492</v>
      </c>
      <c r="N274" s="49">
        <f>SUM(N229:N273)</f>
        <v>1516492</v>
      </c>
      <c r="O274" s="49">
        <f>SUM(O229:O273)</f>
        <v>1334512.9600000002</v>
      </c>
      <c r="P274" s="148"/>
      <c r="Q274" s="49">
        <v>0</v>
      </c>
      <c r="R274" s="49">
        <f>SUM(R229:R273)</f>
        <v>0</v>
      </c>
      <c r="S274" s="49">
        <f>SUM(S229:S273)</f>
        <v>0</v>
      </c>
      <c r="T274" s="103"/>
      <c r="U274" s="65" t="s">
        <v>160</v>
      </c>
      <c r="V274" s="54">
        <f t="shared" ref="V274:AA274" si="108">SUM(V229:V273)</f>
        <v>3549021.7841046741</v>
      </c>
      <c r="W274" s="54">
        <f t="shared" si="108"/>
        <v>1578035.3690021883</v>
      </c>
      <c r="X274" s="54">
        <f t="shared" si="108"/>
        <v>0</v>
      </c>
      <c r="Y274" s="54">
        <f t="shared" si="108"/>
        <v>5127057.1531068627</v>
      </c>
      <c r="Z274" s="55"/>
      <c r="AA274" s="54">
        <f t="shared" si="108"/>
        <v>2005468.7576000001</v>
      </c>
      <c r="AB274" s="54">
        <v>400752.81</v>
      </c>
      <c r="AC274" s="54">
        <v>17511.29</v>
      </c>
      <c r="AD274" s="54">
        <f>AB274+AC274</f>
        <v>418264.1</v>
      </c>
      <c r="AE274" s="54">
        <f t="shared" si="104"/>
        <v>2022980.0476000002</v>
      </c>
      <c r="AF274" s="212">
        <f t="shared" si="105"/>
        <v>3104077.1055068625</v>
      </c>
      <c r="AG274" s="49">
        <f>SUM(AG229:AG273)</f>
        <v>23776604.965975478</v>
      </c>
      <c r="AH274" s="49">
        <f>SUM(AH229:AH273)</f>
        <v>27018869.279517584</v>
      </c>
    </row>
    <row r="275" spans="1:34">
      <c r="A275" s="135"/>
      <c r="K275" s="11"/>
      <c r="P275" s="23"/>
      <c r="Q275" s="11"/>
      <c r="S275" s="11"/>
      <c r="T275" s="48"/>
      <c r="AA275" s="40"/>
      <c r="AB275" s="40"/>
      <c r="AD275" s="40"/>
      <c r="AE275" s="40"/>
      <c r="AF275" s="40"/>
      <c r="AG275" s="38"/>
      <c r="AH275" s="38"/>
    </row>
    <row r="276" spans="1:34">
      <c r="A276" s="135" t="s">
        <v>379</v>
      </c>
      <c r="B276" s="9" t="s">
        <v>380</v>
      </c>
      <c r="K276" s="11"/>
      <c r="P276" s="23"/>
      <c r="Q276" s="11"/>
      <c r="S276" s="11"/>
      <c r="T276" s="48"/>
      <c r="AA276" s="40"/>
      <c r="AB276" s="40"/>
      <c r="AD276" s="40"/>
      <c r="AE276" s="40"/>
      <c r="AF276" s="40"/>
      <c r="AG276" s="38"/>
      <c r="AH276" s="38"/>
    </row>
    <row r="277" spans="1:34" s="56" customFormat="1">
      <c r="A277" s="62" t="s">
        <v>381</v>
      </c>
      <c r="B277" s="62"/>
      <c r="C277" s="62"/>
      <c r="D277" s="62"/>
      <c r="E277" s="141">
        <v>1</v>
      </c>
      <c r="F277" s="142"/>
      <c r="G277" s="143">
        <v>0.12</v>
      </c>
      <c r="H277" s="143">
        <v>0</v>
      </c>
      <c r="I277" s="49">
        <v>40982</v>
      </c>
      <c r="J277" s="49">
        <f t="shared" ref="J277:J328" si="109">+$I$42*I277</f>
        <v>34301.934000000001</v>
      </c>
      <c r="K277" s="49">
        <f t="shared" ref="K277:K328" si="110">J277*(1-G277)</f>
        <v>30185.70192</v>
      </c>
      <c r="L277" s="58"/>
      <c r="M277" s="141">
        <v>0</v>
      </c>
      <c r="N277" s="50">
        <f t="shared" ref="N277:N328" si="111">M277</f>
        <v>0</v>
      </c>
      <c r="O277" s="50">
        <f t="shared" ref="O277:O328" si="112">N277*(1-G277)</f>
        <v>0</v>
      </c>
      <c r="P277" s="59"/>
      <c r="Q277" s="141">
        <v>0</v>
      </c>
      <c r="R277" s="50">
        <f t="shared" ref="R277:R328" si="113">+Q277</f>
        <v>0</v>
      </c>
      <c r="S277" s="51">
        <f t="shared" ref="S277:S328" si="114">R277*(1-G277)</f>
        <v>0</v>
      </c>
      <c r="T277" s="60">
        <v>25</v>
      </c>
      <c r="U277" s="61" t="s">
        <v>94</v>
      </c>
      <c r="V277" s="53">
        <f>SUMIF('Avoided Costs 2014-2023'!$A:$A,'2014 Actuals'!U277&amp;ROUNDDOWN('2014 Actuals'!T277,0),'Avoided Costs 2014-2023'!$E:$E)*K277</f>
        <v>89825.012967018163</v>
      </c>
      <c r="W277" s="53">
        <f>SUMIF('Avoided Costs 2014-2023'!$A:$A,'2014 Actuals'!U277&amp;ROUNDDOWN('2014 Actuals'!T277,0),'Avoided Costs 2014-2023'!$K:$K)*O277</f>
        <v>0</v>
      </c>
      <c r="X277" s="53">
        <f>SUMIF('Avoided Costs 2014-2023'!$A:$A,'2014 Actuals'!U277&amp;ROUNDDOWN('2014 Actuals'!T277,0),'Avoided Costs 2014-2023'!$M:$M)*S277</f>
        <v>0</v>
      </c>
      <c r="Y277" s="53">
        <f t="shared" ref="Y277:Y328" si="115">SUM(V277:X277)</f>
        <v>89825.012967018163</v>
      </c>
      <c r="Z277" s="55">
        <v>2688</v>
      </c>
      <c r="AA277" s="54">
        <f t="shared" ref="AA277:AA328" si="116">Z277*(1-G277)</f>
        <v>2365.44</v>
      </c>
      <c r="AB277" s="54"/>
      <c r="AC277" s="54"/>
      <c r="AD277" s="54"/>
      <c r="AE277" s="54">
        <f t="shared" ref="AE277:AE308" si="117">AA277+AC277</f>
        <v>2365.44</v>
      </c>
      <c r="AF277" s="54">
        <f t="shared" ref="AF277:AF308" si="118">Y277-AE277</f>
        <v>87459.572967018161</v>
      </c>
      <c r="AG277" s="49">
        <f t="shared" ref="AG277:AG308" si="119">K277*T277</f>
        <v>754642.54799999995</v>
      </c>
      <c r="AH277" s="49">
        <f t="shared" ref="AH277:AH308" si="120">(J277*T277)</f>
        <v>857548.35</v>
      </c>
    </row>
    <row r="278" spans="1:34" s="56" customFormat="1">
      <c r="A278" s="62" t="s">
        <v>382</v>
      </c>
      <c r="B278" s="62"/>
      <c r="C278" s="62"/>
      <c r="D278" s="62"/>
      <c r="E278" s="141">
        <v>1</v>
      </c>
      <c r="F278" s="142"/>
      <c r="G278" s="143">
        <v>0.12</v>
      </c>
      <c r="H278" s="143">
        <v>0</v>
      </c>
      <c r="I278" s="49">
        <v>10431</v>
      </c>
      <c r="J278" s="49">
        <f t="shared" si="109"/>
        <v>8730.7469999999994</v>
      </c>
      <c r="K278" s="49">
        <f t="shared" si="110"/>
        <v>7683.0573599999998</v>
      </c>
      <c r="L278" s="58"/>
      <c r="M278" s="141">
        <v>-433</v>
      </c>
      <c r="N278" s="50">
        <f t="shared" si="111"/>
        <v>-433</v>
      </c>
      <c r="O278" s="50">
        <f t="shared" si="112"/>
        <v>-381.04</v>
      </c>
      <c r="P278" s="59"/>
      <c r="Q278" s="141">
        <v>0</v>
      </c>
      <c r="R278" s="50">
        <f t="shared" si="113"/>
        <v>0</v>
      </c>
      <c r="S278" s="51">
        <f t="shared" si="114"/>
        <v>0</v>
      </c>
      <c r="T278" s="60">
        <v>15</v>
      </c>
      <c r="U278" s="61" t="s">
        <v>81</v>
      </c>
      <c r="V278" s="53">
        <f>SUMIF('Avoided Costs 2014-2023'!$A:$A,'2014 Actuals'!U278&amp;ROUNDDOWN('2014 Actuals'!T278,0),'Avoided Costs 2014-2023'!$E:$E)*K278</f>
        <v>17785.29370634682</v>
      </c>
      <c r="W278" s="53">
        <f>SUMIF('Avoided Costs 2014-2023'!$A:$A,'2014 Actuals'!U278&amp;ROUNDDOWN('2014 Actuals'!T278,0),'Avoided Costs 2014-2023'!$K:$K)*O278</f>
        <v>-450.57231741278395</v>
      </c>
      <c r="X278" s="53">
        <f>SUMIF('Avoided Costs 2014-2023'!$A:$A,'2014 Actuals'!U278&amp;ROUNDDOWN('2014 Actuals'!T278,0),'Avoided Costs 2014-2023'!$M:$M)*S278</f>
        <v>0</v>
      </c>
      <c r="Y278" s="53">
        <f t="shared" si="115"/>
        <v>17334.721388934035</v>
      </c>
      <c r="Z278" s="55">
        <v>16328.49</v>
      </c>
      <c r="AA278" s="54">
        <f t="shared" si="116"/>
        <v>14369.0712</v>
      </c>
      <c r="AB278" s="54"/>
      <c r="AC278" s="54"/>
      <c r="AD278" s="54"/>
      <c r="AE278" s="54">
        <f t="shared" si="117"/>
        <v>14369.0712</v>
      </c>
      <c r="AF278" s="54">
        <f t="shared" si="118"/>
        <v>2965.6501889340343</v>
      </c>
      <c r="AG278" s="49">
        <f t="shared" si="119"/>
        <v>115245.86039999999</v>
      </c>
      <c r="AH278" s="49">
        <f t="shared" si="120"/>
        <v>130961.20499999999</v>
      </c>
    </row>
    <row r="279" spans="1:34" s="56" customFormat="1">
      <c r="A279" s="62" t="s">
        <v>383</v>
      </c>
      <c r="B279" s="62"/>
      <c r="C279" s="62"/>
      <c r="D279" s="62"/>
      <c r="E279" s="141">
        <v>1</v>
      </c>
      <c r="F279" s="142"/>
      <c r="G279" s="143">
        <v>0.12</v>
      </c>
      <c r="H279" s="143">
        <v>0</v>
      </c>
      <c r="I279" s="49">
        <v>41937</v>
      </c>
      <c r="J279" s="49">
        <f t="shared" si="109"/>
        <v>35101.269</v>
      </c>
      <c r="K279" s="49">
        <f t="shared" si="110"/>
        <v>30889.116720000002</v>
      </c>
      <c r="L279" s="58"/>
      <c r="M279" s="141">
        <v>3555</v>
      </c>
      <c r="N279" s="50">
        <f t="shared" si="111"/>
        <v>3555</v>
      </c>
      <c r="O279" s="50">
        <f t="shared" si="112"/>
        <v>3128.4</v>
      </c>
      <c r="P279" s="59"/>
      <c r="Q279" s="141">
        <v>0</v>
      </c>
      <c r="R279" s="50">
        <f t="shared" si="113"/>
        <v>0</v>
      </c>
      <c r="S279" s="51">
        <f t="shared" si="114"/>
        <v>0</v>
      </c>
      <c r="T279" s="60">
        <v>15</v>
      </c>
      <c r="U279" s="61" t="s">
        <v>81</v>
      </c>
      <c r="V279" s="53">
        <f>SUMIF('Avoided Costs 2014-2023'!$A:$A,'2014 Actuals'!U279&amp;ROUNDDOWN('2014 Actuals'!T279,0),'Avoided Costs 2014-2023'!$E:$E)*K279</f>
        <v>71504.348783727997</v>
      </c>
      <c r="W279" s="53">
        <f>SUMIF('Avoided Costs 2014-2023'!$A:$A,'2014 Actuals'!U279&amp;ROUNDDOWN('2014 Actuals'!T279,0),'Avoided Costs 2014-2023'!$K:$K)*O279</f>
        <v>3699.2715667492998</v>
      </c>
      <c r="X279" s="53">
        <f>SUMIF('Avoided Costs 2014-2023'!$A:$A,'2014 Actuals'!U279&amp;ROUNDDOWN('2014 Actuals'!T279,0),'Avoided Costs 2014-2023'!$M:$M)*S279</f>
        <v>0</v>
      </c>
      <c r="Y279" s="53">
        <f t="shared" si="115"/>
        <v>75203.6203504773</v>
      </c>
      <c r="Z279" s="55">
        <v>17450</v>
      </c>
      <c r="AA279" s="54">
        <f t="shared" si="116"/>
        <v>15356</v>
      </c>
      <c r="AB279" s="54"/>
      <c r="AC279" s="54"/>
      <c r="AD279" s="54"/>
      <c r="AE279" s="54">
        <f t="shared" si="117"/>
        <v>15356</v>
      </c>
      <c r="AF279" s="54">
        <f t="shared" si="118"/>
        <v>59847.6203504773</v>
      </c>
      <c r="AG279" s="49">
        <f t="shared" si="119"/>
        <v>463336.75080000004</v>
      </c>
      <c r="AH279" s="49">
        <f t="shared" si="120"/>
        <v>526519.03500000003</v>
      </c>
    </row>
    <row r="280" spans="1:34" s="56" customFormat="1">
      <c r="A280" s="62" t="s">
        <v>384</v>
      </c>
      <c r="B280" s="62"/>
      <c r="C280" s="62"/>
      <c r="D280" s="62"/>
      <c r="E280" s="141">
        <v>1</v>
      </c>
      <c r="F280" s="142"/>
      <c r="G280" s="143">
        <v>0.12</v>
      </c>
      <c r="H280" s="143">
        <v>0</v>
      </c>
      <c r="I280" s="49">
        <v>22237</v>
      </c>
      <c r="J280" s="49">
        <f t="shared" si="109"/>
        <v>18612.368999999999</v>
      </c>
      <c r="K280" s="49">
        <f t="shared" si="110"/>
        <v>16378.884719999998</v>
      </c>
      <c r="L280" s="58"/>
      <c r="M280" s="141">
        <v>22847</v>
      </c>
      <c r="N280" s="50">
        <f t="shared" si="111"/>
        <v>22847</v>
      </c>
      <c r="O280" s="50">
        <f t="shared" si="112"/>
        <v>20105.36</v>
      </c>
      <c r="P280" s="59"/>
      <c r="Q280" s="141">
        <v>0</v>
      </c>
      <c r="R280" s="50">
        <f t="shared" si="113"/>
        <v>0</v>
      </c>
      <c r="S280" s="51">
        <f t="shared" si="114"/>
        <v>0</v>
      </c>
      <c r="T280" s="60">
        <v>15</v>
      </c>
      <c r="U280" s="61" t="s">
        <v>81</v>
      </c>
      <c r="V280" s="53">
        <f>SUMIF('Avoided Costs 2014-2023'!$A:$A,'2014 Actuals'!U280&amp;ROUNDDOWN('2014 Actuals'!T280,0),'Avoided Costs 2014-2023'!$E:$E)*K280</f>
        <v>37915.020242357801</v>
      </c>
      <c r="W280" s="53">
        <f>SUMIF('Avoided Costs 2014-2023'!$A:$A,'2014 Actuals'!U280&amp;ROUNDDOWN('2014 Actuals'!T280,0),'Avoided Costs 2014-2023'!$K:$K)*O280</f>
        <v>23774.193385519342</v>
      </c>
      <c r="X280" s="53">
        <f>SUMIF('Avoided Costs 2014-2023'!$A:$A,'2014 Actuals'!U280&amp;ROUNDDOWN('2014 Actuals'!T280,0),'Avoided Costs 2014-2023'!$M:$M)*S280</f>
        <v>0</v>
      </c>
      <c r="Y280" s="53">
        <f t="shared" si="115"/>
        <v>61689.213627877143</v>
      </c>
      <c r="Z280" s="55">
        <v>11404</v>
      </c>
      <c r="AA280" s="54">
        <f t="shared" si="116"/>
        <v>10035.52</v>
      </c>
      <c r="AB280" s="54"/>
      <c r="AC280" s="54"/>
      <c r="AD280" s="54"/>
      <c r="AE280" s="54">
        <f t="shared" si="117"/>
        <v>10035.52</v>
      </c>
      <c r="AF280" s="54">
        <f t="shared" si="118"/>
        <v>51653.693627877146</v>
      </c>
      <c r="AG280" s="49">
        <f t="shared" si="119"/>
        <v>245683.27079999997</v>
      </c>
      <c r="AH280" s="49">
        <f t="shared" si="120"/>
        <v>279185.53499999997</v>
      </c>
    </row>
    <row r="281" spans="1:34" s="56" customFormat="1">
      <c r="A281" s="62" t="s">
        <v>385</v>
      </c>
      <c r="B281" s="62"/>
      <c r="C281" s="62"/>
      <c r="D281" s="62"/>
      <c r="E281" s="141">
        <v>1</v>
      </c>
      <c r="F281" s="142"/>
      <c r="G281" s="143">
        <v>0.12</v>
      </c>
      <c r="H281" s="143">
        <v>0</v>
      </c>
      <c r="I281" s="49">
        <v>5270</v>
      </c>
      <c r="J281" s="49">
        <f t="shared" si="109"/>
        <v>4410.99</v>
      </c>
      <c r="K281" s="49">
        <f t="shared" si="110"/>
        <v>3881.6711999999998</v>
      </c>
      <c r="L281" s="58"/>
      <c r="M281" s="141">
        <v>-48</v>
      </c>
      <c r="N281" s="50">
        <f t="shared" si="111"/>
        <v>-48</v>
      </c>
      <c r="O281" s="50">
        <f t="shared" si="112"/>
        <v>-42.24</v>
      </c>
      <c r="P281" s="59"/>
      <c r="Q281" s="141">
        <v>0</v>
      </c>
      <c r="R281" s="50">
        <f t="shared" si="113"/>
        <v>0</v>
      </c>
      <c r="S281" s="51">
        <f t="shared" si="114"/>
        <v>0</v>
      </c>
      <c r="T281" s="60">
        <v>15</v>
      </c>
      <c r="U281" s="61" t="s">
        <v>81</v>
      </c>
      <c r="V281" s="53">
        <f>SUMIF('Avoided Costs 2014-2023'!$A:$A,'2014 Actuals'!U281&amp;ROUNDDOWN('2014 Actuals'!T281,0),'Avoided Costs 2014-2023'!$E:$E)*K281</f>
        <v>8985.5716453310088</v>
      </c>
      <c r="W281" s="53">
        <f>SUMIF('Avoided Costs 2014-2023'!$A:$A,'2014 Actuals'!U281&amp;ROUNDDOWN('2014 Actuals'!T281,0),'Avoided Costs 2014-2023'!$K:$K)*O281</f>
        <v>-49.947970521509539</v>
      </c>
      <c r="X281" s="53">
        <f>SUMIF('Avoided Costs 2014-2023'!$A:$A,'2014 Actuals'!U281&amp;ROUNDDOWN('2014 Actuals'!T281,0),'Avoided Costs 2014-2023'!$M:$M)*S281</f>
        <v>0</v>
      </c>
      <c r="Y281" s="53">
        <f t="shared" si="115"/>
        <v>8935.6236748094998</v>
      </c>
      <c r="Z281" s="55">
        <v>8944</v>
      </c>
      <c r="AA281" s="54">
        <f t="shared" si="116"/>
        <v>7870.72</v>
      </c>
      <c r="AB281" s="54"/>
      <c r="AC281" s="54"/>
      <c r="AD281" s="54"/>
      <c r="AE281" s="54">
        <f t="shared" si="117"/>
        <v>7870.72</v>
      </c>
      <c r="AF281" s="54">
        <f t="shared" si="118"/>
        <v>1064.9036748094995</v>
      </c>
      <c r="AG281" s="49">
        <f t="shared" si="119"/>
        <v>58225.067999999999</v>
      </c>
      <c r="AH281" s="49">
        <f t="shared" si="120"/>
        <v>66164.849999999991</v>
      </c>
    </row>
    <row r="282" spans="1:34" s="56" customFormat="1">
      <c r="A282" s="62" t="s">
        <v>386</v>
      </c>
      <c r="B282" s="62"/>
      <c r="C282" s="62"/>
      <c r="D282" s="62"/>
      <c r="E282" s="141">
        <v>1</v>
      </c>
      <c r="F282" s="142"/>
      <c r="G282" s="143">
        <v>0.12</v>
      </c>
      <c r="H282" s="143">
        <v>0</v>
      </c>
      <c r="I282" s="49">
        <v>712</v>
      </c>
      <c r="J282" s="49">
        <f t="shared" si="109"/>
        <v>595.94399999999996</v>
      </c>
      <c r="K282" s="49">
        <f t="shared" si="110"/>
        <v>524.43071999999995</v>
      </c>
      <c r="L282" s="58"/>
      <c r="M282" s="141">
        <v>0</v>
      </c>
      <c r="N282" s="50">
        <f t="shared" si="111"/>
        <v>0</v>
      </c>
      <c r="O282" s="50">
        <f t="shared" si="112"/>
        <v>0</v>
      </c>
      <c r="P282" s="59"/>
      <c r="Q282" s="141">
        <v>0</v>
      </c>
      <c r="R282" s="50">
        <f t="shared" si="113"/>
        <v>0</v>
      </c>
      <c r="S282" s="51">
        <f t="shared" si="114"/>
        <v>0</v>
      </c>
      <c r="T282" s="60">
        <v>15</v>
      </c>
      <c r="U282" s="61" t="s">
        <v>81</v>
      </c>
      <c r="V282" s="53">
        <f>SUMIF('Avoided Costs 2014-2023'!$A:$A,'2014 Actuals'!U282&amp;ROUNDDOWN('2014 Actuals'!T282,0),'Avoided Costs 2014-2023'!$E:$E)*K282</f>
        <v>1213.9899452515517</v>
      </c>
      <c r="W282" s="53">
        <f>SUMIF('Avoided Costs 2014-2023'!$A:$A,'2014 Actuals'!U282&amp;ROUNDDOWN('2014 Actuals'!T282,0),'Avoided Costs 2014-2023'!$K:$K)*O282</f>
        <v>0</v>
      </c>
      <c r="X282" s="53">
        <f>SUMIF('Avoided Costs 2014-2023'!$A:$A,'2014 Actuals'!U282&amp;ROUNDDOWN('2014 Actuals'!T282,0),'Avoided Costs 2014-2023'!$M:$M)*S282</f>
        <v>0</v>
      </c>
      <c r="Y282" s="53">
        <f t="shared" si="115"/>
        <v>1213.9899452515517</v>
      </c>
      <c r="Z282" s="55">
        <v>2000</v>
      </c>
      <c r="AA282" s="54">
        <f t="shared" si="116"/>
        <v>1760</v>
      </c>
      <c r="AB282" s="54"/>
      <c r="AC282" s="54"/>
      <c r="AD282" s="54"/>
      <c r="AE282" s="54">
        <f t="shared" si="117"/>
        <v>1760</v>
      </c>
      <c r="AF282" s="54">
        <f t="shared" si="118"/>
        <v>-546.01005474844828</v>
      </c>
      <c r="AG282" s="49">
        <f t="shared" si="119"/>
        <v>7866.4607999999989</v>
      </c>
      <c r="AH282" s="49">
        <f t="shared" si="120"/>
        <v>8939.16</v>
      </c>
    </row>
    <row r="283" spans="1:34" s="56" customFormat="1">
      <c r="A283" s="62" t="s">
        <v>387</v>
      </c>
      <c r="B283" s="62"/>
      <c r="C283" s="62"/>
      <c r="D283" s="62"/>
      <c r="E283" s="141">
        <v>0</v>
      </c>
      <c r="F283" s="142"/>
      <c r="G283" s="143">
        <v>0.12</v>
      </c>
      <c r="H283" s="143">
        <v>0</v>
      </c>
      <c r="I283" s="49">
        <v>1074</v>
      </c>
      <c r="J283" s="49">
        <f t="shared" si="109"/>
        <v>898.93799999999999</v>
      </c>
      <c r="K283" s="49">
        <f t="shared" si="110"/>
        <v>791.06543999999997</v>
      </c>
      <c r="L283" s="58"/>
      <c r="M283" s="141">
        <v>0</v>
      </c>
      <c r="N283" s="50">
        <f t="shared" si="111"/>
        <v>0</v>
      </c>
      <c r="O283" s="50">
        <f t="shared" si="112"/>
        <v>0</v>
      </c>
      <c r="P283" s="59"/>
      <c r="Q283" s="141">
        <v>0</v>
      </c>
      <c r="R283" s="50">
        <f t="shared" si="113"/>
        <v>0</v>
      </c>
      <c r="S283" s="51">
        <f t="shared" si="114"/>
        <v>0</v>
      </c>
      <c r="T283" s="60">
        <v>15</v>
      </c>
      <c r="U283" s="61" t="s">
        <v>81</v>
      </c>
      <c r="V283" s="53">
        <f>SUMIF('Avoided Costs 2014-2023'!$A:$A,'2014 Actuals'!U283&amp;ROUNDDOWN('2014 Actuals'!T283,0),'Avoided Costs 2014-2023'!$E:$E)*K283</f>
        <v>1831.215170224953</v>
      </c>
      <c r="W283" s="53">
        <f>SUMIF('Avoided Costs 2014-2023'!$A:$A,'2014 Actuals'!U283&amp;ROUNDDOWN('2014 Actuals'!T283,0),'Avoided Costs 2014-2023'!$K:$K)*O283</f>
        <v>0</v>
      </c>
      <c r="X283" s="53">
        <f>SUMIF('Avoided Costs 2014-2023'!$A:$A,'2014 Actuals'!U283&amp;ROUNDDOWN('2014 Actuals'!T283,0),'Avoided Costs 2014-2023'!$M:$M)*S283</f>
        <v>0</v>
      </c>
      <c r="Y283" s="53">
        <f t="shared" si="115"/>
        <v>1831.215170224953</v>
      </c>
      <c r="Z283" s="55">
        <v>1450</v>
      </c>
      <c r="AA283" s="54">
        <f t="shared" si="116"/>
        <v>1276</v>
      </c>
      <c r="AB283" s="54"/>
      <c r="AC283" s="54"/>
      <c r="AD283" s="54"/>
      <c r="AE283" s="54">
        <f t="shared" si="117"/>
        <v>1276</v>
      </c>
      <c r="AF283" s="54">
        <f t="shared" si="118"/>
        <v>555.215170224953</v>
      </c>
      <c r="AG283" s="49">
        <f t="shared" si="119"/>
        <v>11865.981599999999</v>
      </c>
      <c r="AH283" s="49">
        <f t="shared" si="120"/>
        <v>13484.07</v>
      </c>
    </row>
    <row r="284" spans="1:34" s="56" customFormat="1">
      <c r="A284" s="62" t="s">
        <v>388</v>
      </c>
      <c r="B284" s="62"/>
      <c r="C284" s="62"/>
      <c r="D284" s="62"/>
      <c r="E284" s="141">
        <v>1</v>
      </c>
      <c r="F284" s="142"/>
      <c r="G284" s="143">
        <v>0.12</v>
      </c>
      <c r="H284" s="143">
        <v>0</v>
      </c>
      <c r="I284" s="49">
        <v>11753</v>
      </c>
      <c r="J284" s="49">
        <f t="shared" si="109"/>
        <v>9837.2610000000004</v>
      </c>
      <c r="K284" s="49">
        <f t="shared" si="110"/>
        <v>8656.7896799999999</v>
      </c>
      <c r="L284" s="58"/>
      <c r="M284" s="141">
        <v>0</v>
      </c>
      <c r="N284" s="50">
        <f t="shared" si="111"/>
        <v>0</v>
      </c>
      <c r="O284" s="50">
        <f t="shared" si="112"/>
        <v>0</v>
      </c>
      <c r="P284" s="59"/>
      <c r="Q284" s="141">
        <v>0</v>
      </c>
      <c r="R284" s="50">
        <f t="shared" si="113"/>
        <v>0</v>
      </c>
      <c r="S284" s="51">
        <f t="shared" si="114"/>
        <v>0</v>
      </c>
      <c r="T284" s="60">
        <v>5</v>
      </c>
      <c r="U284" s="61" t="s">
        <v>81</v>
      </c>
      <c r="V284" s="53">
        <f>SUMIF('Avoided Costs 2014-2023'!$A:$A,'2014 Actuals'!U284&amp;ROUNDDOWN('2014 Actuals'!T284,0),'Avoided Costs 2014-2023'!$E:$E)*K284</f>
        <v>7365.7859707398366</v>
      </c>
      <c r="W284" s="53">
        <f>SUMIF('Avoided Costs 2014-2023'!$A:$A,'2014 Actuals'!U284&amp;ROUNDDOWN('2014 Actuals'!T284,0),'Avoided Costs 2014-2023'!$K:$K)*O284</f>
        <v>0</v>
      </c>
      <c r="X284" s="53">
        <f>SUMIF('Avoided Costs 2014-2023'!$A:$A,'2014 Actuals'!U284&amp;ROUNDDOWN('2014 Actuals'!T284,0),'Avoided Costs 2014-2023'!$M:$M)*S284</f>
        <v>0</v>
      </c>
      <c r="Y284" s="53">
        <f t="shared" si="115"/>
        <v>7365.7859707398366</v>
      </c>
      <c r="Z284" s="55">
        <v>2500</v>
      </c>
      <c r="AA284" s="54">
        <f t="shared" si="116"/>
        <v>2200</v>
      </c>
      <c r="AB284" s="54"/>
      <c r="AC284" s="54"/>
      <c r="AD284" s="54"/>
      <c r="AE284" s="54">
        <f t="shared" si="117"/>
        <v>2200</v>
      </c>
      <c r="AF284" s="54">
        <f t="shared" si="118"/>
        <v>5165.7859707398366</v>
      </c>
      <c r="AG284" s="49">
        <f t="shared" si="119"/>
        <v>43283.948400000001</v>
      </c>
      <c r="AH284" s="49">
        <f t="shared" si="120"/>
        <v>49186.305</v>
      </c>
    </row>
    <row r="285" spans="1:34" s="56" customFormat="1">
      <c r="A285" s="62" t="s">
        <v>389</v>
      </c>
      <c r="B285" s="62"/>
      <c r="C285" s="62"/>
      <c r="D285" s="62"/>
      <c r="E285" s="141">
        <v>1</v>
      </c>
      <c r="F285" s="142"/>
      <c r="G285" s="143">
        <v>0.12</v>
      </c>
      <c r="H285" s="143">
        <v>0</v>
      </c>
      <c r="I285" s="49">
        <v>436</v>
      </c>
      <c r="J285" s="49">
        <f t="shared" si="109"/>
        <v>364.93199999999996</v>
      </c>
      <c r="K285" s="49">
        <f t="shared" si="110"/>
        <v>321.14015999999998</v>
      </c>
      <c r="L285" s="58"/>
      <c r="M285" s="141">
        <v>2885</v>
      </c>
      <c r="N285" s="50">
        <f t="shared" si="111"/>
        <v>2885</v>
      </c>
      <c r="O285" s="50">
        <f t="shared" si="112"/>
        <v>2538.8000000000002</v>
      </c>
      <c r="P285" s="59"/>
      <c r="Q285" s="141">
        <v>0</v>
      </c>
      <c r="R285" s="50">
        <f t="shared" si="113"/>
        <v>0</v>
      </c>
      <c r="S285" s="51">
        <f t="shared" si="114"/>
        <v>0</v>
      </c>
      <c r="T285" s="60">
        <v>15</v>
      </c>
      <c r="U285" s="61" t="s">
        <v>81</v>
      </c>
      <c r="V285" s="53">
        <f>SUMIF('Avoided Costs 2014-2023'!$A:$A,'2014 Actuals'!U285&amp;ROUNDDOWN('2014 Actuals'!T285,0),'Avoided Costs 2014-2023'!$E:$E)*K285</f>
        <v>743.39833726078166</v>
      </c>
      <c r="W285" s="53">
        <f>SUMIF('Avoided Costs 2014-2023'!$A:$A,'2014 Actuals'!U285&amp;ROUNDDOWN('2014 Actuals'!T285,0),'Avoided Costs 2014-2023'!$K:$K)*O285</f>
        <v>3002.0811448865629</v>
      </c>
      <c r="X285" s="53">
        <f>SUMIF('Avoided Costs 2014-2023'!$A:$A,'2014 Actuals'!U285&amp;ROUNDDOWN('2014 Actuals'!T285,0),'Avoided Costs 2014-2023'!$M:$M)*S285</f>
        <v>0</v>
      </c>
      <c r="Y285" s="53">
        <f t="shared" si="115"/>
        <v>3745.4794821473447</v>
      </c>
      <c r="Z285" s="55">
        <v>1876</v>
      </c>
      <c r="AA285" s="54">
        <f t="shared" si="116"/>
        <v>1650.88</v>
      </c>
      <c r="AB285" s="54"/>
      <c r="AC285" s="54"/>
      <c r="AD285" s="54"/>
      <c r="AE285" s="54">
        <f t="shared" si="117"/>
        <v>1650.88</v>
      </c>
      <c r="AF285" s="54">
        <f t="shared" si="118"/>
        <v>2094.5994821473446</v>
      </c>
      <c r="AG285" s="49">
        <f t="shared" si="119"/>
        <v>4817.1023999999998</v>
      </c>
      <c r="AH285" s="49">
        <f t="shared" si="120"/>
        <v>5473.98</v>
      </c>
    </row>
    <row r="286" spans="1:34" s="56" customFormat="1">
      <c r="A286" s="62" t="s">
        <v>390</v>
      </c>
      <c r="B286" s="62"/>
      <c r="C286" s="62"/>
      <c r="D286" s="62"/>
      <c r="E286" s="141">
        <v>1</v>
      </c>
      <c r="F286" s="142"/>
      <c r="G286" s="143">
        <v>0.12</v>
      </c>
      <c r="H286" s="143">
        <v>0</v>
      </c>
      <c r="I286" s="49">
        <v>4393</v>
      </c>
      <c r="J286" s="49">
        <f t="shared" si="109"/>
        <v>3676.9409999999998</v>
      </c>
      <c r="K286" s="49">
        <f t="shared" si="110"/>
        <v>3235.7080799999999</v>
      </c>
      <c r="L286" s="58"/>
      <c r="M286" s="141">
        <v>0</v>
      </c>
      <c r="N286" s="50">
        <f t="shared" si="111"/>
        <v>0</v>
      </c>
      <c r="O286" s="50">
        <f t="shared" si="112"/>
        <v>0</v>
      </c>
      <c r="P286" s="59"/>
      <c r="Q286" s="141">
        <v>0</v>
      </c>
      <c r="R286" s="50">
        <f t="shared" si="113"/>
        <v>0</v>
      </c>
      <c r="S286" s="51">
        <f t="shared" si="114"/>
        <v>0</v>
      </c>
      <c r="T286" s="60">
        <v>15</v>
      </c>
      <c r="U286" s="61" t="s">
        <v>81</v>
      </c>
      <c r="V286" s="53">
        <f>SUMIF('Avoided Costs 2014-2023'!$A:$A,'2014 Actuals'!U286&amp;ROUNDDOWN('2014 Actuals'!T286,0),'Avoided Costs 2014-2023'!$E:$E)*K286</f>
        <v>7490.2497605197568</v>
      </c>
      <c r="W286" s="53">
        <f>SUMIF('Avoided Costs 2014-2023'!$A:$A,'2014 Actuals'!U286&amp;ROUNDDOWN('2014 Actuals'!T286,0),'Avoided Costs 2014-2023'!$K:$K)*O286</f>
        <v>0</v>
      </c>
      <c r="X286" s="53">
        <f>SUMIF('Avoided Costs 2014-2023'!$A:$A,'2014 Actuals'!U286&amp;ROUNDDOWN('2014 Actuals'!T286,0),'Avoided Costs 2014-2023'!$M:$M)*S286</f>
        <v>0</v>
      </c>
      <c r="Y286" s="53">
        <f t="shared" si="115"/>
        <v>7490.2497605197568</v>
      </c>
      <c r="Z286" s="55">
        <v>20930</v>
      </c>
      <c r="AA286" s="54">
        <f t="shared" si="116"/>
        <v>18418.400000000001</v>
      </c>
      <c r="AB286" s="54"/>
      <c r="AC286" s="54"/>
      <c r="AD286" s="54"/>
      <c r="AE286" s="54">
        <f t="shared" si="117"/>
        <v>18418.400000000001</v>
      </c>
      <c r="AF286" s="54">
        <f t="shared" si="118"/>
        <v>-10928.150239480245</v>
      </c>
      <c r="AG286" s="49">
        <f t="shared" si="119"/>
        <v>48535.621200000001</v>
      </c>
      <c r="AH286" s="49">
        <f t="shared" si="120"/>
        <v>55154.114999999998</v>
      </c>
    </row>
    <row r="287" spans="1:34" s="56" customFormat="1">
      <c r="A287" s="62" t="s">
        <v>391</v>
      </c>
      <c r="B287" s="62"/>
      <c r="C287" s="62"/>
      <c r="D287" s="62"/>
      <c r="E287" s="141">
        <v>1</v>
      </c>
      <c r="F287" s="142"/>
      <c r="G287" s="143">
        <v>0.12</v>
      </c>
      <c r="H287" s="143">
        <v>0</v>
      </c>
      <c r="I287" s="49">
        <v>1137</v>
      </c>
      <c r="J287" s="49">
        <f t="shared" si="109"/>
        <v>951.66899999999998</v>
      </c>
      <c r="K287" s="49">
        <f t="shared" si="110"/>
        <v>837.46871999999996</v>
      </c>
      <c r="L287" s="58"/>
      <c r="M287" s="141">
        <v>0</v>
      </c>
      <c r="N287" s="50">
        <f t="shared" si="111"/>
        <v>0</v>
      </c>
      <c r="O287" s="50">
        <f t="shared" si="112"/>
        <v>0</v>
      </c>
      <c r="P287" s="59"/>
      <c r="Q287" s="141">
        <v>0</v>
      </c>
      <c r="R287" s="50">
        <f t="shared" si="113"/>
        <v>0</v>
      </c>
      <c r="S287" s="51">
        <f t="shared" si="114"/>
        <v>0</v>
      </c>
      <c r="T287" s="60">
        <v>15</v>
      </c>
      <c r="U287" s="61" t="s">
        <v>81</v>
      </c>
      <c r="V287" s="53">
        <f>SUMIF('Avoided Costs 2014-2023'!$A:$A,'2014 Actuals'!U287&amp;ROUNDDOWN('2014 Actuals'!T287,0),'Avoided Costs 2014-2023'!$E:$E)*K287</f>
        <v>1938.6328198750202</v>
      </c>
      <c r="W287" s="53">
        <f>SUMIF('Avoided Costs 2014-2023'!$A:$A,'2014 Actuals'!U287&amp;ROUNDDOWN('2014 Actuals'!T287,0),'Avoided Costs 2014-2023'!$K:$K)*O287</f>
        <v>0</v>
      </c>
      <c r="X287" s="53">
        <f>SUMIF('Avoided Costs 2014-2023'!$A:$A,'2014 Actuals'!U287&amp;ROUNDDOWN('2014 Actuals'!T287,0),'Avoided Costs 2014-2023'!$M:$M)*S287</f>
        <v>0</v>
      </c>
      <c r="Y287" s="53">
        <f t="shared" si="115"/>
        <v>1938.6328198750202</v>
      </c>
      <c r="Z287" s="55">
        <v>2000</v>
      </c>
      <c r="AA287" s="54">
        <f t="shared" si="116"/>
        <v>1760</v>
      </c>
      <c r="AB287" s="54"/>
      <c r="AC287" s="54"/>
      <c r="AD287" s="54"/>
      <c r="AE287" s="54">
        <f t="shared" si="117"/>
        <v>1760</v>
      </c>
      <c r="AF287" s="54">
        <f t="shared" si="118"/>
        <v>178.63281987502023</v>
      </c>
      <c r="AG287" s="49">
        <f t="shared" si="119"/>
        <v>12562.030799999999</v>
      </c>
      <c r="AH287" s="49">
        <f t="shared" si="120"/>
        <v>14275.035</v>
      </c>
    </row>
    <row r="288" spans="1:34" s="56" customFormat="1">
      <c r="A288" s="62" t="s">
        <v>392</v>
      </c>
      <c r="B288" s="62"/>
      <c r="C288" s="62"/>
      <c r="D288" s="62"/>
      <c r="E288" s="141">
        <v>1</v>
      </c>
      <c r="F288" s="142"/>
      <c r="G288" s="143">
        <v>0.12</v>
      </c>
      <c r="H288" s="143">
        <v>0</v>
      </c>
      <c r="I288" s="49">
        <v>4425</v>
      </c>
      <c r="J288" s="49">
        <f t="shared" si="109"/>
        <v>3703.7249999999999</v>
      </c>
      <c r="K288" s="49">
        <f t="shared" si="110"/>
        <v>3259.2779999999998</v>
      </c>
      <c r="L288" s="58"/>
      <c r="M288" s="141">
        <v>3440</v>
      </c>
      <c r="N288" s="50">
        <f t="shared" si="111"/>
        <v>3440</v>
      </c>
      <c r="O288" s="50">
        <f t="shared" si="112"/>
        <v>3027.2</v>
      </c>
      <c r="P288" s="59"/>
      <c r="Q288" s="141">
        <v>0</v>
      </c>
      <c r="R288" s="50">
        <f t="shared" si="113"/>
        <v>0</v>
      </c>
      <c r="S288" s="51">
        <f t="shared" si="114"/>
        <v>0</v>
      </c>
      <c r="T288" s="60">
        <v>15</v>
      </c>
      <c r="U288" s="61" t="s">
        <v>81</v>
      </c>
      <c r="V288" s="53">
        <f>SUMIF('Avoided Costs 2014-2023'!$A:$A,'2014 Actuals'!U288&amp;ROUNDDOWN('2014 Actuals'!T288,0),'Avoided Costs 2014-2023'!$E:$E)*K288</f>
        <v>7544.8111063737588</v>
      </c>
      <c r="W288" s="53">
        <f>SUMIF('Avoided Costs 2014-2023'!$A:$A,'2014 Actuals'!U288&amp;ROUNDDOWN('2014 Actuals'!T288,0),'Avoided Costs 2014-2023'!$K:$K)*O288</f>
        <v>3579.6045540415166</v>
      </c>
      <c r="X288" s="53">
        <f>SUMIF('Avoided Costs 2014-2023'!$A:$A,'2014 Actuals'!U288&amp;ROUNDDOWN('2014 Actuals'!T288,0),'Avoided Costs 2014-2023'!$M:$M)*S288</f>
        <v>0</v>
      </c>
      <c r="Y288" s="53">
        <f t="shared" si="115"/>
        <v>11124.415660415276</v>
      </c>
      <c r="Z288" s="55">
        <v>20300</v>
      </c>
      <c r="AA288" s="54">
        <f t="shared" si="116"/>
        <v>17864</v>
      </c>
      <c r="AB288" s="54"/>
      <c r="AC288" s="54"/>
      <c r="AD288" s="54"/>
      <c r="AE288" s="54">
        <f t="shared" si="117"/>
        <v>17864</v>
      </c>
      <c r="AF288" s="54">
        <f t="shared" si="118"/>
        <v>-6739.5843395847241</v>
      </c>
      <c r="AG288" s="49">
        <f t="shared" si="119"/>
        <v>48889.17</v>
      </c>
      <c r="AH288" s="49">
        <f t="shared" si="120"/>
        <v>55555.875</v>
      </c>
    </row>
    <row r="289" spans="1:34" s="56" customFormat="1">
      <c r="A289" s="62" t="s">
        <v>393</v>
      </c>
      <c r="B289" s="62"/>
      <c r="C289" s="62"/>
      <c r="D289" s="62"/>
      <c r="E289" s="141">
        <v>1</v>
      </c>
      <c r="F289" s="142"/>
      <c r="G289" s="143">
        <v>0.12</v>
      </c>
      <c r="H289" s="143">
        <v>0</v>
      </c>
      <c r="I289" s="49">
        <v>908</v>
      </c>
      <c r="J289" s="49">
        <f t="shared" si="109"/>
        <v>759.99599999999998</v>
      </c>
      <c r="K289" s="49">
        <f t="shared" si="110"/>
        <v>668.79647999999997</v>
      </c>
      <c r="L289" s="58"/>
      <c r="M289" s="141">
        <v>0</v>
      </c>
      <c r="N289" s="50">
        <f t="shared" si="111"/>
        <v>0</v>
      </c>
      <c r="O289" s="50">
        <f t="shared" si="112"/>
        <v>0</v>
      </c>
      <c r="P289" s="59"/>
      <c r="Q289" s="141">
        <v>0</v>
      </c>
      <c r="R289" s="50">
        <f t="shared" si="113"/>
        <v>0</v>
      </c>
      <c r="S289" s="51">
        <f t="shared" si="114"/>
        <v>0</v>
      </c>
      <c r="T289" s="60">
        <v>15</v>
      </c>
      <c r="U289" s="61" t="s">
        <v>81</v>
      </c>
      <c r="V289" s="53">
        <f>SUMIF('Avoided Costs 2014-2023'!$A:$A,'2014 Actuals'!U289&amp;ROUNDDOWN('2014 Actuals'!T289,0),'Avoided Costs 2014-2023'!$E:$E)*K289</f>
        <v>1548.1781886073161</v>
      </c>
      <c r="W289" s="53">
        <f>SUMIF('Avoided Costs 2014-2023'!$A:$A,'2014 Actuals'!U289&amp;ROUNDDOWN('2014 Actuals'!T289,0),'Avoided Costs 2014-2023'!$K:$K)*O289</f>
        <v>0</v>
      </c>
      <c r="X289" s="53">
        <f>SUMIF('Avoided Costs 2014-2023'!$A:$A,'2014 Actuals'!U289&amp;ROUNDDOWN('2014 Actuals'!T289,0),'Avoided Costs 2014-2023'!$M:$M)*S289</f>
        <v>0</v>
      </c>
      <c r="Y289" s="53">
        <f t="shared" si="115"/>
        <v>1548.1781886073161</v>
      </c>
      <c r="Z289" s="55">
        <v>2000</v>
      </c>
      <c r="AA289" s="54">
        <f t="shared" si="116"/>
        <v>1760</v>
      </c>
      <c r="AB289" s="54"/>
      <c r="AC289" s="54"/>
      <c r="AD289" s="54"/>
      <c r="AE289" s="54">
        <f t="shared" si="117"/>
        <v>1760</v>
      </c>
      <c r="AF289" s="54">
        <f t="shared" si="118"/>
        <v>-211.82181139268391</v>
      </c>
      <c r="AG289" s="49">
        <f t="shared" si="119"/>
        <v>10031.947199999999</v>
      </c>
      <c r="AH289" s="49">
        <f t="shared" si="120"/>
        <v>11399.94</v>
      </c>
    </row>
    <row r="290" spans="1:34" s="56" customFormat="1">
      <c r="A290" s="62" t="s">
        <v>394</v>
      </c>
      <c r="B290" s="62"/>
      <c r="C290" s="62"/>
      <c r="D290" s="62"/>
      <c r="E290" s="141">
        <v>1</v>
      </c>
      <c r="F290" s="142"/>
      <c r="G290" s="143">
        <v>0.12</v>
      </c>
      <c r="H290" s="143">
        <v>0</v>
      </c>
      <c r="I290" s="49">
        <v>418</v>
      </c>
      <c r="J290" s="49">
        <f t="shared" si="109"/>
        <v>349.86599999999999</v>
      </c>
      <c r="K290" s="49">
        <f t="shared" si="110"/>
        <v>307.88207999999997</v>
      </c>
      <c r="L290" s="58"/>
      <c r="M290" s="141">
        <v>7848</v>
      </c>
      <c r="N290" s="50">
        <f t="shared" si="111"/>
        <v>7848</v>
      </c>
      <c r="O290" s="50">
        <f t="shared" si="112"/>
        <v>6906.24</v>
      </c>
      <c r="P290" s="59"/>
      <c r="Q290" s="141">
        <v>0</v>
      </c>
      <c r="R290" s="50">
        <f t="shared" si="113"/>
        <v>0</v>
      </c>
      <c r="S290" s="51">
        <f t="shared" si="114"/>
        <v>0</v>
      </c>
      <c r="T290" s="60">
        <v>15</v>
      </c>
      <c r="U290" s="61" t="s">
        <v>81</v>
      </c>
      <c r="V290" s="53">
        <f>SUMIF('Avoided Costs 2014-2023'!$A:$A,'2014 Actuals'!U290&amp;ROUNDDOWN('2014 Actuals'!T290,0),'Avoided Costs 2014-2023'!$E:$E)*K290</f>
        <v>712.70758021790539</v>
      </c>
      <c r="W290" s="53">
        <f>SUMIF('Avoided Costs 2014-2023'!$A:$A,'2014 Actuals'!U290&amp;ROUNDDOWN('2014 Actuals'!T290,0),'Avoided Costs 2014-2023'!$K:$K)*O290</f>
        <v>8166.4931802668088</v>
      </c>
      <c r="X290" s="53">
        <f>SUMIF('Avoided Costs 2014-2023'!$A:$A,'2014 Actuals'!U290&amp;ROUNDDOWN('2014 Actuals'!T290,0),'Avoided Costs 2014-2023'!$M:$M)*S290</f>
        <v>0</v>
      </c>
      <c r="Y290" s="53">
        <f t="shared" si="115"/>
        <v>8879.2007604847149</v>
      </c>
      <c r="Z290" s="55">
        <v>9500</v>
      </c>
      <c r="AA290" s="54">
        <f t="shared" si="116"/>
        <v>8360</v>
      </c>
      <c r="AB290" s="54"/>
      <c r="AC290" s="54"/>
      <c r="AD290" s="54"/>
      <c r="AE290" s="54">
        <f t="shared" si="117"/>
        <v>8360</v>
      </c>
      <c r="AF290" s="54">
        <f t="shared" si="118"/>
        <v>519.20076048471492</v>
      </c>
      <c r="AG290" s="49">
        <f t="shared" si="119"/>
        <v>4618.2311999999993</v>
      </c>
      <c r="AH290" s="49">
        <f t="shared" si="120"/>
        <v>5247.99</v>
      </c>
    </row>
    <row r="291" spans="1:34" s="56" customFormat="1">
      <c r="A291" s="62" t="s">
        <v>395</v>
      </c>
      <c r="B291" s="62"/>
      <c r="C291" s="62"/>
      <c r="D291" s="62"/>
      <c r="E291" s="141">
        <v>1</v>
      </c>
      <c r="F291" s="142"/>
      <c r="G291" s="143">
        <v>0.12</v>
      </c>
      <c r="H291" s="143">
        <v>0</v>
      </c>
      <c r="I291" s="49">
        <v>7536</v>
      </c>
      <c r="J291" s="49">
        <f t="shared" si="109"/>
        <v>6307.6319999999996</v>
      </c>
      <c r="K291" s="49">
        <f t="shared" si="110"/>
        <v>5550.7161599999999</v>
      </c>
      <c r="L291" s="58"/>
      <c r="M291" s="141">
        <v>4233</v>
      </c>
      <c r="N291" s="50">
        <f t="shared" si="111"/>
        <v>4233</v>
      </c>
      <c r="O291" s="50">
        <f t="shared" si="112"/>
        <v>3725.04</v>
      </c>
      <c r="P291" s="59"/>
      <c r="Q291" s="141">
        <v>0</v>
      </c>
      <c r="R291" s="50">
        <f t="shared" si="113"/>
        <v>0</v>
      </c>
      <c r="S291" s="51">
        <f t="shared" si="114"/>
        <v>0</v>
      </c>
      <c r="T291" s="60">
        <v>15</v>
      </c>
      <c r="U291" s="61" t="s">
        <v>81</v>
      </c>
      <c r="V291" s="53">
        <f>SUMIF('Avoided Costs 2014-2023'!$A:$A,'2014 Actuals'!U291&amp;ROUNDDOWN('2014 Actuals'!T291,0),'Avoided Costs 2014-2023'!$E:$E)*K291</f>
        <v>12849.196948617548</v>
      </c>
      <c r="W291" s="53">
        <f>SUMIF('Avoided Costs 2014-2023'!$A:$A,'2014 Actuals'!U291&amp;ROUNDDOWN('2014 Actuals'!T291,0),'Avoided Costs 2014-2023'!$K:$K)*O291</f>
        <v>4404.7866503656223</v>
      </c>
      <c r="X291" s="53">
        <f>SUMIF('Avoided Costs 2014-2023'!$A:$A,'2014 Actuals'!U291&amp;ROUNDDOWN('2014 Actuals'!T291,0),'Avoided Costs 2014-2023'!$M:$M)*S291</f>
        <v>0</v>
      </c>
      <c r="Y291" s="53">
        <f t="shared" si="115"/>
        <v>17253.98359898317</v>
      </c>
      <c r="Z291" s="55">
        <v>19000</v>
      </c>
      <c r="AA291" s="54">
        <f t="shared" si="116"/>
        <v>16720</v>
      </c>
      <c r="AB291" s="54"/>
      <c r="AC291" s="54"/>
      <c r="AD291" s="54"/>
      <c r="AE291" s="54">
        <f t="shared" si="117"/>
        <v>16720</v>
      </c>
      <c r="AF291" s="54">
        <f t="shared" si="118"/>
        <v>533.98359898316994</v>
      </c>
      <c r="AG291" s="49">
        <f t="shared" si="119"/>
        <v>83260.742400000003</v>
      </c>
      <c r="AH291" s="49">
        <f t="shared" si="120"/>
        <v>94614.48</v>
      </c>
    </row>
    <row r="292" spans="1:34" s="56" customFormat="1">
      <c r="A292" s="62" t="s">
        <v>396</v>
      </c>
      <c r="B292" s="62"/>
      <c r="C292" s="62"/>
      <c r="D292" s="62"/>
      <c r="E292" s="141">
        <v>1</v>
      </c>
      <c r="F292" s="142"/>
      <c r="G292" s="143">
        <v>0.12</v>
      </c>
      <c r="H292" s="143">
        <v>0</v>
      </c>
      <c r="I292" s="49">
        <v>812</v>
      </c>
      <c r="J292" s="49">
        <f t="shared" si="109"/>
        <v>679.64400000000001</v>
      </c>
      <c r="K292" s="49">
        <f t="shared" si="110"/>
        <v>598.08672000000001</v>
      </c>
      <c r="L292" s="58"/>
      <c r="M292" s="141">
        <v>0</v>
      </c>
      <c r="N292" s="50">
        <f t="shared" si="111"/>
        <v>0</v>
      </c>
      <c r="O292" s="50">
        <f t="shared" si="112"/>
        <v>0</v>
      </c>
      <c r="P292" s="59"/>
      <c r="Q292" s="141">
        <v>0</v>
      </c>
      <c r="R292" s="50">
        <f t="shared" si="113"/>
        <v>0</v>
      </c>
      <c r="S292" s="51">
        <f t="shared" si="114"/>
        <v>0</v>
      </c>
      <c r="T292" s="60">
        <v>15</v>
      </c>
      <c r="U292" s="61" t="s">
        <v>81</v>
      </c>
      <c r="V292" s="53">
        <f>SUMIF('Avoided Costs 2014-2023'!$A:$A,'2014 Actuals'!U292&amp;ROUNDDOWN('2014 Actuals'!T292,0),'Avoided Costs 2014-2023'!$E:$E)*K292</f>
        <v>1384.4941510453091</v>
      </c>
      <c r="W292" s="53">
        <f>SUMIF('Avoided Costs 2014-2023'!$A:$A,'2014 Actuals'!U292&amp;ROUNDDOWN('2014 Actuals'!T292,0),'Avoided Costs 2014-2023'!$K:$K)*O292</f>
        <v>0</v>
      </c>
      <c r="X292" s="53">
        <f>SUMIF('Avoided Costs 2014-2023'!$A:$A,'2014 Actuals'!U292&amp;ROUNDDOWN('2014 Actuals'!T292,0),'Avoided Costs 2014-2023'!$M:$M)*S292</f>
        <v>0</v>
      </c>
      <c r="Y292" s="53">
        <f t="shared" si="115"/>
        <v>1384.4941510453091</v>
      </c>
      <c r="Z292" s="55">
        <v>5200</v>
      </c>
      <c r="AA292" s="54">
        <f t="shared" si="116"/>
        <v>4576</v>
      </c>
      <c r="AB292" s="54"/>
      <c r="AC292" s="54"/>
      <c r="AD292" s="54"/>
      <c r="AE292" s="54">
        <f t="shared" si="117"/>
        <v>4576</v>
      </c>
      <c r="AF292" s="54">
        <f t="shared" si="118"/>
        <v>-3191.5058489546909</v>
      </c>
      <c r="AG292" s="49">
        <f t="shared" si="119"/>
        <v>8971.3008000000009</v>
      </c>
      <c r="AH292" s="49">
        <f t="shared" si="120"/>
        <v>10194.66</v>
      </c>
    </row>
    <row r="293" spans="1:34" s="56" customFormat="1">
      <c r="A293" s="62" t="s">
        <v>397</v>
      </c>
      <c r="B293" s="62"/>
      <c r="C293" s="62"/>
      <c r="D293" s="62"/>
      <c r="E293" s="141">
        <v>1</v>
      </c>
      <c r="F293" s="142"/>
      <c r="G293" s="143">
        <v>0.12</v>
      </c>
      <c r="H293" s="143">
        <v>0</v>
      </c>
      <c r="I293" s="49">
        <v>2719</v>
      </c>
      <c r="J293" s="49">
        <f t="shared" si="109"/>
        <v>2275.8029999999999</v>
      </c>
      <c r="K293" s="49">
        <f t="shared" si="110"/>
        <v>2002.7066399999999</v>
      </c>
      <c r="L293" s="58"/>
      <c r="M293" s="141">
        <v>0</v>
      </c>
      <c r="N293" s="50">
        <f t="shared" si="111"/>
        <v>0</v>
      </c>
      <c r="O293" s="50">
        <f t="shared" si="112"/>
        <v>0</v>
      </c>
      <c r="P293" s="59"/>
      <c r="Q293" s="141">
        <v>0</v>
      </c>
      <c r="R293" s="50">
        <f t="shared" si="113"/>
        <v>0</v>
      </c>
      <c r="S293" s="51">
        <f t="shared" si="114"/>
        <v>0</v>
      </c>
      <c r="T293" s="60">
        <v>15</v>
      </c>
      <c r="U293" s="61" t="s">
        <v>81</v>
      </c>
      <c r="V293" s="53">
        <f>SUMIF('Avoided Costs 2014-2023'!$A:$A,'2014 Actuals'!U293&amp;ROUNDDOWN('2014 Actuals'!T293,0),'Avoided Costs 2014-2023'!$E:$E)*K293</f>
        <v>4636.0093555322601</v>
      </c>
      <c r="W293" s="53">
        <f>SUMIF('Avoided Costs 2014-2023'!$A:$A,'2014 Actuals'!U293&amp;ROUNDDOWN('2014 Actuals'!T293,0),'Avoided Costs 2014-2023'!$K:$K)*O293</f>
        <v>0</v>
      </c>
      <c r="X293" s="53">
        <f>SUMIF('Avoided Costs 2014-2023'!$A:$A,'2014 Actuals'!U293&amp;ROUNDDOWN('2014 Actuals'!T293,0),'Avoided Costs 2014-2023'!$M:$M)*S293</f>
        <v>0</v>
      </c>
      <c r="Y293" s="53">
        <f t="shared" si="115"/>
        <v>4636.0093555322601</v>
      </c>
      <c r="Z293" s="55">
        <v>7500</v>
      </c>
      <c r="AA293" s="54">
        <f t="shared" si="116"/>
        <v>6600</v>
      </c>
      <c r="AB293" s="54"/>
      <c r="AC293" s="54"/>
      <c r="AD293" s="54"/>
      <c r="AE293" s="54">
        <f t="shared" si="117"/>
        <v>6600</v>
      </c>
      <c r="AF293" s="54">
        <f t="shared" si="118"/>
        <v>-1963.9906444677399</v>
      </c>
      <c r="AG293" s="49">
        <f t="shared" si="119"/>
        <v>30040.599599999998</v>
      </c>
      <c r="AH293" s="49">
        <f t="shared" si="120"/>
        <v>34137.044999999998</v>
      </c>
    </row>
    <row r="294" spans="1:34" s="56" customFormat="1">
      <c r="A294" s="62" t="s">
        <v>398</v>
      </c>
      <c r="B294" s="62"/>
      <c r="C294" s="62"/>
      <c r="D294" s="62"/>
      <c r="E294" s="141">
        <v>1</v>
      </c>
      <c r="F294" s="142"/>
      <c r="G294" s="143">
        <v>0.12</v>
      </c>
      <c r="H294" s="143">
        <v>0</v>
      </c>
      <c r="I294" s="49">
        <v>2718</v>
      </c>
      <c r="J294" s="49">
        <f t="shared" si="109"/>
        <v>2274.9659999999999</v>
      </c>
      <c r="K294" s="49">
        <f t="shared" si="110"/>
        <v>2001.9700799999998</v>
      </c>
      <c r="L294" s="58"/>
      <c r="M294" s="141">
        <v>0</v>
      </c>
      <c r="N294" s="50">
        <f t="shared" si="111"/>
        <v>0</v>
      </c>
      <c r="O294" s="50">
        <f t="shared" si="112"/>
        <v>0</v>
      </c>
      <c r="P294" s="59"/>
      <c r="Q294" s="141">
        <v>0</v>
      </c>
      <c r="R294" s="50">
        <f t="shared" si="113"/>
        <v>0</v>
      </c>
      <c r="S294" s="51">
        <f t="shared" si="114"/>
        <v>0</v>
      </c>
      <c r="T294" s="60">
        <v>15</v>
      </c>
      <c r="U294" s="61" t="s">
        <v>81</v>
      </c>
      <c r="V294" s="53">
        <f>SUMIF('Avoided Costs 2014-2023'!$A:$A,'2014 Actuals'!U294&amp;ROUNDDOWN('2014 Actuals'!T294,0),'Avoided Costs 2014-2023'!$E:$E)*K294</f>
        <v>4634.304313474322</v>
      </c>
      <c r="W294" s="53">
        <f>SUMIF('Avoided Costs 2014-2023'!$A:$A,'2014 Actuals'!U294&amp;ROUNDDOWN('2014 Actuals'!T294,0),'Avoided Costs 2014-2023'!$K:$K)*O294</f>
        <v>0</v>
      </c>
      <c r="X294" s="53">
        <f>SUMIF('Avoided Costs 2014-2023'!$A:$A,'2014 Actuals'!U294&amp;ROUNDDOWN('2014 Actuals'!T294,0),'Avoided Costs 2014-2023'!$M:$M)*S294</f>
        <v>0</v>
      </c>
      <c r="Y294" s="53">
        <f t="shared" si="115"/>
        <v>4634.304313474322</v>
      </c>
      <c r="Z294" s="55">
        <v>18250</v>
      </c>
      <c r="AA294" s="54">
        <f t="shared" si="116"/>
        <v>16060</v>
      </c>
      <c r="AB294" s="54"/>
      <c r="AC294" s="54"/>
      <c r="AD294" s="54"/>
      <c r="AE294" s="54">
        <f t="shared" si="117"/>
        <v>16060</v>
      </c>
      <c r="AF294" s="54">
        <f t="shared" si="118"/>
        <v>-11425.695686525678</v>
      </c>
      <c r="AG294" s="49">
        <f t="shared" si="119"/>
        <v>30029.551199999998</v>
      </c>
      <c r="AH294" s="49">
        <f t="shared" si="120"/>
        <v>34124.49</v>
      </c>
    </row>
    <row r="295" spans="1:34" s="56" customFormat="1">
      <c r="A295" s="62" t="s">
        <v>399</v>
      </c>
      <c r="B295" s="62"/>
      <c r="C295" s="62"/>
      <c r="D295" s="62"/>
      <c r="E295" s="141">
        <v>1</v>
      </c>
      <c r="F295" s="142"/>
      <c r="G295" s="143">
        <v>0.12</v>
      </c>
      <c r="H295" s="143">
        <v>0</v>
      </c>
      <c r="I295" s="49">
        <v>1714</v>
      </c>
      <c r="J295" s="49">
        <f t="shared" si="109"/>
        <v>1434.6179999999999</v>
      </c>
      <c r="K295" s="49">
        <f t="shared" si="110"/>
        <v>1262.4638399999999</v>
      </c>
      <c r="L295" s="58"/>
      <c r="M295" s="141">
        <v>4095</v>
      </c>
      <c r="N295" s="50">
        <f t="shared" si="111"/>
        <v>4095</v>
      </c>
      <c r="O295" s="50">
        <f t="shared" si="112"/>
        <v>3603.6</v>
      </c>
      <c r="P295" s="59"/>
      <c r="Q295" s="141">
        <v>0</v>
      </c>
      <c r="R295" s="50">
        <f t="shared" si="113"/>
        <v>0</v>
      </c>
      <c r="S295" s="51">
        <f t="shared" si="114"/>
        <v>0</v>
      </c>
      <c r="T295" s="60">
        <v>15</v>
      </c>
      <c r="U295" s="61" t="s">
        <v>81</v>
      </c>
      <c r="V295" s="53">
        <f>SUMIF('Avoided Costs 2014-2023'!$A:$A,'2014 Actuals'!U295&amp;ROUNDDOWN('2014 Actuals'!T295,0),'Avoided Costs 2014-2023'!$E:$E)*K295</f>
        <v>2922.4420873049994</v>
      </c>
      <c r="W295" s="53">
        <f>SUMIF('Avoided Costs 2014-2023'!$A:$A,'2014 Actuals'!U295&amp;ROUNDDOWN('2014 Actuals'!T295,0),'Avoided Costs 2014-2023'!$K:$K)*O295</f>
        <v>4261.1862351162818</v>
      </c>
      <c r="X295" s="53">
        <f>SUMIF('Avoided Costs 2014-2023'!$A:$A,'2014 Actuals'!U295&amp;ROUNDDOWN('2014 Actuals'!T295,0),'Avoided Costs 2014-2023'!$M:$M)*S295</f>
        <v>0</v>
      </c>
      <c r="Y295" s="53">
        <f t="shared" si="115"/>
        <v>7183.6283224212812</v>
      </c>
      <c r="Z295" s="55">
        <v>8300</v>
      </c>
      <c r="AA295" s="54">
        <f t="shared" si="116"/>
        <v>7304</v>
      </c>
      <c r="AB295" s="54"/>
      <c r="AC295" s="54"/>
      <c r="AD295" s="54"/>
      <c r="AE295" s="54">
        <f t="shared" si="117"/>
        <v>7304</v>
      </c>
      <c r="AF295" s="54">
        <f t="shared" si="118"/>
        <v>-120.37167757871885</v>
      </c>
      <c r="AG295" s="49">
        <f t="shared" si="119"/>
        <v>18936.957599999998</v>
      </c>
      <c r="AH295" s="49">
        <f t="shared" si="120"/>
        <v>21519.27</v>
      </c>
    </row>
    <row r="296" spans="1:34" s="56" customFormat="1">
      <c r="A296" s="62" t="s">
        <v>400</v>
      </c>
      <c r="B296" s="62"/>
      <c r="C296" s="62"/>
      <c r="D296" s="62"/>
      <c r="E296" s="141">
        <v>1</v>
      </c>
      <c r="F296" s="142"/>
      <c r="G296" s="143">
        <v>0.12</v>
      </c>
      <c r="H296" s="143">
        <v>0</v>
      </c>
      <c r="I296" s="49">
        <v>294</v>
      </c>
      <c r="J296" s="49">
        <f t="shared" si="109"/>
        <v>246.078</v>
      </c>
      <c r="K296" s="49">
        <f t="shared" si="110"/>
        <v>216.54864000000001</v>
      </c>
      <c r="L296" s="58"/>
      <c r="M296" s="141">
        <v>0</v>
      </c>
      <c r="N296" s="50">
        <f t="shared" si="111"/>
        <v>0</v>
      </c>
      <c r="O296" s="50">
        <f t="shared" si="112"/>
        <v>0</v>
      </c>
      <c r="P296" s="59"/>
      <c r="Q296" s="141">
        <v>0</v>
      </c>
      <c r="R296" s="50">
        <f t="shared" si="113"/>
        <v>0</v>
      </c>
      <c r="S296" s="51">
        <f t="shared" si="114"/>
        <v>0</v>
      </c>
      <c r="T296" s="60">
        <v>15</v>
      </c>
      <c r="U296" s="61" t="s">
        <v>81</v>
      </c>
      <c r="V296" s="53">
        <f>SUMIF('Avoided Costs 2014-2023'!$A:$A,'2014 Actuals'!U296&amp;ROUNDDOWN('2014 Actuals'!T296,0),'Avoided Costs 2014-2023'!$E:$E)*K296</f>
        <v>501.28236503364639</v>
      </c>
      <c r="W296" s="53">
        <f>SUMIF('Avoided Costs 2014-2023'!$A:$A,'2014 Actuals'!U296&amp;ROUNDDOWN('2014 Actuals'!T296,0),'Avoided Costs 2014-2023'!$K:$K)*O296</f>
        <v>0</v>
      </c>
      <c r="X296" s="53">
        <f>SUMIF('Avoided Costs 2014-2023'!$A:$A,'2014 Actuals'!U296&amp;ROUNDDOWN('2014 Actuals'!T296,0),'Avoided Costs 2014-2023'!$M:$M)*S296</f>
        <v>0</v>
      </c>
      <c r="Y296" s="53">
        <f t="shared" si="115"/>
        <v>501.28236503364639</v>
      </c>
      <c r="Z296" s="55">
        <v>1000</v>
      </c>
      <c r="AA296" s="54">
        <f t="shared" si="116"/>
        <v>880</v>
      </c>
      <c r="AB296" s="54"/>
      <c r="AC296" s="54"/>
      <c r="AD296" s="54"/>
      <c r="AE296" s="54">
        <f t="shared" si="117"/>
        <v>880</v>
      </c>
      <c r="AF296" s="54">
        <f t="shared" si="118"/>
        <v>-378.71763496635361</v>
      </c>
      <c r="AG296" s="49">
        <f t="shared" si="119"/>
        <v>3248.2296000000001</v>
      </c>
      <c r="AH296" s="49">
        <f t="shared" si="120"/>
        <v>3691.17</v>
      </c>
    </row>
    <row r="297" spans="1:34" s="56" customFormat="1">
      <c r="A297" s="62" t="s">
        <v>401</v>
      </c>
      <c r="B297" s="62"/>
      <c r="C297" s="62"/>
      <c r="D297" s="62"/>
      <c r="E297" s="141">
        <v>1</v>
      </c>
      <c r="F297" s="142"/>
      <c r="G297" s="143">
        <v>0.12</v>
      </c>
      <c r="H297" s="143">
        <v>0</v>
      </c>
      <c r="I297" s="49">
        <v>3228</v>
      </c>
      <c r="J297" s="49">
        <f t="shared" si="109"/>
        <v>2701.8359999999998</v>
      </c>
      <c r="K297" s="49">
        <f t="shared" si="110"/>
        <v>2377.6156799999999</v>
      </c>
      <c r="L297" s="58"/>
      <c r="M297" s="141">
        <v>0</v>
      </c>
      <c r="N297" s="50">
        <f t="shared" si="111"/>
        <v>0</v>
      </c>
      <c r="O297" s="50">
        <f t="shared" si="112"/>
        <v>0</v>
      </c>
      <c r="P297" s="59"/>
      <c r="Q297" s="141">
        <v>0</v>
      </c>
      <c r="R297" s="50">
        <f t="shared" si="113"/>
        <v>0</v>
      </c>
      <c r="S297" s="51">
        <f t="shared" si="114"/>
        <v>0</v>
      </c>
      <c r="T297" s="60">
        <v>15</v>
      </c>
      <c r="U297" s="61" t="s">
        <v>81</v>
      </c>
      <c r="V297" s="53">
        <f>SUMIF('Avoided Costs 2014-2023'!$A:$A,'2014 Actuals'!U297&amp;ROUNDDOWN('2014 Actuals'!T297,0),'Avoided Costs 2014-2023'!$E:$E)*K297</f>
        <v>5503.8757630224845</v>
      </c>
      <c r="W297" s="53">
        <f>SUMIF('Avoided Costs 2014-2023'!$A:$A,'2014 Actuals'!U297&amp;ROUNDDOWN('2014 Actuals'!T297,0),'Avoided Costs 2014-2023'!$K:$K)*O297</f>
        <v>0</v>
      </c>
      <c r="X297" s="53">
        <f>SUMIF('Avoided Costs 2014-2023'!$A:$A,'2014 Actuals'!U297&amp;ROUNDDOWN('2014 Actuals'!T297,0),'Avoided Costs 2014-2023'!$M:$M)*S297</f>
        <v>0</v>
      </c>
      <c r="Y297" s="53">
        <f t="shared" si="115"/>
        <v>5503.8757630224845</v>
      </c>
      <c r="Z297" s="55">
        <v>1620</v>
      </c>
      <c r="AA297" s="54">
        <f t="shared" si="116"/>
        <v>1425.6</v>
      </c>
      <c r="AB297" s="54"/>
      <c r="AC297" s="54"/>
      <c r="AD297" s="54"/>
      <c r="AE297" s="54">
        <f t="shared" si="117"/>
        <v>1425.6</v>
      </c>
      <c r="AF297" s="54">
        <f t="shared" si="118"/>
        <v>4078.2757630224846</v>
      </c>
      <c r="AG297" s="49">
        <f t="shared" si="119"/>
        <v>35664.235199999996</v>
      </c>
      <c r="AH297" s="49">
        <f t="shared" si="120"/>
        <v>40527.539999999994</v>
      </c>
    </row>
    <row r="298" spans="1:34" s="56" customFormat="1">
      <c r="A298" s="62" t="s">
        <v>402</v>
      </c>
      <c r="B298" s="62"/>
      <c r="C298" s="62"/>
      <c r="D298" s="62"/>
      <c r="E298" s="141">
        <v>1</v>
      </c>
      <c r="F298" s="142"/>
      <c r="G298" s="143">
        <v>0.12</v>
      </c>
      <c r="H298" s="143">
        <v>0</v>
      </c>
      <c r="I298" s="49">
        <v>2712</v>
      </c>
      <c r="J298" s="49">
        <f t="shared" si="109"/>
        <v>2269.944</v>
      </c>
      <c r="K298" s="49">
        <f t="shared" si="110"/>
        <v>1997.55072</v>
      </c>
      <c r="L298" s="58"/>
      <c r="M298" s="141">
        <v>6480</v>
      </c>
      <c r="N298" s="50">
        <f t="shared" si="111"/>
        <v>6480</v>
      </c>
      <c r="O298" s="50">
        <f t="shared" si="112"/>
        <v>5702.4</v>
      </c>
      <c r="P298" s="59"/>
      <c r="Q298" s="141">
        <v>0</v>
      </c>
      <c r="R298" s="50">
        <f t="shared" si="113"/>
        <v>0</v>
      </c>
      <c r="S298" s="51">
        <f t="shared" si="114"/>
        <v>0</v>
      </c>
      <c r="T298" s="60">
        <v>15</v>
      </c>
      <c r="U298" s="61" t="s">
        <v>81</v>
      </c>
      <c r="V298" s="53">
        <f>SUMIF('Avoided Costs 2014-2023'!$A:$A,'2014 Actuals'!U298&amp;ROUNDDOWN('2014 Actuals'!T298,0),'Avoided Costs 2014-2023'!$E:$E)*K298</f>
        <v>4624.0740611266974</v>
      </c>
      <c r="W298" s="53">
        <f>SUMIF('Avoided Costs 2014-2023'!$A:$A,'2014 Actuals'!U298&amp;ROUNDDOWN('2014 Actuals'!T298,0),'Avoided Costs 2014-2023'!$K:$K)*O298</f>
        <v>6742.9760204037866</v>
      </c>
      <c r="X298" s="53">
        <f>SUMIF('Avoided Costs 2014-2023'!$A:$A,'2014 Actuals'!U298&amp;ROUNDDOWN('2014 Actuals'!T298,0),'Avoided Costs 2014-2023'!$M:$M)*S298</f>
        <v>0</v>
      </c>
      <c r="Y298" s="53">
        <f t="shared" si="115"/>
        <v>11367.050081530484</v>
      </c>
      <c r="Z298" s="55">
        <v>10300</v>
      </c>
      <c r="AA298" s="54">
        <f t="shared" si="116"/>
        <v>9064</v>
      </c>
      <c r="AB298" s="54"/>
      <c r="AC298" s="54"/>
      <c r="AD298" s="54"/>
      <c r="AE298" s="54">
        <f t="shared" si="117"/>
        <v>9064</v>
      </c>
      <c r="AF298" s="54">
        <f t="shared" si="118"/>
        <v>2303.050081530484</v>
      </c>
      <c r="AG298" s="49">
        <f t="shared" si="119"/>
        <v>29963.2608</v>
      </c>
      <c r="AH298" s="49">
        <f t="shared" si="120"/>
        <v>34049.159999999996</v>
      </c>
    </row>
    <row r="299" spans="1:34" s="56" customFormat="1">
      <c r="A299" s="62" t="s">
        <v>403</v>
      </c>
      <c r="B299" s="62"/>
      <c r="C299" s="62"/>
      <c r="D299" s="62"/>
      <c r="E299" s="141">
        <v>1</v>
      </c>
      <c r="F299" s="142"/>
      <c r="G299" s="143">
        <v>0.12</v>
      </c>
      <c r="H299" s="143">
        <v>0</v>
      </c>
      <c r="I299" s="49">
        <v>577</v>
      </c>
      <c r="J299" s="49">
        <f t="shared" si="109"/>
        <v>482.94899999999996</v>
      </c>
      <c r="K299" s="49">
        <f t="shared" si="110"/>
        <v>424.99511999999999</v>
      </c>
      <c r="L299" s="58"/>
      <c r="M299" s="141">
        <v>0</v>
      </c>
      <c r="N299" s="50">
        <f t="shared" si="111"/>
        <v>0</v>
      </c>
      <c r="O299" s="50">
        <f t="shared" si="112"/>
        <v>0</v>
      </c>
      <c r="P299" s="59"/>
      <c r="Q299" s="141">
        <v>0</v>
      </c>
      <c r="R299" s="50">
        <f t="shared" si="113"/>
        <v>0</v>
      </c>
      <c r="S299" s="51">
        <f t="shared" si="114"/>
        <v>0</v>
      </c>
      <c r="T299" s="60">
        <v>15</v>
      </c>
      <c r="U299" s="61" t="s">
        <v>81</v>
      </c>
      <c r="V299" s="53">
        <f>SUMIF('Avoided Costs 2014-2023'!$A:$A,'2014 Actuals'!U299&amp;ROUNDDOWN('2014 Actuals'!T299,0),'Avoided Costs 2014-2023'!$E:$E)*K299</f>
        <v>983.80926742997951</v>
      </c>
      <c r="W299" s="53">
        <f>SUMIF('Avoided Costs 2014-2023'!$A:$A,'2014 Actuals'!U299&amp;ROUNDDOWN('2014 Actuals'!T299,0),'Avoided Costs 2014-2023'!$K:$K)*O299</f>
        <v>0</v>
      </c>
      <c r="X299" s="53">
        <f>SUMIF('Avoided Costs 2014-2023'!$A:$A,'2014 Actuals'!U299&amp;ROUNDDOWN('2014 Actuals'!T299,0),'Avoided Costs 2014-2023'!$M:$M)*S299</f>
        <v>0</v>
      </c>
      <c r="Y299" s="53">
        <f t="shared" si="115"/>
        <v>983.80926742997951</v>
      </c>
      <c r="Z299" s="55">
        <v>3000</v>
      </c>
      <c r="AA299" s="54">
        <f t="shared" si="116"/>
        <v>2640</v>
      </c>
      <c r="AB299" s="54"/>
      <c r="AC299" s="54"/>
      <c r="AD299" s="54"/>
      <c r="AE299" s="54">
        <f t="shared" si="117"/>
        <v>2640</v>
      </c>
      <c r="AF299" s="54">
        <f t="shared" si="118"/>
        <v>-1656.1907325700204</v>
      </c>
      <c r="AG299" s="49">
        <f t="shared" si="119"/>
        <v>6374.9268000000002</v>
      </c>
      <c r="AH299" s="49">
        <f t="shared" si="120"/>
        <v>7244.2349999999997</v>
      </c>
    </row>
    <row r="300" spans="1:34" s="56" customFormat="1">
      <c r="A300" s="62" t="s">
        <v>404</v>
      </c>
      <c r="B300" s="62"/>
      <c r="C300" s="62"/>
      <c r="D300" s="62"/>
      <c r="E300" s="141">
        <v>1</v>
      </c>
      <c r="F300" s="142"/>
      <c r="G300" s="143">
        <v>0.12</v>
      </c>
      <c r="H300" s="143">
        <v>0</v>
      </c>
      <c r="I300" s="49">
        <v>1571</v>
      </c>
      <c r="J300" s="49">
        <f t="shared" si="109"/>
        <v>1314.9269999999999</v>
      </c>
      <c r="K300" s="49">
        <f t="shared" si="110"/>
        <v>1157.1357599999999</v>
      </c>
      <c r="L300" s="58"/>
      <c r="M300" s="141">
        <v>0</v>
      </c>
      <c r="N300" s="50">
        <f t="shared" si="111"/>
        <v>0</v>
      </c>
      <c r="O300" s="50">
        <f t="shared" si="112"/>
        <v>0</v>
      </c>
      <c r="P300" s="59"/>
      <c r="Q300" s="141">
        <v>0</v>
      </c>
      <c r="R300" s="50">
        <f t="shared" si="113"/>
        <v>0</v>
      </c>
      <c r="S300" s="51">
        <f t="shared" si="114"/>
        <v>0</v>
      </c>
      <c r="T300" s="60">
        <v>15</v>
      </c>
      <c r="U300" s="61" t="s">
        <v>81</v>
      </c>
      <c r="V300" s="53">
        <f>SUMIF('Avoided Costs 2014-2023'!$A:$A,'2014 Actuals'!U300&amp;ROUNDDOWN('2014 Actuals'!T300,0),'Avoided Costs 2014-2023'!$E:$E)*K300</f>
        <v>2678.6210730199264</v>
      </c>
      <c r="W300" s="53">
        <f>SUMIF('Avoided Costs 2014-2023'!$A:$A,'2014 Actuals'!U300&amp;ROUNDDOWN('2014 Actuals'!T300,0),'Avoided Costs 2014-2023'!$K:$K)*O300</f>
        <v>0</v>
      </c>
      <c r="X300" s="53">
        <f>SUMIF('Avoided Costs 2014-2023'!$A:$A,'2014 Actuals'!U300&amp;ROUNDDOWN('2014 Actuals'!T300,0),'Avoided Costs 2014-2023'!$M:$M)*S300</f>
        <v>0</v>
      </c>
      <c r="Y300" s="53">
        <f t="shared" si="115"/>
        <v>2678.6210730199264</v>
      </c>
      <c r="Z300" s="55">
        <v>5600</v>
      </c>
      <c r="AA300" s="54">
        <f t="shared" si="116"/>
        <v>4928</v>
      </c>
      <c r="AB300" s="54"/>
      <c r="AC300" s="54"/>
      <c r="AD300" s="54"/>
      <c r="AE300" s="54">
        <f t="shared" si="117"/>
        <v>4928</v>
      </c>
      <c r="AF300" s="54">
        <f t="shared" si="118"/>
        <v>-2249.3789269800736</v>
      </c>
      <c r="AG300" s="49">
        <f t="shared" si="119"/>
        <v>17357.036399999997</v>
      </c>
      <c r="AH300" s="49">
        <f t="shared" si="120"/>
        <v>19723.904999999999</v>
      </c>
    </row>
    <row r="301" spans="1:34" s="56" customFormat="1">
      <c r="A301" s="62" t="s">
        <v>405</v>
      </c>
      <c r="B301" s="62"/>
      <c r="C301" s="62"/>
      <c r="D301" s="62"/>
      <c r="E301" s="141">
        <v>1</v>
      </c>
      <c r="F301" s="142"/>
      <c r="G301" s="143">
        <v>0.12</v>
      </c>
      <c r="H301" s="143">
        <v>0</v>
      </c>
      <c r="I301" s="49">
        <v>2656</v>
      </c>
      <c r="J301" s="49">
        <f t="shared" si="109"/>
        <v>2223.0720000000001</v>
      </c>
      <c r="K301" s="49">
        <f t="shared" si="110"/>
        <v>1956.3033600000001</v>
      </c>
      <c r="L301" s="58"/>
      <c r="M301" s="141">
        <v>0</v>
      </c>
      <c r="N301" s="50">
        <f t="shared" si="111"/>
        <v>0</v>
      </c>
      <c r="O301" s="50">
        <f t="shared" si="112"/>
        <v>0</v>
      </c>
      <c r="P301" s="59"/>
      <c r="Q301" s="141">
        <v>0</v>
      </c>
      <c r="R301" s="50">
        <f t="shared" si="113"/>
        <v>0</v>
      </c>
      <c r="S301" s="51">
        <f t="shared" si="114"/>
        <v>0</v>
      </c>
      <c r="T301" s="60">
        <v>15</v>
      </c>
      <c r="U301" s="61" t="s">
        <v>81</v>
      </c>
      <c r="V301" s="53">
        <f>SUMIF('Avoided Costs 2014-2023'!$A:$A,'2014 Actuals'!U301&amp;ROUNDDOWN('2014 Actuals'!T301,0),'Avoided Costs 2014-2023'!$E:$E)*K301</f>
        <v>4528.5917058821933</v>
      </c>
      <c r="W301" s="53">
        <f>SUMIF('Avoided Costs 2014-2023'!$A:$A,'2014 Actuals'!U301&amp;ROUNDDOWN('2014 Actuals'!T301,0),'Avoided Costs 2014-2023'!$K:$K)*O301</f>
        <v>0</v>
      </c>
      <c r="X301" s="53">
        <f>SUMIF('Avoided Costs 2014-2023'!$A:$A,'2014 Actuals'!U301&amp;ROUNDDOWN('2014 Actuals'!T301,0),'Avoided Costs 2014-2023'!$M:$M)*S301</f>
        <v>0</v>
      </c>
      <c r="Y301" s="53">
        <f t="shared" si="115"/>
        <v>4528.5917058821933</v>
      </c>
      <c r="Z301" s="55">
        <v>3500</v>
      </c>
      <c r="AA301" s="54">
        <f t="shared" si="116"/>
        <v>3080</v>
      </c>
      <c r="AB301" s="54"/>
      <c r="AC301" s="54"/>
      <c r="AD301" s="54"/>
      <c r="AE301" s="54">
        <f t="shared" si="117"/>
        <v>3080</v>
      </c>
      <c r="AF301" s="54">
        <f t="shared" si="118"/>
        <v>1448.5917058821933</v>
      </c>
      <c r="AG301" s="49">
        <f t="shared" si="119"/>
        <v>29344.5504</v>
      </c>
      <c r="AH301" s="49">
        <f t="shared" si="120"/>
        <v>33346.080000000002</v>
      </c>
    </row>
    <row r="302" spans="1:34" s="56" customFormat="1">
      <c r="A302" s="62" t="s">
        <v>406</v>
      </c>
      <c r="B302" s="62"/>
      <c r="C302" s="62"/>
      <c r="D302" s="62"/>
      <c r="E302" s="141">
        <v>1</v>
      </c>
      <c r="F302" s="142"/>
      <c r="G302" s="143">
        <v>0.12</v>
      </c>
      <c r="H302" s="143">
        <v>0</v>
      </c>
      <c r="I302" s="49">
        <v>5057</v>
      </c>
      <c r="J302" s="49">
        <f t="shared" si="109"/>
        <v>4232.7089999999998</v>
      </c>
      <c r="K302" s="49">
        <f t="shared" si="110"/>
        <v>3724.7839199999999</v>
      </c>
      <c r="L302" s="58"/>
      <c r="M302" s="141">
        <v>2692</v>
      </c>
      <c r="N302" s="50">
        <f t="shared" si="111"/>
        <v>2692</v>
      </c>
      <c r="O302" s="50">
        <f t="shared" si="112"/>
        <v>2368.96</v>
      </c>
      <c r="P302" s="59"/>
      <c r="Q302" s="141">
        <v>0</v>
      </c>
      <c r="R302" s="50">
        <f t="shared" si="113"/>
        <v>0</v>
      </c>
      <c r="S302" s="51">
        <f t="shared" si="114"/>
        <v>0</v>
      </c>
      <c r="T302" s="60">
        <v>15</v>
      </c>
      <c r="U302" s="61" t="s">
        <v>81</v>
      </c>
      <c r="V302" s="53">
        <f>SUMIF('Avoided Costs 2014-2023'!$A:$A,'2014 Actuals'!U302&amp;ROUNDDOWN('2014 Actuals'!T302,0),'Avoided Costs 2014-2023'!$E:$E)*K302</f>
        <v>8622.3976869903054</v>
      </c>
      <c r="W302" s="53">
        <f>SUMIF('Avoided Costs 2014-2023'!$A:$A,'2014 Actuals'!U302&amp;ROUNDDOWN('2014 Actuals'!T302,0),'Avoided Costs 2014-2023'!$K:$K)*O302</f>
        <v>2801.2486800813263</v>
      </c>
      <c r="X302" s="53">
        <f>SUMIF('Avoided Costs 2014-2023'!$A:$A,'2014 Actuals'!U302&amp;ROUNDDOWN('2014 Actuals'!T302,0),'Avoided Costs 2014-2023'!$M:$M)*S302</f>
        <v>0</v>
      </c>
      <c r="Y302" s="53">
        <f t="shared" si="115"/>
        <v>11423.646367071631</v>
      </c>
      <c r="Z302" s="55">
        <v>15100</v>
      </c>
      <c r="AA302" s="54">
        <f t="shared" si="116"/>
        <v>13288</v>
      </c>
      <c r="AB302" s="54"/>
      <c r="AC302" s="54"/>
      <c r="AD302" s="54"/>
      <c r="AE302" s="54">
        <f t="shared" si="117"/>
        <v>13288</v>
      </c>
      <c r="AF302" s="54">
        <f t="shared" si="118"/>
        <v>-1864.3536329283688</v>
      </c>
      <c r="AG302" s="49">
        <f t="shared" si="119"/>
        <v>55871.758799999996</v>
      </c>
      <c r="AH302" s="49">
        <f t="shared" si="120"/>
        <v>63490.634999999995</v>
      </c>
    </row>
    <row r="303" spans="1:34" s="56" customFormat="1">
      <c r="A303" s="62" t="s">
        <v>407</v>
      </c>
      <c r="B303" s="62"/>
      <c r="C303" s="62"/>
      <c r="D303" s="62"/>
      <c r="E303" s="141">
        <v>1</v>
      </c>
      <c r="F303" s="142"/>
      <c r="G303" s="143">
        <v>0.12</v>
      </c>
      <c r="H303" s="143">
        <v>0</v>
      </c>
      <c r="I303" s="49">
        <v>1120</v>
      </c>
      <c r="J303" s="49">
        <f t="shared" si="109"/>
        <v>937.43999999999994</v>
      </c>
      <c r="K303" s="49">
        <f t="shared" si="110"/>
        <v>824.94719999999995</v>
      </c>
      <c r="L303" s="58"/>
      <c r="M303" s="141">
        <v>2304</v>
      </c>
      <c r="N303" s="50">
        <f t="shared" si="111"/>
        <v>2304</v>
      </c>
      <c r="O303" s="50">
        <f t="shared" si="112"/>
        <v>2027.52</v>
      </c>
      <c r="P303" s="59"/>
      <c r="Q303" s="141">
        <v>0</v>
      </c>
      <c r="R303" s="50">
        <f t="shared" si="113"/>
        <v>0</v>
      </c>
      <c r="S303" s="51">
        <f t="shared" si="114"/>
        <v>0</v>
      </c>
      <c r="T303" s="60">
        <v>5</v>
      </c>
      <c r="U303" s="61" t="s">
        <v>81</v>
      </c>
      <c r="V303" s="53">
        <f>SUMIF('Avoided Costs 2014-2023'!$A:$A,'2014 Actuals'!U303&amp;ROUNDDOWN('2014 Actuals'!T303,0),'Avoided Costs 2014-2023'!$E:$E)*K303</f>
        <v>701.92123604429651</v>
      </c>
      <c r="W303" s="53">
        <f>SUMIF('Avoided Costs 2014-2023'!$A:$A,'2014 Actuals'!U303&amp;ROUNDDOWN('2014 Actuals'!T303,0),'Avoided Costs 2014-2023'!$K:$K)*O303</f>
        <v>995.57418721488887</v>
      </c>
      <c r="X303" s="53">
        <f>SUMIF('Avoided Costs 2014-2023'!$A:$A,'2014 Actuals'!U303&amp;ROUNDDOWN('2014 Actuals'!T303,0),'Avoided Costs 2014-2023'!$M:$M)*S303</f>
        <v>0</v>
      </c>
      <c r="Y303" s="53">
        <f t="shared" si="115"/>
        <v>1697.4954232591854</v>
      </c>
      <c r="Z303" s="55">
        <v>11000</v>
      </c>
      <c r="AA303" s="54">
        <f t="shared" si="116"/>
        <v>9680</v>
      </c>
      <c r="AB303" s="54"/>
      <c r="AC303" s="54"/>
      <c r="AD303" s="54"/>
      <c r="AE303" s="54">
        <f t="shared" si="117"/>
        <v>9680</v>
      </c>
      <c r="AF303" s="54">
        <f t="shared" si="118"/>
        <v>-7982.5045767408146</v>
      </c>
      <c r="AG303" s="49">
        <f t="shared" si="119"/>
        <v>4124.7359999999999</v>
      </c>
      <c r="AH303" s="49">
        <f t="shared" si="120"/>
        <v>4687.2</v>
      </c>
    </row>
    <row r="304" spans="1:34" s="56" customFormat="1">
      <c r="A304" s="62" t="s">
        <v>408</v>
      </c>
      <c r="B304" s="62"/>
      <c r="C304" s="62"/>
      <c r="D304" s="62"/>
      <c r="E304" s="141">
        <v>1</v>
      </c>
      <c r="F304" s="142"/>
      <c r="G304" s="143">
        <v>0.12</v>
      </c>
      <c r="H304" s="143">
        <v>0</v>
      </c>
      <c r="I304" s="49">
        <v>1996</v>
      </c>
      <c r="J304" s="49">
        <f t="shared" si="109"/>
        <v>1670.652</v>
      </c>
      <c r="K304" s="49">
        <f t="shared" si="110"/>
        <v>1470.1737600000001</v>
      </c>
      <c r="L304" s="58"/>
      <c r="M304" s="141">
        <v>0</v>
      </c>
      <c r="N304" s="50">
        <f t="shared" si="111"/>
        <v>0</v>
      </c>
      <c r="O304" s="50">
        <f t="shared" si="112"/>
        <v>0</v>
      </c>
      <c r="P304" s="59"/>
      <c r="Q304" s="141">
        <v>0</v>
      </c>
      <c r="R304" s="50">
        <f t="shared" si="113"/>
        <v>0</v>
      </c>
      <c r="S304" s="51">
        <f t="shared" si="114"/>
        <v>0</v>
      </c>
      <c r="T304" s="60">
        <v>15</v>
      </c>
      <c r="U304" s="61" t="s">
        <v>81</v>
      </c>
      <c r="V304" s="53">
        <f>SUMIF('Avoided Costs 2014-2023'!$A:$A,'2014 Actuals'!U304&amp;ROUNDDOWN('2014 Actuals'!T304,0),'Avoided Costs 2014-2023'!$E:$E)*K304</f>
        <v>3403.2639476433956</v>
      </c>
      <c r="W304" s="53">
        <f>SUMIF('Avoided Costs 2014-2023'!$A:$A,'2014 Actuals'!U304&amp;ROUNDDOWN('2014 Actuals'!T304,0),'Avoided Costs 2014-2023'!$K:$K)*O304</f>
        <v>0</v>
      </c>
      <c r="X304" s="53">
        <f>SUMIF('Avoided Costs 2014-2023'!$A:$A,'2014 Actuals'!U304&amp;ROUNDDOWN('2014 Actuals'!T304,0),'Avoided Costs 2014-2023'!$M:$M)*S304</f>
        <v>0</v>
      </c>
      <c r="Y304" s="53">
        <f t="shared" si="115"/>
        <v>3403.2639476433956</v>
      </c>
      <c r="Z304" s="55">
        <v>5329</v>
      </c>
      <c r="AA304" s="54">
        <f t="shared" si="116"/>
        <v>4689.5200000000004</v>
      </c>
      <c r="AB304" s="54"/>
      <c r="AC304" s="54"/>
      <c r="AD304" s="54"/>
      <c r="AE304" s="54">
        <f t="shared" si="117"/>
        <v>4689.5200000000004</v>
      </c>
      <c r="AF304" s="54">
        <f t="shared" si="118"/>
        <v>-1286.2560523566049</v>
      </c>
      <c r="AG304" s="49">
        <f t="shared" si="119"/>
        <v>22052.606400000001</v>
      </c>
      <c r="AH304" s="49">
        <f t="shared" si="120"/>
        <v>25059.78</v>
      </c>
    </row>
    <row r="305" spans="1:34" s="56" customFormat="1">
      <c r="A305" s="62" t="s">
        <v>409</v>
      </c>
      <c r="B305" s="62"/>
      <c r="C305" s="62"/>
      <c r="D305" s="62"/>
      <c r="E305" s="141">
        <v>0</v>
      </c>
      <c r="F305" s="142"/>
      <c r="G305" s="143">
        <v>0.12</v>
      </c>
      <c r="H305" s="143">
        <v>0</v>
      </c>
      <c r="I305" s="49">
        <v>2358</v>
      </c>
      <c r="J305" s="49">
        <f t="shared" si="109"/>
        <v>1973.646</v>
      </c>
      <c r="K305" s="49">
        <f t="shared" si="110"/>
        <v>1736.8084799999999</v>
      </c>
      <c r="L305" s="58"/>
      <c r="M305" s="141">
        <v>0</v>
      </c>
      <c r="N305" s="50">
        <f t="shared" si="111"/>
        <v>0</v>
      </c>
      <c r="O305" s="50">
        <f t="shared" si="112"/>
        <v>0</v>
      </c>
      <c r="P305" s="59"/>
      <c r="Q305" s="141">
        <v>0</v>
      </c>
      <c r="R305" s="50">
        <f t="shared" si="113"/>
        <v>0</v>
      </c>
      <c r="S305" s="51">
        <f t="shared" si="114"/>
        <v>0</v>
      </c>
      <c r="T305" s="60">
        <v>15</v>
      </c>
      <c r="U305" s="61" t="s">
        <v>81</v>
      </c>
      <c r="V305" s="53">
        <f>SUMIF('Avoided Costs 2014-2023'!$A:$A,'2014 Actuals'!U305&amp;ROUNDDOWN('2014 Actuals'!T305,0),'Avoided Costs 2014-2023'!$E:$E)*K305</f>
        <v>4020.4891726167966</v>
      </c>
      <c r="W305" s="53">
        <f>SUMIF('Avoided Costs 2014-2023'!$A:$A,'2014 Actuals'!U305&amp;ROUNDDOWN('2014 Actuals'!T305,0),'Avoided Costs 2014-2023'!$K:$K)*O305</f>
        <v>0</v>
      </c>
      <c r="X305" s="53">
        <f>SUMIF('Avoided Costs 2014-2023'!$A:$A,'2014 Actuals'!U305&amp;ROUNDDOWN('2014 Actuals'!T305,0),'Avoided Costs 2014-2023'!$M:$M)*S305</f>
        <v>0</v>
      </c>
      <c r="Y305" s="53">
        <f t="shared" si="115"/>
        <v>4020.4891726167966</v>
      </c>
      <c r="Z305" s="55">
        <v>2966</v>
      </c>
      <c r="AA305" s="54">
        <f t="shared" si="116"/>
        <v>2610.08</v>
      </c>
      <c r="AB305" s="54"/>
      <c r="AC305" s="54"/>
      <c r="AD305" s="54"/>
      <c r="AE305" s="54">
        <f t="shared" si="117"/>
        <v>2610.08</v>
      </c>
      <c r="AF305" s="54">
        <f t="shared" si="118"/>
        <v>1410.4091726167967</v>
      </c>
      <c r="AG305" s="49">
        <f t="shared" si="119"/>
        <v>26052.127199999999</v>
      </c>
      <c r="AH305" s="49">
        <f t="shared" si="120"/>
        <v>29604.69</v>
      </c>
    </row>
    <row r="306" spans="1:34" s="56" customFormat="1">
      <c r="A306" s="62" t="s">
        <v>410</v>
      </c>
      <c r="B306" s="62"/>
      <c r="C306" s="62"/>
      <c r="D306" s="62"/>
      <c r="E306" s="141">
        <v>0</v>
      </c>
      <c r="F306" s="142"/>
      <c r="G306" s="143">
        <v>0.12</v>
      </c>
      <c r="H306" s="143">
        <v>0</v>
      </c>
      <c r="I306" s="49">
        <v>1709</v>
      </c>
      <c r="J306" s="49">
        <f t="shared" si="109"/>
        <v>1430.433</v>
      </c>
      <c r="K306" s="49">
        <f t="shared" si="110"/>
        <v>1258.7810400000001</v>
      </c>
      <c r="L306" s="58"/>
      <c r="M306" s="141">
        <v>0</v>
      </c>
      <c r="N306" s="50">
        <f t="shared" si="111"/>
        <v>0</v>
      </c>
      <c r="O306" s="50">
        <f t="shared" si="112"/>
        <v>0</v>
      </c>
      <c r="P306" s="59"/>
      <c r="Q306" s="141">
        <v>0</v>
      </c>
      <c r="R306" s="50">
        <f t="shared" si="113"/>
        <v>0</v>
      </c>
      <c r="S306" s="51">
        <f t="shared" si="114"/>
        <v>0</v>
      </c>
      <c r="T306" s="60">
        <v>15</v>
      </c>
      <c r="U306" s="61" t="s">
        <v>94</v>
      </c>
      <c r="V306" s="53">
        <f>SUMIF('Avoided Costs 2014-2023'!$A:$A,'2014 Actuals'!U306&amp;ROUNDDOWN('2014 Actuals'!T306,0),'Avoided Costs 2014-2023'!$E:$E)*K306</f>
        <v>2728.7613108253072</v>
      </c>
      <c r="W306" s="53">
        <f>SUMIF('Avoided Costs 2014-2023'!$A:$A,'2014 Actuals'!U306&amp;ROUNDDOWN('2014 Actuals'!T306,0),'Avoided Costs 2014-2023'!$K:$K)*O306</f>
        <v>0</v>
      </c>
      <c r="X306" s="53">
        <f>SUMIF('Avoided Costs 2014-2023'!$A:$A,'2014 Actuals'!U306&amp;ROUNDDOWN('2014 Actuals'!T306,0),'Avoided Costs 2014-2023'!$M:$M)*S306</f>
        <v>0</v>
      </c>
      <c r="Y306" s="53">
        <f t="shared" si="115"/>
        <v>2728.7613108253072</v>
      </c>
      <c r="Z306" s="55">
        <v>0</v>
      </c>
      <c r="AA306" s="54">
        <f t="shared" si="116"/>
        <v>0</v>
      </c>
      <c r="AB306" s="54"/>
      <c r="AC306" s="54"/>
      <c r="AD306" s="54"/>
      <c r="AE306" s="54">
        <f t="shared" si="117"/>
        <v>0</v>
      </c>
      <c r="AF306" s="54">
        <f t="shared" si="118"/>
        <v>2728.7613108253072</v>
      </c>
      <c r="AG306" s="49">
        <f t="shared" si="119"/>
        <v>18881.7156</v>
      </c>
      <c r="AH306" s="49">
        <f t="shared" si="120"/>
        <v>21456.494999999999</v>
      </c>
    </row>
    <row r="307" spans="1:34" s="56" customFormat="1">
      <c r="A307" s="62" t="s">
        <v>411</v>
      </c>
      <c r="B307" s="62"/>
      <c r="C307" s="62"/>
      <c r="D307" s="62"/>
      <c r="E307" s="141">
        <v>0</v>
      </c>
      <c r="F307" s="142"/>
      <c r="G307" s="143">
        <v>0.12</v>
      </c>
      <c r="H307" s="143">
        <v>0</v>
      </c>
      <c r="I307" s="49">
        <v>1352</v>
      </c>
      <c r="J307" s="49">
        <f t="shared" si="109"/>
        <v>1131.624</v>
      </c>
      <c r="K307" s="49">
        <f t="shared" si="110"/>
        <v>995.82911999999999</v>
      </c>
      <c r="L307" s="58"/>
      <c r="M307" s="141">
        <v>0</v>
      </c>
      <c r="N307" s="50">
        <f t="shared" si="111"/>
        <v>0</v>
      </c>
      <c r="O307" s="50">
        <f t="shared" si="112"/>
        <v>0</v>
      </c>
      <c r="P307" s="59"/>
      <c r="Q307" s="141">
        <v>0</v>
      </c>
      <c r="R307" s="50">
        <f t="shared" si="113"/>
        <v>0</v>
      </c>
      <c r="S307" s="51">
        <f t="shared" si="114"/>
        <v>0</v>
      </c>
      <c r="T307" s="60">
        <v>15</v>
      </c>
      <c r="U307" s="61" t="s">
        <v>81</v>
      </c>
      <c r="V307" s="53">
        <f>SUMIF('Avoided Costs 2014-2023'!$A:$A,'2014 Actuals'!U307&amp;ROUNDDOWN('2014 Actuals'!T307,0),'Avoided Costs 2014-2023'!$E:$E)*K307</f>
        <v>2305.2168623315983</v>
      </c>
      <c r="W307" s="53">
        <f>SUMIF('Avoided Costs 2014-2023'!$A:$A,'2014 Actuals'!U307&amp;ROUNDDOWN('2014 Actuals'!T307,0),'Avoided Costs 2014-2023'!$K:$K)*O307</f>
        <v>0</v>
      </c>
      <c r="X307" s="53">
        <f>SUMIF('Avoided Costs 2014-2023'!$A:$A,'2014 Actuals'!U307&amp;ROUNDDOWN('2014 Actuals'!T307,0),'Avoided Costs 2014-2023'!$M:$M)*S307</f>
        <v>0</v>
      </c>
      <c r="Y307" s="53">
        <f t="shared" si="115"/>
        <v>2305.2168623315983</v>
      </c>
      <c r="Z307" s="55">
        <v>0</v>
      </c>
      <c r="AA307" s="54">
        <f t="shared" si="116"/>
        <v>0</v>
      </c>
      <c r="AB307" s="54"/>
      <c r="AC307" s="54"/>
      <c r="AD307" s="54"/>
      <c r="AE307" s="54">
        <f t="shared" si="117"/>
        <v>0</v>
      </c>
      <c r="AF307" s="54">
        <f t="shared" si="118"/>
        <v>2305.2168623315983</v>
      </c>
      <c r="AG307" s="49">
        <f t="shared" si="119"/>
        <v>14937.436799999999</v>
      </c>
      <c r="AH307" s="49">
        <f t="shared" si="120"/>
        <v>16974.36</v>
      </c>
    </row>
    <row r="308" spans="1:34" s="56" customFormat="1">
      <c r="A308" s="62" t="s">
        <v>412</v>
      </c>
      <c r="B308" s="62"/>
      <c r="C308" s="62"/>
      <c r="D308" s="62"/>
      <c r="E308" s="141">
        <v>1</v>
      </c>
      <c r="F308" s="142"/>
      <c r="G308" s="143">
        <v>0.12</v>
      </c>
      <c r="H308" s="143">
        <v>0</v>
      </c>
      <c r="I308" s="49">
        <v>60595</v>
      </c>
      <c r="J308" s="49">
        <f t="shared" si="109"/>
        <v>50718.014999999999</v>
      </c>
      <c r="K308" s="49">
        <f t="shared" si="110"/>
        <v>44631.853199999998</v>
      </c>
      <c r="L308" s="58"/>
      <c r="M308" s="141">
        <v>49012</v>
      </c>
      <c r="N308" s="50">
        <f t="shared" si="111"/>
        <v>49012</v>
      </c>
      <c r="O308" s="50">
        <f t="shared" si="112"/>
        <v>43130.559999999998</v>
      </c>
      <c r="P308" s="59"/>
      <c r="Q308" s="141">
        <v>0</v>
      </c>
      <c r="R308" s="50">
        <f t="shared" si="113"/>
        <v>0</v>
      </c>
      <c r="S308" s="51">
        <f t="shared" si="114"/>
        <v>0</v>
      </c>
      <c r="T308" s="60">
        <v>15</v>
      </c>
      <c r="U308" s="61" t="s">
        <v>81</v>
      </c>
      <c r="V308" s="53">
        <f>SUMIF('Avoided Costs 2014-2023'!$A:$A,'2014 Actuals'!U308&amp;ROUNDDOWN('2014 Actuals'!T308,0),'Avoided Costs 2014-2023'!$E:$E)*K308</f>
        <v>103317.02350072721</v>
      </c>
      <c r="W308" s="53">
        <f>SUMIF('Avoided Costs 2014-2023'!$A:$A,'2014 Actuals'!U308&amp;ROUNDDOWN('2014 Actuals'!T308,0),'Avoided Costs 2014-2023'!$K:$K)*O308</f>
        <v>51001.040233338026</v>
      </c>
      <c r="X308" s="53">
        <f>SUMIF('Avoided Costs 2014-2023'!$A:$A,'2014 Actuals'!U308&amp;ROUNDDOWN('2014 Actuals'!T308,0),'Avoided Costs 2014-2023'!$M:$M)*S308</f>
        <v>0</v>
      </c>
      <c r="Y308" s="53">
        <f t="shared" si="115"/>
        <v>154318.06373406525</v>
      </c>
      <c r="Z308" s="55">
        <v>14165</v>
      </c>
      <c r="AA308" s="54">
        <f t="shared" si="116"/>
        <v>12465.2</v>
      </c>
      <c r="AB308" s="54"/>
      <c r="AC308" s="54"/>
      <c r="AD308" s="54"/>
      <c r="AE308" s="54">
        <f t="shared" si="117"/>
        <v>12465.2</v>
      </c>
      <c r="AF308" s="54">
        <f t="shared" si="118"/>
        <v>141852.86373406523</v>
      </c>
      <c r="AG308" s="49">
        <f t="shared" si="119"/>
        <v>669477.79799999995</v>
      </c>
      <c r="AH308" s="49">
        <f t="shared" si="120"/>
        <v>760770.22499999998</v>
      </c>
    </row>
    <row r="309" spans="1:34" s="56" customFormat="1">
      <c r="A309" s="62" t="s">
        <v>413</v>
      </c>
      <c r="B309" s="62"/>
      <c r="C309" s="62"/>
      <c r="D309" s="62"/>
      <c r="E309" s="141">
        <v>1</v>
      </c>
      <c r="F309" s="142"/>
      <c r="G309" s="143">
        <v>0.12</v>
      </c>
      <c r="H309" s="143">
        <v>0</v>
      </c>
      <c r="I309" s="49">
        <v>259</v>
      </c>
      <c r="J309" s="49">
        <f t="shared" si="109"/>
        <v>216.78299999999999</v>
      </c>
      <c r="K309" s="49">
        <f t="shared" si="110"/>
        <v>190.76903999999999</v>
      </c>
      <c r="L309" s="58"/>
      <c r="M309" s="141">
        <v>0</v>
      </c>
      <c r="N309" s="50">
        <f t="shared" si="111"/>
        <v>0</v>
      </c>
      <c r="O309" s="50">
        <f t="shared" si="112"/>
        <v>0</v>
      </c>
      <c r="P309" s="59"/>
      <c r="Q309" s="141">
        <v>0</v>
      </c>
      <c r="R309" s="50">
        <f t="shared" si="113"/>
        <v>0</v>
      </c>
      <c r="S309" s="51">
        <f t="shared" si="114"/>
        <v>0</v>
      </c>
      <c r="T309" s="60">
        <v>15</v>
      </c>
      <c r="U309" s="61" t="s">
        <v>81</v>
      </c>
      <c r="V309" s="53">
        <f>SUMIF('Avoided Costs 2014-2023'!$A:$A,'2014 Actuals'!U309&amp;ROUNDDOWN('2014 Actuals'!T309,0),'Avoided Costs 2014-2023'!$E:$E)*K309</f>
        <v>441.60589300583132</v>
      </c>
      <c r="W309" s="53">
        <f>SUMIF('Avoided Costs 2014-2023'!$A:$A,'2014 Actuals'!U309&amp;ROUNDDOWN('2014 Actuals'!T309,0),'Avoided Costs 2014-2023'!$K:$K)*O309</f>
        <v>0</v>
      </c>
      <c r="X309" s="53">
        <f>SUMIF('Avoided Costs 2014-2023'!$A:$A,'2014 Actuals'!U309&amp;ROUNDDOWN('2014 Actuals'!T309,0),'Avoided Costs 2014-2023'!$M:$M)*S309</f>
        <v>0</v>
      </c>
      <c r="Y309" s="53">
        <f t="shared" si="115"/>
        <v>441.60589300583132</v>
      </c>
      <c r="Z309" s="55">
        <v>1557</v>
      </c>
      <c r="AA309" s="54">
        <f t="shared" si="116"/>
        <v>1370.16</v>
      </c>
      <c r="AB309" s="54"/>
      <c r="AC309" s="54"/>
      <c r="AD309" s="54"/>
      <c r="AE309" s="54">
        <f t="shared" ref="AE309:AE329" si="121">AA309+AC309</f>
        <v>1370.16</v>
      </c>
      <c r="AF309" s="54">
        <f t="shared" ref="AF309:AF329" si="122">Y309-AE309</f>
        <v>-928.55410699416871</v>
      </c>
      <c r="AG309" s="49">
        <f t="shared" ref="AG309:AG328" si="123">K309*T309</f>
        <v>2861.5355999999997</v>
      </c>
      <c r="AH309" s="49">
        <f t="shared" ref="AH309:AH328" si="124">(J309*T309)</f>
        <v>3251.7449999999999</v>
      </c>
    </row>
    <row r="310" spans="1:34" s="56" customFormat="1">
      <c r="A310" s="62" t="s">
        <v>414</v>
      </c>
      <c r="B310" s="62"/>
      <c r="C310" s="62"/>
      <c r="D310" s="62"/>
      <c r="E310" s="141">
        <v>1</v>
      </c>
      <c r="F310" s="142"/>
      <c r="G310" s="143">
        <v>0.12</v>
      </c>
      <c r="H310" s="143">
        <v>0</v>
      </c>
      <c r="I310" s="49">
        <v>457</v>
      </c>
      <c r="J310" s="49">
        <f t="shared" si="109"/>
        <v>382.50899999999996</v>
      </c>
      <c r="K310" s="49">
        <f t="shared" si="110"/>
        <v>336.60791999999998</v>
      </c>
      <c r="L310" s="58"/>
      <c r="M310" s="141">
        <v>0</v>
      </c>
      <c r="N310" s="50">
        <f t="shared" si="111"/>
        <v>0</v>
      </c>
      <c r="O310" s="50">
        <f t="shared" si="112"/>
        <v>0</v>
      </c>
      <c r="P310" s="59"/>
      <c r="Q310" s="141">
        <v>0</v>
      </c>
      <c r="R310" s="50">
        <f t="shared" si="113"/>
        <v>0</v>
      </c>
      <c r="S310" s="51">
        <f t="shared" si="114"/>
        <v>0</v>
      </c>
      <c r="T310" s="60">
        <v>15</v>
      </c>
      <c r="U310" s="61" t="s">
        <v>81</v>
      </c>
      <c r="V310" s="53">
        <f>SUMIF('Avoided Costs 2014-2023'!$A:$A,'2014 Actuals'!U310&amp;ROUNDDOWN('2014 Actuals'!T310,0),'Avoided Costs 2014-2023'!$E:$E)*K310</f>
        <v>779.2042204774707</v>
      </c>
      <c r="W310" s="53">
        <f>SUMIF('Avoided Costs 2014-2023'!$A:$A,'2014 Actuals'!U310&amp;ROUNDDOWN('2014 Actuals'!T310,0),'Avoided Costs 2014-2023'!$K:$K)*O310</f>
        <v>0</v>
      </c>
      <c r="X310" s="53">
        <f>SUMIF('Avoided Costs 2014-2023'!$A:$A,'2014 Actuals'!U310&amp;ROUNDDOWN('2014 Actuals'!T310,0),'Avoided Costs 2014-2023'!$M:$M)*S310</f>
        <v>0</v>
      </c>
      <c r="Y310" s="53">
        <f t="shared" si="115"/>
        <v>779.2042204774707</v>
      </c>
      <c r="Z310" s="55">
        <v>2000</v>
      </c>
      <c r="AA310" s="54">
        <f t="shared" si="116"/>
        <v>1760</v>
      </c>
      <c r="AB310" s="54"/>
      <c r="AC310" s="54"/>
      <c r="AD310" s="54"/>
      <c r="AE310" s="54">
        <f t="shared" si="121"/>
        <v>1760</v>
      </c>
      <c r="AF310" s="54">
        <f t="shared" si="122"/>
        <v>-980.7957795225293</v>
      </c>
      <c r="AG310" s="49">
        <f t="shared" si="123"/>
        <v>5049.1187999999993</v>
      </c>
      <c r="AH310" s="49">
        <f t="shared" si="124"/>
        <v>5737.6349999999993</v>
      </c>
    </row>
    <row r="311" spans="1:34" s="56" customFormat="1">
      <c r="A311" s="62" t="s">
        <v>415</v>
      </c>
      <c r="B311" s="62"/>
      <c r="C311" s="62"/>
      <c r="D311" s="62"/>
      <c r="E311" s="141">
        <v>1</v>
      </c>
      <c r="F311" s="142"/>
      <c r="G311" s="143">
        <v>0.12</v>
      </c>
      <c r="H311" s="143">
        <v>0</v>
      </c>
      <c r="I311" s="49">
        <v>4653</v>
      </c>
      <c r="J311" s="49">
        <f t="shared" si="109"/>
        <v>3894.5609999999997</v>
      </c>
      <c r="K311" s="49">
        <f t="shared" si="110"/>
        <v>3427.2136799999998</v>
      </c>
      <c r="L311" s="58"/>
      <c r="M311" s="141">
        <v>0</v>
      </c>
      <c r="N311" s="50">
        <f t="shared" si="111"/>
        <v>0</v>
      </c>
      <c r="O311" s="50">
        <f t="shared" si="112"/>
        <v>0</v>
      </c>
      <c r="P311" s="59"/>
      <c r="Q311" s="141">
        <v>0</v>
      </c>
      <c r="R311" s="50">
        <f t="shared" si="113"/>
        <v>0</v>
      </c>
      <c r="S311" s="51">
        <f t="shared" si="114"/>
        <v>0</v>
      </c>
      <c r="T311" s="60">
        <v>5</v>
      </c>
      <c r="U311" s="61" t="s">
        <v>81</v>
      </c>
      <c r="V311" s="53">
        <f>SUMIF('Avoided Costs 2014-2023'!$A:$A,'2014 Actuals'!U311&amp;ROUNDDOWN('2014 Actuals'!T311,0),'Avoided Costs 2014-2023'!$E:$E)*K311</f>
        <v>2916.1067065304564</v>
      </c>
      <c r="W311" s="53">
        <f>SUMIF('Avoided Costs 2014-2023'!$A:$A,'2014 Actuals'!U311&amp;ROUNDDOWN('2014 Actuals'!T311,0),'Avoided Costs 2014-2023'!$K:$K)*O311</f>
        <v>0</v>
      </c>
      <c r="X311" s="53">
        <f>SUMIF('Avoided Costs 2014-2023'!$A:$A,'2014 Actuals'!U311&amp;ROUNDDOWN('2014 Actuals'!T311,0),'Avoided Costs 2014-2023'!$M:$M)*S311</f>
        <v>0</v>
      </c>
      <c r="Y311" s="53">
        <f t="shared" si="115"/>
        <v>2916.1067065304564</v>
      </c>
      <c r="Z311" s="55">
        <v>2500</v>
      </c>
      <c r="AA311" s="54">
        <f t="shared" si="116"/>
        <v>2200</v>
      </c>
      <c r="AB311" s="54"/>
      <c r="AC311" s="54"/>
      <c r="AD311" s="54"/>
      <c r="AE311" s="54">
        <f t="shared" si="121"/>
        <v>2200</v>
      </c>
      <c r="AF311" s="54">
        <f t="shared" si="122"/>
        <v>716.10670653045645</v>
      </c>
      <c r="AG311" s="49">
        <f t="shared" si="123"/>
        <v>17136.0684</v>
      </c>
      <c r="AH311" s="49">
        <f t="shared" si="124"/>
        <v>19472.805</v>
      </c>
    </row>
    <row r="312" spans="1:34" s="56" customFormat="1">
      <c r="A312" s="62" t="s">
        <v>416</v>
      </c>
      <c r="B312" s="62"/>
      <c r="C312" s="62"/>
      <c r="D312" s="62"/>
      <c r="E312" s="141">
        <v>1</v>
      </c>
      <c r="F312" s="142"/>
      <c r="G312" s="143">
        <v>0.12</v>
      </c>
      <c r="H312" s="143">
        <v>0</v>
      </c>
      <c r="I312" s="49">
        <v>1423</v>
      </c>
      <c r="J312" s="49">
        <f t="shared" si="109"/>
        <v>1191.0509999999999</v>
      </c>
      <c r="K312" s="49">
        <f t="shared" si="110"/>
        <v>1048.1248799999998</v>
      </c>
      <c r="L312" s="58"/>
      <c r="M312" s="141">
        <v>0</v>
      </c>
      <c r="N312" s="50">
        <f t="shared" si="111"/>
        <v>0</v>
      </c>
      <c r="O312" s="50">
        <f t="shared" si="112"/>
        <v>0</v>
      </c>
      <c r="P312" s="59"/>
      <c r="Q312" s="141">
        <v>0</v>
      </c>
      <c r="R312" s="50">
        <f t="shared" si="113"/>
        <v>0</v>
      </c>
      <c r="S312" s="51">
        <f t="shared" si="114"/>
        <v>0</v>
      </c>
      <c r="T312" s="60">
        <v>15</v>
      </c>
      <c r="U312" s="61" t="s">
        <v>81</v>
      </c>
      <c r="V312" s="53">
        <f>SUMIF('Avoided Costs 2014-2023'!$A:$A,'2014 Actuals'!U312&amp;ROUNDDOWN('2014 Actuals'!T312,0),'Avoided Costs 2014-2023'!$E:$E)*K312</f>
        <v>2426.2748484451658</v>
      </c>
      <c r="W312" s="53">
        <f>SUMIF('Avoided Costs 2014-2023'!$A:$A,'2014 Actuals'!U312&amp;ROUNDDOWN('2014 Actuals'!T312,0),'Avoided Costs 2014-2023'!$K:$K)*O312</f>
        <v>0</v>
      </c>
      <c r="X312" s="53">
        <f>SUMIF('Avoided Costs 2014-2023'!$A:$A,'2014 Actuals'!U312&amp;ROUNDDOWN('2014 Actuals'!T312,0),'Avoided Costs 2014-2023'!$M:$M)*S312</f>
        <v>0</v>
      </c>
      <c r="Y312" s="53">
        <f t="shared" si="115"/>
        <v>2426.2748484451658</v>
      </c>
      <c r="Z312" s="55">
        <v>7000</v>
      </c>
      <c r="AA312" s="54">
        <f t="shared" si="116"/>
        <v>6160</v>
      </c>
      <c r="AB312" s="54"/>
      <c r="AC312" s="54"/>
      <c r="AD312" s="54"/>
      <c r="AE312" s="54">
        <f t="shared" si="121"/>
        <v>6160</v>
      </c>
      <c r="AF312" s="54">
        <f t="shared" si="122"/>
        <v>-3733.7251515548342</v>
      </c>
      <c r="AG312" s="49">
        <f t="shared" si="123"/>
        <v>15721.873199999998</v>
      </c>
      <c r="AH312" s="49">
        <f t="shared" si="124"/>
        <v>17865.764999999999</v>
      </c>
    </row>
    <row r="313" spans="1:34" s="56" customFormat="1">
      <c r="A313" s="62" t="s">
        <v>417</v>
      </c>
      <c r="B313" s="62"/>
      <c r="C313" s="62"/>
      <c r="D313" s="62"/>
      <c r="E313" s="141">
        <v>1</v>
      </c>
      <c r="F313" s="142"/>
      <c r="G313" s="143">
        <v>0.12</v>
      </c>
      <c r="H313" s="143">
        <v>0</v>
      </c>
      <c r="I313" s="49">
        <v>2958</v>
      </c>
      <c r="J313" s="49">
        <f t="shared" si="109"/>
        <v>2475.846</v>
      </c>
      <c r="K313" s="49">
        <f t="shared" si="110"/>
        <v>2178.7444799999998</v>
      </c>
      <c r="L313" s="58"/>
      <c r="M313" s="141">
        <v>0</v>
      </c>
      <c r="N313" s="50">
        <f t="shared" si="111"/>
        <v>0</v>
      </c>
      <c r="O313" s="50">
        <f t="shared" si="112"/>
        <v>0</v>
      </c>
      <c r="P313" s="59"/>
      <c r="Q313" s="141">
        <v>0</v>
      </c>
      <c r="R313" s="50">
        <f t="shared" si="113"/>
        <v>0</v>
      </c>
      <c r="S313" s="51">
        <f t="shared" si="114"/>
        <v>0</v>
      </c>
      <c r="T313" s="60">
        <v>5</v>
      </c>
      <c r="U313" s="61" t="s">
        <v>81</v>
      </c>
      <c r="V313" s="53">
        <f>SUMIF('Avoided Costs 2014-2023'!$A:$A,'2014 Actuals'!U313&amp;ROUNDDOWN('2014 Actuals'!T313,0),'Avoided Costs 2014-2023'!$E:$E)*K313</f>
        <v>1853.8241216241329</v>
      </c>
      <c r="W313" s="53">
        <f>SUMIF('Avoided Costs 2014-2023'!$A:$A,'2014 Actuals'!U313&amp;ROUNDDOWN('2014 Actuals'!T313,0),'Avoided Costs 2014-2023'!$K:$K)*O313</f>
        <v>0</v>
      </c>
      <c r="X313" s="53">
        <f>SUMIF('Avoided Costs 2014-2023'!$A:$A,'2014 Actuals'!U313&amp;ROUNDDOWN('2014 Actuals'!T313,0),'Avoided Costs 2014-2023'!$M:$M)*S313</f>
        <v>0</v>
      </c>
      <c r="Y313" s="53">
        <f t="shared" si="115"/>
        <v>1853.8241216241329</v>
      </c>
      <c r="Z313" s="55">
        <v>2500</v>
      </c>
      <c r="AA313" s="54">
        <f t="shared" si="116"/>
        <v>2200</v>
      </c>
      <c r="AB313" s="54"/>
      <c r="AC313" s="54"/>
      <c r="AD313" s="54"/>
      <c r="AE313" s="54">
        <f t="shared" si="121"/>
        <v>2200</v>
      </c>
      <c r="AF313" s="54">
        <f t="shared" si="122"/>
        <v>-346.17587837586711</v>
      </c>
      <c r="AG313" s="49">
        <f t="shared" si="123"/>
        <v>10893.722399999999</v>
      </c>
      <c r="AH313" s="49">
        <f t="shared" si="124"/>
        <v>12379.23</v>
      </c>
    </row>
    <row r="314" spans="1:34" s="56" customFormat="1">
      <c r="A314" s="62" t="s">
        <v>418</v>
      </c>
      <c r="B314" s="62"/>
      <c r="C314" s="62"/>
      <c r="D314" s="62"/>
      <c r="E314" s="141">
        <v>1</v>
      </c>
      <c r="F314" s="142"/>
      <c r="G314" s="143">
        <v>0.12</v>
      </c>
      <c r="H314" s="143">
        <v>0</v>
      </c>
      <c r="I314" s="49">
        <v>2873</v>
      </c>
      <c r="J314" s="49">
        <f t="shared" si="109"/>
        <v>2404.701</v>
      </c>
      <c r="K314" s="49">
        <f t="shared" si="110"/>
        <v>2116.13688</v>
      </c>
      <c r="L314" s="58"/>
      <c r="M314" s="141">
        <v>1143</v>
      </c>
      <c r="N314" s="50">
        <f t="shared" si="111"/>
        <v>1143</v>
      </c>
      <c r="O314" s="50">
        <f t="shared" si="112"/>
        <v>1005.84</v>
      </c>
      <c r="P314" s="59"/>
      <c r="Q314" s="141">
        <v>0</v>
      </c>
      <c r="R314" s="50">
        <f t="shared" si="113"/>
        <v>0</v>
      </c>
      <c r="S314" s="51">
        <f t="shared" si="114"/>
        <v>0</v>
      </c>
      <c r="T314" s="60">
        <v>15</v>
      </c>
      <c r="U314" s="61" t="s">
        <v>81</v>
      </c>
      <c r="V314" s="53">
        <f>SUMIF('Avoided Costs 2014-2023'!$A:$A,'2014 Actuals'!U314&amp;ROUNDDOWN('2014 Actuals'!T314,0),'Avoided Costs 2014-2023'!$E:$E)*K314</f>
        <v>4898.5858324546471</v>
      </c>
      <c r="W314" s="53">
        <f>SUMIF('Avoided Costs 2014-2023'!$A:$A,'2014 Actuals'!U314&amp;ROUNDDOWN('2014 Actuals'!T314,0),'Avoided Costs 2014-2023'!$K:$K)*O314</f>
        <v>1189.3860480434457</v>
      </c>
      <c r="X314" s="53">
        <f>SUMIF('Avoided Costs 2014-2023'!$A:$A,'2014 Actuals'!U314&amp;ROUNDDOWN('2014 Actuals'!T314,0),'Avoided Costs 2014-2023'!$M:$M)*S314</f>
        <v>0</v>
      </c>
      <c r="Y314" s="53">
        <f t="shared" si="115"/>
        <v>6087.971880498093</v>
      </c>
      <c r="Z314" s="55">
        <v>8900</v>
      </c>
      <c r="AA314" s="54">
        <f t="shared" si="116"/>
        <v>7832</v>
      </c>
      <c r="AB314" s="54"/>
      <c r="AC314" s="54"/>
      <c r="AD314" s="54"/>
      <c r="AE314" s="54">
        <f t="shared" si="121"/>
        <v>7832</v>
      </c>
      <c r="AF314" s="54">
        <f t="shared" si="122"/>
        <v>-1744.028119501907</v>
      </c>
      <c r="AG314" s="49">
        <f t="shared" si="123"/>
        <v>31742.053200000002</v>
      </c>
      <c r="AH314" s="49">
        <f t="shared" si="124"/>
        <v>36070.514999999999</v>
      </c>
    </row>
    <row r="315" spans="1:34" s="56" customFormat="1">
      <c r="A315" s="62" t="s">
        <v>419</v>
      </c>
      <c r="B315" s="62"/>
      <c r="C315" s="62"/>
      <c r="D315" s="62"/>
      <c r="E315" s="141">
        <v>1</v>
      </c>
      <c r="F315" s="142"/>
      <c r="G315" s="143">
        <v>0.12</v>
      </c>
      <c r="H315" s="143">
        <v>0</v>
      </c>
      <c r="I315" s="49">
        <v>969</v>
      </c>
      <c r="J315" s="49">
        <f t="shared" si="109"/>
        <v>811.053</v>
      </c>
      <c r="K315" s="49">
        <f t="shared" si="110"/>
        <v>713.72663999999997</v>
      </c>
      <c r="L315" s="58"/>
      <c r="M315" s="141">
        <v>0</v>
      </c>
      <c r="N315" s="50">
        <f t="shared" si="111"/>
        <v>0</v>
      </c>
      <c r="O315" s="50">
        <f t="shared" si="112"/>
        <v>0</v>
      </c>
      <c r="P315" s="59"/>
      <c r="Q315" s="141">
        <v>0</v>
      </c>
      <c r="R315" s="50">
        <f t="shared" si="113"/>
        <v>0</v>
      </c>
      <c r="S315" s="51">
        <f t="shared" si="114"/>
        <v>0</v>
      </c>
      <c r="T315" s="60">
        <v>15</v>
      </c>
      <c r="U315" s="61" t="s">
        <v>81</v>
      </c>
      <c r="V315" s="53">
        <f>SUMIF('Avoided Costs 2014-2023'!$A:$A,'2014 Actuals'!U315&amp;ROUNDDOWN('2014 Actuals'!T315,0),'Avoided Costs 2014-2023'!$E:$E)*K315</f>
        <v>1652.1857541415079</v>
      </c>
      <c r="W315" s="53">
        <f>SUMIF('Avoided Costs 2014-2023'!$A:$A,'2014 Actuals'!U315&amp;ROUNDDOWN('2014 Actuals'!T315,0),'Avoided Costs 2014-2023'!$K:$K)*O315</f>
        <v>0</v>
      </c>
      <c r="X315" s="53">
        <f>SUMIF('Avoided Costs 2014-2023'!$A:$A,'2014 Actuals'!U315&amp;ROUNDDOWN('2014 Actuals'!T315,0),'Avoided Costs 2014-2023'!$M:$M)*S315</f>
        <v>0</v>
      </c>
      <c r="Y315" s="53">
        <f t="shared" si="115"/>
        <v>1652.1857541415079</v>
      </c>
      <c r="Z315" s="55">
        <v>3300</v>
      </c>
      <c r="AA315" s="54">
        <f t="shared" si="116"/>
        <v>2904</v>
      </c>
      <c r="AB315" s="54"/>
      <c r="AC315" s="54"/>
      <c r="AD315" s="54"/>
      <c r="AE315" s="54">
        <f t="shared" si="121"/>
        <v>2904</v>
      </c>
      <c r="AF315" s="54">
        <f t="shared" si="122"/>
        <v>-1251.8142458584921</v>
      </c>
      <c r="AG315" s="49">
        <f t="shared" si="123"/>
        <v>10705.899599999999</v>
      </c>
      <c r="AH315" s="49">
        <f t="shared" si="124"/>
        <v>12165.795</v>
      </c>
    </row>
    <row r="316" spans="1:34" s="56" customFormat="1">
      <c r="A316" s="62" t="s">
        <v>420</v>
      </c>
      <c r="B316" s="62"/>
      <c r="C316" s="62"/>
      <c r="D316" s="62"/>
      <c r="E316" s="141">
        <v>1</v>
      </c>
      <c r="F316" s="142"/>
      <c r="G316" s="143">
        <v>0.12</v>
      </c>
      <c r="H316" s="143">
        <v>0</v>
      </c>
      <c r="I316" s="49">
        <v>3260</v>
      </c>
      <c r="J316" s="49">
        <f t="shared" si="109"/>
        <v>2728.62</v>
      </c>
      <c r="K316" s="49">
        <f t="shared" si="110"/>
        <v>2401.1855999999998</v>
      </c>
      <c r="L316" s="58"/>
      <c r="M316" s="141">
        <v>3060</v>
      </c>
      <c r="N316" s="50">
        <f t="shared" si="111"/>
        <v>3060</v>
      </c>
      <c r="O316" s="50">
        <f t="shared" si="112"/>
        <v>2692.8</v>
      </c>
      <c r="P316" s="59"/>
      <c r="Q316" s="141">
        <v>0</v>
      </c>
      <c r="R316" s="50">
        <f t="shared" si="113"/>
        <v>0</v>
      </c>
      <c r="S316" s="51">
        <f t="shared" si="114"/>
        <v>0</v>
      </c>
      <c r="T316" s="60">
        <v>15</v>
      </c>
      <c r="U316" s="61" t="s">
        <v>81</v>
      </c>
      <c r="V316" s="53">
        <f>SUMIF('Avoided Costs 2014-2023'!$A:$A,'2014 Actuals'!U316&amp;ROUNDDOWN('2014 Actuals'!T316,0),'Avoided Costs 2014-2023'!$E:$E)*K316</f>
        <v>5558.4371088764865</v>
      </c>
      <c r="W316" s="53">
        <f>SUMIF('Avoided Costs 2014-2023'!$A:$A,'2014 Actuals'!U316&amp;ROUNDDOWN('2014 Actuals'!T316,0),'Avoided Costs 2014-2023'!$K:$K)*O316</f>
        <v>3184.1831207462328</v>
      </c>
      <c r="X316" s="53">
        <f>SUMIF('Avoided Costs 2014-2023'!$A:$A,'2014 Actuals'!U316&amp;ROUNDDOWN('2014 Actuals'!T316,0),'Avoided Costs 2014-2023'!$M:$M)*S316</f>
        <v>0</v>
      </c>
      <c r="Y316" s="53">
        <f t="shared" si="115"/>
        <v>8742.6202296227202</v>
      </c>
      <c r="Z316" s="55">
        <v>13950</v>
      </c>
      <c r="AA316" s="54">
        <f t="shared" si="116"/>
        <v>12276</v>
      </c>
      <c r="AB316" s="54"/>
      <c r="AC316" s="54"/>
      <c r="AD316" s="54"/>
      <c r="AE316" s="54">
        <f t="shared" si="121"/>
        <v>12276</v>
      </c>
      <c r="AF316" s="54">
        <f t="shared" si="122"/>
        <v>-3533.3797703772798</v>
      </c>
      <c r="AG316" s="49">
        <f t="shared" si="123"/>
        <v>36017.784</v>
      </c>
      <c r="AH316" s="49">
        <f t="shared" si="124"/>
        <v>40929.299999999996</v>
      </c>
    </row>
    <row r="317" spans="1:34" s="56" customFormat="1">
      <c r="A317" s="62" t="s">
        <v>421</v>
      </c>
      <c r="B317" s="62"/>
      <c r="C317" s="62"/>
      <c r="D317" s="62"/>
      <c r="E317" s="141">
        <v>1</v>
      </c>
      <c r="F317" s="142"/>
      <c r="G317" s="143">
        <v>0.12</v>
      </c>
      <c r="H317" s="143">
        <v>0</v>
      </c>
      <c r="I317" s="49">
        <v>1464</v>
      </c>
      <c r="J317" s="49">
        <f t="shared" si="109"/>
        <v>1225.3679999999999</v>
      </c>
      <c r="K317" s="49">
        <f t="shared" si="110"/>
        <v>1078.32384</v>
      </c>
      <c r="L317" s="58"/>
      <c r="M317" s="141">
        <v>0</v>
      </c>
      <c r="N317" s="50">
        <f t="shared" si="111"/>
        <v>0</v>
      </c>
      <c r="O317" s="50">
        <f t="shared" si="112"/>
        <v>0</v>
      </c>
      <c r="P317" s="59"/>
      <c r="Q317" s="141">
        <v>0</v>
      </c>
      <c r="R317" s="50">
        <f t="shared" si="113"/>
        <v>0</v>
      </c>
      <c r="S317" s="51">
        <f t="shared" si="114"/>
        <v>0</v>
      </c>
      <c r="T317" s="60">
        <v>15</v>
      </c>
      <c r="U317" s="61" t="s">
        <v>81</v>
      </c>
      <c r="V317" s="53">
        <f>SUMIF('Avoided Costs 2014-2023'!$A:$A,'2014 Actuals'!U317&amp;ROUNDDOWN('2014 Actuals'!T317,0),'Avoided Costs 2014-2023'!$E:$E)*K317</f>
        <v>2496.1815728206066</v>
      </c>
      <c r="W317" s="53">
        <f>SUMIF('Avoided Costs 2014-2023'!$A:$A,'2014 Actuals'!U317&amp;ROUNDDOWN('2014 Actuals'!T317,0),'Avoided Costs 2014-2023'!$K:$K)*O317</f>
        <v>0</v>
      </c>
      <c r="X317" s="53">
        <f>SUMIF('Avoided Costs 2014-2023'!$A:$A,'2014 Actuals'!U317&amp;ROUNDDOWN('2014 Actuals'!T317,0),'Avoided Costs 2014-2023'!$M:$M)*S317</f>
        <v>0</v>
      </c>
      <c r="Y317" s="53">
        <f t="shared" si="115"/>
        <v>2496.1815728206066</v>
      </c>
      <c r="Z317" s="55">
        <v>2000</v>
      </c>
      <c r="AA317" s="54">
        <f t="shared" si="116"/>
        <v>1760</v>
      </c>
      <c r="AB317" s="54"/>
      <c r="AC317" s="54"/>
      <c r="AD317" s="54"/>
      <c r="AE317" s="54">
        <f t="shared" si="121"/>
        <v>1760</v>
      </c>
      <c r="AF317" s="54">
        <f t="shared" si="122"/>
        <v>736.18157282060656</v>
      </c>
      <c r="AG317" s="49">
        <f t="shared" si="123"/>
        <v>16174.857599999999</v>
      </c>
      <c r="AH317" s="49">
        <f t="shared" si="124"/>
        <v>18380.52</v>
      </c>
    </row>
    <row r="318" spans="1:34" s="56" customFormat="1">
      <c r="A318" s="62" t="s">
        <v>422</v>
      </c>
      <c r="B318" s="62"/>
      <c r="C318" s="62"/>
      <c r="D318" s="62"/>
      <c r="E318" s="141">
        <v>1</v>
      </c>
      <c r="F318" s="142"/>
      <c r="G318" s="143">
        <v>0.12</v>
      </c>
      <c r="H318" s="143">
        <v>0</v>
      </c>
      <c r="I318" s="49">
        <v>2635</v>
      </c>
      <c r="J318" s="49">
        <f t="shared" si="109"/>
        <v>2205.4949999999999</v>
      </c>
      <c r="K318" s="49">
        <f t="shared" si="110"/>
        <v>1940.8355999999999</v>
      </c>
      <c r="L318" s="58"/>
      <c r="M318" s="141">
        <v>0</v>
      </c>
      <c r="N318" s="50">
        <f t="shared" si="111"/>
        <v>0</v>
      </c>
      <c r="O318" s="50">
        <f t="shared" si="112"/>
        <v>0</v>
      </c>
      <c r="P318" s="59"/>
      <c r="Q318" s="141">
        <v>0</v>
      </c>
      <c r="R318" s="50">
        <f t="shared" si="113"/>
        <v>0</v>
      </c>
      <c r="S318" s="51">
        <f t="shared" si="114"/>
        <v>0</v>
      </c>
      <c r="T318" s="60">
        <v>15</v>
      </c>
      <c r="U318" s="61" t="s">
        <v>81</v>
      </c>
      <c r="V318" s="53">
        <f>SUMIF('Avoided Costs 2014-2023'!$A:$A,'2014 Actuals'!U318&amp;ROUNDDOWN('2014 Actuals'!T318,0),'Avoided Costs 2014-2023'!$E:$E)*K318</f>
        <v>4492.7858226655044</v>
      </c>
      <c r="W318" s="53">
        <f>SUMIF('Avoided Costs 2014-2023'!$A:$A,'2014 Actuals'!U318&amp;ROUNDDOWN('2014 Actuals'!T318,0),'Avoided Costs 2014-2023'!$K:$K)*O318</f>
        <v>0</v>
      </c>
      <c r="X318" s="53">
        <f>SUMIF('Avoided Costs 2014-2023'!$A:$A,'2014 Actuals'!U318&amp;ROUNDDOWN('2014 Actuals'!T318,0),'Avoided Costs 2014-2023'!$M:$M)*S318</f>
        <v>0</v>
      </c>
      <c r="Y318" s="53">
        <f t="shared" si="115"/>
        <v>4492.7858226655044</v>
      </c>
      <c r="Z318" s="55">
        <v>6000</v>
      </c>
      <c r="AA318" s="54">
        <f t="shared" si="116"/>
        <v>5280</v>
      </c>
      <c r="AB318" s="54"/>
      <c r="AC318" s="54"/>
      <c r="AD318" s="54"/>
      <c r="AE318" s="54">
        <f t="shared" si="121"/>
        <v>5280</v>
      </c>
      <c r="AF318" s="54">
        <f t="shared" si="122"/>
        <v>-787.21417733449562</v>
      </c>
      <c r="AG318" s="49">
        <f t="shared" si="123"/>
        <v>29112.534</v>
      </c>
      <c r="AH318" s="49">
        <f t="shared" si="124"/>
        <v>33082.424999999996</v>
      </c>
    </row>
    <row r="319" spans="1:34" s="56" customFormat="1">
      <c r="A319" s="62" t="s">
        <v>423</v>
      </c>
      <c r="B319" s="62"/>
      <c r="C319" s="62"/>
      <c r="D319" s="62"/>
      <c r="E319" s="141">
        <v>1</v>
      </c>
      <c r="F319" s="142"/>
      <c r="G319" s="143">
        <v>0.12</v>
      </c>
      <c r="H319" s="143">
        <v>0</v>
      </c>
      <c r="I319" s="49">
        <v>7144</v>
      </c>
      <c r="J319" s="49">
        <f t="shared" si="109"/>
        <v>5979.5279999999993</v>
      </c>
      <c r="K319" s="49">
        <f t="shared" si="110"/>
        <v>5261.9846399999997</v>
      </c>
      <c r="L319" s="58"/>
      <c r="M319" s="141">
        <v>96462</v>
      </c>
      <c r="N319" s="50">
        <f t="shared" si="111"/>
        <v>96462</v>
      </c>
      <c r="O319" s="50">
        <f t="shared" si="112"/>
        <v>84886.56</v>
      </c>
      <c r="P319" s="59"/>
      <c r="Q319" s="141">
        <v>0</v>
      </c>
      <c r="R319" s="50">
        <f t="shared" si="113"/>
        <v>0</v>
      </c>
      <c r="S319" s="51">
        <f t="shared" si="114"/>
        <v>0</v>
      </c>
      <c r="T319" s="60">
        <v>15</v>
      </c>
      <c r="U319" s="61" t="s">
        <v>81</v>
      </c>
      <c r="V319" s="53">
        <f>SUMIF('Avoided Costs 2014-2023'!$A:$A,'2014 Actuals'!U319&amp;ROUNDDOWN('2014 Actuals'!T319,0),'Avoided Costs 2014-2023'!$E:$E)*K319</f>
        <v>12180.82046190602</v>
      </c>
      <c r="W319" s="53">
        <f>SUMIF('Avoided Costs 2014-2023'!$A:$A,'2014 Actuals'!U319&amp;ROUNDDOWN('2014 Actuals'!T319,0),'Avoided Costs 2014-2023'!$K:$K)*O319</f>
        <v>100376.69025928859</v>
      </c>
      <c r="X319" s="53">
        <f>SUMIF('Avoided Costs 2014-2023'!$A:$A,'2014 Actuals'!U319&amp;ROUNDDOWN('2014 Actuals'!T319,0),'Avoided Costs 2014-2023'!$M:$M)*S319</f>
        <v>0</v>
      </c>
      <c r="Y319" s="53">
        <f t="shared" si="115"/>
        <v>112557.51072119462</v>
      </c>
      <c r="Z319" s="55">
        <v>51350</v>
      </c>
      <c r="AA319" s="54">
        <f t="shared" si="116"/>
        <v>45188</v>
      </c>
      <c r="AB319" s="54"/>
      <c r="AC319" s="54"/>
      <c r="AD319" s="54"/>
      <c r="AE319" s="54">
        <f t="shared" si="121"/>
        <v>45188</v>
      </c>
      <c r="AF319" s="54">
        <f t="shared" si="122"/>
        <v>67369.510721194616</v>
      </c>
      <c r="AG319" s="49">
        <f t="shared" si="123"/>
        <v>78929.7696</v>
      </c>
      <c r="AH319" s="49">
        <f t="shared" si="124"/>
        <v>89692.919999999984</v>
      </c>
    </row>
    <row r="320" spans="1:34" s="56" customFormat="1">
      <c r="A320" s="62" t="s">
        <v>424</v>
      </c>
      <c r="B320" s="62"/>
      <c r="C320" s="62"/>
      <c r="D320" s="62"/>
      <c r="E320" s="141">
        <v>1</v>
      </c>
      <c r="F320" s="142"/>
      <c r="G320" s="143">
        <v>0.12</v>
      </c>
      <c r="H320" s="143">
        <v>0</v>
      </c>
      <c r="I320" s="49">
        <v>2249</v>
      </c>
      <c r="J320" s="49">
        <f t="shared" si="109"/>
        <v>1882.413</v>
      </c>
      <c r="K320" s="49">
        <f t="shared" si="110"/>
        <v>1656.5234399999999</v>
      </c>
      <c r="L320" s="58"/>
      <c r="M320" s="141">
        <v>0</v>
      </c>
      <c r="N320" s="50">
        <f t="shared" si="111"/>
        <v>0</v>
      </c>
      <c r="O320" s="50">
        <f t="shared" si="112"/>
        <v>0</v>
      </c>
      <c r="P320" s="59"/>
      <c r="Q320" s="141">
        <v>0</v>
      </c>
      <c r="R320" s="50">
        <f t="shared" si="113"/>
        <v>0</v>
      </c>
      <c r="S320" s="51">
        <f t="shared" si="114"/>
        <v>0</v>
      </c>
      <c r="T320" s="60">
        <v>15</v>
      </c>
      <c r="U320" s="61" t="s">
        <v>81</v>
      </c>
      <c r="V320" s="53">
        <f>SUMIF('Avoided Costs 2014-2023'!$A:$A,'2014 Actuals'!U320&amp;ROUNDDOWN('2014 Actuals'!T320,0),'Avoided Costs 2014-2023'!$E:$E)*K320</f>
        <v>3834.6395883016012</v>
      </c>
      <c r="W320" s="53">
        <f>SUMIF('Avoided Costs 2014-2023'!$A:$A,'2014 Actuals'!U320&amp;ROUNDDOWN('2014 Actuals'!T320,0),'Avoided Costs 2014-2023'!$K:$K)*O320</f>
        <v>0</v>
      </c>
      <c r="X320" s="53">
        <f>SUMIF('Avoided Costs 2014-2023'!$A:$A,'2014 Actuals'!U320&amp;ROUNDDOWN('2014 Actuals'!T320,0),'Avoided Costs 2014-2023'!$M:$M)*S320</f>
        <v>0</v>
      </c>
      <c r="Y320" s="53">
        <f t="shared" si="115"/>
        <v>3834.6395883016012</v>
      </c>
      <c r="Z320" s="55">
        <v>8791</v>
      </c>
      <c r="AA320" s="54">
        <f t="shared" si="116"/>
        <v>7736.08</v>
      </c>
      <c r="AB320" s="54"/>
      <c r="AC320" s="54"/>
      <c r="AD320" s="54"/>
      <c r="AE320" s="54">
        <f t="shared" si="121"/>
        <v>7736.08</v>
      </c>
      <c r="AF320" s="54">
        <f t="shared" si="122"/>
        <v>-3901.4404116983987</v>
      </c>
      <c r="AG320" s="49">
        <f t="shared" si="123"/>
        <v>24847.851599999998</v>
      </c>
      <c r="AH320" s="49">
        <f t="shared" si="124"/>
        <v>28236.195</v>
      </c>
    </row>
    <row r="321" spans="1:34" s="56" customFormat="1">
      <c r="A321" s="62" t="s">
        <v>425</v>
      </c>
      <c r="B321" s="62"/>
      <c r="C321" s="62"/>
      <c r="D321" s="62"/>
      <c r="E321" s="141">
        <v>1</v>
      </c>
      <c r="F321" s="142"/>
      <c r="G321" s="143">
        <v>0.12</v>
      </c>
      <c r="H321" s="143">
        <v>0</v>
      </c>
      <c r="I321" s="49">
        <v>834</v>
      </c>
      <c r="J321" s="49">
        <f t="shared" si="109"/>
        <v>698.05799999999999</v>
      </c>
      <c r="K321" s="49">
        <f t="shared" si="110"/>
        <v>614.29103999999995</v>
      </c>
      <c r="L321" s="58"/>
      <c r="M321" s="141">
        <v>0</v>
      </c>
      <c r="N321" s="50">
        <f t="shared" si="111"/>
        <v>0</v>
      </c>
      <c r="O321" s="50">
        <f t="shared" si="112"/>
        <v>0</v>
      </c>
      <c r="P321" s="59"/>
      <c r="Q321" s="141">
        <v>0</v>
      </c>
      <c r="R321" s="50">
        <f t="shared" si="113"/>
        <v>0</v>
      </c>
      <c r="S321" s="51">
        <f t="shared" si="114"/>
        <v>0</v>
      </c>
      <c r="T321" s="60">
        <v>15</v>
      </c>
      <c r="U321" s="61" t="s">
        <v>81</v>
      </c>
      <c r="V321" s="53">
        <f>SUMIF('Avoided Costs 2014-2023'!$A:$A,'2014 Actuals'!U321&amp;ROUNDDOWN('2014 Actuals'!T321,0),'Avoided Costs 2014-2023'!$E:$E)*K321</f>
        <v>1422.0050763199356</v>
      </c>
      <c r="W321" s="53">
        <f>SUMIF('Avoided Costs 2014-2023'!$A:$A,'2014 Actuals'!U321&amp;ROUNDDOWN('2014 Actuals'!T321,0),'Avoided Costs 2014-2023'!$K:$K)*O321</f>
        <v>0</v>
      </c>
      <c r="X321" s="53">
        <f>SUMIF('Avoided Costs 2014-2023'!$A:$A,'2014 Actuals'!U321&amp;ROUNDDOWN('2014 Actuals'!T321,0),'Avoided Costs 2014-2023'!$M:$M)*S321</f>
        <v>0</v>
      </c>
      <c r="Y321" s="53">
        <f t="shared" si="115"/>
        <v>1422.0050763199356</v>
      </c>
      <c r="Z321" s="55">
        <v>1590</v>
      </c>
      <c r="AA321" s="54">
        <f t="shared" si="116"/>
        <v>1399.2</v>
      </c>
      <c r="AB321" s="54"/>
      <c r="AC321" s="54"/>
      <c r="AD321" s="54"/>
      <c r="AE321" s="54">
        <f t="shared" si="121"/>
        <v>1399.2</v>
      </c>
      <c r="AF321" s="54">
        <f t="shared" si="122"/>
        <v>22.805076319935552</v>
      </c>
      <c r="AG321" s="49">
        <f t="shared" si="123"/>
        <v>9214.3655999999992</v>
      </c>
      <c r="AH321" s="49">
        <f t="shared" si="124"/>
        <v>10470.869999999999</v>
      </c>
    </row>
    <row r="322" spans="1:34" s="56" customFormat="1">
      <c r="A322" s="62" t="s">
        <v>426</v>
      </c>
      <c r="B322" s="62"/>
      <c r="C322" s="62"/>
      <c r="D322" s="62"/>
      <c r="E322" s="141">
        <v>1</v>
      </c>
      <c r="F322" s="142"/>
      <c r="G322" s="143">
        <v>0.12</v>
      </c>
      <c r="H322" s="143">
        <v>0</v>
      </c>
      <c r="I322" s="49">
        <v>377</v>
      </c>
      <c r="J322" s="49">
        <f t="shared" si="109"/>
        <v>315.54899999999998</v>
      </c>
      <c r="K322" s="49">
        <f t="shared" si="110"/>
        <v>277.68311999999997</v>
      </c>
      <c r="L322" s="58"/>
      <c r="M322" s="141">
        <v>0</v>
      </c>
      <c r="N322" s="50">
        <f t="shared" si="111"/>
        <v>0</v>
      </c>
      <c r="O322" s="50">
        <f t="shared" si="112"/>
        <v>0</v>
      </c>
      <c r="P322" s="59"/>
      <c r="Q322" s="141">
        <v>0</v>
      </c>
      <c r="R322" s="50">
        <f t="shared" si="113"/>
        <v>0</v>
      </c>
      <c r="S322" s="51">
        <f t="shared" si="114"/>
        <v>0</v>
      </c>
      <c r="T322" s="60">
        <v>15</v>
      </c>
      <c r="U322" s="61" t="s">
        <v>81</v>
      </c>
      <c r="V322" s="53">
        <f>SUMIF('Avoided Costs 2014-2023'!$A:$A,'2014 Actuals'!U322&amp;ROUNDDOWN('2014 Actuals'!T322,0),'Avoided Costs 2014-2023'!$E:$E)*K322</f>
        <v>642.8008558424649</v>
      </c>
      <c r="W322" s="53">
        <f>SUMIF('Avoided Costs 2014-2023'!$A:$A,'2014 Actuals'!U322&amp;ROUNDDOWN('2014 Actuals'!T322,0),'Avoided Costs 2014-2023'!$K:$K)*O322</f>
        <v>0</v>
      </c>
      <c r="X322" s="53">
        <f>SUMIF('Avoided Costs 2014-2023'!$A:$A,'2014 Actuals'!U322&amp;ROUNDDOWN('2014 Actuals'!T322,0),'Avoided Costs 2014-2023'!$M:$M)*S322</f>
        <v>0</v>
      </c>
      <c r="Y322" s="53">
        <f t="shared" si="115"/>
        <v>642.8008558424649</v>
      </c>
      <c r="Z322" s="55">
        <v>1557</v>
      </c>
      <c r="AA322" s="54">
        <f t="shared" si="116"/>
        <v>1370.16</v>
      </c>
      <c r="AB322" s="54"/>
      <c r="AC322" s="54"/>
      <c r="AD322" s="54"/>
      <c r="AE322" s="54">
        <f t="shared" si="121"/>
        <v>1370.16</v>
      </c>
      <c r="AF322" s="54">
        <f t="shared" si="122"/>
        <v>-727.35914415753518</v>
      </c>
      <c r="AG322" s="49">
        <f t="shared" si="123"/>
        <v>4165.2467999999999</v>
      </c>
      <c r="AH322" s="49">
        <f t="shared" si="124"/>
        <v>4733.2349999999997</v>
      </c>
    </row>
    <row r="323" spans="1:34" s="56" customFormat="1">
      <c r="A323" s="62" t="s">
        <v>427</v>
      </c>
      <c r="B323" s="62"/>
      <c r="C323" s="62"/>
      <c r="D323" s="62"/>
      <c r="E323" s="141">
        <v>1</v>
      </c>
      <c r="F323" s="142"/>
      <c r="G323" s="143">
        <v>0.12</v>
      </c>
      <c r="H323" s="143">
        <v>0</v>
      </c>
      <c r="I323" s="49">
        <v>3090</v>
      </c>
      <c r="J323" s="49">
        <f t="shared" si="109"/>
        <v>2586.33</v>
      </c>
      <c r="K323" s="49">
        <f t="shared" si="110"/>
        <v>2275.9704000000002</v>
      </c>
      <c r="L323" s="58"/>
      <c r="M323" s="141">
        <v>13292</v>
      </c>
      <c r="N323" s="50">
        <f t="shared" si="111"/>
        <v>13292</v>
      </c>
      <c r="O323" s="50">
        <f t="shared" si="112"/>
        <v>11696.960000000001</v>
      </c>
      <c r="P323" s="59"/>
      <c r="Q323" s="141">
        <v>0</v>
      </c>
      <c r="R323" s="50">
        <f t="shared" si="113"/>
        <v>0</v>
      </c>
      <c r="S323" s="51">
        <f t="shared" si="114"/>
        <v>0</v>
      </c>
      <c r="T323" s="60">
        <v>15</v>
      </c>
      <c r="U323" s="61" t="s">
        <v>81</v>
      </c>
      <c r="V323" s="53">
        <f>SUMIF('Avoided Costs 2014-2023'!$A:$A,'2014 Actuals'!U323&amp;ROUNDDOWN('2014 Actuals'!T323,0),'Avoided Costs 2014-2023'!$E:$E)*K323</f>
        <v>5268.5799590270999</v>
      </c>
      <c r="W323" s="53">
        <f>SUMIF('Avoided Costs 2014-2023'!$A:$A,'2014 Actuals'!U323&amp;ROUNDDOWN('2014 Actuals'!T323,0),'Avoided Costs 2014-2023'!$K:$K)*O323</f>
        <v>13831.425503581349</v>
      </c>
      <c r="X323" s="53">
        <f>SUMIF('Avoided Costs 2014-2023'!$A:$A,'2014 Actuals'!U323&amp;ROUNDDOWN('2014 Actuals'!T323,0),'Avoided Costs 2014-2023'!$M:$M)*S323</f>
        <v>0</v>
      </c>
      <c r="Y323" s="53">
        <f t="shared" si="115"/>
        <v>19100.005462608449</v>
      </c>
      <c r="Z323" s="55">
        <v>25350</v>
      </c>
      <c r="AA323" s="54">
        <f t="shared" si="116"/>
        <v>22308</v>
      </c>
      <c r="AB323" s="54"/>
      <c r="AC323" s="54"/>
      <c r="AD323" s="54"/>
      <c r="AE323" s="54">
        <f t="shared" si="121"/>
        <v>22308</v>
      </c>
      <c r="AF323" s="54">
        <f t="shared" si="122"/>
        <v>-3207.9945373915507</v>
      </c>
      <c r="AG323" s="49">
        <f t="shared" si="123"/>
        <v>34139.556000000004</v>
      </c>
      <c r="AH323" s="49">
        <f t="shared" si="124"/>
        <v>38794.949999999997</v>
      </c>
    </row>
    <row r="324" spans="1:34" s="56" customFormat="1">
      <c r="A324" s="62" t="s">
        <v>428</v>
      </c>
      <c r="B324" s="62"/>
      <c r="C324" s="62"/>
      <c r="D324" s="62"/>
      <c r="E324" s="141">
        <v>1</v>
      </c>
      <c r="F324" s="142"/>
      <c r="G324" s="143">
        <v>0.12</v>
      </c>
      <c r="H324" s="143">
        <v>0</v>
      </c>
      <c r="I324" s="49">
        <v>2340</v>
      </c>
      <c r="J324" s="49">
        <f t="shared" si="109"/>
        <v>1958.58</v>
      </c>
      <c r="K324" s="49">
        <f t="shared" si="110"/>
        <v>1723.5503999999999</v>
      </c>
      <c r="L324" s="58"/>
      <c r="M324" s="141">
        <v>0</v>
      </c>
      <c r="N324" s="50">
        <f t="shared" si="111"/>
        <v>0</v>
      </c>
      <c r="O324" s="50">
        <f t="shared" si="112"/>
        <v>0</v>
      </c>
      <c r="P324" s="59"/>
      <c r="Q324" s="141">
        <v>0</v>
      </c>
      <c r="R324" s="50">
        <f t="shared" si="113"/>
        <v>0</v>
      </c>
      <c r="S324" s="51">
        <f t="shared" si="114"/>
        <v>0</v>
      </c>
      <c r="T324" s="60">
        <v>15</v>
      </c>
      <c r="U324" s="61" t="s">
        <v>81</v>
      </c>
      <c r="V324" s="53">
        <f>SUMIF('Avoided Costs 2014-2023'!$A:$A,'2014 Actuals'!U324&amp;ROUNDDOWN('2014 Actuals'!T324,0),'Avoided Costs 2014-2023'!$E:$E)*K324</f>
        <v>3989.79841557392</v>
      </c>
      <c r="W324" s="53">
        <f>SUMIF('Avoided Costs 2014-2023'!$A:$A,'2014 Actuals'!U324&amp;ROUNDDOWN('2014 Actuals'!T324,0),'Avoided Costs 2014-2023'!$K:$K)*O324</f>
        <v>0</v>
      </c>
      <c r="X324" s="53">
        <f>SUMIF('Avoided Costs 2014-2023'!$A:$A,'2014 Actuals'!U324&amp;ROUNDDOWN('2014 Actuals'!T324,0),'Avoided Costs 2014-2023'!$M:$M)*S324</f>
        <v>0</v>
      </c>
      <c r="Y324" s="53">
        <f t="shared" si="115"/>
        <v>3989.79841557392</v>
      </c>
      <c r="Z324" s="55">
        <v>5606</v>
      </c>
      <c r="AA324" s="54">
        <f t="shared" si="116"/>
        <v>4933.28</v>
      </c>
      <c r="AB324" s="54"/>
      <c r="AC324" s="54"/>
      <c r="AD324" s="54"/>
      <c r="AE324" s="54">
        <f t="shared" si="121"/>
        <v>4933.28</v>
      </c>
      <c r="AF324" s="54">
        <f t="shared" si="122"/>
        <v>-943.48158442607973</v>
      </c>
      <c r="AG324" s="49">
        <f t="shared" si="123"/>
        <v>25853.255999999998</v>
      </c>
      <c r="AH324" s="49">
        <f t="shared" si="124"/>
        <v>29378.699999999997</v>
      </c>
    </row>
    <row r="325" spans="1:34" s="56" customFormat="1">
      <c r="A325" s="62" t="s">
        <v>429</v>
      </c>
      <c r="B325" s="62"/>
      <c r="C325" s="62"/>
      <c r="D325" s="62"/>
      <c r="E325" s="141">
        <v>1</v>
      </c>
      <c r="F325" s="142"/>
      <c r="G325" s="143">
        <v>0.12</v>
      </c>
      <c r="H325" s="143">
        <v>0</v>
      </c>
      <c r="I325" s="49">
        <v>6981</v>
      </c>
      <c r="J325" s="49">
        <f t="shared" si="109"/>
        <v>5843.0969999999998</v>
      </c>
      <c r="K325" s="49">
        <f t="shared" si="110"/>
        <v>5141.9253600000002</v>
      </c>
      <c r="L325" s="58"/>
      <c r="M325" s="141">
        <v>0</v>
      </c>
      <c r="N325" s="50">
        <f t="shared" si="111"/>
        <v>0</v>
      </c>
      <c r="O325" s="50">
        <f t="shared" si="112"/>
        <v>0</v>
      </c>
      <c r="P325" s="59"/>
      <c r="Q325" s="141">
        <v>0</v>
      </c>
      <c r="R325" s="50">
        <f t="shared" si="113"/>
        <v>0</v>
      </c>
      <c r="S325" s="51">
        <f t="shared" si="114"/>
        <v>0</v>
      </c>
      <c r="T325" s="60">
        <v>15</v>
      </c>
      <c r="U325" s="61" t="s">
        <v>81</v>
      </c>
      <c r="V325" s="53">
        <f>SUMIF('Avoided Costs 2014-2023'!$A:$A,'2014 Actuals'!U325&amp;ROUNDDOWN('2014 Actuals'!T325,0),'Avoided Costs 2014-2023'!$E:$E)*K325</f>
        <v>11902.898606462197</v>
      </c>
      <c r="W325" s="53">
        <f>SUMIF('Avoided Costs 2014-2023'!$A:$A,'2014 Actuals'!U325&amp;ROUNDDOWN('2014 Actuals'!T325,0),'Avoided Costs 2014-2023'!$K:$K)*O325</f>
        <v>0</v>
      </c>
      <c r="X325" s="53">
        <f>SUMIF('Avoided Costs 2014-2023'!$A:$A,'2014 Actuals'!U325&amp;ROUNDDOWN('2014 Actuals'!T325,0),'Avoided Costs 2014-2023'!$M:$M)*S325</f>
        <v>0</v>
      </c>
      <c r="Y325" s="53">
        <f t="shared" si="115"/>
        <v>11902.898606462197</v>
      </c>
      <c r="Z325" s="55">
        <v>11800</v>
      </c>
      <c r="AA325" s="54">
        <f t="shared" si="116"/>
        <v>10384</v>
      </c>
      <c r="AB325" s="54"/>
      <c r="AC325" s="54"/>
      <c r="AD325" s="54"/>
      <c r="AE325" s="54">
        <f t="shared" si="121"/>
        <v>10384</v>
      </c>
      <c r="AF325" s="54">
        <f t="shared" si="122"/>
        <v>1518.8986064621968</v>
      </c>
      <c r="AG325" s="49">
        <f t="shared" si="123"/>
        <v>77128.880400000009</v>
      </c>
      <c r="AH325" s="49">
        <f t="shared" si="124"/>
        <v>87646.455000000002</v>
      </c>
    </row>
    <row r="326" spans="1:34" s="56" customFormat="1">
      <c r="A326" s="62" t="s">
        <v>430</v>
      </c>
      <c r="B326" s="62"/>
      <c r="C326" s="62"/>
      <c r="D326" s="62"/>
      <c r="E326" s="141">
        <v>1</v>
      </c>
      <c r="F326" s="142"/>
      <c r="G326" s="143">
        <v>0.12</v>
      </c>
      <c r="H326" s="143">
        <v>0</v>
      </c>
      <c r="I326" s="49">
        <v>23809</v>
      </c>
      <c r="J326" s="49">
        <f t="shared" si="109"/>
        <v>19928.132999999998</v>
      </c>
      <c r="K326" s="49">
        <f t="shared" si="110"/>
        <v>17536.757039999997</v>
      </c>
      <c r="L326" s="58"/>
      <c r="M326" s="141">
        <v>0</v>
      </c>
      <c r="N326" s="50">
        <f t="shared" si="111"/>
        <v>0</v>
      </c>
      <c r="O326" s="50">
        <f t="shared" si="112"/>
        <v>0</v>
      </c>
      <c r="P326" s="59"/>
      <c r="Q326" s="141">
        <v>0</v>
      </c>
      <c r="R326" s="50">
        <f t="shared" si="113"/>
        <v>0</v>
      </c>
      <c r="S326" s="51">
        <f t="shared" si="114"/>
        <v>0</v>
      </c>
      <c r="T326" s="60">
        <v>15</v>
      </c>
      <c r="U326" s="61" t="s">
        <v>81</v>
      </c>
      <c r="V326" s="53">
        <f>SUMIF('Avoided Costs 2014-2023'!$A:$A,'2014 Actuals'!U326&amp;ROUNDDOWN('2014 Actuals'!T326,0),'Avoided Costs 2014-2023'!$E:$E)*K326</f>
        <v>40595.346357435665</v>
      </c>
      <c r="W326" s="53">
        <f>SUMIF('Avoided Costs 2014-2023'!$A:$A,'2014 Actuals'!U326&amp;ROUNDDOWN('2014 Actuals'!T326,0),'Avoided Costs 2014-2023'!$K:$K)*O326</f>
        <v>0</v>
      </c>
      <c r="X326" s="53">
        <f>SUMIF('Avoided Costs 2014-2023'!$A:$A,'2014 Actuals'!U326&amp;ROUNDDOWN('2014 Actuals'!T326,0),'Avoided Costs 2014-2023'!$M:$M)*S326</f>
        <v>0</v>
      </c>
      <c r="Y326" s="53">
        <f t="shared" si="115"/>
        <v>40595.346357435665</v>
      </c>
      <c r="Z326" s="55">
        <v>0</v>
      </c>
      <c r="AA326" s="54">
        <f t="shared" si="116"/>
        <v>0</v>
      </c>
      <c r="AB326" s="54"/>
      <c r="AC326" s="54"/>
      <c r="AD326" s="54"/>
      <c r="AE326" s="54">
        <f t="shared" si="121"/>
        <v>0</v>
      </c>
      <c r="AF326" s="54">
        <f t="shared" si="122"/>
        <v>40595.346357435665</v>
      </c>
      <c r="AG326" s="49">
        <f t="shared" si="123"/>
        <v>263051.35559999995</v>
      </c>
      <c r="AH326" s="49">
        <f t="shared" si="124"/>
        <v>298921.995</v>
      </c>
    </row>
    <row r="327" spans="1:34" s="56" customFormat="1">
      <c r="A327" s="62" t="s">
        <v>431</v>
      </c>
      <c r="B327" s="62"/>
      <c r="C327" s="62"/>
      <c r="D327" s="62"/>
      <c r="E327" s="141">
        <v>1</v>
      </c>
      <c r="F327" s="142"/>
      <c r="G327" s="143">
        <v>0.12</v>
      </c>
      <c r="H327" s="143">
        <v>0</v>
      </c>
      <c r="I327" s="49">
        <v>36194</v>
      </c>
      <c r="J327" s="49">
        <f t="shared" si="109"/>
        <v>30294.377999999997</v>
      </c>
      <c r="K327" s="49">
        <f t="shared" si="110"/>
        <v>26659.052639999998</v>
      </c>
      <c r="L327" s="58"/>
      <c r="M327" s="141">
        <v>2739</v>
      </c>
      <c r="N327" s="50">
        <f t="shared" si="111"/>
        <v>2739</v>
      </c>
      <c r="O327" s="50">
        <f t="shared" si="112"/>
        <v>2410.3200000000002</v>
      </c>
      <c r="P327" s="59"/>
      <c r="Q327" s="141">
        <v>0</v>
      </c>
      <c r="R327" s="50">
        <f t="shared" si="113"/>
        <v>0</v>
      </c>
      <c r="S327" s="51">
        <f t="shared" si="114"/>
        <v>0</v>
      </c>
      <c r="T327" s="60">
        <v>15</v>
      </c>
      <c r="U327" s="61" t="s">
        <v>81</v>
      </c>
      <c r="V327" s="53">
        <f>SUMIF('Avoided Costs 2014-2023'!$A:$A,'2014 Actuals'!U327&amp;ROUNDDOWN('2014 Actuals'!T327,0),'Avoided Costs 2014-2023'!$E:$E)*K327</f>
        <v>61712.292244992503</v>
      </c>
      <c r="W327" s="53">
        <f>SUMIF('Avoided Costs 2014-2023'!$A:$A,'2014 Actuals'!U327&amp;ROUNDDOWN('2014 Actuals'!T327,0),'Avoided Costs 2014-2023'!$K:$K)*O327</f>
        <v>2850.1560678836381</v>
      </c>
      <c r="X327" s="53">
        <f>SUMIF('Avoided Costs 2014-2023'!$A:$A,'2014 Actuals'!U327&amp;ROUNDDOWN('2014 Actuals'!T327,0),'Avoided Costs 2014-2023'!$M:$M)*S327</f>
        <v>0</v>
      </c>
      <c r="Y327" s="53">
        <f t="shared" si="115"/>
        <v>64562.448312876142</v>
      </c>
      <c r="Z327" s="55">
        <v>15632</v>
      </c>
      <c r="AA327" s="54">
        <f t="shared" si="116"/>
        <v>13756.16</v>
      </c>
      <c r="AB327" s="54"/>
      <c r="AC327" s="54"/>
      <c r="AD327" s="54"/>
      <c r="AE327" s="54">
        <f t="shared" si="121"/>
        <v>13756.16</v>
      </c>
      <c r="AF327" s="54">
        <f t="shared" si="122"/>
        <v>50806.288312876146</v>
      </c>
      <c r="AG327" s="49">
        <f t="shared" si="123"/>
        <v>399885.78959999996</v>
      </c>
      <c r="AH327" s="49">
        <f t="shared" si="124"/>
        <v>454415.66999999993</v>
      </c>
    </row>
    <row r="328" spans="1:34" s="56" customFormat="1">
      <c r="A328" s="62" t="s">
        <v>432</v>
      </c>
      <c r="B328" s="62"/>
      <c r="C328" s="62"/>
      <c r="D328" s="62"/>
      <c r="E328" s="141">
        <v>1</v>
      </c>
      <c r="F328" s="142"/>
      <c r="G328" s="143">
        <v>0.12</v>
      </c>
      <c r="H328" s="143">
        <v>0</v>
      </c>
      <c r="I328" s="49">
        <v>56133</v>
      </c>
      <c r="J328" s="49">
        <f t="shared" si="109"/>
        <v>46983.320999999996</v>
      </c>
      <c r="K328" s="49">
        <f t="shared" si="110"/>
        <v>41345.322479999995</v>
      </c>
      <c r="L328" s="58"/>
      <c r="M328" s="141">
        <v>3703</v>
      </c>
      <c r="N328" s="50">
        <f t="shared" si="111"/>
        <v>3703</v>
      </c>
      <c r="O328" s="50">
        <f t="shared" si="112"/>
        <v>3258.64</v>
      </c>
      <c r="P328" s="59"/>
      <c r="Q328" s="141">
        <v>0</v>
      </c>
      <c r="R328" s="50">
        <f t="shared" si="113"/>
        <v>0</v>
      </c>
      <c r="S328" s="51">
        <f t="shared" si="114"/>
        <v>0</v>
      </c>
      <c r="T328" s="60">
        <v>15</v>
      </c>
      <c r="U328" s="61" t="s">
        <v>81</v>
      </c>
      <c r="V328" s="53">
        <f>SUMIF('Avoided Costs 2014-2023'!$A:$A,'2014 Actuals'!U328&amp;ROUNDDOWN('2014 Actuals'!T328,0),'Avoided Costs 2014-2023'!$E:$E)*K328</f>
        <v>95709.125838209759</v>
      </c>
      <c r="W328" s="53">
        <f>SUMIF('Avoided Costs 2014-2023'!$A:$A,'2014 Actuals'!U328&amp;ROUNDDOWN('2014 Actuals'!T328,0),'Avoided Costs 2014-2023'!$K:$K)*O328</f>
        <v>3853.2778091906207</v>
      </c>
      <c r="X328" s="53">
        <f>SUMIF('Avoided Costs 2014-2023'!$A:$A,'2014 Actuals'!U328&amp;ROUNDDOWN('2014 Actuals'!T328,0),'Avoided Costs 2014-2023'!$M:$M)*S328</f>
        <v>0</v>
      </c>
      <c r="Y328" s="53">
        <f t="shared" si="115"/>
        <v>99562.403647400381</v>
      </c>
      <c r="Z328" s="55">
        <v>31843.279999999999</v>
      </c>
      <c r="AA328" s="54">
        <f t="shared" si="116"/>
        <v>28022.0864</v>
      </c>
      <c r="AB328" s="54"/>
      <c r="AC328" s="54"/>
      <c r="AD328" s="54"/>
      <c r="AE328" s="54">
        <f t="shared" si="121"/>
        <v>28022.0864</v>
      </c>
      <c r="AF328" s="54">
        <f t="shared" si="122"/>
        <v>71540.31724740038</v>
      </c>
      <c r="AG328" s="49">
        <f t="shared" si="123"/>
        <v>620179.83719999995</v>
      </c>
      <c r="AH328" s="49">
        <f t="shared" si="124"/>
        <v>704749.81499999994</v>
      </c>
    </row>
    <row r="329" spans="1:34" s="48" customFormat="1" collapsed="1">
      <c r="A329" s="222" t="s">
        <v>35</v>
      </c>
      <c r="B329" s="222" t="s">
        <v>433</v>
      </c>
      <c r="C329" s="108"/>
      <c r="D329" s="108">
        <v>0</v>
      </c>
      <c r="E329" s="49">
        <f>SUM(E277:E328)</f>
        <v>48</v>
      </c>
      <c r="F329" s="105"/>
      <c r="G329" s="107"/>
      <c r="H329" s="107"/>
      <c r="I329" s="49">
        <f>SUM(I277:I328)</f>
        <v>406939</v>
      </c>
      <c r="J329" s="49">
        <f>SUM(J277:J328)</f>
        <v>340607.94299999985</v>
      </c>
      <c r="K329" s="49">
        <f>SUM(K277:K328)</f>
        <v>299734.98984000005</v>
      </c>
      <c r="L329" s="105"/>
      <c r="M329" s="49">
        <f>SUM(M277:M328)</f>
        <v>229309</v>
      </c>
      <c r="N329" s="49">
        <f>SUM(N277:N328)</f>
        <v>229309</v>
      </c>
      <c r="O329" s="49">
        <f>SUM(O277:O328)</f>
        <v>201791.92</v>
      </c>
      <c r="P329" s="106"/>
      <c r="Q329" s="49">
        <v>0</v>
      </c>
      <c r="R329" s="49">
        <f>SUM(R277:R328)</f>
        <v>0</v>
      </c>
      <c r="S329" s="49">
        <f>SUM(S277:S328)</f>
        <v>0</v>
      </c>
      <c r="T329" s="107"/>
      <c r="U329" s="108" t="s">
        <v>160</v>
      </c>
      <c r="V329" s="223">
        <f t="shared" ref="V329:AA329" si="125">SUM(V277:V328)</f>
        <v>691523.49031763384</v>
      </c>
      <c r="W329" s="223">
        <f t="shared" si="125"/>
        <v>237213.05435878306</v>
      </c>
      <c r="X329" s="223">
        <f t="shared" si="125"/>
        <v>0</v>
      </c>
      <c r="Y329" s="223">
        <f t="shared" si="125"/>
        <v>928736.54467641702</v>
      </c>
      <c r="Z329" s="55"/>
      <c r="AA329" s="223">
        <f t="shared" si="125"/>
        <v>399895.55760000006</v>
      </c>
      <c r="AB329" s="54">
        <v>14696.65</v>
      </c>
      <c r="AC329" s="54">
        <v>0</v>
      </c>
      <c r="AD329" s="54">
        <f>AB329+AC329</f>
        <v>14696.65</v>
      </c>
      <c r="AE329" s="54">
        <f t="shared" si="121"/>
        <v>399895.55760000006</v>
      </c>
      <c r="AF329" s="212">
        <f t="shared" si="122"/>
        <v>528840.98707641696</v>
      </c>
      <c r="AG329" s="49">
        <f>SUM(AG277:AG328)</f>
        <v>4647004.9164000005</v>
      </c>
      <c r="AH329" s="49">
        <f>SUM(AH277:AH328)</f>
        <v>5280687.4049999993</v>
      </c>
    </row>
    <row r="330" spans="1:34">
      <c r="A330" s="135"/>
      <c r="K330" s="11"/>
      <c r="P330" s="23"/>
      <c r="Q330" s="11"/>
      <c r="S330" s="11"/>
      <c r="T330" s="48"/>
      <c r="AA330" s="40"/>
      <c r="AB330" s="40"/>
      <c r="AD330" s="40"/>
      <c r="AE330" s="40"/>
      <c r="AF330" s="40"/>
      <c r="AG330" s="38"/>
      <c r="AH330" s="38"/>
    </row>
    <row r="331" spans="1:34">
      <c r="A331" s="135" t="s">
        <v>434</v>
      </c>
      <c r="B331" s="9" t="s">
        <v>435</v>
      </c>
      <c r="K331" s="11"/>
      <c r="P331" s="23"/>
      <c r="Q331" s="11"/>
      <c r="S331" s="11"/>
      <c r="T331" s="48"/>
      <c r="AA331" s="40"/>
      <c r="AB331" s="40"/>
      <c r="AD331" s="40"/>
      <c r="AE331" s="40"/>
      <c r="AF331" s="40"/>
      <c r="AG331" s="38"/>
      <c r="AH331" s="38"/>
    </row>
    <row r="332" spans="1:34" s="56" customFormat="1">
      <c r="A332" s="145" t="s">
        <v>436</v>
      </c>
      <c r="B332" s="145"/>
      <c r="C332" s="145"/>
      <c r="D332" s="145"/>
      <c r="E332" s="51">
        <v>1</v>
      </c>
      <c r="F332" s="146"/>
      <c r="G332" s="147">
        <v>0.12</v>
      </c>
      <c r="H332" s="147">
        <v>0</v>
      </c>
      <c r="I332" s="49">
        <v>9875</v>
      </c>
      <c r="J332" s="49">
        <f>+$I$42*I332</f>
        <v>8265.375</v>
      </c>
      <c r="K332" s="49">
        <f t="shared" ref="K332:K338" si="126">J332*(1-G332)</f>
        <v>7273.53</v>
      </c>
      <c r="L332" s="146"/>
      <c r="M332" s="51">
        <v>0</v>
      </c>
      <c r="N332" s="50">
        <f t="shared" ref="N332:N338" si="127">+$M$42*M332</f>
        <v>0</v>
      </c>
      <c r="O332" s="50">
        <f t="shared" ref="O332:O338" si="128">N332*(1-G332)</f>
        <v>0</v>
      </c>
      <c r="P332" s="148"/>
      <c r="Q332" s="51">
        <v>0</v>
      </c>
      <c r="R332" s="50">
        <f t="shared" ref="R332:R338" si="129">+Q332*$Q$42</f>
        <v>0</v>
      </c>
      <c r="S332" s="51">
        <f t="shared" ref="S332:S338" si="130">R332*(1-G332)</f>
        <v>0</v>
      </c>
      <c r="T332" s="64">
        <v>15</v>
      </c>
      <c r="U332" s="65" t="s">
        <v>94</v>
      </c>
      <c r="V332" s="53">
        <f>SUMIF('Avoided Costs 2014-2023'!$A:$A,'2014 Actuals'!U332&amp;ROUNDDOWN('2014 Actuals'!T332,0),'Avoided Costs 2014-2023'!$E:$E)*K332</f>
        <v>15767.41834078403</v>
      </c>
      <c r="W332" s="53">
        <f>SUMIF('Avoided Costs 2014-2023'!$A:$A,'2014 Actuals'!U332&amp;ROUNDDOWN('2014 Actuals'!T332,0),'Avoided Costs 2014-2023'!$K:$K)*O332</f>
        <v>0</v>
      </c>
      <c r="X332" s="53">
        <f>SUMIF('Avoided Costs 2014-2023'!$A:$A,'2014 Actuals'!U332&amp;ROUNDDOWN('2014 Actuals'!T332,0),'Avoided Costs 2014-2023'!$M:$M)*S332</f>
        <v>0</v>
      </c>
      <c r="Y332" s="53">
        <f t="shared" ref="Y332:Y338" si="131">SUM(V332:X332)</f>
        <v>15767.41834078403</v>
      </c>
      <c r="Z332" s="55">
        <v>20000</v>
      </c>
      <c r="AA332" s="54">
        <f t="shared" ref="AA332:AA338" si="132">Z332*(1-G332)</f>
        <v>17600</v>
      </c>
      <c r="AB332" s="54"/>
      <c r="AC332" s="54"/>
      <c r="AD332" s="54"/>
      <c r="AE332" s="54">
        <f t="shared" ref="AE332:AE339" si="133">AA332+AC332</f>
        <v>17600</v>
      </c>
      <c r="AF332" s="54">
        <f t="shared" ref="AF332:AF339" si="134">Y332-AE332</f>
        <v>-1832.5816592159699</v>
      </c>
      <c r="AG332" s="49">
        <f t="shared" ref="AG332:AG338" si="135">K332*T332</f>
        <v>109102.95</v>
      </c>
      <c r="AH332" s="49">
        <f t="shared" ref="AH332:AH338" si="136">(J332*T332)</f>
        <v>123980.625</v>
      </c>
    </row>
    <row r="333" spans="1:34" s="56" customFormat="1">
      <c r="A333" s="145" t="s">
        <v>437</v>
      </c>
      <c r="B333" s="145"/>
      <c r="C333" s="145"/>
      <c r="D333" s="145"/>
      <c r="E333" s="51">
        <v>1</v>
      </c>
      <c r="F333" s="146"/>
      <c r="G333" s="147">
        <v>0.12</v>
      </c>
      <c r="H333" s="147">
        <v>0</v>
      </c>
      <c r="I333" s="49">
        <v>111383</v>
      </c>
      <c r="J333" s="49">
        <f t="shared" ref="J333:J338" si="137">+$I$42*I333</f>
        <v>93227.570999999996</v>
      </c>
      <c r="K333" s="49">
        <f t="shared" si="126"/>
        <v>82040.26247999999</v>
      </c>
      <c r="L333" s="146"/>
      <c r="M333" s="51">
        <v>0</v>
      </c>
      <c r="N333" s="50">
        <f t="shared" si="127"/>
        <v>0</v>
      </c>
      <c r="O333" s="50">
        <f t="shared" si="128"/>
        <v>0</v>
      </c>
      <c r="P333" s="148"/>
      <c r="Q333" s="51">
        <v>0</v>
      </c>
      <c r="R333" s="50">
        <f t="shared" si="129"/>
        <v>0</v>
      </c>
      <c r="S333" s="51">
        <f t="shared" si="130"/>
        <v>0</v>
      </c>
      <c r="T333" s="64">
        <v>25</v>
      </c>
      <c r="U333" s="65" t="s">
        <v>81</v>
      </c>
      <c r="V333" s="53">
        <f>SUMIF('Avoided Costs 2014-2023'!$A:$A,'2014 Actuals'!U333&amp;ROUNDDOWN('2014 Actuals'!T333,0),'Avoided Costs 2014-2023'!$E:$E)*K333</f>
        <v>260583.13852419122</v>
      </c>
      <c r="W333" s="53">
        <f>SUMIF('Avoided Costs 2014-2023'!$A:$A,'2014 Actuals'!U333&amp;ROUNDDOWN('2014 Actuals'!T333,0),'Avoided Costs 2014-2023'!$K:$K)*O333</f>
        <v>0</v>
      </c>
      <c r="X333" s="53">
        <f>SUMIF('Avoided Costs 2014-2023'!$A:$A,'2014 Actuals'!U333&amp;ROUNDDOWN('2014 Actuals'!T333,0),'Avoided Costs 2014-2023'!$M:$M)*S333</f>
        <v>0</v>
      </c>
      <c r="Y333" s="53">
        <f t="shared" si="131"/>
        <v>260583.13852419122</v>
      </c>
      <c r="Z333" s="55">
        <v>27796</v>
      </c>
      <c r="AA333" s="54">
        <f t="shared" si="132"/>
        <v>24460.48</v>
      </c>
      <c r="AB333" s="54"/>
      <c r="AC333" s="54"/>
      <c r="AD333" s="54"/>
      <c r="AE333" s="54">
        <f t="shared" si="133"/>
        <v>24460.48</v>
      </c>
      <c r="AF333" s="54">
        <f t="shared" si="134"/>
        <v>236122.65852419121</v>
      </c>
      <c r="AG333" s="49">
        <f t="shared" si="135"/>
        <v>2051006.5619999997</v>
      </c>
      <c r="AH333" s="49">
        <f t="shared" si="136"/>
        <v>2330689.2749999999</v>
      </c>
    </row>
    <row r="334" spans="1:34" s="56" customFormat="1">
      <c r="A334" s="145" t="s">
        <v>438</v>
      </c>
      <c r="B334" s="145"/>
      <c r="C334" s="145"/>
      <c r="D334" s="145"/>
      <c r="E334" s="51">
        <v>1</v>
      </c>
      <c r="F334" s="146"/>
      <c r="G334" s="147">
        <v>0.12</v>
      </c>
      <c r="H334" s="147">
        <v>0</v>
      </c>
      <c r="I334" s="49">
        <v>12851</v>
      </c>
      <c r="J334" s="49">
        <f t="shared" si="137"/>
        <v>10756.287</v>
      </c>
      <c r="K334" s="49">
        <f t="shared" si="126"/>
        <v>9465.5325599999996</v>
      </c>
      <c r="L334" s="146"/>
      <c r="M334" s="51">
        <v>0</v>
      </c>
      <c r="N334" s="50">
        <f t="shared" si="127"/>
        <v>0</v>
      </c>
      <c r="O334" s="50">
        <f t="shared" si="128"/>
        <v>0</v>
      </c>
      <c r="P334" s="148"/>
      <c r="Q334" s="51">
        <v>0</v>
      </c>
      <c r="R334" s="50">
        <f t="shared" si="129"/>
        <v>0</v>
      </c>
      <c r="S334" s="51">
        <f t="shared" si="130"/>
        <v>0</v>
      </c>
      <c r="T334" s="64">
        <v>25</v>
      </c>
      <c r="U334" s="65" t="s">
        <v>81</v>
      </c>
      <c r="V334" s="53">
        <f>SUMIF('Avoided Costs 2014-2023'!$A:$A,'2014 Actuals'!U334&amp;ROUNDDOWN('2014 Actuals'!T334,0),'Avoided Costs 2014-2023'!$E:$E)*K334</f>
        <v>30065.215635908367</v>
      </c>
      <c r="W334" s="53">
        <f>SUMIF('Avoided Costs 2014-2023'!$A:$A,'2014 Actuals'!U334&amp;ROUNDDOWN('2014 Actuals'!T334,0),'Avoided Costs 2014-2023'!$K:$K)*O334</f>
        <v>0</v>
      </c>
      <c r="X334" s="53">
        <f>SUMIF('Avoided Costs 2014-2023'!$A:$A,'2014 Actuals'!U334&amp;ROUNDDOWN('2014 Actuals'!T334,0),'Avoided Costs 2014-2023'!$M:$M)*S334</f>
        <v>0</v>
      </c>
      <c r="Y334" s="53">
        <f t="shared" si="131"/>
        <v>30065.215635908367</v>
      </c>
      <c r="Z334" s="55">
        <v>9096</v>
      </c>
      <c r="AA334" s="54">
        <f t="shared" si="132"/>
        <v>8004.4800000000005</v>
      </c>
      <c r="AB334" s="54"/>
      <c r="AC334" s="54"/>
      <c r="AD334" s="54"/>
      <c r="AE334" s="54">
        <f t="shared" si="133"/>
        <v>8004.4800000000005</v>
      </c>
      <c r="AF334" s="54">
        <f t="shared" si="134"/>
        <v>22060.735635908368</v>
      </c>
      <c r="AG334" s="49">
        <f t="shared" si="135"/>
        <v>236638.31399999998</v>
      </c>
      <c r="AH334" s="49">
        <f t="shared" si="136"/>
        <v>268907.17499999999</v>
      </c>
    </row>
    <row r="335" spans="1:34" s="56" customFormat="1">
      <c r="A335" s="145" t="s">
        <v>439</v>
      </c>
      <c r="B335" s="145"/>
      <c r="C335" s="145"/>
      <c r="D335" s="145"/>
      <c r="E335" s="51">
        <v>1</v>
      </c>
      <c r="F335" s="146"/>
      <c r="G335" s="147">
        <v>0.12</v>
      </c>
      <c r="H335" s="147">
        <v>0</v>
      </c>
      <c r="I335" s="49">
        <v>37560</v>
      </c>
      <c r="J335" s="49">
        <f t="shared" si="137"/>
        <v>31437.719999999998</v>
      </c>
      <c r="K335" s="49">
        <f t="shared" si="126"/>
        <v>27665.193599999999</v>
      </c>
      <c r="L335" s="146"/>
      <c r="M335" s="51">
        <v>0</v>
      </c>
      <c r="N335" s="50">
        <f t="shared" si="127"/>
        <v>0</v>
      </c>
      <c r="O335" s="50">
        <f t="shared" si="128"/>
        <v>0</v>
      </c>
      <c r="P335" s="148"/>
      <c r="Q335" s="51">
        <v>0</v>
      </c>
      <c r="R335" s="50">
        <f t="shared" si="129"/>
        <v>0</v>
      </c>
      <c r="S335" s="51">
        <f t="shared" si="130"/>
        <v>0</v>
      </c>
      <c r="T335" s="64">
        <v>25</v>
      </c>
      <c r="U335" s="65" t="s">
        <v>81</v>
      </c>
      <c r="V335" s="53">
        <f>SUMIF('Avoided Costs 2014-2023'!$A:$A,'2014 Actuals'!U335&amp;ROUNDDOWN('2014 Actuals'!T335,0),'Avoided Costs 2014-2023'!$E:$E)*K335</f>
        <v>87872.500138877775</v>
      </c>
      <c r="W335" s="53">
        <f>SUMIF('Avoided Costs 2014-2023'!$A:$A,'2014 Actuals'!U335&amp;ROUNDDOWN('2014 Actuals'!T335,0),'Avoided Costs 2014-2023'!$K:$K)*O335</f>
        <v>0</v>
      </c>
      <c r="X335" s="53">
        <f>SUMIF('Avoided Costs 2014-2023'!$A:$A,'2014 Actuals'!U335&amp;ROUNDDOWN('2014 Actuals'!T335,0),'Avoided Costs 2014-2023'!$M:$M)*S335</f>
        <v>0</v>
      </c>
      <c r="Y335" s="53">
        <f t="shared" si="131"/>
        <v>87872.500138877775</v>
      </c>
      <c r="Z335" s="55">
        <v>3039</v>
      </c>
      <c r="AA335" s="54">
        <f t="shared" si="132"/>
        <v>2674.32</v>
      </c>
      <c r="AB335" s="54"/>
      <c r="AC335" s="54"/>
      <c r="AD335" s="54"/>
      <c r="AE335" s="54">
        <f t="shared" si="133"/>
        <v>2674.32</v>
      </c>
      <c r="AF335" s="54">
        <f t="shared" si="134"/>
        <v>85198.180138877768</v>
      </c>
      <c r="AG335" s="49">
        <f t="shared" si="135"/>
        <v>691629.84</v>
      </c>
      <c r="AH335" s="49">
        <f t="shared" si="136"/>
        <v>785942.99999999988</v>
      </c>
    </row>
    <row r="336" spans="1:34" s="56" customFormat="1">
      <c r="A336" s="145" t="s">
        <v>440</v>
      </c>
      <c r="B336" s="145"/>
      <c r="C336" s="145"/>
      <c r="D336" s="145"/>
      <c r="E336" s="51">
        <v>1</v>
      </c>
      <c r="F336" s="146"/>
      <c r="G336" s="147">
        <v>0.12</v>
      </c>
      <c r="H336" s="147">
        <v>0</v>
      </c>
      <c r="I336" s="49">
        <v>12090</v>
      </c>
      <c r="J336" s="49">
        <f t="shared" si="137"/>
        <v>10119.33</v>
      </c>
      <c r="K336" s="49">
        <f t="shared" si="126"/>
        <v>8905.0103999999992</v>
      </c>
      <c r="L336" s="146"/>
      <c r="M336" s="51">
        <v>0</v>
      </c>
      <c r="N336" s="50">
        <f t="shared" si="127"/>
        <v>0</v>
      </c>
      <c r="O336" s="50">
        <f t="shared" si="128"/>
        <v>0</v>
      </c>
      <c r="P336" s="148"/>
      <c r="Q336" s="51">
        <v>0</v>
      </c>
      <c r="R336" s="50">
        <f t="shared" si="129"/>
        <v>0</v>
      </c>
      <c r="S336" s="51">
        <f t="shared" si="130"/>
        <v>0</v>
      </c>
      <c r="T336" s="64">
        <v>25</v>
      </c>
      <c r="U336" s="65" t="s">
        <v>81</v>
      </c>
      <c r="V336" s="53">
        <f>SUMIF('Avoided Costs 2014-2023'!$A:$A,'2014 Actuals'!U336&amp;ROUNDDOWN('2014 Actuals'!T336,0),'Avoided Costs 2014-2023'!$E:$E)*K336</f>
        <v>28284.83830348861</v>
      </c>
      <c r="W336" s="53">
        <f>SUMIF('Avoided Costs 2014-2023'!$A:$A,'2014 Actuals'!U336&amp;ROUNDDOWN('2014 Actuals'!T336,0),'Avoided Costs 2014-2023'!$K:$K)*O336</f>
        <v>0</v>
      </c>
      <c r="X336" s="53">
        <f>SUMIF('Avoided Costs 2014-2023'!$A:$A,'2014 Actuals'!U336&amp;ROUNDDOWN('2014 Actuals'!T336,0),'Avoided Costs 2014-2023'!$M:$M)*S336</f>
        <v>0</v>
      </c>
      <c r="Y336" s="53">
        <f t="shared" si="131"/>
        <v>28284.83830348861</v>
      </c>
      <c r="Z336" s="55">
        <v>37682</v>
      </c>
      <c r="AA336" s="54">
        <f t="shared" si="132"/>
        <v>33160.160000000003</v>
      </c>
      <c r="AB336" s="54"/>
      <c r="AC336" s="54"/>
      <c r="AD336" s="54"/>
      <c r="AE336" s="54">
        <f t="shared" si="133"/>
        <v>33160.160000000003</v>
      </c>
      <c r="AF336" s="54">
        <f t="shared" si="134"/>
        <v>-4875.3216965113934</v>
      </c>
      <c r="AG336" s="49">
        <f t="shared" si="135"/>
        <v>222625.25999999998</v>
      </c>
      <c r="AH336" s="49">
        <f t="shared" si="136"/>
        <v>252983.25</v>
      </c>
    </row>
    <row r="337" spans="1:34" s="56" customFormat="1">
      <c r="A337" s="145" t="s">
        <v>441</v>
      </c>
      <c r="B337" s="145"/>
      <c r="C337" s="145"/>
      <c r="D337" s="145"/>
      <c r="E337" s="51">
        <v>1</v>
      </c>
      <c r="F337" s="146"/>
      <c r="G337" s="147">
        <v>0.12</v>
      </c>
      <c r="H337" s="147">
        <v>0</v>
      </c>
      <c r="I337" s="49">
        <v>3734</v>
      </c>
      <c r="J337" s="49">
        <f t="shared" si="137"/>
        <v>3125.3579999999997</v>
      </c>
      <c r="K337" s="49">
        <f t="shared" si="126"/>
        <v>2750.31504</v>
      </c>
      <c r="L337" s="146"/>
      <c r="M337" s="51">
        <v>4884</v>
      </c>
      <c r="N337" s="50">
        <f t="shared" si="127"/>
        <v>4884</v>
      </c>
      <c r="O337" s="50">
        <f t="shared" si="128"/>
        <v>4297.92</v>
      </c>
      <c r="P337" s="148"/>
      <c r="Q337" s="51">
        <v>0</v>
      </c>
      <c r="R337" s="50">
        <f t="shared" si="129"/>
        <v>0</v>
      </c>
      <c r="S337" s="51">
        <f t="shared" si="130"/>
        <v>0</v>
      </c>
      <c r="T337" s="64">
        <v>15</v>
      </c>
      <c r="U337" s="65" t="s">
        <v>81</v>
      </c>
      <c r="V337" s="53">
        <f>SUMIF('Avoided Costs 2014-2023'!$A:$A,'2014 Actuals'!U337&amp;ROUNDDOWN('2014 Actuals'!T337,0),'Avoided Costs 2014-2023'!$E:$E)*K337</f>
        <v>6366.6270443388967</v>
      </c>
      <c r="W337" s="53">
        <f>SUMIF('Avoided Costs 2014-2023'!$A:$A,'2014 Actuals'!U337&amp;ROUNDDOWN('2014 Actuals'!T337,0),'Avoided Costs 2014-2023'!$K:$K)*O337</f>
        <v>5082.2060005635949</v>
      </c>
      <c r="X337" s="53">
        <f>SUMIF('Avoided Costs 2014-2023'!$A:$A,'2014 Actuals'!U337&amp;ROUNDDOWN('2014 Actuals'!T337,0),'Avoided Costs 2014-2023'!$M:$M)*S337</f>
        <v>0</v>
      </c>
      <c r="Y337" s="53">
        <f t="shared" si="131"/>
        <v>11448.833044902491</v>
      </c>
      <c r="Z337" s="55">
        <v>23900</v>
      </c>
      <c r="AA337" s="54">
        <f t="shared" si="132"/>
        <v>21032</v>
      </c>
      <c r="AB337" s="54"/>
      <c r="AC337" s="54"/>
      <c r="AD337" s="54"/>
      <c r="AE337" s="54">
        <f t="shared" si="133"/>
        <v>21032</v>
      </c>
      <c r="AF337" s="54">
        <f t="shared" si="134"/>
        <v>-9583.1669550975093</v>
      </c>
      <c r="AG337" s="49">
        <f t="shared" si="135"/>
        <v>41254.725599999998</v>
      </c>
      <c r="AH337" s="49">
        <f t="shared" si="136"/>
        <v>46880.369999999995</v>
      </c>
    </row>
    <row r="338" spans="1:34" s="56" customFormat="1">
      <c r="A338" s="145" t="s">
        <v>442</v>
      </c>
      <c r="B338" s="145"/>
      <c r="C338" s="145"/>
      <c r="D338" s="145"/>
      <c r="E338" s="51">
        <v>1</v>
      </c>
      <c r="F338" s="146"/>
      <c r="G338" s="147">
        <v>0.12</v>
      </c>
      <c r="H338" s="147">
        <v>0</v>
      </c>
      <c r="I338" s="49">
        <v>2372</v>
      </c>
      <c r="J338" s="49">
        <f t="shared" si="137"/>
        <v>1985.364</v>
      </c>
      <c r="K338" s="49">
        <f t="shared" si="126"/>
        <v>1747.12032</v>
      </c>
      <c r="L338" s="146"/>
      <c r="M338" s="51">
        <v>0</v>
      </c>
      <c r="N338" s="50">
        <f t="shared" si="127"/>
        <v>0</v>
      </c>
      <c r="O338" s="50">
        <f t="shared" si="128"/>
        <v>0</v>
      </c>
      <c r="P338" s="148"/>
      <c r="Q338" s="51">
        <v>0</v>
      </c>
      <c r="R338" s="50">
        <f t="shared" si="129"/>
        <v>0</v>
      </c>
      <c r="S338" s="51">
        <f t="shared" si="130"/>
        <v>0</v>
      </c>
      <c r="T338" s="64">
        <v>15</v>
      </c>
      <c r="U338" s="65" t="s">
        <v>81</v>
      </c>
      <c r="V338" s="53">
        <f>SUMIF('Avoided Costs 2014-2023'!$A:$A,'2014 Actuals'!U338&amp;ROUNDDOWN('2014 Actuals'!T338,0),'Avoided Costs 2014-2023'!$E:$E)*K338</f>
        <v>4044.3597614279224</v>
      </c>
      <c r="W338" s="53">
        <f>SUMIF('Avoided Costs 2014-2023'!$A:$A,'2014 Actuals'!U338&amp;ROUNDDOWN('2014 Actuals'!T338,0),'Avoided Costs 2014-2023'!$K:$K)*O338</f>
        <v>0</v>
      </c>
      <c r="X338" s="53">
        <f>SUMIF('Avoided Costs 2014-2023'!$A:$A,'2014 Actuals'!U338&amp;ROUNDDOWN('2014 Actuals'!T338,0),'Avoided Costs 2014-2023'!$M:$M)*S338</f>
        <v>0</v>
      </c>
      <c r="Y338" s="53">
        <f t="shared" si="131"/>
        <v>4044.3597614279224</v>
      </c>
      <c r="Z338" s="55">
        <v>7600</v>
      </c>
      <c r="AA338" s="54">
        <f t="shared" si="132"/>
        <v>6688</v>
      </c>
      <c r="AB338" s="54"/>
      <c r="AC338" s="54"/>
      <c r="AD338" s="54"/>
      <c r="AE338" s="54">
        <f t="shared" si="133"/>
        <v>6688</v>
      </c>
      <c r="AF338" s="54">
        <f t="shared" si="134"/>
        <v>-2643.6402385720776</v>
      </c>
      <c r="AG338" s="49">
        <f t="shared" si="135"/>
        <v>26206.804799999998</v>
      </c>
      <c r="AH338" s="49">
        <f t="shared" si="136"/>
        <v>29780.46</v>
      </c>
    </row>
    <row r="339" spans="1:34" s="69" customFormat="1" collapsed="1">
      <c r="A339" s="145" t="s">
        <v>35</v>
      </c>
      <c r="B339" s="145" t="s">
        <v>443</v>
      </c>
      <c r="C339" s="65"/>
      <c r="D339" s="65">
        <v>0</v>
      </c>
      <c r="E339" s="51">
        <f>SUM(E332:E338)</f>
        <v>7</v>
      </c>
      <c r="F339" s="105"/>
      <c r="G339" s="147"/>
      <c r="H339" s="211"/>
      <c r="I339" s="49">
        <f>SUM(I332:I338)</f>
        <v>189865</v>
      </c>
      <c r="J339" s="49">
        <f>SUM(J332:J338)</f>
        <v>158917.00499999998</v>
      </c>
      <c r="K339" s="49">
        <f>SUM(K332:K338)</f>
        <v>139846.96439999997</v>
      </c>
      <c r="L339" s="146"/>
      <c r="M339" s="49">
        <f>SUM(M332:M338)</f>
        <v>4884</v>
      </c>
      <c r="N339" s="49">
        <f>SUM(N332:N338)</f>
        <v>4884</v>
      </c>
      <c r="O339" s="49">
        <f>SUM(O332:O338)</f>
        <v>4297.92</v>
      </c>
      <c r="P339" s="148"/>
      <c r="Q339" s="49">
        <f>SUM(Q332:Q338)</f>
        <v>0</v>
      </c>
      <c r="R339" s="49">
        <f>SUM(R332:R338)</f>
        <v>0</v>
      </c>
      <c r="S339" s="49">
        <f>SUM(S332:S338)</f>
        <v>0</v>
      </c>
      <c r="T339" s="103"/>
      <c r="U339" s="65"/>
      <c r="V339" s="54">
        <f t="shared" ref="V339:AA339" si="138">SUM(V332:V338)</f>
        <v>432984.09774901683</v>
      </c>
      <c r="W339" s="54">
        <f t="shared" si="138"/>
        <v>5082.2060005635949</v>
      </c>
      <c r="X339" s="54">
        <f t="shared" si="138"/>
        <v>0</v>
      </c>
      <c r="Y339" s="54">
        <f t="shared" si="138"/>
        <v>438066.3037495804</v>
      </c>
      <c r="Z339" s="55"/>
      <c r="AA339" s="54">
        <f t="shared" si="138"/>
        <v>113619.44</v>
      </c>
      <c r="AB339" s="54">
        <v>96214.75</v>
      </c>
      <c r="AC339" s="54">
        <v>5774.41</v>
      </c>
      <c r="AD339" s="54">
        <f>AB339+AC339</f>
        <v>101989.16</v>
      </c>
      <c r="AE339" s="54">
        <f t="shared" si="133"/>
        <v>119393.85</v>
      </c>
      <c r="AF339" s="212">
        <f t="shared" si="134"/>
        <v>318672.45374958043</v>
      </c>
      <c r="AG339" s="49">
        <f>SUM(AG332:AG338)</f>
        <v>3378464.4563999991</v>
      </c>
      <c r="AH339" s="49">
        <f>SUM(AH332:AH338)</f>
        <v>3839164.1549999998</v>
      </c>
    </row>
    <row r="340" spans="1:34">
      <c r="A340" s="135"/>
      <c r="K340" s="11"/>
      <c r="P340" s="23"/>
      <c r="Q340" s="11"/>
      <c r="S340" s="11"/>
      <c r="T340" s="48"/>
      <c r="AA340" s="40"/>
      <c r="AB340" s="40"/>
      <c r="AD340" s="40"/>
      <c r="AE340" s="40"/>
      <c r="AF340" s="40"/>
      <c r="AG340" s="38"/>
      <c r="AH340" s="38"/>
    </row>
    <row r="341" spans="1:34">
      <c r="A341" s="135" t="s">
        <v>444</v>
      </c>
      <c r="B341" s="9" t="s">
        <v>445</v>
      </c>
      <c r="K341" s="11"/>
      <c r="P341" s="23"/>
      <c r="Q341" s="11"/>
      <c r="S341" s="11"/>
      <c r="T341" s="48"/>
      <c r="AA341" s="40"/>
      <c r="AB341" s="40"/>
      <c r="AD341" s="40"/>
      <c r="AE341" s="40"/>
      <c r="AF341" s="40"/>
      <c r="AG341" s="38"/>
      <c r="AH341" s="38"/>
    </row>
    <row r="342" spans="1:34" s="56" customFormat="1">
      <c r="A342" s="62" t="s">
        <v>446</v>
      </c>
      <c r="B342" s="62"/>
      <c r="C342" s="62"/>
      <c r="D342" s="62"/>
      <c r="E342" s="141">
        <v>1</v>
      </c>
      <c r="F342" s="142"/>
      <c r="G342" s="143">
        <v>0.12</v>
      </c>
      <c r="H342" s="143">
        <v>0</v>
      </c>
      <c r="I342" s="49">
        <v>13948</v>
      </c>
      <c r="J342" s="49">
        <f t="shared" ref="J342:J367" si="139">+$I$42*I342</f>
        <v>11674.475999999999</v>
      </c>
      <c r="K342" s="49">
        <f t="shared" ref="K342:K367" si="140">J342*(1-G342)</f>
        <v>10273.538879999998</v>
      </c>
      <c r="L342" s="58"/>
      <c r="M342" s="141">
        <v>0</v>
      </c>
      <c r="N342" s="50">
        <f t="shared" ref="N342:N367" si="141">M342</f>
        <v>0</v>
      </c>
      <c r="O342" s="50">
        <f t="shared" ref="O342:O367" si="142">N342*(1-G342)</f>
        <v>0</v>
      </c>
      <c r="P342" s="59"/>
      <c r="Q342" s="141">
        <v>0</v>
      </c>
      <c r="R342" s="50">
        <f t="shared" ref="R342:R367" si="143">+Q342</f>
        <v>0</v>
      </c>
      <c r="S342" s="51">
        <f t="shared" ref="S342:S367" si="144">R342*(1-G342)</f>
        <v>0</v>
      </c>
      <c r="T342" s="60">
        <v>25</v>
      </c>
      <c r="U342" s="61" t="s">
        <v>81</v>
      </c>
      <c r="V342" s="53">
        <f>SUMIF('Avoided Costs 2014-2023'!$A:$A,'2014 Actuals'!U342&amp;ROUNDDOWN('2014 Actuals'!T342,0),'Avoided Costs 2014-2023'!$E:$E)*K342</f>
        <v>32631.672841774947</v>
      </c>
      <c r="W342" s="53">
        <f>SUMIF('Avoided Costs 2014-2023'!$A:$A,'2014 Actuals'!U342&amp;ROUNDDOWN('2014 Actuals'!T342,0),'Avoided Costs 2014-2023'!$K:$K)*O342</f>
        <v>0</v>
      </c>
      <c r="X342" s="53">
        <f>SUMIF('Avoided Costs 2014-2023'!$A:$A,'2014 Actuals'!U342&amp;ROUNDDOWN('2014 Actuals'!T342,0),'Avoided Costs 2014-2023'!$M:$M)*S342</f>
        <v>0</v>
      </c>
      <c r="Y342" s="53">
        <f t="shared" ref="Y342:Y367" si="145">SUM(V342:X342)</f>
        <v>32631.672841774947</v>
      </c>
      <c r="Z342" s="55">
        <v>24054</v>
      </c>
      <c r="AA342" s="54">
        <f t="shared" ref="AA342:AA367" si="146">Z342*(1-G342)</f>
        <v>21167.52</v>
      </c>
      <c r="AB342" s="54"/>
      <c r="AC342" s="54"/>
      <c r="AD342" s="54"/>
      <c r="AE342" s="54">
        <f t="shared" ref="AE342:AE368" si="147">AA342+AC342</f>
        <v>21167.52</v>
      </c>
      <c r="AF342" s="54">
        <f t="shared" ref="AF342:AF368" si="148">Y342-AE342</f>
        <v>11464.152841774947</v>
      </c>
      <c r="AG342" s="49">
        <f t="shared" ref="AG342:AG367" si="149">K342*T342</f>
        <v>256838.47199999995</v>
      </c>
      <c r="AH342" s="49">
        <f t="shared" ref="AH342:AH367" si="150">(J342*T342)</f>
        <v>291861.89999999997</v>
      </c>
    </row>
    <row r="343" spans="1:34" s="56" customFormat="1">
      <c r="A343" s="62" t="s">
        <v>447</v>
      </c>
      <c r="B343" s="62"/>
      <c r="C343" s="62"/>
      <c r="D343" s="62"/>
      <c r="E343" s="141">
        <v>1</v>
      </c>
      <c r="F343" s="142"/>
      <c r="G343" s="143">
        <v>0.12</v>
      </c>
      <c r="H343" s="143">
        <v>0</v>
      </c>
      <c r="I343" s="49">
        <v>14952</v>
      </c>
      <c r="J343" s="49">
        <f t="shared" si="139"/>
        <v>12514.823999999999</v>
      </c>
      <c r="K343" s="49">
        <f t="shared" si="140"/>
        <v>11013.045119999999</v>
      </c>
      <c r="L343" s="58"/>
      <c r="M343" s="141">
        <v>0</v>
      </c>
      <c r="N343" s="50">
        <f t="shared" si="141"/>
        <v>0</v>
      </c>
      <c r="O343" s="50">
        <f t="shared" si="142"/>
        <v>0</v>
      </c>
      <c r="P343" s="59"/>
      <c r="Q343" s="141">
        <v>0</v>
      </c>
      <c r="R343" s="50">
        <f t="shared" si="143"/>
        <v>0</v>
      </c>
      <c r="S343" s="51">
        <f t="shared" si="144"/>
        <v>0</v>
      </c>
      <c r="T343" s="60">
        <v>25</v>
      </c>
      <c r="U343" s="61" t="s">
        <v>81</v>
      </c>
      <c r="V343" s="53">
        <f>SUMIF('Avoided Costs 2014-2023'!$A:$A,'2014 Actuals'!U343&amp;ROUNDDOWN('2014 Actuals'!T343,0),'Avoided Costs 2014-2023'!$E:$E)*K343</f>
        <v>34980.554368383928</v>
      </c>
      <c r="W343" s="53">
        <f>SUMIF('Avoided Costs 2014-2023'!$A:$A,'2014 Actuals'!U343&amp;ROUNDDOWN('2014 Actuals'!T343,0),'Avoided Costs 2014-2023'!$K:$K)*O343</f>
        <v>0</v>
      </c>
      <c r="X343" s="53">
        <f>SUMIF('Avoided Costs 2014-2023'!$A:$A,'2014 Actuals'!U343&amp;ROUNDDOWN('2014 Actuals'!T343,0),'Avoided Costs 2014-2023'!$M:$M)*S343</f>
        <v>0</v>
      </c>
      <c r="Y343" s="53">
        <f t="shared" si="145"/>
        <v>34980.554368383928</v>
      </c>
      <c r="Z343" s="55">
        <v>16162</v>
      </c>
      <c r="AA343" s="54">
        <f t="shared" si="146"/>
        <v>14222.56</v>
      </c>
      <c r="AB343" s="54"/>
      <c r="AC343" s="54"/>
      <c r="AD343" s="54"/>
      <c r="AE343" s="54">
        <f t="shared" si="147"/>
        <v>14222.56</v>
      </c>
      <c r="AF343" s="54">
        <f t="shared" si="148"/>
        <v>20757.99436838393</v>
      </c>
      <c r="AG343" s="49">
        <f t="shared" si="149"/>
        <v>275326.12799999997</v>
      </c>
      <c r="AH343" s="49">
        <f t="shared" si="150"/>
        <v>312870.59999999998</v>
      </c>
    </row>
    <row r="344" spans="1:34" s="56" customFormat="1">
      <c r="A344" s="62" t="s">
        <v>448</v>
      </c>
      <c r="B344" s="62"/>
      <c r="C344" s="62"/>
      <c r="D344" s="62"/>
      <c r="E344" s="141">
        <v>1</v>
      </c>
      <c r="F344" s="142"/>
      <c r="G344" s="143">
        <v>0.12</v>
      </c>
      <c r="H344" s="143">
        <v>0</v>
      </c>
      <c r="I344" s="49">
        <v>15511</v>
      </c>
      <c r="J344" s="49">
        <f t="shared" si="139"/>
        <v>12982.707</v>
      </c>
      <c r="K344" s="49">
        <f t="shared" si="140"/>
        <v>11424.782160000001</v>
      </c>
      <c r="L344" s="58"/>
      <c r="M344" s="141">
        <v>0</v>
      </c>
      <c r="N344" s="50">
        <f t="shared" si="141"/>
        <v>0</v>
      </c>
      <c r="O344" s="50">
        <f t="shared" si="142"/>
        <v>0</v>
      </c>
      <c r="P344" s="59"/>
      <c r="Q344" s="141">
        <v>0</v>
      </c>
      <c r="R344" s="50">
        <f t="shared" si="143"/>
        <v>0</v>
      </c>
      <c r="S344" s="51">
        <f t="shared" si="144"/>
        <v>0</v>
      </c>
      <c r="T344" s="60">
        <v>25</v>
      </c>
      <c r="U344" s="61" t="s">
        <v>81</v>
      </c>
      <c r="V344" s="53">
        <f>SUMIF('Avoided Costs 2014-2023'!$A:$A,'2014 Actuals'!U344&amp;ROUNDDOWN('2014 Actuals'!T344,0),'Avoided Costs 2014-2023'!$E:$E)*K344</f>
        <v>36288.347967362439</v>
      </c>
      <c r="W344" s="53">
        <f>SUMIF('Avoided Costs 2014-2023'!$A:$A,'2014 Actuals'!U344&amp;ROUNDDOWN('2014 Actuals'!T344,0),'Avoided Costs 2014-2023'!$K:$K)*O344</f>
        <v>0</v>
      </c>
      <c r="X344" s="53">
        <f>SUMIF('Avoided Costs 2014-2023'!$A:$A,'2014 Actuals'!U344&amp;ROUNDDOWN('2014 Actuals'!T344,0),'Avoided Costs 2014-2023'!$M:$M)*S344</f>
        <v>0</v>
      </c>
      <c r="Y344" s="53">
        <f t="shared" si="145"/>
        <v>36288.347967362439</v>
      </c>
      <c r="Z344" s="55">
        <v>27340</v>
      </c>
      <c r="AA344" s="54">
        <f t="shared" si="146"/>
        <v>24059.200000000001</v>
      </c>
      <c r="AB344" s="54"/>
      <c r="AC344" s="54"/>
      <c r="AD344" s="54"/>
      <c r="AE344" s="54">
        <f t="shared" si="147"/>
        <v>24059.200000000001</v>
      </c>
      <c r="AF344" s="54">
        <f t="shared" si="148"/>
        <v>12229.147967362438</v>
      </c>
      <c r="AG344" s="49">
        <f t="shared" si="149"/>
        <v>285619.554</v>
      </c>
      <c r="AH344" s="49">
        <f t="shared" si="150"/>
        <v>324567.67499999999</v>
      </c>
    </row>
    <row r="345" spans="1:34" s="56" customFormat="1">
      <c r="A345" s="62" t="s">
        <v>449</v>
      </c>
      <c r="B345" s="62"/>
      <c r="C345" s="62"/>
      <c r="D345" s="62"/>
      <c r="E345" s="141">
        <v>1</v>
      </c>
      <c r="F345" s="142"/>
      <c r="G345" s="143">
        <v>0.12</v>
      </c>
      <c r="H345" s="143">
        <v>0</v>
      </c>
      <c r="I345" s="49">
        <v>6570</v>
      </c>
      <c r="J345" s="49">
        <f t="shared" si="139"/>
        <v>5499.09</v>
      </c>
      <c r="K345" s="49">
        <f t="shared" si="140"/>
        <v>4839.1992</v>
      </c>
      <c r="L345" s="58"/>
      <c r="M345" s="141">
        <v>0</v>
      </c>
      <c r="N345" s="50">
        <f t="shared" si="141"/>
        <v>0</v>
      </c>
      <c r="O345" s="50">
        <f t="shared" si="142"/>
        <v>0</v>
      </c>
      <c r="P345" s="59"/>
      <c r="Q345" s="141">
        <v>0</v>
      </c>
      <c r="R345" s="50">
        <f t="shared" si="143"/>
        <v>0</v>
      </c>
      <c r="S345" s="51">
        <f t="shared" si="144"/>
        <v>0</v>
      </c>
      <c r="T345" s="60">
        <v>25</v>
      </c>
      <c r="U345" s="61" t="s">
        <v>81</v>
      </c>
      <c r="V345" s="53">
        <f>SUMIF('Avoided Costs 2014-2023'!$A:$A,'2014 Actuals'!U345&amp;ROUNDDOWN('2014 Actuals'!T345,0),'Avoided Costs 2014-2023'!$E:$E)*K345</f>
        <v>15370.668954004979</v>
      </c>
      <c r="W345" s="53">
        <f>SUMIF('Avoided Costs 2014-2023'!$A:$A,'2014 Actuals'!U345&amp;ROUNDDOWN('2014 Actuals'!T345,0),'Avoided Costs 2014-2023'!$K:$K)*O345</f>
        <v>0</v>
      </c>
      <c r="X345" s="53">
        <f>SUMIF('Avoided Costs 2014-2023'!$A:$A,'2014 Actuals'!U345&amp;ROUNDDOWN('2014 Actuals'!T345,0),'Avoided Costs 2014-2023'!$M:$M)*S345</f>
        <v>0</v>
      </c>
      <c r="Y345" s="53">
        <f t="shared" si="145"/>
        <v>15370.668954004979</v>
      </c>
      <c r="Z345" s="55">
        <v>29054</v>
      </c>
      <c r="AA345" s="54">
        <f t="shared" si="146"/>
        <v>25567.52</v>
      </c>
      <c r="AB345" s="54"/>
      <c r="AC345" s="54"/>
      <c r="AD345" s="54"/>
      <c r="AE345" s="54">
        <f t="shared" si="147"/>
        <v>25567.52</v>
      </c>
      <c r="AF345" s="54">
        <f t="shared" si="148"/>
        <v>-10196.851045995021</v>
      </c>
      <c r="AG345" s="49">
        <f t="shared" si="149"/>
        <v>120979.98</v>
      </c>
      <c r="AH345" s="49">
        <f t="shared" si="150"/>
        <v>137477.25</v>
      </c>
    </row>
    <row r="346" spans="1:34" s="56" customFormat="1">
      <c r="A346" s="62" t="s">
        <v>450</v>
      </c>
      <c r="B346" s="62"/>
      <c r="C346" s="62"/>
      <c r="D346" s="62"/>
      <c r="E346" s="141">
        <v>1</v>
      </c>
      <c r="F346" s="142"/>
      <c r="G346" s="143">
        <v>0.12</v>
      </c>
      <c r="H346" s="143">
        <v>0</v>
      </c>
      <c r="I346" s="49">
        <v>3264</v>
      </c>
      <c r="J346" s="49">
        <f t="shared" si="139"/>
        <v>2731.9679999999998</v>
      </c>
      <c r="K346" s="49">
        <f t="shared" si="140"/>
        <v>2404.13184</v>
      </c>
      <c r="L346" s="58"/>
      <c r="M346" s="141">
        <v>0</v>
      </c>
      <c r="N346" s="50">
        <f t="shared" si="141"/>
        <v>0</v>
      </c>
      <c r="O346" s="50">
        <f t="shared" si="142"/>
        <v>0</v>
      </c>
      <c r="P346" s="59"/>
      <c r="Q346" s="141">
        <v>0</v>
      </c>
      <c r="R346" s="50">
        <f t="shared" si="143"/>
        <v>0</v>
      </c>
      <c r="S346" s="51">
        <f t="shared" si="144"/>
        <v>0</v>
      </c>
      <c r="T346" s="60">
        <v>25</v>
      </c>
      <c r="U346" s="61" t="s">
        <v>81</v>
      </c>
      <c r="V346" s="53">
        <f>SUMIF('Avoided Costs 2014-2023'!$A:$A,'2014 Actuals'!U346&amp;ROUNDDOWN('2014 Actuals'!T346,0),'Avoided Costs 2014-2023'!$E:$E)*K346</f>
        <v>7636.2044849120621</v>
      </c>
      <c r="W346" s="53">
        <f>SUMIF('Avoided Costs 2014-2023'!$A:$A,'2014 Actuals'!U346&amp;ROUNDDOWN('2014 Actuals'!T346,0),'Avoided Costs 2014-2023'!$K:$K)*O346</f>
        <v>0</v>
      </c>
      <c r="X346" s="53">
        <f>SUMIF('Avoided Costs 2014-2023'!$A:$A,'2014 Actuals'!U346&amp;ROUNDDOWN('2014 Actuals'!T346,0),'Avoided Costs 2014-2023'!$M:$M)*S346</f>
        <v>0</v>
      </c>
      <c r="Y346" s="53">
        <f t="shared" si="145"/>
        <v>7636.2044849120621</v>
      </c>
      <c r="Z346" s="55">
        <v>20367</v>
      </c>
      <c r="AA346" s="54">
        <f t="shared" si="146"/>
        <v>17922.96</v>
      </c>
      <c r="AB346" s="54"/>
      <c r="AC346" s="54"/>
      <c r="AD346" s="54"/>
      <c r="AE346" s="54">
        <f t="shared" si="147"/>
        <v>17922.96</v>
      </c>
      <c r="AF346" s="54">
        <f t="shared" si="148"/>
        <v>-10286.755515087938</v>
      </c>
      <c r="AG346" s="49">
        <f t="shared" si="149"/>
        <v>60103.296000000002</v>
      </c>
      <c r="AH346" s="49">
        <f t="shared" si="150"/>
        <v>68299.199999999997</v>
      </c>
    </row>
    <row r="347" spans="1:34" s="56" customFormat="1">
      <c r="A347" s="62" t="s">
        <v>451</v>
      </c>
      <c r="B347" s="62"/>
      <c r="C347" s="62"/>
      <c r="D347" s="62"/>
      <c r="E347" s="141">
        <v>1</v>
      </c>
      <c r="F347" s="142"/>
      <c r="G347" s="143">
        <v>0.12</v>
      </c>
      <c r="H347" s="143">
        <v>0</v>
      </c>
      <c r="I347" s="49">
        <v>19307</v>
      </c>
      <c r="J347" s="49">
        <f t="shared" si="139"/>
        <v>16159.958999999999</v>
      </c>
      <c r="K347" s="49">
        <f t="shared" si="140"/>
        <v>14220.763919999999</v>
      </c>
      <c r="L347" s="58"/>
      <c r="M347" s="141">
        <v>0</v>
      </c>
      <c r="N347" s="50">
        <f t="shared" si="141"/>
        <v>0</v>
      </c>
      <c r="O347" s="50">
        <f t="shared" si="142"/>
        <v>0</v>
      </c>
      <c r="P347" s="59"/>
      <c r="Q347" s="141">
        <v>0</v>
      </c>
      <c r="R347" s="50">
        <f t="shared" si="143"/>
        <v>0</v>
      </c>
      <c r="S347" s="51">
        <f t="shared" si="144"/>
        <v>0</v>
      </c>
      <c r="T347" s="60">
        <v>25</v>
      </c>
      <c r="U347" s="61" t="s">
        <v>81</v>
      </c>
      <c r="V347" s="53">
        <f>SUMIF('Avoided Costs 2014-2023'!$A:$A,'2014 Actuals'!U347&amp;ROUNDDOWN('2014 Actuals'!T347,0),'Avoided Costs 2014-2023'!$E:$E)*K347</f>
        <v>45169.178918565311</v>
      </c>
      <c r="W347" s="53">
        <f>SUMIF('Avoided Costs 2014-2023'!$A:$A,'2014 Actuals'!U347&amp;ROUNDDOWN('2014 Actuals'!T347,0),'Avoided Costs 2014-2023'!$K:$K)*O347</f>
        <v>0</v>
      </c>
      <c r="X347" s="53">
        <f>SUMIF('Avoided Costs 2014-2023'!$A:$A,'2014 Actuals'!U347&amp;ROUNDDOWN('2014 Actuals'!T347,0),'Avoided Costs 2014-2023'!$M:$M)*S347</f>
        <v>0</v>
      </c>
      <c r="Y347" s="53">
        <f t="shared" si="145"/>
        <v>45169.178918565311</v>
      </c>
      <c r="Z347" s="55">
        <v>21147</v>
      </c>
      <c r="AA347" s="54">
        <f t="shared" si="146"/>
        <v>18609.36</v>
      </c>
      <c r="AB347" s="54"/>
      <c r="AC347" s="54"/>
      <c r="AD347" s="54"/>
      <c r="AE347" s="54">
        <f t="shared" si="147"/>
        <v>18609.36</v>
      </c>
      <c r="AF347" s="54">
        <f t="shared" si="148"/>
        <v>26559.81891856531</v>
      </c>
      <c r="AG347" s="49">
        <f t="shared" si="149"/>
        <v>355519.098</v>
      </c>
      <c r="AH347" s="49">
        <f t="shared" si="150"/>
        <v>403998.97499999998</v>
      </c>
    </row>
    <row r="348" spans="1:34" s="56" customFormat="1">
      <c r="A348" s="62" t="s">
        <v>452</v>
      </c>
      <c r="B348" s="62"/>
      <c r="C348" s="62"/>
      <c r="D348" s="62"/>
      <c r="E348" s="141">
        <v>1</v>
      </c>
      <c r="F348" s="142"/>
      <c r="G348" s="143">
        <v>0.12</v>
      </c>
      <c r="H348" s="143">
        <v>0</v>
      </c>
      <c r="I348" s="49">
        <v>16429</v>
      </c>
      <c r="J348" s="49">
        <f t="shared" si="139"/>
        <v>13751.073</v>
      </c>
      <c r="K348" s="49">
        <f t="shared" si="140"/>
        <v>12100.944240000001</v>
      </c>
      <c r="L348" s="58"/>
      <c r="M348" s="141">
        <v>0</v>
      </c>
      <c r="N348" s="50">
        <f t="shared" si="141"/>
        <v>0</v>
      </c>
      <c r="O348" s="50">
        <f t="shared" si="142"/>
        <v>0</v>
      </c>
      <c r="P348" s="59"/>
      <c r="Q348" s="141">
        <v>0</v>
      </c>
      <c r="R348" s="50">
        <f t="shared" si="143"/>
        <v>0</v>
      </c>
      <c r="S348" s="51">
        <f t="shared" si="144"/>
        <v>0</v>
      </c>
      <c r="T348" s="60">
        <v>25</v>
      </c>
      <c r="U348" s="61" t="s">
        <v>81</v>
      </c>
      <c r="V348" s="53">
        <f>SUMIF('Avoided Costs 2014-2023'!$A:$A,'2014 Actuals'!U348&amp;ROUNDDOWN('2014 Actuals'!T348,0),'Avoided Costs 2014-2023'!$E:$E)*K348</f>
        <v>38436.03047874396</v>
      </c>
      <c r="W348" s="53">
        <f>SUMIF('Avoided Costs 2014-2023'!$A:$A,'2014 Actuals'!U348&amp;ROUNDDOWN('2014 Actuals'!T348,0),'Avoided Costs 2014-2023'!$K:$K)*O348</f>
        <v>0</v>
      </c>
      <c r="X348" s="53">
        <f>SUMIF('Avoided Costs 2014-2023'!$A:$A,'2014 Actuals'!U348&amp;ROUNDDOWN('2014 Actuals'!T348,0),'Avoided Costs 2014-2023'!$M:$M)*S348</f>
        <v>0</v>
      </c>
      <c r="Y348" s="53">
        <f t="shared" si="145"/>
        <v>38436.03047874396</v>
      </c>
      <c r="Z348" s="55">
        <v>5706</v>
      </c>
      <c r="AA348" s="54">
        <f t="shared" si="146"/>
        <v>5021.28</v>
      </c>
      <c r="AB348" s="54"/>
      <c r="AC348" s="54"/>
      <c r="AD348" s="54"/>
      <c r="AE348" s="54">
        <f t="shared" si="147"/>
        <v>5021.28</v>
      </c>
      <c r="AF348" s="54">
        <f t="shared" si="148"/>
        <v>33414.750478743961</v>
      </c>
      <c r="AG348" s="49">
        <f t="shared" si="149"/>
        <v>302523.60600000003</v>
      </c>
      <c r="AH348" s="49">
        <f t="shared" si="150"/>
        <v>343776.82500000001</v>
      </c>
    </row>
    <row r="349" spans="1:34" s="56" customFormat="1">
      <c r="A349" s="62" t="s">
        <v>453</v>
      </c>
      <c r="B349" s="62"/>
      <c r="C349" s="62"/>
      <c r="D349" s="62"/>
      <c r="E349" s="141">
        <v>0</v>
      </c>
      <c r="F349" s="142"/>
      <c r="G349" s="143">
        <v>0.12</v>
      </c>
      <c r="H349" s="143">
        <v>0</v>
      </c>
      <c r="I349" s="49">
        <v>245</v>
      </c>
      <c r="J349" s="49">
        <f t="shared" si="139"/>
        <v>205.065</v>
      </c>
      <c r="K349" s="49">
        <f t="shared" si="140"/>
        <v>180.4572</v>
      </c>
      <c r="L349" s="58"/>
      <c r="M349" s="141">
        <v>0</v>
      </c>
      <c r="N349" s="50">
        <f t="shared" si="141"/>
        <v>0</v>
      </c>
      <c r="O349" s="50">
        <f t="shared" si="142"/>
        <v>0</v>
      </c>
      <c r="P349" s="59"/>
      <c r="Q349" s="141">
        <v>0</v>
      </c>
      <c r="R349" s="50">
        <f t="shared" si="143"/>
        <v>0</v>
      </c>
      <c r="S349" s="51">
        <f t="shared" si="144"/>
        <v>0</v>
      </c>
      <c r="T349" s="60">
        <v>25</v>
      </c>
      <c r="U349" s="61" t="s">
        <v>94</v>
      </c>
      <c r="V349" s="53">
        <f>SUMIF('Avoided Costs 2014-2023'!$A:$A,'2014 Actuals'!U349&amp;ROUNDDOWN('2014 Actuals'!T349,0),'Avoided Costs 2014-2023'!$E:$E)*K349</f>
        <v>536.99497771996118</v>
      </c>
      <c r="W349" s="53">
        <f>SUMIF('Avoided Costs 2014-2023'!$A:$A,'2014 Actuals'!U349&amp;ROUNDDOWN('2014 Actuals'!T349,0),'Avoided Costs 2014-2023'!$K:$K)*O349</f>
        <v>0</v>
      </c>
      <c r="X349" s="53">
        <f>SUMIF('Avoided Costs 2014-2023'!$A:$A,'2014 Actuals'!U349&amp;ROUNDDOWN('2014 Actuals'!T349,0),'Avoided Costs 2014-2023'!$M:$M)*S349</f>
        <v>0</v>
      </c>
      <c r="Y349" s="53">
        <f t="shared" si="145"/>
        <v>536.99497771996118</v>
      </c>
      <c r="Z349" s="55">
        <v>914</v>
      </c>
      <c r="AA349" s="54">
        <f t="shared" si="146"/>
        <v>804.32</v>
      </c>
      <c r="AB349" s="54"/>
      <c r="AC349" s="54"/>
      <c r="AD349" s="54"/>
      <c r="AE349" s="54">
        <f t="shared" si="147"/>
        <v>804.32</v>
      </c>
      <c r="AF349" s="54">
        <f t="shared" si="148"/>
        <v>-267.32502228003887</v>
      </c>
      <c r="AG349" s="49">
        <f t="shared" si="149"/>
        <v>4511.43</v>
      </c>
      <c r="AH349" s="49">
        <f t="shared" si="150"/>
        <v>5126.625</v>
      </c>
    </row>
    <row r="350" spans="1:34" s="56" customFormat="1">
      <c r="A350" s="62" t="s">
        <v>454</v>
      </c>
      <c r="B350" s="62"/>
      <c r="C350" s="62"/>
      <c r="D350" s="62"/>
      <c r="E350" s="141">
        <v>1</v>
      </c>
      <c r="F350" s="142"/>
      <c r="G350" s="143">
        <v>0.12</v>
      </c>
      <c r="H350" s="143">
        <v>0</v>
      </c>
      <c r="I350" s="49">
        <v>3407</v>
      </c>
      <c r="J350" s="49">
        <f t="shared" si="139"/>
        <v>2851.6590000000001</v>
      </c>
      <c r="K350" s="49">
        <f t="shared" si="140"/>
        <v>2509.4599200000002</v>
      </c>
      <c r="L350" s="58"/>
      <c r="M350" s="141">
        <v>0</v>
      </c>
      <c r="N350" s="50">
        <f t="shared" si="141"/>
        <v>0</v>
      </c>
      <c r="O350" s="50">
        <f t="shared" si="142"/>
        <v>0</v>
      </c>
      <c r="P350" s="59"/>
      <c r="Q350" s="141">
        <v>0</v>
      </c>
      <c r="R350" s="50">
        <f t="shared" si="143"/>
        <v>0</v>
      </c>
      <c r="S350" s="51">
        <f t="shared" si="144"/>
        <v>0</v>
      </c>
      <c r="T350" s="60">
        <v>25</v>
      </c>
      <c r="U350" s="61" t="s">
        <v>81</v>
      </c>
      <c r="V350" s="53">
        <f>SUMIF('Avoided Costs 2014-2023'!$A:$A,'2014 Actuals'!U350&amp;ROUNDDOWN('2014 Actuals'!T350,0),'Avoided Costs 2014-2023'!$E:$E)*K350</f>
        <v>7970.7563358135412</v>
      </c>
      <c r="W350" s="53">
        <f>SUMIF('Avoided Costs 2014-2023'!$A:$A,'2014 Actuals'!U350&amp;ROUNDDOWN('2014 Actuals'!T350,0),'Avoided Costs 2014-2023'!$K:$K)*O350</f>
        <v>0</v>
      </c>
      <c r="X350" s="53">
        <f>SUMIF('Avoided Costs 2014-2023'!$A:$A,'2014 Actuals'!U350&amp;ROUNDDOWN('2014 Actuals'!T350,0),'Avoided Costs 2014-2023'!$M:$M)*S350</f>
        <v>0</v>
      </c>
      <c r="Y350" s="53">
        <f t="shared" si="145"/>
        <v>7970.7563358135412</v>
      </c>
      <c r="Z350" s="55">
        <v>540</v>
      </c>
      <c r="AA350" s="54">
        <f t="shared" si="146"/>
        <v>475.2</v>
      </c>
      <c r="AB350" s="54"/>
      <c r="AC350" s="54"/>
      <c r="AD350" s="54"/>
      <c r="AE350" s="54">
        <f t="shared" si="147"/>
        <v>475.2</v>
      </c>
      <c r="AF350" s="54">
        <f t="shared" si="148"/>
        <v>7495.5563358135414</v>
      </c>
      <c r="AG350" s="49">
        <f t="shared" si="149"/>
        <v>62736.498000000007</v>
      </c>
      <c r="AH350" s="49">
        <f t="shared" si="150"/>
        <v>71291.475000000006</v>
      </c>
    </row>
    <row r="351" spans="1:34" s="56" customFormat="1">
      <c r="A351" s="62" t="s">
        <v>455</v>
      </c>
      <c r="B351" s="62"/>
      <c r="C351" s="62"/>
      <c r="D351" s="62"/>
      <c r="E351" s="141">
        <v>1</v>
      </c>
      <c r="F351" s="142"/>
      <c r="G351" s="143">
        <v>0.12</v>
      </c>
      <c r="H351" s="143">
        <v>0</v>
      </c>
      <c r="I351" s="49">
        <v>7396</v>
      </c>
      <c r="J351" s="49">
        <f t="shared" si="139"/>
        <v>6190.4519999999993</v>
      </c>
      <c r="K351" s="49">
        <f t="shared" si="140"/>
        <v>5447.5977599999997</v>
      </c>
      <c r="L351" s="58"/>
      <c r="M351" s="141">
        <v>0</v>
      </c>
      <c r="N351" s="50">
        <f t="shared" si="141"/>
        <v>0</v>
      </c>
      <c r="O351" s="50">
        <f t="shared" si="142"/>
        <v>0</v>
      </c>
      <c r="P351" s="59"/>
      <c r="Q351" s="141">
        <v>0</v>
      </c>
      <c r="R351" s="50">
        <f t="shared" si="143"/>
        <v>0</v>
      </c>
      <c r="S351" s="51">
        <f t="shared" si="144"/>
        <v>0</v>
      </c>
      <c r="T351" s="60">
        <v>25</v>
      </c>
      <c r="U351" s="61" t="s">
        <v>81</v>
      </c>
      <c r="V351" s="53">
        <f>SUMIF('Avoided Costs 2014-2023'!$A:$A,'2014 Actuals'!U351&amp;ROUNDDOWN('2014 Actuals'!T351,0),'Avoided Costs 2014-2023'!$E:$E)*K351</f>
        <v>17303.115309561766</v>
      </c>
      <c r="W351" s="53">
        <f>SUMIF('Avoided Costs 2014-2023'!$A:$A,'2014 Actuals'!U351&amp;ROUNDDOWN('2014 Actuals'!T351,0),'Avoided Costs 2014-2023'!$K:$K)*O351</f>
        <v>0</v>
      </c>
      <c r="X351" s="53">
        <f>SUMIF('Avoided Costs 2014-2023'!$A:$A,'2014 Actuals'!U351&amp;ROUNDDOWN('2014 Actuals'!T351,0),'Avoided Costs 2014-2023'!$M:$M)*S351</f>
        <v>0</v>
      </c>
      <c r="Y351" s="53">
        <f t="shared" si="145"/>
        <v>17303.115309561766</v>
      </c>
      <c r="Z351" s="55">
        <v>18914</v>
      </c>
      <c r="AA351" s="54">
        <f t="shared" si="146"/>
        <v>16644.32</v>
      </c>
      <c r="AB351" s="54"/>
      <c r="AC351" s="54"/>
      <c r="AD351" s="54"/>
      <c r="AE351" s="54">
        <f t="shared" si="147"/>
        <v>16644.32</v>
      </c>
      <c r="AF351" s="54">
        <f t="shared" si="148"/>
        <v>658.79530956176677</v>
      </c>
      <c r="AG351" s="49">
        <f t="shared" si="149"/>
        <v>136189.94399999999</v>
      </c>
      <c r="AH351" s="49">
        <f t="shared" si="150"/>
        <v>154761.29999999999</v>
      </c>
    </row>
    <row r="352" spans="1:34" s="56" customFormat="1">
      <c r="A352" s="62" t="s">
        <v>456</v>
      </c>
      <c r="B352" s="62"/>
      <c r="C352" s="62"/>
      <c r="D352" s="62"/>
      <c r="E352" s="141">
        <v>1</v>
      </c>
      <c r="F352" s="142"/>
      <c r="G352" s="143">
        <v>0.12</v>
      </c>
      <c r="H352" s="143">
        <v>0</v>
      </c>
      <c r="I352" s="49">
        <v>15700</v>
      </c>
      <c r="J352" s="49">
        <f t="shared" si="139"/>
        <v>13140.9</v>
      </c>
      <c r="K352" s="49">
        <f t="shared" si="140"/>
        <v>11563.992</v>
      </c>
      <c r="L352" s="58"/>
      <c r="M352" s="141">
        <v>0</v>
      </c>
      <c r="N352" s="50">
        <f t="shared" si="141"/>
        <v>0</v>
      </c>
      <c r="O352" s="50">
        <f t="shared" si="142"/>
        <v>0</v>
      </c>
      <c r="P352" s="59"/>
      <c r="Q352" s="141">
        <v>0</v>
      </c>
      <c r="R352" s="50">
        <f t="shared" si="143"/>
        <v>0</v>
      </c>
      <c r="S352" s="51">
        <f t="shared" si="144"/>
        <v>0</v>
      </c>
      <c r="T352" s="60">
        <v>25</v>
      </c>
      <c r="U352" s="61" t="s">
        <v>81</v>
      </c>
      <c r="V352" s="53">
        <f>SUMIF('Avoided Costs 2014-2023'!$A:$A,'2014 Actuals'!U352&amp;ROUNDDOWN('2014 Actuals'!T352,0),'Avoided Costs 2014-2023'!$E:$E)*K352</f>
        <v>36730.517896176279</v>
      </c>
      <c r="W352" s="53">
        <f>SUMIF('Avoided Costs 2014-2023'!$A:$A,'2014 Actuals'!U352&amp;ROUNDDOWN('2014 Actuals'!T352,0),'Avoided Costs 2014-2023'!$K:$K)*O352</f>
        <v>0</v>
      </c>
      <c r="X352" s="53">
        <f>SUMIF('Avoided Costs 2014-2023'!$A:$A,'2014 Actuals'!U352&amp;ROUNDDOWN('2014 Actuals'!T352,0),'Avoided Costs 2014-2023'!$M:$M)*S352</f>
        <v>0</v>
      </c>
      <c r="Y352" s="53">
        <f t="shared" si="145"/>
        <v>36730.517896176279</v>
      </c>
      <c r="Z352" s="55">
        <v>8604</v>
      </c>
      <c r="AA352" s="54">
        <f t="shared" si="146"/>
        <v>7571.52</v>
      </c>
      <c r="AB352" s="54"/>
      <c r="AC352" s="54"/>
      <c r="AD352" s="54"/>
      <c r="AE352" s="54">
        <f t="shared" si="147"/>
        <v>7571.52</v>
      </c>
      <c r="AF352" s="54">
        <f t="shared" si="148"/>
        <v>29158.997896176279</v>
      </c>
      <c r="AG352" s="49">
        <f t="shared" si="149"/>
        <v>289099.8</v>
      </c>
      <c r="AH352" s="49">
        <f t="shared" si="150"/>
        <v>328522.5</v>
      </c>
    </row>
    <row r="353" spans="1:34" s="56" customFormat="1">
      <c r="A353" s="62" t="s">
        <v>457</v>
      </c>
      <c r="B353" s="62"/>
      <c r="C353" s="62"/>
      <c r="D353" s="62"/>
      <c r="E353" s="141">
        <v>1</v>
      </c>
      <c r="F353" s="142"/>
      <c r="G353" s="143">
        <v>0.12</v>
      </c>
      <c r="H353" s="143">
        <v>0</v>
      </c>
      <c r="I353" s="49">
        <v>28129</v>
      </c>
      <c r="J353" s="49">
        <f t="shared" si="139"/>
        <v>23543.972999999998</v>
      </c>
      <c r="K353" s="49">
        <f t="shared" si="140"/>
        <v>20718.696239999997</v>
      </c>
      <c r="L353" s="58"/>
      <c r="M353" s="141">
        <v>0</v>
      </c>
      <c r="N353" s="50">
        <f t="shared" si="141"/>
        <v>0</v>
      </c>
      <c r="O353" s="50">
        <f t="shared" si="142"/>
        <v>0</v>
      </c>
      <c r="P353" s="59"/>
      <c r="Q353" s="141">
        <v>0</v>
      </c>
      <c r="R353" s="50">
        <f t="shared" si="143"/>
        <v>0</v>
      </c>
      <c r="S353" s="51">
        <f t="shared" si="144"/>
        <v>0</v>
      </c>
      <c r="T353" s="60">
        <v>25</v>
      </c>
      <c r="U353" s="61" t="s">
        <v>81</v>
      </c>
      <c r="V353" s="53">
        <f>SUMIF('Avoided Costs 2014-2023'!$A:$A,'2014 Actuals'!U353&amp;ROUNDDOWN('2014 Actuals'!T353,0),'Avoided Costs 2014-2023'!$E:$E)*K353</f>
        <v>65808.454643410354</v>
      </c>
      <c r="W353" s="53">
        <f>SUMIF('Avoided Costs 2014-2023'!$A:$A,'2014 Actuals'!U353&amp;ROUNDDOWN('2014 Actuals'!T353,0),'Avoided Costs 2014-2023'!$K:$K)*O353</f>
        <v>0</v>
      </c>
      <c r="X353" s="53">
        <f>SUMIF('Avoided Costs 2014-2023'!$A:$A,'2014 Actuals'!U353&amp;ROUNDDOWN('2014 Actuals'!T353,0),'Avoided Costs 2014-2023'!$M:$M)*S353</f>
        <v>0</v>
      </c>
      <c r="Y353" s="53">
        <f t="shared" si="145"/>
        <v>65808.454643410354</v>
      </c>
      <c r="Z353" s="55">
        <v>3362</v>
      </c>
      <c r="AA353" s="54">
        <f t="shared" si="146"/>
        <v>2958.56</v>
      </c>
      <c r="AB353" s="54"/>
      <c r="AC353" s="54"/>
      <c r="AD353" s="54"/>
      <c r="AE353" s="54">
        <f t="shared" si="147"/>
        <v>2958.56</v>
      </c>
      <c r="AF353" s="54">
        <f t="shared" si="148"/>
        <v>62849.894643410356</v>
      </c>
      <c r="AG353" s="49">
        <f t="shared" si="149"/>
        <v>517967.40599999996</v>
      </c>
      <c r="AH353" s="49">
        <f t="shared" si="150"/>
        <v>588599.32499999995</v>
      </c>
    </row>
    <row r="354" spans="1:34" s="56" customFormat="1">
      <c r="A354" s="62" t="s">
        <v>458</v>
      </c>
      <c r="B354" s="62"/>
      <c r="C354" s="62"/>
      <c r="D354" s="62"/>
      <c r="E354" s="141">
        <v>1</v>
      </c>
      <c r="F354" s="142"/>
      <c r="G354" s="143">
        <v>0.12</v>
      </c>
      <c r="H354" s="143">
        <v>0</v>
      </c>
      <c r="I354" s="49">
        <v>20498</v>
      </c>
      <c r="J354" s="49">
        <f t="shared" si="139"/>
        <v>17156.826000000001</v>
      </c>
      <c r="K354" s="49">
        <f t="shared" si="140"/>
        <v>15098.006880000001</v>
      </c>
      <c r="L354" s="58"/>
      <c r="M354" s="141">
        <v>0</v>
      </c>
      <c r="N354" s="50">
        <f t="shared" si="141"/>
        <v>0</v>
      </c>
      <c r="O354" s="50">
        <f t="shared" si="142"/>
        <v>0</v>
      </c>
      <c r="P354" s="59"/>
      <c r="Q354" s="141">
        <v>0</v>
      </c>
      <c r="R354" s="50">
        <f t="shared" si="143"/>
        <v>0</v>
      </c>
      <c r="S354" s="51">
        <f t="shared" si="144"/>
        <v>0</v>
      </c>
      <c r="T354" s="60">
        <v>25</v>
      </c>
      <c r="U354" s="61" t="s">
        <v>81</v>
      </c>
      <c r="V354" s="53">
        <f>SUMIF('Avoided Costs 2014-2023'!$A:$A,'2014 Actuals'!U354&amp;ROUNDDOWN('2014 Actuals'!T354,0),'Avoided Costs 2014-2023'!$E:$E)*K354</f>
        <v>47955.551327122383</v>
      </c>
      <c r="W354" s="53">
        <f>SUMIF('Avoided Costs 2014-2023'!$A:$A,'2014 Actuals'!U354&amp;ROUNDDOWN('2014 Actuals'!T354,0),'Avoided Costs 2014-2023'!$K:$K)*O354</f>
        <v>0</v>
      </c>
      <c r="X354" s="53">
        <f>SUMIF('Avoided Costs 2014-2023'!$A:$A,'2014 Actuals'!U354&amp;ROUNDDOWN('2014 Actuals'!T354,0),'Avoided Costs 2014-2023'!$M:$M)*S354</f>
        <v>0</v>
      </c>
      <c r="Y354" s="53">
        <f t="shared" si="145"/>
        <v>47955.551327122383</v>
      </c>
      <c r="Z354" s="55">
        <v>224</v>
      </c>
      <c r="AA354" s="54">
        <f t="shared" si="146"/>
        <v>197.12</v>
      </c>
      <c r="AB354" s="54"/>
      <c r="AC354" s="54"/>
      <c r="AD354" s="54"/>
      <c r="AE354" s="54">
        <f t="shared" si="147"/>
        <v>197.12</v>
      </c>
      <c r="AF354" s="54">
        <f t="shared" si="148"/>
        <v>47758.43132712238</v>
      </c>
      <c r="AG354" s="49">
        <f t="shared" si="149"/>
        <v>377450.17200000002</v>
      </c>
      <c r="AH354" s="49">
        <f t="shared" si="150"/>
        <v>428920.65</v>
      </c>
    </row>
    <row r="355" spans="1:34" s="56" customFormat="1">
      <c r="A355" s="62" t="s">
        <v>459</v>
      </c>
      <c r="B355" s="62"/>
      <c r="C355" s="62"/>
      <c r="D355" s="62"/>
      <c r="E355" s="141">
        <v>0</v>
      </c>
      <c r="F355" s="142"/>
      <c r="G355" s="143">
        <v>0.12</v>
      </c>
      <c r="H355" s="143">
        <v>0</v>
      </c>
      <c r="I355" s="49">
        <v>1306</v>
      </c>
      <c r="J355" s="49">
        <f t="shared" si="139"/>
        <v>1093.1219999999998</v>
      </c>
      <c r="K355" s="49">
        <f t="shared" si="140"/>
        <v>961.94735999999989</v>
      </c>
      <c r="L355" s="58"/>
      <c r="M355" s="141">
        <v>0</v>
      </c>
      <c r="N355" s="50">
        <f t="shared" si="141"/>
        <v>0</v>
      </c>
      <c r="O355" s="50">
        <f t="shared" si="142"/>
        <v>0</v>
      </c>
      <c r="P355" s="59"/>
      <c r="Q355" s="141">
        <v>0</v>
      </c>
      <c r="R355" s="50">
        <f t="shared" si="143"/>
        <v>0</v>
      </c>
      <c r="S355" s="51">
        <f t="shared" si="144"/>
        <v>0</v>
      </c>
      <c r="T355" s="60">
        <v>25</v>
      </c>
      <c r="U355" s="61" t="s">
        <v>94</v>
      </c>
      <c r="V355" s="53">
        <f>SUMIF('Avoided Costs 2014-2023'!$A:$A,'2014 Actuals'!U355&amp;ROUNDDOWN('2014 Actuals'!T355,0),'Avoided Costs 2014-2023'!$E:$E)*K355</f>
        <v>2862.5120036827316</v>
      </c>
      <c r="W355" s="53">
        <f>SUMIF('Avoided Costs 2014-2023'!$A:$A,'2014 Actuals'!U355&amp;ROUNDDOWN('2014 Actuals'!T355,0),'Avoided Costs 2014-2023'!$K:$K)*O355</f>
        <v>0</v>
      </c>
      <c r="X355" s="53">
        <f>SUMIF('Avoided Costs 2014-2023'!$A:$A,'2014 Actuals'!U355&amp;ROUNDDOWN('2014 Actuals'!T355,0),'Avoided Costs 2014-2023'!$M:$M)*S355</f>
        <v>0</v>
      </c>
      <c r="Y355" s="53">
        <f t="shared" si="145"/>
        <v>2862.5120036827316</v>
      </c>
      <c r="Z355" s="55">
        <v>20787</v>
      </c>
      <c r="AA355" s="54">
        <f t="shared" si="146"/>
        <v>18292.560000000001</v>
      </c>
      <c r="AB355" s="54"/>
      <c r="AC355" s="54"/>
      <c r="AD355" s="54"/>
      <c r="AE355" s="54">
        <f t="shared" si="147"/>
        <v>18292.560000000001</v>
      </c>
      <c r="AF355" s="54">
        <f t="shared" si="148"/>
        <v>-15430.047996317269</v>
      </c>
      <c r="AG355" s="49">
        <f t="shared" si="149"/>
        <v>24048.683999999997</v>
      </c>
      <c r="AH355" s="49">
        <f t="shared" si="150"/>
        <v>27328.049999999996</v>
      </c>
    </row>
    <row r="356" spans="1:34" s="56" customFormat="1">
      <c r="A356" s="62" t="s">
        <v>460</v>
      </c>
      <c r="B356" s="62"/>
      <c r="C356" s="62"/>
      <c r="D356" s="62"/>
      <c r="E356" s="141">
        <v>1</v>
      </c>
      <c r="F356" s="142"/>
      <c r="G356" s="143">
        <v>0.12</v>
      </c>
      <c r="H356" s="143">
        <v>0</v>
      </c>
      <c r="I356" s="49">
        <v>28210</v>
      </c>
      <c r="J356" s="49">
        <f t="shared" si="139"/>
        <v>23611.77</v>
      </c>
      <c r="K356" s="49">
        <f t="shared" si="140"/>
        <v>20778.357599999999</v>
      </c>
      <c r="L356" s="58"/>
      <c r="M356" s="141">
        <v>0</v>
      </c>
      <c r="N356" s="50">
        <f t="shared" si="141"/>
        <v>0</v>
      </c>
      <c r="O356" s="50">
        <f t="shared" si="142"/>
        <v>0</v>
      </c>
      <c r="P356" s="59"/>
      <c r="Q356" s="141">
        <v>0</v>
      </c>
      <c r="R356" s="50">
        <f t="shared" si="143"/>
        <v>0</v>
      </c>
      <c r="S356" s="51">
        <f t="shared" si="144"/>
        <v>0</v>
      </c>
      <c r="T356" s="60">
        <v>25</v>
      </c>
      <c r="U356" s="61" t="s">
        <v>81</v>
      </c>
      <c r="V356" s="53">
        <f>SUMIF('Avoided Costs 2014-2023'!$A:$A,'2014 Actuals'!U356&amp;ROUNDDOWN('2014 Actuals'!T356,0),'Avoided Costs 2014-2023'!$E:$E)*K356</f>
        <v>65997.95604147343</v>
      </c>
      <c r="W356" s="53">
        <f>SUMIF('Avoided Costs 2014-2023'!$A:$A,'2014 Actuals'!U356&amp;ROUNDDOWN('2014 Actuals'!T356,0),'Avoided Costs 2014-2023'!$K:$K)*O356</f>
        <v>0</v>
      </c>
      <c r="X356" s="53">
        <f>SUMIF('Avoided Costs 2014-2023'!$A:$A,'2014 Actuals'!U356&amp;ROUNDDOWN('2014 Actuals'!T356,0),'Avoided Costs 2014-2023'!$M:$M)*S356</f>
        <v>0</v>
      </c>
      <c r="Y356" s="53">
        <f t="shared" si="145"/>
        <v>65997.95604147343</v>
      </c>
      <c r="Z356" s="55">
        <v>1958</v>
      </c>
      <c r="AA356" s="54">
        <f t="shared" si="146"/>
        <v>1723.04</v>
      </c>
      <c r="AB356" s="54"/>
      <c r="AC356" s="54"/>
      <c r="AD356" s="54"/>
      <c r="AE356" s="54">
        <f t="shared" si="147"/>
        <v>1723.04</v>
      </c>
      <c r="AF356" s="54">
        <f t="shared" si="148"/>
        <v>64274.916041473429</v>
      </c>
      <c r="AG356" s="49">
        <f t="shared" si="149"/>
        <v>519458.94</v>
      </c>
      <c r="AH356" s="49">
        <f t="shared" si="150"/>
        <v>590294.25</v>
      </c>
    </row>
    <row r="357" spans="1:34" s="56" customFormat="1">
      <c r="A357" s="62" t="s">
        <v>461</v>
      </c>
      <c r="B357" s="62"/>
      <c r="C357" s="62"/>
      <c r="D357" s="62"/>
      <c r="E357" s="141">
        <v>1</v>
      </c>
      <c r="F357" s="142"/>
      <c r="G357" s="143">
        <v>0.12</v>
      </c>
      <c r="H357" s="143">
        <v>0</v>
      </c>
      <c r="I357" s="49">
        <v>12505</v>
      </c>
      <c r="J357" s="49">
        <f t="shared" si="139"/>
        <v>10466.684999999999</v>
      </c>
      <c r="K357" s="49">
        <f t="shared" si="140"/>
        <v>9210.6828000000005</v>
      </c>
      <c r="L357" s="58"/>
      <c r="M357" s="141">
        <v>0</v>
      </c>
      <c r="N357" s="50">
        <f t="shared" si="141"/>
        <v>0</v>
      </c>
      <c r="O357" s="50">
        <f t="shared" si="142"/>
        <v>0</v>
      </c>
      <c r="P357" s="59"/>
      <c r="Q357" s="141">
        <v>0</v>
      </c>
      <c r="R357" s="50">
        <f t="shared" si="143"/>
        <v>0</v>
      </c>
      <c r="S357" s="51">
        <f t="shared" si="144"/>
        <v>0</v>
      </c>
      <c r="T357" s="60">
        <v>25</v>
      </c>
      <c r="U357" s="61" t="s">
        <v>81</v>
      </c>
      <c r="V357" s="53">
        <f>SUMIF('Avoided Costs 2014-2023'!$A:$A,'2014 Actuals'!U357&amp;ROUNDDOWN('2014 Actuals'!T357,0),'Avoided Costs 2014-2023'!$E:$E)*K357</f>
        <v>29255.740528132766</v>
      </c>
      <c r="W357" s="53">
        <f>SUMIF('Avoided Costs 2014-2023'!$A:$A,'2014 Actuals'!U357&amp;ROUNDDOWN('2014 Actuals'!T357,0),'Avoided Costs 2014-2023'!$K:$K)*O357</f>
        <v>0</v>
      </c>
      <c r="X357" s="53">
        <f>SUMIF('Avoided Costs 2014-2023'!$A:$A,'2014 Actuals'!U357&amp;ROUNDDOWN('2014 Actuals'!T357,0),'Avoided Costs 2014-2023'!$M:$M)*S357</f>
        <v>0</v>
      </c>
      <c r="Y357" s="53">
        <f t="shared" si="145"/>
        <v>29255.740528132766</v>
      </c>
      <c r="Z357" s="55">
        <v>31053</v>
      </c>
      <c r="AA357" s="54">
        <f t="shared" si="146"/>
        <v>27326.639999999999</v>
      </c>
      <c r="AB357" s="54"/>
      <c r="AC357" s="54"/>
      <c r="AD357" s="54"/>
      <c r="AE357" s="54">
        <f t="shared" si="147"/>
        <v>27326.639999999999</v>
      </c>
      <c r="AF357" s="54">
        <f t="shared" si="148"/>
        <v>1929.1005281327671</v>
      </c>
      <c r="AG357" s="49">
        <f t="shared" si="149"/>
        <v>230267.07</v>
      </c>
      <c r="AH357" s="49">
        <f t="shared" si="150"/>
        <v>261667.125</v>
      </c>
    </row>
    <row r="358" spans="1:34" s="56" customFormat="1">
      <c r="A358" s="62" t="s">
        <v>462</v>
      </c>
      <c r="B358" s="62"/>
      <c r="C358" s="62"/>
      <c r="D358" s="62"/>
      <c r="E358" s="141">
        <v>1</v>
      </c>
      <c r="F358" s="142"/>
      <c r="G358" s="143">
        <v>0.12</v>
      </c>
      <c r="H358" s="143">
        <v>0</v>
      </c>
      <c r="I358" s="49">
        <v>11754</v>
      </c>
      <c r="J358" s="49">
        <f t="shared" si="139"/>
        <v>9838.098</v>
      </c>
      <c r="K358" s="49">
        <f t="shared" si="140"/>
        <v>8657.5262399999992</v>
      </c>
      <c r="L358" s="58"/>
      <c r="M358" s="141">
        <v>0</v>
      </c>
      <c r="N358" s="50">
        <f t="shared" si="141"/>
        <v>0</v>
      </c>
      <c r="O358" s="50">
        <f t="shared" si="142"/>
        <v>0</v>
      </c>
      <c r="P358" s="59"/>
      <c r="Q358" s="141">
        <v>0</v>
      </c>
      <c r="R358" s="50">
        <f t="shared" si="143"/>
        <v>0</v>
      </c>
      <c r="S358" s="51">
        <f t="shared" si="144"/>
        <v>0</v>
      </c>
      <c r="T358" s="60">
        <v>25</v>
      </c>
      <c r="U358" s="61" t="s">
        <v>81</v>
      </c>
      <c r="V358" s="53">
        <f>SUMIF('Avoided Costs 2014-2023'!$A:$A,'2014 Actuals'!U358&amp;ROUNDDOWN('2014 Actuals'!T358,0),'Avoided Costs 2014-2023'!$E:$E)*K358</f>
        <v>27498.75843004178</v>
      </c>
      <c r="W358" s="53">
        <f>SUMIF('Avoided Costs 2014-2023'!$A:$A,'2014 Actuals'!U358&amp;ROUNDDOWN('2014 Actuals'!T358,0),'Avoided Costs 2014-2023'!$K:$K)*O358</f>
        <v>0</v>
      </c>
      <c r="X358" s="53">
        <f>SUMIF('Avoided Costs 2014-2023'!$A:$A,'2014 Actuals'!U358&amp;ROUNDDOWN('2014 Actuals'!T358,0),'Avoided Costs 2014-2023'!$M:$M)*S358</f>
        <v>0</v>
      </c>
      <c r="Y358" s="53">
        <f t="shared" si="145"/>
        <v>27498.75843004178</v>
      </c>
      <c r="Z358" s="55">
        <v>32298</v>
      </c>
      <c r="AA358" s="54">
        <f t="shared" si="146"/>
        <v>28422.240000000002</v>
      </c>
      <c r="AB358" s="54"/>
      <c r="AC358" s="54"/>
      <c r="AD358" s="54"/>
      <c r="AE358" s="54">
        <f t="shared" si="147"/>
        <v>28422.240000000002</v>
      </c>
      <c r="AF358" s="54">
        <f t="shared" si="148"/>
        <v>-923.48156995822137</v>
      </c>
      <c r="AG358" s="49">
        <f t="shared" si="149"/>
        <v>216438.15599999999</v>
      </c>
      <c r="AH358" s="49">
        <f t="shared" si="150"/>
        <v>245952.45</v>
      </c>
    </row>
    <row r="359" spans="1:34" s="56" customFormat="1">
      <c r="A359" s="62" t="s">
        <v>463</v>
      </c>
      <c r="B359" s="62"/>
      <c r="C359" s="62"/>
      <c r="D359" s="62"/>
      <c r="E359" s="141">
        <v>0</v>
      </c>
      <c r="F359" s="142"/>
      <c r="G359" s="143">
        <v>0.12</v>
      </c>
      <c r="H359" s="143">
        <v>0</v>
      </c>
      <c r="I359" s="49">
        <v>531</v>
      </c>
      <c r="J359" s="49">
        <f t="shared" si="139"/>
        <v>444.447</v>
      </c>
      <c r="K359" s="49">
        <f t="shared" si="140"/>
        <v>391.11336</v>
      </c>
      <c r="L359" s="58"/>
      <c r="M359" s="141">
        <v>0</v>
      </c>
      <c r="N359" s="50">
        <f t="shared" si="141"/>
        <v>0</v>
      </c>
      <c r="O359" s="50">
        <f t="shared" si="142"/>
        <v>0</v>
      </c>
      <c r="P359" s="59"/>
      <c r="Q359" s="141">
        <v>0</v>
      </c>
      <c r="R359" s="50">
        <f t="shared" si="143"/>
        <v>0</v>
      </c>
      <c r="S359" s="51">
        <f t="shared" si="144"/>
        <v>0</v>
      </c>
      <c r="T359" s="60">
        <v>25</v>
      </c>
      <c r="U359" s="61" t="s">
        <v>94</v>
      </c>
      <c r="V359" s="53">
        <f>SUMIF('Avoided Costs 2014-2023'!$A:$A,'2014 Actuals'!U359&amp;ROUNDDOWN('2014 Actuals'!T359,0),'Avoided Costs 2014-2023'!$E:$E)*K359</f>
        <v>1163.8544210991813</v>
      </c>
      <c r="W359" s="53">
        <f>SUMIF('Avoided Costs 2014-2023'!$A:$A,'2014 Actuals'!U359&amp;ROUNDDOWN('2014 Actuals'!T359,0),'Avoided Costs 2014-2023'!$K:$K)*O359</f>
        <v>0</v>
      </c>
      <c r="X359" s="53">
        <f>SUMIF('Avoided Costs 2014-2023'!$A:$A,'2014 Actuals'!U359&amp;ROUNDDOWN('2014 Actuals'!T359,0),'Avoided Costs 2014-2023'!$M:$M)*S359</f>
        <v>0</v>
      </c>
      <c r="Y359" s="53">
        <f t="shared" si="145"/>
        <v>1163.8544210991813</v>
      </c>
      <c r="Z359" s="55">
        <v>19216</v>
      </c>
      <c r="AA359" s="54">
        <f t="shared" si="146"/>
        <v>16910.080000000002</v>
      </c>
      <c r="AB359" s="54"/>
      <c r="AC359" s="54"/>
      <c r="AD359" s="54"/>
      <c r="AE359" s="54">
        <f t="shared" si="147"/>
        <v>16910.080000000002</v>
      </c>
      <c r="AF359" s="54">
        <f t="shared" si="148"/>
        <v>-15746.22557890082</v>
      </c>
      <c r="AG359" s="49">
        <f t="shared" si="149"/>
        <v>9777.8340000000007</v>
      </c>
      <c r="AH359" s="49">
        <f t="shared" si="150"/>
        <v>11111.174999999999</v>
      </c>
    </row>
    <row r="360" spans="1:34" s="56" customFormat="1">
      <c r="A360" s="62" t="s">
        <v>464</v>
      </c>
      <c r="B360" s="62"/>
      <c r="C360" s="62"/>
      <c r="D360" s="62"/>
      <c r="E360" s="141">
        <v>1</v>
      </c>
      <c r="F360" s="142"/>
      <c r="G360" s="143">
        <v>0.12</v>
      </c>
      <c r="H360" s="143">
        <v>0</v>
      </c>
      <c r="I360" s="49">
        <v>19659</v>
      </c>
      <c r="J360" s="49">
        <f t="shared" si="139"/>
        <v>16454.582999999999</v>
      </c>
      <c r="K360" s="49">
        <f t="shared" si="140"/>
        <v>14480.033039999998</v>
      </c>
      <c r="L360" s="58"/>
      <c r="M360" s="141">
        <v>0</v>
      </c>
      <c r="N360" s="50">
        <f t="shared" si="141"/>
        <v>0</v>
      </c>
      <c r="O360" s="50">
        <f t="shared" si="142"/>
        <v>0</v>
      </c>
      <c r="P360" s="59"/>
      <c r="Q360" s="141">
        <v>0</v>
      </c>
      <c r="R360" s="50">
        <f t="shared" si="143"/>
        <v>0</v>
      </c>
      <c r="S360" s="51">
        <f t="shared" si="144"/>
        <v>0</v>
      </c>
      <c r="T360" s="60">
        <v>25</v>
      </c>
      <c r="U360" s="61" t="s">
        <v>81</v>
      </c>
      <c r="V360" s="53">
        <f>SUMIF('Avoided Costs 2014-2023'!$A:$A,'2014 Actuals'!U360&amp;ROUNDDOWN('2014 Actuals'!T360,0),'Avoided Costs 2014-2023'!$E:$E)*K360</f>
        <v>45992.691166938181</v>
      </c>
      <c r="W360" s="53">
        <f>SUMIF('Avoided Costs 2014-2023'!$A:$A,'2014 Actuals'!U360&amp;ROUNDDOWN('2014 Actuals'!T360,0),'Avoided Costs 2014-2023'!$K:$K)*O360</f>
        <v>0</v>
      </c>
      <c r="X360" s="53">
        <f>SUMIF('Avoided Costs 2014-2023'!$A:$A,'2014 Actuals'!U360&amp;ROUNDDOWN('2014 Actuals'!T360,0),'Avoided Costs 2014-2023'!$M:$M)*S360</f>
        <v>0</v>
      </c>
      <c r="Y360" s="53">
        <f t="shared" si="145"/>
        <v>45992.691166938181</v>
      </c>
      <c r="Z360" s="55">
        <v>32154</v>
      </c>
      <c r="AA360" s="54">
        <f t="shared" si="146"/>
        <v>28295.52</v>
      </c>
      <c r="AB360" s="54"/>
      <c r="AC360" s="54"/>
      <c r="AD360" s="54"/>
      <c r="AE360" s="54">
        <f t="shared" si="147"/>
        <v>28295.52</v>
      </c>
      <c r="AF360" s="54">
        <f t="shared" si="148"/>
        <v>17697.17116693818</v>
      </c>
      <c r="AG360" s="49">
        <f t="shared" si="149"/>
        <v>362000.82599999994</v>
      </c>
      <c r="AH360" s="49">
        <f t="shared" si="150"/>
        <v>411364.57499999995</v>
      </c>
    </row>
    <row r="361" spans="1:34" s="56" customFormat="1">
      <c r="A361" s="62" t="s">
        <v>465</v>
      </c>
      <c r="B361" s="62"/>
      <c r="C361" s="62"/>
      <c r="D361" s="62"/>
      <c r="E361" s="141">
        <v>1</v>
      </c>
      <c r="F361" s="142"/>
      <c r="G361" s="143">
        <v>0.12</v>
      </c>
      <c r="H361" s="143">
        <v>0</v>
      </c>
      <c r="I361" s="49">
        <v>91304</v>
      </c>
      <c r="J361" s="49">
        <f t="shared" si="139"/>
        <v>76421.448000000004</v>
      </c>
      <c r="K361" s="49">
        <f t="shared" si="140"/>
        <v>67250.874240000005</v>
      </c>
      <c r="L361" s="58"/>
      <c r="M361" s="141">
        <v>0</v>
      </c>
      <c r="N361" s="50">
        <f t="shared" si="141"/>
        <v>0</v>
      </c>
      <c r="O361" s="50">
        <f t="shared" si="142"/>
        <v>0</v>
      </c>
      <c r="P361" s="59"/>
      <c r="Q361" s="141">
        <v>0</v>
      </c>
      <c r="R361" s="50">
        <f t="shared" si="143"/>
        <v>0</v>
      </c>
      <c r="S361" s="51">
        <f t="shared" si="144"/>
        <v>0</v>
      </c>
      <c r="T361" s="60">
        <v>25</v>
      </c>
      <c r="U361" s="61" t="s">
        <v>81</v>
      </c>
      <c r="V361" s="53">
        <f>SUMIF('Avoided Costs 2014-2023'!$A:$A,'2014 Actuals'!U361&amp;ROUNDDOWN('2014 Actuals'!T361,0),'Avoided Costs 2014-2023'!$E:$E)*K361</f>
        <v>213607.84751544453</v>
      </c>
      <c r="W361" s="53">
        <f>SUMIF('Avoided Costs 2014-2023'!$A:$A,'2014 Actuals'!U361&amp;ROUNDDOWN('2014 Actuals'!T361,0),'Avoided Costs 2014-2023'!$K:$K)*O361</f>
        <v>0</v>
      </c>
      <c r="X361" s="53">
        <f>SUMIF('Avoided Costs 2014-2023'!$A:$A,'2014 Actuals'!U361&amp;ROUNDDOWN('2014 Actuals'!T361,0),'Avoided Costs 2014-2023'!$M:$M)*S361</f>
        <v>0</v>
      </c>
      <c r="Y361" s="53">
        <f t="shared" si="145"/>
        <v>213607.84751544453</v>
      </c>
      <c r="Z361" s="55">
        <v>305406</v>
      </c>
      <c r="AA361" s="54">
        <f t="shared" si="146"/>
        <v>268757.28000000003</v>
      </c>
      <c r="AB361" s="54"/>
      <c r="AC361" s="54"/>
      <c r="AD361" s="54"/>
      <c r="AE361" s="54">
        <f t="shared" si="147"/>
        <v>268757.28000000003</v>
      </c>
      <c r="AF361" s="54">
        <f t="shared" si="148"/>
        <v>-55149.432484555495</v>
      </c>
      <c r="AG361" s="49">
        <f t="shared" si="149"/>
        <v>1681271.8560000001</v>
      </c>
      <c r="AH361" s="49">
        <f t="shared" si="150"/>
        <v>1910536.2000000002</v>
      </c>
    </row>
    <row r="362" spans="1:34" s="56" customFormat="1">
      <c r="A362" s="62" t="s">
        <v>466</v>
      </c>
      <c r="B362" s="62"/>
      <c r="C362" s="62"/>
      <c r="D362" s="62"/>
      <c r="E362" s="141">
        <v>0</v>
      </c>
      <c r="F362" s="142"/>
      <c r="G362" s="143">
        <v>0.12</v>
      </c>
      <c r="H362" s="143">
        <v>0</v>
      </c>
      <c r="I362" s="49">
        <v>15359</v>
      </c>
      <c r="J362" s="49">
        <f t="shared" si="139"/>
        <v>12855.483</v>
      </c>
      <c r="K362" s="49">
        <f t="shared" si="140"/>
        <v>11312.82504</v>
      </c>
      <c r="L362" s="58"/>
      <c r="M362" s="141">
        <v>34006</v>
      </c>
      <c r="N362" s="50">
        <f t="shared" si="141"/>
        <v>34006</v>
      </c>
      <c r="O362" s="50">
        <f t="shared" si="142"/>
        <v>29925.279999999999</v>
      </c>
      <c r="P362" s="59"/>
      <c r="Q362" s="141">
        <v>0</v>
      </c>
      <c r="R362" s="50">
        <f t="shared" si="143"/>
        <v>0</v>
      </c>
      <c r="S362" s="51">
        <f t="shared" si="144"/>
        <v>0</v>
      </c>
      <c r="T362" s="60">
        <v>15</v>
      </c>
      <c r="U362" s="61" t="s">
        <v>81</v>
      </c>
      <c r="V362" s="53">
        <f>SUMIF('Avoided Costs 2014-2023'!$A:$A,'2014 Actuals'!U362&amp;ROUNDDOWN('2014 Actuals'!T362,0),'Avoided Costs 2014-2023'!$E:$E)*K362</f>
        <v>26187.740967863181</v>
      </c>
      <c r="W362" s="53">
        <f>SUMIF('Avoided Costs 2014-2023'!$A:$A,'2014 Actuals'!U362&amp;ROUNDDOWN('2014 Actuals'!T362,0),'Avoided Costs 2014-2023'!$K:$K)*O362</f>
        <v>35386.055949051108</v>
      </c>
      <c r="X362" s="53">
        <f>SUMIF('Avoided Costs 2014-2023'!$A:$A,'2014 Actuals'!U362&amp;ROUNDDOWN('2014 Actuals'!T362,0),'Avoided Costs 2014-2023'!$M:$M)*S362</f>
        <v>0</v>
      </c>
      <c r="Y362" s="53">
        <f t="shared" si="145"/>
        <v>61573.796916914289</v>
      </c>
      <c r="Z362" s="55">
        <v>77500</v>
      </c>
      <c r="AA362" s="54">
        <f t="shared" si="146"/>
        <v>68200</v>
      </c>
      <c r="AB362" s="54"/>
      <c r="AC362" s="54"/>
      <c r="AD362" s="54"/>
      <c r="AE362" s="54">
        <f t="shared" si="147"/>
        <v>68200</v>
      </c>
      <c r="AF362" s="54">
        <f t="shared" si="148"/>
        <v>-6626.2030830857111</v>
      </c>
      <c r="AG362" s="49">
        <f t="shared" si="149"/>
        <v>169692.3756</v>
      </c>
      <c r="AH362" s="49">
        <f t="shared" si="150"/>
        <v>192832.245</v>
      </c>
    </row>
    <row r="363" spans="1:34" s="56" customFormat="1">
      <c r="A363" s="62" t="s">
        <v>467</v>
      </c>
      <c r="B363" s="62"/>
      <c r="C363" s="62"/>
      <c r="D363" s="62"/>
      <c r="E363" s="141">
        <v>1</v>
      </c>
      <c r="F363" s="142"/>
      <c r="G363" s="143">
        <v>0.12</v>
      </c>
      <c r="H363" s="143">
        <v>0</v>
      </c>
      <c r="I363" s="49">
        <v>11795</v>
      </c>
      <c r="J363" s="49">
        <f t="shared" si="139"/>
        <v>9872.4149999999991</v>
      </c>
      <c r="K363" s="49">
        <f t="shared" si="140"/>
        <v>8687.7251999999989</v>
      </c>
      <c r="L363" s="58"/>
      <c r="M363" s="141">
        <v>0</v>
      </c>
      <c r="N363" s="50">
        <f t="shared" si="141"/>
        <v>0</v>
      </c>
      <c r="O363" s="50">
        <f t="shared" si="142"/>
        <v>0</v>
      </c>
      <c r="P363" s="59"/>
      <c r="Q363" s="141">
        <v>0</v>
      </c>
      <c r="R363" s="50">
        <f t="shared" si="143"/>
        <v>0</v>
      </c>
      <c r="S363" s="51">
        <f t="shared" si="144"/>
        <v>0</v>
      </c>
      <c r="T363" s="60">
        <v>25</v>
      </c>
      <c r="U363" s="61" t="s">
        <v>81</v>
      </c>
      <c r="V363" s="53">
        <f>SUMIF('Avoided Costs 2014-2023'!$A:$A,'2014 Actuals'!U363&amp;ROUNDDOWN('2014 Actuals'!T363,0),'Avoided Costs 2014-2023'!$E:$E)*K363</f>
        <v>27594.678890789757</v>
      </c>
      <c r="W363" s="53">
        <f>SUMIF('Avoided Costs 2014-2023'!$A:$A,'2014 Actuals'!U363&amp;ROUNDDOWN('2014 Actuals'!T363,0),'Avoided Costs 2014-2023'!$K:$K)*O363</f>
        <v>0</v>
      </c>
      <c r="X363" s="53">
        <f>SUMIF('Avoided Costs 2014-2023'!$A:$A,'2014 Actuals'!U363&amp;ROUNDDOWN('2014 Actuals'!T363,0),'Avoided Costs 2014-2023'!$M:$M)*S363</f>
        <v>0</v>
      </c>
      <c r="Y363" s="53">
        <f t="shared" si="145"/>
        <v>27594.678890789757</v>
      </c>
      <c r="Z363" s="55">
        <v>20572</v>
      </c>
      <c r="AA363" s="54">
        <f t="shared" si="146"/>
        <v>18103.36</v>
      </c>
      <c r="AB363" s="54"/>
      <c r="AC363" s="54"/>
      <c r="AD363" s="54"/>
      <c r="AE363" s="54">
        <f t="shared" si="147"/>
        <v>18103.36</v>
      </c>
      <c r="AF363" s="54">
        <f t="shared" si="148"/>
        <v>9491.3188907897566</v>
      </c>
      <c r="AG363" s="49">
        <f t="shared" si="149"/>
        <v>217193.12999999998</v>
      </c>
      <c r="AH363" s="49">
        <f t="shared" si="150"/>
        <v>246810.37499999997</v>
      </c>
    </row>
    <row r="364" spans="1:34" s="56" customFormat="1">
      <c r="A364" s="62" t="s">
        <v>468</v>
      </c>
      <c r="B364" s="62"/>
      <c r="C364" s="62"/>
      <c r="D364" s="62"/>
      <c r="E364" s="141">
        <v>1</v>
      </c>
      <c r="F364" s="142"/>
      <c r="G364" s="143">
        <v>0.12</v>
      </c>
      <c r="H364" s="143">
        <v>0</v>
      </c>
      <c r="I364" s="49">
        <v>12649</v>
      </c>
      <c r="J364" s="49">
        <f t="shared" si="139"/>
        <v>10587.213</v>
      </c>
      <c r="K364" s="49">
        <f t="shared" si="140"/>
        <v>9316.7474399999992</v>
      </c>
      <c r="L364" s="58"/>
      <c r="M364" s="141">
        <v>0</v>
      </c>
      <c r="N364" s="50">
        <f t="shared" si="141"/>
        <v>0</v>
      </c>
      <c r="O364" s="50">
        <f t="shared" si="142"/>
        <v>0</v>
      </c>
      <c r="P364" s="59"/>
      <c r="Q364" s="141">
        <v>0</v>
      </c>
      <c r="R364" s="50">
        <f t="shared" si="143"/>
        <v>0</v>
      </c>
      <c r="S364" s="51">
        <f t="shared" si="144"/>
        <v>0</v>
      </c>
      <c r="T364" s="60">
        <v>25</v>
      </c>
      <c r="U364" s="61" t="s">
        <v>81</v>
      </c>
      <c r="V364" s="53">
        <f>SUMIF('Avoided Costs 2014-2023'!$A:$A,'2014 Actuals'!U364&amp;ROUNDDOWN('2014 Actuals'!T364,0),'Avoided Costs 2014-2023'!$E:$E)*K364</f>
        <v>29592.631902467117</v>
      </c>
      <c r="W364" s="53">
        <f>SUMIF('Avoided Costs 2014-2023'!$A:$A,'2014 Actuals'!U364&amp;ROUNDDOWN('2014 Actuals'!T364,0),'Avoided Costs 2014-2023'!$K:$K)*O364</f>
        <v>0</v>
      </c>
      <c r="X364" s="53">
        <f>SUMIF('Avoided Costs 2014-2023'!$A:$A,'2014 Actuals'!U364&amp;ROUNDDOWN('2014 Actuals'!T364,0),'Avoided Costs 2014-2023'!$M:$M)*S364</f>
        <v>0</v>
      </c>
      <c r="Y364" s="53">
        <f t="shared" si="145"/>
        <v>29592.631902467117</v>
      </c>
      <c r="Z364" s="55">
        <v>17566</v>
      </c>
      <c r="AA364" s="54">
        <f t="shared" si="146"/>
        <v>15458.08</v>
      </c>
      <c r="AB364" s="54"/>
      <c r="AC364" s="54"/>
      <c r="AD364" s="54"/>
      <c r="AE364" s="54">
        <f t="shared" si="147"/>
        <v>15458.08</v>
      </c>
      <c r="AF364" s="54">
        <f t="shared" si="148"/>
        <v>14134.551902467118</v>
      </c>
      <c r="AG364" s="49">
        <f t="shared" si="149"/>
        <v>232918.68599999999</v>
      </c>
      <c r="AH364" s="49">
        <f t="shared" si="150"/>
        <v>264680.32500000001</v>
      </c>
    </row>
    <row r="365" spans="1:34" s="56" customFormat="1">
      <c r="A365" s="62" t="s">
        <v>469</v>
      </c>
      <c r="B365" s="62"/>
      <c r="C365" s="62"/>
      <c r="D365" s="62"/>
      <c r="E365" s="141">
        <v>1</v>
      </c>
      <c r="F365" s="142"/>
      <c r="G365" s="143">
        <v>0.12</v>
      </c>
      <c r="H365" s="143">
        <v>0</v>
      </c>
      <c r="I365" s="49">
        <v>41880</v>
      </c>
      <c r="J365" s="49">
        <f t="shared" si="139"/>
        <v>35053.56</v>
      </c>
      <c r="K365" s="49">
        <f t="shared" si="140"/>
        <v>30847.132799999999</v>
      </c>
      <c r="L365" s="58"/>
      <c r="M365" s="141">
        <v>0</v>
      </c>
      <c r="N365" s="50">
        <f t="shared" si="141"/>
        <v>0</v>
      </c>
      <c r="O365" s="50">
        <f t="shared" si="142"/>
        <v>0</v>
      </c>
      <c r="P365" s="59"/>
      <c r="Q365" s="141">
        <v>0</v>
      </c>
      <c r="R365" s="50">
        <f t="shared" si="143"/>
        <v>0</v>
      </c>
      <c r="S365" s="51">
        <f t="shared" si="144"/>
        <v>0</v>
      </c>
      <c r="T365" s="60">
        <v>25</v>
      </c>
      <c r="U365" s="61" t="s">
        <v>81</v>
      </c>
      <c r="V365" s="53">
        <f>SUMIF('Avoided Costs 2014-2023'!$A:$A,'2014 Actuals'!U365&amp;ROUNDDOWN('2014 Actuals'!T365,0),'Avoided Costs 2014-2023'!$E:$E)*K365</f>
        <v>97979.24136890845</v>
      </c>
      <c r="W365" s="53">
        <f>SUMIF('Avoided Costs 2014-2023'!$A:$A,'2014 Actuals'!U365&amp;ROUNDDOWN('2014 Actuals'!T365,0),'Avoided Costs 2014-2023'!$K:$K)*O365</f>
        <v>0</v>
      </c>
      <c r="X365" s="53">
        <f>SUMIF('Avoided Costs 2014-2023'!$A:$A,'2014 Actuals'!U365&amp;ROUNDDOWN('2014 Actuals'!T365,0),'Avoided Costs 2014-2023'!$M:$M)*S365</f>
        <v>0</v>
      </c>
      <c r="Y365" s="53">
        <f t="shared" si="145"/>
        <v>97979.24136890845</v>
      </c>
      <c r="Z365" s="55">
        <v>2702</v>
      </c>
      <c r="AA365" s="54">
        <f t="shared" si="146"/>
        <v>2377.7600000000002</v>
      </c>
      <c r="AB365" s="54"/>
      <c r="AC365" s="54"/>
      <c r="AD365" s="54"/>
      <c r="AE365" s="54">
        <f t="shared" si="147"/>
        <v>2377.7600000000002</v>
      </c>
      <c r="AF365" s="54">
        <f t="shared" si="148"/>
        <v>95601.481368908455</v>
      </c>
      <c r="AG365" s="49">
        <f t="shared" si="149"/>
        <v>771178.32</v>
      </c>
      <c r="AH365" s="49">
        <f t="shared" si="150"/>
        <v>876339</v>
      </c>
    </row>
    <row r="366" spans="1:34" s="56" customFormat="1">
      <c r="A366" s="62" t="s">
        <v>470</v>
      </c>
      <c r="B366" s="62"/>
      <c r="C366" s="62"/>
      <c r="D366" s="62"/>
      <c r="E366" s="141">
        <v>1</v>
      </c>
      <c r="F366" s="142"/>
      <c r="G366" s="143">
        <v>0.12</v>
      </c>
      <c r="H366" s="143">
        <v>0</v>
      </c>
      <c r="I366" s="49">
        <v>28669</v>
      </c>
      <c r="J366" s="49">
        <f t="shared" si="139"/>
        <v>23995.952999999998</v>
      </c>
      <c r="K366" s="49">
        <f t="shared" si="140"/>
        <v>21116.438639999997</v>
      </c>
      <c r="L366" s="58"/>
      <c r="M366" s="141">
        <v>0</v>
      </c>
      <c r="N366" s="50">
        <f t="shared" si="141"/>
        <v>0</v>
      </c>
      <c r="O366" s="50">
        <f t="shared" si="142"/>
        <v>0</v>
      </c>
      <c r="P366" s="59"/>
      <c r="Q366" s="141">
        <v>0</v>
      </c>
      <c r="R366" s="50">
        <f t="shared" si="143"/>
        <v>0</v>
      </c>
      <c r="S366" s="51">
        <f t="shared" si="144"/>
        <v>0</v>
      </c>
      <c r="T366" s="60">
        <v>25</v>
      </c>
      <c r="U366" s="61" t="s">
        <v>81</v>
      </c>
      <c r="V366" s="53">
        <f>SUMIF('Avoided Costs 2014-2023'!$A:$A,'2014 Actuals'!U366&amp;ROUNDDOWN('2014 Actuals'!T366,0),'Avoided Costs 2014-2023'!$E:$E)*K366</f>
        <v>67071.797297164172</v>
      </c>
      <c r="W366" s="53">
        <f>SUMIF('Avoided Costs 2014-2023'!$A:$A,'2014 Actuals'!U366&amp;ROUNDDOWN('2014 Actuals'!T366,0),'Avoided Costs 2014-2023'!$K:$K)*O366</f>
        <v>0</v>
      </c>
      <c r="X366" s="53">
        <f>SUMIF('Avoided Costs 2014-2023'!$A:$A,'2014 Actuals'!U366&amp;ROUNDDOWN('2014 Actuals'!T366,0),'Avoided Costs 2014-2023'!$M:$M)*S366</f>
        <v>0</v>
      </c>
      <c r="Y366" s="53">
        <f t="shared" si="145"/>
        <v>67071.797297164172</v>
      </c>
      <c r="Z366" s="55">
        <v>29174</v>
      </c>
      <c r="AA366" s="54">
        <f t="shared" si="146"/>
        <v>25673.119999999999</v>
      </c>
      <c r="AB366" s="54"/>
      <c r="AC366" s="54"/>
      <c r="AD366" s="54"/>
      <c r="AE366" s="54">
        <f t="shared" si="147"/>
        <v>25673.119999999999</v>
      </c>
      <c r="AF366" s="54">
        <f t="shared" si="148"/>
        <v>41398.677297164177</v>
      </c>
      <c r="AG366" s="49">
        <f t="shared" si="149"/>
        <v>527910.9659999999</v>
      </c>
      <c r="AH366" s="49">
        <f t="shared" si="150"/>
        <v>599898.82499999995</v>
      </c>
    </row>
    <row r="367" spans="1:34" s="56" customFormat="1">
      <c r="A367" s="62" t="s">
        <v>471</v>
      </c>
      <c r="B367" s="62"/>
      <c r="C367" s="62"/>
      <c r="D367" s="62"/>
      <c r="E367" s="141">
        <v>1</v>
      </c>
      <c r="F367" s="142"/>
      <c r="G367" s="143">
        <v>0.12</v>
      </c>
      <c r="H367" s="143">
        <v>0</v>
      </c>
      <c r="I367" s="49">
        <v>14313</v>
      </c>
      <c r="J367" s="49">
        <f t="shared" si="139"/>
        <v>11979.981</v>
      </c>
      <c r="K367" s="49">
        <f t="shared" si="140"/>
        <v>10542.38328</v>
      </c>
      <c r="L367" s="58"/>
      <c r="M367" s="141">
        <v>0</v>
      </c>
      <c r="N367" s="50">
        <f t="shared" si="141"/>
        <v>0</v>
      </c>
      <c r="O367" s="50">
        <f t="shared" si="142"/>
        <v>0</v>
      </c>
      <c r="P367" s="59"/>
      <c r="Q367" s="141">
        <v>0</v>
      </c>
      <c r="R367" s="50">
        <f t="shared" si="143"/>
        <v>0</v>
      </c>
      <c r="S367" s="51">
        <f t="shared" si="144"/>
        <v>0</v>
      </c>
      <c r="T367" s="60">
        <v>25</v>
      </c>
      <c r="U367" s="61" t="s">
        <v>81</v>
      </c>
      <c r="V367" s="53">
        <f>SUMIF('Avoided Costs 2014-2023'!$A:$A,'2014 Actuals'!U367&amp;ROUNDDOWN('2014 Actuals'!T367,0),'Avoided Costs 2014-2023'!$E:$E)*K367</f>
        <v>33485.598894775227</v>
      </c>
      <c r="W367" s="53">
        <f>SUMIF('Avoided Costs 2014-2023'!$A:$A,'2014 Actuals'!U367&amp;ROUNDDOWN('2014 Actuals'!T367,0),'Avoided Costs 2014-2023'!$K:$K)*O367</f>
        <v>0</v>
      </c>
      <c r="X367" s="53">
        <f>SUMIF('Avoided Costs 2014-2023'!$A:$A,'2014 Actuals'!U367&amp;ROUNDDOWN('2014 Actuals'!T367,0),'Avoided Costs 2014-2023'!$M:$M)*S367</f>
        <v>0</v>
      </c>
      <c r="Y367" s="53">
        <f t="shared" si="145"/>
        <v>33485.598894775227</v>
      </c>
      <c r="Z367" s="55">
        <v>9948</v>
      </c>
      <c r="AA367" s="54">
        <f t="shared" si="146"/>
        <v>8754.24</v>
      </c>
      <c r="AB367" s="54"/>
      <c r="AC367" s="54"/>
      <c r="AD367" s="54"/>
      <c r="AE367" s="54">
        <f t="shared" si="147"/>
        <v>8754.24</v>
      </c>
      <c r="AF367" s="54">
        <f t="shared" si="148"/>
        <v>24731.358894775229</v>
      </c>
      <c r="AG367" s="49">
        <f t="shared" si="149"/>
        <v>263559.58199999999</v>
      </c>
      <c r="AH367" s="49">
        <f t="shared" si="150"/>
        <v>299499.52500000002</v>
      </c>
    </row>
    <row r="368" spans="1:34" s="69" customFormat="1" collapsed="1">
      <c r="A368" s="145" t="s">
        <v>35</v>
      </c>
      <c r="B368" s="145" t="s">
        <v>472</v>
      </c>
      <c r="C368" s="65"/>
      <c r="D368" s="65">
        <v>0</v>
      </c>
      <c r="E368" s="51">
        <f>SUM(E342:E367)</f>
        <v>22</v>
      </c>
      <c r="F368" s="105"/>
      <c r="G368" s="147"/>
      <c r="H368" s="211"/>
      <c r="I368" s="49">
        <f>SUM(I342:I367)</f>
        <v>455290</v>
      </c>
      <c r="J368" s="49">
        <f>SUM(J342:J367)</f>
        <v>381077.73</v>
      </c>
      <c r="K368" s="49">
        <f>SUM(K342:K367)</f>
        <v>335348.40240000008</v>
      </c>
      <c r="L368" s="146"/>
      <c r="M368" s="49">
        <f>SUM(M342:M367)</f>
        <v>34006</v>
      </c>
      <c r="N368" s="49">
        <f>SUM(N342:N367)</f>
        <v>34006</v>
      </c>
      <c r="O368" s="49">
        <f>SUM(O342:O367)</f>
        <v>29925.279999999999</v>
      </c>
      <c r="P368" s="148"/>
      <c r="Q368" s="49">
        <v>0</v>
      </c>
      <c r="R368" s="49">
        <f>SUM(R342:R367)</f>
        <v>0</v>
      </c>
      <c r="S368" s="49">
        <f>SUM(S342:S367)</f>
        <v>0</v>
      </c>
      <c r="T368" s="103"/>
      <c r="U368" s="65" t="s">
        <v>160</v>
      </c>
      <c r="V368" s="54">
        <f t="shared" ref="V368:AA368" si="151">SUM(V342:V367)</f>
        <v>1055109.0979323324</v>
      </c>
      <c r="W368" s="54">
        <f t="shared" si="151"/>
        <v>35386.055949051108</v>
      </c>
      <c r="X368" s="54">
        <f t="shared" si="151"/>
        <v>0</v>
      </c>
      <c r="Y368" s="54">
        <f t="shared" si="151"/>
        <v>1090495.1538813834</v>
      </c>
      <c r="Z368" s="55"/>
      <c r="AA368" s="54">
        <f t="shared" si="151"/>
        <v>683515.36</v>
      </c>
      <c r="AB368" s="54">
        <v>91520.33</v>
      </c>
      <c r="AC368" s="54">
        <v>4200</v>
      </c>
      <c r="AD368" s="54">
        <f>AB368+AC368</f>
        <v>95720.33</v>
      </c>
      <c r="AE368" s="54">
        <f t="shared" si="147"/>
        <v>687715.36</v>
      </c>
      <c r="AF368" s="212">
        <f t="shared" si="148"/>
        <v>402779.79388138338</v>
      </c>
      <c r="AG368" s="49">
        <f>SUM(AG342:AG367)</f>
        <v>8270581.8096000003</v>
      </c>
      <c r="AH368" s="49">
        <f>SUM(AH342:AH367)</f>
        <v>9398388.4199999999</v>
      </c>
    </row>
    <row r="369" spans="1:34">
      <c r="A369" s="135"/>
      <c r="K369" s="11"/>
      <c r="P369" s="23"/>
      <c r="Q369" s="11"/>
      <c r="S369" s="11"/>
      <c r="T369" s="48"/>
      <c r="AA369" s="40"/>
      <c r="AB369" s="40"/>
      <c r="AD369" s="40"/>
      <c r="AE369" s="40"/>
      <c r="AF369" s="40"/>
      <c r="AG369" s="38"/>
      <c r="AH369" s="38"/>
    </row>
    <row r="370" spans="1:34">
      <c r="A370" s="135" t="s">
        <v>473</v>
      </c>
      <c r="B370" s="9" t="s">
        <v>474</v>
      </c>
      <c r="K370" s="11"/>
      <c r="P370" s="23"/>
      <c r="Q370" s="11"/>
      <c r="S370" s="11"/>
      <c r="T370" s="48"/>
      <c r="AA370" s="40"/>
      <c r="AB370" s="40"/>
      <c r="AD370" s="40"/>
      <c r="AE370" s="40"/>
      <c r="AF370" s="40"/>
      <c r="AG370" s="38"/>
      <c r="AH370" s="38"/>
    </row>
    <row r="371" spans="1:34" s="56" customFormat="1">
      <c r="A371" s="62" t="s">
        <v>475</v>
      </c>
      <c r="B371" s="62"/>
      <c r="C371" s="62"/>
      <c r="D371" s="62"/>
      <c r="E371" s="141">
        <v>1</v>
      </c>
      <c r="F371" s="142"/>
      <c r="G371" s="143">
        <v>0.12</v>
      </c>
      <c r="H371" s="143">
        <v>0</v>
      </c>
      <c r="I371" s="49">
        <v>245281</v>
      </c>
      <c r="J371" s="49">
        <f t="shared" ref="J371:J387" si="152">+$I$42*I371</f>
        <v>205300.19699999999</v>
      </c>
      <c r="K371" s="49">
        <f t="shared" ref="K371:K387" si="153">J371*(1-G371)</f>
        <v>180664.17335999999</v>
      </c>
      <c r="L371" s="58"/>
      <c r="M371" s="141">
        <v>0</v>
      </c>
      <c r="N371" s="50">
        <f t="shared" ref="N371:N387" si="154">+$M$42*M371</f>
        <v>0</v>
      </c>
      <c r="O371" s="50">
        <f t="shared" ref="O371:O387" si="155">N371*(1-G371)</f>
        <v>0</v>
      </c>
      <c r="P371" s="59"/>
      <c r="Q371" s="141">
        <v>0</v>
      </c>
      <c r="R371" s="50">
        <f t="shared" ref="R371:R387" si="156">+Q371*$Q$42</f>
        <v>0</v>
      </c>
      <c r="S371" s="51">
        <f t="shared" ref="S371:S387" si="157">R371*(1-G371)</f>
        <v>0</v>
      </c>
      <c r="T371" s="64">
        <v>15</v>
      </c>
      <c r="U371" s="65" t="s">
        <v>81</v>
      </c>
      <c r="V371" s="53">
        <f>SUMIF('Avoided Costs 2014-2023'!$A:$A,'2014 Actuals'!U371&amp;ROUNDDOWN('2014 Actuals'!T371,0),'Avoided Costs 2014-2023'!$E:$E)*K371</f>
        <v>418214.42101298575</v>
      </c>
      <c r="W371" s="53">
        <f>SUMIF('Avoided Costs 2014-2023'!$A:$A,'2014 Actuals'!U371&amp;ROUNDDOWN('2014 Actuals'!T371,0),'Avoided Costs 2014-2023'!$K:$K)*O371</f>
        <v>0</v>
      </c>
      <c r="X371" s="53">
        <f>SUMIF('Avoided Costs 2014-2023'!$A:$A,'2014 Actuals'!U371&amp;ROUNDDOWN('2014 Actuals'!T371,0),'Avoided Costs 2014-2023'!$M:$M)*S371</f>
        <v>0</v>
      </c>
      <c r="Y371" s="53">
        <f t="shared" ref="Y371:Y387" si="158">SUM(V371:X371)</f>
        <v>418214.42101298575</v>
      </c>
      <c r="Z371" s="55">
        <v>200000</v>
      </c>
      <c r="AA371" s="54">
        <f t="shared" ref="AA371:AA387" si="159">Z371*(1-G371)</f>
        <v>176000</v>
      </c>
      <c r="AB371" s="54"/>
      <c r="AC371" s="54"/>
      <c r="AD371" s="54"/>
      <c r="AE371" s="54">
        <f t="shared" ref="AE371:AE388" si="160">AA371+AC371</f>
        <v>176000</v>
      </c>
      <c r="AF371" s="54">
        <f t="shared" ref="AF371:AF388" si="161">Y371-AE371</f>
        <v>242214.42101298575</v>
      </c>
      <c r="AG371" s="49">
        <f t="shared" ref="AG371:AG387" si="162">K371*T371</f>
        <v>2709962.6003999999</v>
      </c>
      <c r="AH371" s="49">
        <f t="shared" ref="AH371:AH387" si="163">(J371*T371)</f>
        <v>3079502.9549999996</v>
      </c>
    </row>
    <row r="372" spans="1:34" s="56" customFormat="1">
      <c r="A372" s="62" t="s">
        <v>476</v>
      </c>
      <c r="B372" s="62"/>
      <c r="C372" s="62"/>
      <c r="D372" s="62"/>
      <c r="E372" s="141">
        <v>1</v>
      </c>
      <c r="F372" s="142"/>
      <c r="G372" s="143">
        <v>0.12</v>
      </c>
      <c r="H372" s="143">
        <v>0</v>
      </c>
      <c r="I372" s="49">
        <v>2528</v>
      </c>
      <c r="J372" s="49">
        <f t="shared" si="152"/>
        <v>2115.9359999999997</v>
      </c>
      <c r="K372" s="49">
        <f t="shared" si="153"/>
        <v>1862.0236799999998</v>
      </c>
      <c r="L372" s="58"/>
      <c r="M372" s="141">
        <v>-1448</v>
      </c>
      <c r="N372" s="50">
        <f t="shared" si="154"/>
        <v>-1448</v>
      </c>
      <c r="O372" s="50">
        <f t="shared" si="155"/>
        <v>-1274.24</v>
      </c>
      <c r="P372" s="59"/>
      <c r="Q372" s="141">
        <v>0</v>
      </c>
      <c r="R372" s="50">
        <f t="shared" si="156"/>
        <v>0</v>
      </c>
      <c r="S372" s="51">
        <f t="shared" si="157"/>
        <v>0</v>
      </c>
      <c r="T372" s="64">
        <v>15</v>
      </c>
      <c r="U372" s="65" t="s">
        <v>81</v>
      </c>
      <c r="V372" s="53">
        <f>SUMIF('Avoided Costs 2014-2023'!$A:$A,'2014 Actuals'!U372&amp;ROUNDDOWN('2014 Actuals'!T372,0),'Avoided Costs 2014-2023'!$E:$E)*K372</f>
        <v>4310.3463224661837</v>
      </c>
      <c r="W372" s="53">
        <f>SUMIF('Avoided Costs 2014-2023'!$A:$A,'2014 Actuals'!U372&amp;ROUNDDOWN('2014 Actuals'!T372,0),'Avoided Costs 2014-2023'!$K:$K)*O372</f>
        <v>-1506.7637773988711</v>
      </c>
      <c r="X372" s="53">
        <f>SUMIF('Avoided Costs 2014-2023'!$A:$A,'2014 Actuals'!U372&amp;ROUNDDOWN('2014 Actuals'!T372,0),'Avoided Costs 2014-2023'!$M:$M)*S372</f>
        <v>0</v>
      </c>
      <c r="Y372" s="53">
        <f t="shared" si="158"/>
        <v>2803.5825450673128</v>
      </c>
      <c r="Z372" s="55">
        <v>13695</v>
      </c>
      <c r="AA372" s="54">
        <f t="shared" si="159"/>
        <v>12051.6</v>
      </c>
      <c r="AB372" s="54"/>
      <c r="AC372" s="54"/>
      <c r="AD372" s="54"/>
      <c r="AE372" s="54">
        <f t="shared" si="160"/>
        <v>12051.6</v>
      </c>
      <c r="AF372" s="54">
        <f t="shared" si="161"/>
        <v>-9248.0174549326875</v>
      </c>
      <c r="AG372" s="49">
        <f t="shared" si="162"/>
        <v>27930.355199999998</v>
      </c>
      <c r="AH372" s="49">
        <f t="shared" si="163"/>
        <v>31739.039999999994</v>
      </c>
    </row>
    <row r="373" spans="1:34" s="56" customFormat="1">
      <c r="A373" s="62" t="s">
        <v>477</v>
      </c>
      <c r="B373" s="62"/>
      <c r="C373" s="62"/>
      <c r="D373" s="62"/>
      <c r="E373" s="141">
        <v>1</v>
      </c>
      <c r="F373" s="142"/>
      <c r="G373" s="143">
        <v>0.12</v>
      </c>
      <c r="H373" s="143">
        <v>0</v>
      </c>
      <c r="I373" s="49">
        <v>5273</v>
      </c>
      <c r="J373" s="49">
        <f t="shared" si="152"/>
        <v>4413.5010000000002</v>
      </c>
      <c r="K373" s="49">
        <f t="shared" si="153"/>
        <v>3883.8808800000002</v>
      </c>
      <c r="L373" s="58"/>
      <c r="M373" s="141">
        <v>-1277</v>
      </c>
      <c r="N373" s="50">
        <f t="shared" si="154"/>
        <v>-1277</v>
      </c>
      <c r="O373" s="50">
        <f t="shared" si="155"/>
        <v>-1123.76</v>
      </c>
      <c r="P373" s="59"/>
      <c r="Q373" s="141">
        <v>0</v>
      </c>
      <c r="R373" s="50">
        <f t="shared" si="156"/>
        <v>0</v>
      </c>
      <c r="S373" s="51">
        <f t="shared" si="157"/>
        <v>0</v>
      </c>
      <c r="T373" s="64">
        <v>15</v>
      </c>
      <c r="U373" s="65" t="s">
        <v>81</v>
      </c>
      <c r="V373" s="53">
        <f>SUMIF('Avoided Costs 2014-2023'!$A:$A,'2014 Actuals'!U373&amp;ROUNDDOWN('2014 Actuals'!T373,0),'Avoided Costs 2014-2023'!$E:$E)*K373</f>
        <v>8990.6867715048211</v>
      </c>
      <c r="W373" s="53">
        <f>SUMIF('Avoided Costs 2014-2023'!$A:$A,'2014 Actuals'!U373&amp;ROUNDDOWN('2014 Actuals'!T373,0),'Avoided Costs 2014-2023'!$K:$K)*O373</f>
        <v>-1328.8241324159933</v>
      </c>
      <c r="X373" s="53">
        <f>SUMIF('Avoided Costs 2014-2023'!$A:$A,'2014 Actuals'!U373&amp;ROUNDDOWN('2014 Actuals'!T373,0),'Avoided Costs 2014-2023'!$M:$M)*S373</f>
        <v>0</v>
      </c>
      <c r="Y373" s="53">
        <f t="shared" si="158"/>
        <v>7661.8626390888276</v>
      </c>
      <c r="Z373" s="55">
        <v>13695</v>
      </c>
      <c r="AA373" s="54">
        <f t="shared" si="159"/>
        <v>12051.6</v>
      </c>
      <c r="AB373" s="54"/>
      <c r="AC373" s="54"/>
      <c r="AD373" s="54"/>
      <c r="AE373" s="54">
        <f t="shared" si="160"/>
        <v>12051.6</v>
      </c>
      <c r="AF373" s="54">
        <f t="shared" si="161"/>
        <v>-4389.7373609111728</v>
      </c>
      <c r="AG373" s="49">
        <f t="shared" si="162"/>
        <v>58258.213200000006</v>
      </c>
      <c r="AH373" s="49">
        <f t="shared" si="163"/>
        <v>66202.514999999999</v>
      </c>
    </row>
    <row r="374" spans="1:34" s="56" customFormat="1">
      <c r="A374" s="62" t="s">
        <v>478</v>
      </c>
      <c r="B374" s="62"/>
      <c r="C374" s="62"/>
      <c r="D374" s="62"/>
      <c r="E374" s="141">
        <v>1</v>
      </c>
      <c r="F374" s="142"/>
      <c r="G374" s="143">
        <v>0.12</v>
      </c>
      <c r="H374" s="143">
        <v>0</v>
      </c>
      <c r="I374" s="49">
        <v>45361</v>
      </c>
      <c r="J374" s="49">
        <f t="shared" si="152"/>
        <v>37967.156999999999</v>
      </c>
      <c r="K374" s="49">
        <f t="shared" si="153"/>
        <v>33411.098160000001</v>
      </c>
      <c r="L374" s="58"/>
      <c r="M374" s="141">
        <v>0</v>
      </c>
      <c r="N374" s="50">
        <f t="shared" si="154"/>
        <v>0</v>
      </c>
      <c r="O374" s="50">
        <f t="shared" si="155"/>
        <v>0</v>
      </c>
      <c r="P374" s="59"/>
      <c r="Q374" s="141">
        <v>0</v>
      </c>
      <c r="R374" s="50">
        <f t="shared" si="156"/>
        <v>0</v>
      </c>
      <c r="S374" s="51">
        <f t="shared" si="157"/>
        <v>0</v>
      </c>
      <c r="T374" s="64">
        <v>5</v>
      </c>
      <c r="U374" s="65" t="s">
        <v>81</v>
      </c>
      <c r="V374" s="53">
        <f>SUMIF('Avoided Costs 2014-2023'!$A:$A,'2014 Actuals'!U374&amp;ROUNDDOWN('2014 Actuals'!T374,0),'Avoided Costs 2014-2023'!$E:$E)*K374</f>
        <v>28428.436775183334</v>
      </c>
      <c r="W374" s="53">
        <f>SUMIF('Avoided Costs 2014-2023'!$A:$A,'2014 Actuals'!U374&amp;ROUNDDOWN('2014 Actuals'!T374,0),'Avoided Costs 2014-2023'!$K:$K)*O374</f>
        <v>0</v>
      </c>
      <c r="X374" s="53">
        <f>SUMIF('Avoided Costs 2014-2023'!$A:$A,'2014 Actuals'!U374&amp;ROUNDDOWN('2014 Actuals'!T374,0),'Avoided Costs 2014-2023'!$M:$M)*S374</f>
        <v>0</v>
      </c>
      <c r="Y374" s="53">
        <f t="shared" si="158"/>
        <v>28428.436775183334</v>
      </c>
      <c r="Z374" s="55">
        <v>1040.25</v>
      </c>
      <c r="AA374" s="54">
        <f t="shared" si="159"/>
        <v>915.42</v>
      </c>
      <c r="AB374" s="54"/>
      <c r="AC374" s="54"/>
      <c r="AD374" s="54"/>
      <c r="AE374" s="54">
        <f t="shared" si="160"/>
        <v>915.42</v>
      </c>
      <c r="AF374" s="54">
        <f t="shared" si="161"/>
        <v>27513.016775183336</v>
      </c>
      <c r="AG374" s="49">
        <f t="shared" si="162"/>
        <v>167055.4908</v>
      </c>
      <c r="AH374" s="49">
        <f t="shared" si="163"/>
        <v>189835.785</v>
      </c>
    </row>
    <row r="375" spans="1:34" s="56" customFormat="1">
      <c r="A375" s="62" t="s">
        <v>479</v>
      </c>
      <c r="B375" s="62"/>
      <c r="C375" s="62"/>
      <c r="D375" s="62"/>
      <c r="E375" s="141">
        <v>1</v>
      </c>
      <c r="F375" s="142"/>
      <c r="G375" s="143">
        <v>0.12</v>
      </c>
      <c r="H375" s="143">
        <v>0</v>
      </c>
      <c r="I375" s="49">
        <v>149420</v>
      </c>
      <c r="J375" s="49">
        <f t="shared" si="152"/>
        <v>125064.54</v>
      </c>
      <c r="K375" s="49">
        <f t="shared" si="153"/>
        <v>110056.79519999999</v>
      </c>
      <c r="L375" s="58"/>
      <c r="M375" s="141">
        <v>0</v>
      </c>
      <c r="N375" s="50">
        <f t="shared" si="154"/>
        <v>0</v>
      </c>
      <c r="O375" s="50">
        <f t="shared" si="155"/>
        <v>0</v>
      </c>
      <c r="P375" s="59"/>
      <c r="Q375" s="141">
        <v>0</v>
      </c>
      <c r="R375" s="50">
        <f t="shared" si="156"/>
        <v>0</v>
      </c>
      <c r="S375" s="51">
        <f t="shared" si="157"/>
        <v>0</v>
      </c>
      <c r="T375" s="64">
        <v>25</v>
      </c>
      <c r="U375" s="65" t="s">
        <v>81</v>
      </c>
      <c r="V375" s="53">
        <f>SUMIF('Avoided Costs 2014-2023'!$A:$A,'2014 Actuals'!U375&amp;ROUNDDOWN('2014 Actuals'!T375,0),'Avoided Costs 2014-2023'!$E:$E)*K375</f>
        <v>349571.59134055156</v>
      </c>
      <c r="W375" s="53">
        <f>SUMIF('Avoided Costs 2014-2023'!$A:$A,'2014 Actuals'!U375&amp;ROUNDDOWN('2014 Actuals'!T375,0),'Avoided Costs 2014-2023'!$K:$K)*O375</f>
        <v>0</v>
      </c>
      <c r="X375" s="53">
        <f>SUMIF('Avoided Costs 2014-2023'!$A:$A,'2014 Actuals'!U375&amp;ROUNDDOWN('2014 Actuals'!T375,0),'Avoided Costs 2014-2023'!$M:$M)*S375</f>
        <v>0</v>
      </c>
      <c r="Y375" s="53">
        <f t="shared" si="158"/>
        <v>349571.59134055156</v>
      </c>
      <c r="Z375" s="55">
        <v>39000</v>
      </c>
      <c r="AA375" s="54">
        <f t="shared" si="159"/>
        <v>34320</v>
      </c>
      <c r="AB375" s="54"/>
      <c r="AC375" s="54"/>
      <c r="AD375" s="54"/>
      <c r="AE375" s="54">
        <f t="shared" si="160"/>
        <v>34320</v>
      </c>
      <c r="AF375" s="54">
        <f t="shared" si="161"/>
        <v>315251.59134055156</v>
      </c>
      <c r="AG375" s="49">
        <f t="shared" si="162"/>
        <v>2751419.88</v>
      </c>
      <c r="AH375" s="49">
        <f t="shared" si="163"/>
        <v>3126613.5</v>
      </c>
    </row>
    <row r="376" spans="1:34" s="56" customFormat="1">
      <c r="A376" s="62" t="s">
        <v>480</v>
      </c>
      <c r="B376" s="62"/>
      <c r="C376" s="62"/>
      <c r="D376" s="62"/>
      <c r="E376" s="141">
        <v>1</v>
      </c>
      <c r="F376" s="142"/>
      <c r="G376" s="143">
        <v>0.12</v>
      </c>
      <c r="H376" s="143">
        <v>0</v>
      </c>
      <c r="I376" s="49">
        <v>45799</v>
      </c>
      <c r="J376" s="49">
        <f t="shared" si="152"/>
        <v>38333.762999999999</v>
      </c>
      <c r="K376" s="49">
        <f t="shared" si="153"/>
        <v>33733.711439999999</v>
      </c>
      <c r="L376" s="58"/>
      <c r="M376" s="141">
        <v>0</v>
      </c>
      <c r="N376" s="50">
        <f t="shared" si="154"/>
        <v>0</v>
      </c>
      <c r="O376" s="50">
        <f t="shared" si="155"/>
        <v>0</v>
      </c>
      <c r="P376" s="59"/>
      <c r="Q376" s="141">
        <v>0</v>
      </c>
      <c r="R376" s="50">
        <f t="shared" si="156"/>
        <v>0</v>
      </c>
      <c r="S376" s="51">
        <f t="shared" si="157"/>
        <v>0</v>
      </c>
      <c r="T376" s="64">
        <v>25</v>
      </c>
      <c r="U376" s="65" t="s">
        <v>81</v>
      </c>
      <c r="V376" s="53">
        <f>SUMIF('Avoided Costs 2014-2023'!$A:$A,'2014 Actuals'!U376&amp;ROUNDDOWN('2014 Actuals'!T376,0),'Avoided Costs 2014-2023'!$E:$E)*K376</f>
        <v>107147.83370235524</v>
      </c>
      <c r="W376" s="53">
        <f>SUMIF('Avoided Costs 2014-2023'!$A:$A,'2014 Actuals'!U376&amp;ROUNDDOWN('2014 Actuals'!T376,0),'Avoided Costs 2014-2023'!$K:$K)*O376</f>
        <v>0</v>
      </c>
      <c r="X376" s="53">
        <f>SUMIF('Avoided Costs 2014-2023'!$A:$A,'2014 Actuals'!U376&amp;ROUNDDOWN('2014 Actuals'!T376,0),'Avoided Costs 2014-2023'!$M:$M)*S376</f>
        <v>0</v>
      </c>
      <c r="Y376" s="53">
        <f t="shared" si="158"/>
        <v>107147.83370235524</v>
      </c>
      <c r="Z376" s="55">
        <v>15592</v>
      </c>
      <c r="AA376" s="54">
        <f t="shared" si="159"/>
        <v>13720.960000000001</v>
      </c>
      <c r="AB376" s="54"/>
      <c r="AC376" s="54"/>
      <c r="AD376" s="54"/>
      <c r="AE376" s="54">
        <f t="shared" si="160"/>
        <v>13720.960000000001</v>
      </c>
      <c r="AF376" s="54">
        <f t="shared" si="161"/>
        <v>93426.873702355238</v>
      </c>
      <c r="AG376" s="49">
        <f t="shared" si="162"/>
        <v>843342.78599999996</v>
      </c>
      <c r="AH376" s="49">
        <f t="shared" si="163"/>
        <v>958344.07499999995</v>
      </c>
    </row>
    <row r="377" spans="1:34" s="56" customFormat="1">
      <c r="A377" s="62" t="s">
        <v>481</v>
      </c>
      <c r="B377" s="62"/>
      <c r="C377" s="62"/>
      <c r="D377" s="62"/>
      <c r="E377" s="141">
        <v>0</v>
      </c>
      <c r="F377" s="142"/>
      <c r="G377" s="143">
        <v>0.12</v>
      </c>
      <c r="H377" s="143">
        <v>0</v>
      </c>
      <c r="I377" s="49">
        <v>4994</v>
      </c>
      <c r="J377" s="49">
        <f t="shared" si="152"/>
        <v>4179.9780000000001</v>
      </c>
      <c r="K377" s="49">
        <f t="shared" si="153"/>
        <v>3678.3806399999999</v>
      </c>
      <c r="L377" s="58"/>
      <c r="M377" s="141">
        <v>0</v>
      </c>
      <c r="N377" s="50">
        <f t="shared" si="154"/>
        <v>0</v>
      </c>
      <c r="O377" s="50">
        <f t="shared" si="155"/>
        <v>0</v>
      </c>
      <c r="P377" s="59"/>
      <c r="Q377" s="141">
        <v>0</v>
      </c>
      <c r="R377" s="50">
        <f t="shared" si="156"/>
        <v>0</v>
      </c>
      <c r="S377" s="51">
        <f t="shared" si="157"/>
        <v>0</v>
      </c>
      <c r="T377" s="64">
        <v>25</v>
      </c>
      <c r="U377" s="65" t="s">
        <v>94</v>
      </c>
      <c r="V377" s="53">
        <f>SUMIF('Avoided Costs 2014-2023'!$A:$A,'2014 Actuals'!U377&amp;ROUNDDOWN('2014 Actuals'!T377,0),'Avoided Costs 2014-2023'!$E:$E)*K377</f>
        <v>10945.930280544841</v>
      </c>
      <c r="W377" s="53">
        <f>SUMIF('Avoided Costs 2014-2023'!$A:$A,'2014 Actuals'!U377&amp;ROUNDDOWN('2014 Actuals'!T377,0),'Avoided Costs 2014-2023'!$K:$K)*O377</f>
        <v>0</v>
      </c>
      <c r="X377" s="53">
        <f>SUMIF('Avoided Costs 2014-2023'!$A:$A,'2014 Actuals'!U377&amp;ROUNDDOWN('2014 Actuals'!T377,0),'Avoided Costs 2014-2023'!$M:$M)*S377</f>
        <v>0</v>
      </c>
      <c r="Y377" s="53">
        <f t="shared" si="158"/>
        <v>10945.930280544841</v>
      </c>
      <c r="Z377" s="55">
        <v>9096</v>
      </c>
      <c r="AA377" s="54">
        <f t="shared" si="159"/>
        <v>8004.4800000000005</v>
      </c>
      <c r="AB377" s="54"/>
      <c r="AC377" s="54"/>
      <c r="AD377" s="54"/>
      <c r="AE377" s="54">
        <f t="shared" si="160"/>
        <v>8004.4800000000005</v>
      </c>
      <c r="AF377" s="54">
        <f t="shared" si="161"/>
        <v>2941.4502805448401</v>
      </c>
      <c r="AG377" s="49">
        <f t="shared" si="162"/>
        <v>91959.516000000003</v>
      </c>
      <c r="AH377" s="49">
        <f t="shared" si="163"/>
        <v>104499.45</v>
      </c>
    </row>
    <row r="378" spans="1:34" s="56" customFormat="1">
      <c r="A378" s="62" t="s">
        <v>482</v>
      </c>
      <c r="B378" s="62"/>
      <c r="C378" s="62"/>
      <c r="D378" s="62"/>
      <c r="E378" s="141">
        <v>1</v>
      </c>
      <c r="F378" s="142"/>
      <c r="G378" s="143">
        <v>0.12</v>
      </c>
      <c r="H378" s="143">
        <v>0</v>
      </c>
      <c r="I378" s="49">
        <v>56914</v>
      </c>
      <c r="J378" s="49">
        <f t="shared" si="152"/>
        <v>47637.017999999996</v>
      </c>
      <c r="K378" s="49">
        <f t="shared" si="153"/>
        <v>41920.575839999998</v>
      </c>
      <c r="L378" s="58"/>
      <c r="M378" s="141">
        <v>0</v>
      </c>
      <c r="N378" s="50">
        <f t="shared" si="154"/>
        <v>0</v>
      </c>
      <c r="O378" s="50">
        <f t="shared" si="155"/>
        <v>0</v>
      </c>
      <c r="P378" s="59"/>
      <c r="Q378" s="141">
        <v>0</v>
      </c>
      <c r="R378" s="50">
        <f t="shared" si="156"/>
        <v>0</v>
      </c>
      <c r="S378" s="51">
        <f t="shared" si="157"/>
        <v>0</v>
      </c>
      <c r="T378" s="64">
        <v>25</v>
      </c>
      <c r="U378" s="65" t="s">
        <v>81</v>
      </c>
      <c r="V378" s="53">
        <f>SUMIF('Avoided Costs 2014-2023'!$A:$A,'2014 Actuals'!U378&amp;ROUNDDOWN('2014 Actuals'!T378,0),'Avoided Costs 2014-2023'!$E:$E)*K378</f>
        <v>133151.63665878834</v>
      </c>
      <c r="W378" s="53">
        <f>SUMIF('Avoided Costs 2014-2023'!$A:$A,'2014 Actuals'!U378&amp;ROUNDDOWN('2014 Actuals'!T378,0),'Avoided Costs 2014-2023'!$K:$K)*O378</f>
        <v>0</v>
      </c>
      <c r="X378" s="53">
        <f>SUMIF('Avoided Costs 2014-2023'!$A:$A,'2014 Actuals'!U378&amp;ROUNDDOWN('2014 Actuals'!T378,0),'Avoided Costs 2014-2023'!$M:$M)*S378</f>
        <v>0</v>
      </c>
      <c r="Y378" s="53">
        <f t="shared" si="158"/>
        <v>133151.63665878834</v>
      </c>
      <c r="Z378" s="55">
        <v>117288</v>
      </c>
      <c r="AA378" s="54">
        <f t="shared" si="159"/>
        <v>103213.44</v>
      </c>
      <c r="AB378" s="54"/>
      <c r="AC378" s="54"/>
      <c r="AD378" s="54"/>
      <c r="AE378" s="54">
        <f t="shared" si="160"/>
        <v>103213.44</v>
      </c>
      <c r="AF378" s="54">
        <f t="shared" si="161"/>
        <v>29938.196658788336</v>
      </c>
      <c r="AG378" s="49">
        <f t="shared" si="162"/>
        <v>1048014.3959999999</v>
      </c>
      <c r="AH378" s="49">
        <f t="shared" si="163"/>
        <v>1190925.45</v>
      </c>
    </row>
    <row r="379" spans="1:34" s="56" customFormat="1">
      <c r="A379" s="62" t="s">
        <v>483</v>
      </c>
      <c r="B379" s="62"/>
      <c r="C379" s="62"/>
      <c r="D379" s="62"/>
      <c r="E379" s="141">
        <v>1</v>
      </c>
      <c r="F379" s="142"/>
      <c r="G379" s="143">
        <v>0.12</v>
      </c>
      <c r="H379" s="143">
        <v>0</v>
      </c>
      <c r="I379" s="49">
        <v>44964</v>
      </c>
      <c r="J379" s="49">
        <f t="shared" si="152"/>
        <v>37634.867999999995</v>
      </c>
      <c r="K379" s="49">
        <f t="shared" si="153"/>
        <v>33118.683839999998</v>
      </c>
      <c r="L379" s="58"/>
      <c r="M379" s="141">
        <v>0</v>
      </c>
      <c r="N379" s="50">
        <f t="shared" si="154"/>
        <v>0</v>
      </c>
      <c r="O379" s="50">
        <f t="shared" si="155"/>
        <v>0</v>
      </c>
      <c r="P379" s="59"/>
      <c r="Q379" s="141">
        <v>0</v>
      </c>
      <c r="R379" s="50">
        <f t="shared" si="156"/>
        <v>0</v>
      </c>
      <c r="S379" s="51">
        <f t="shared" si="157"/>
        <v>0</v>
      </c>
      <c r="T379" s="64">
        <v>15</v>
      </c>
      <c r="U379" s="65" t="s">
        <v>81</v>
      </c>
      <c r="V379" s="53">
        <f>SUMIF('Avoided Costs 2014-2023'!$A:$A,'2014 Actuals'!U379&amp;ROUNDDOWN('2014 Actuals'!T379,0),'Avoided Costs 2014-2023'!$E:$E)*K379</f>
        <v>76665.511093105015</v>
      </c>
      <c r="W379" s="53">
        <f>SUMIF('Avoided Costs 2014-2023'!$A:$A,'2014 Actuals'!U379&amp;ROUNDDOWN('2014 Actuals'!T379,0),'Avoided Costs 2014-2023'!$K:$K)*O379</f>
        <v>0</v>
      </c>
      <c r="X379" s="53">
        <f>SUMIF('Avoided Costs 2014-2023'!$A:$A,'2014 Actuals'!U379&amp;ROUNDDOWN('2014 Actuals'!T379,0),'Avoided Costs 2014-2023'!$M:$M)*S379</f>
        <v>0</v>
      </c>
      <c r="Y379" s="53">
        <f t="shared" si="158"/>
        <v>76665.511093105015</v>
      </c>
      <c r="Z379" s="55">
        <v>52597</v>
      </c>
      <c r="AA379" s="54">
        <f t="shared" si="159"/>
        <v>46285.36</v>
      </c>
      <c r="AB379" s="54"/>
      <c r="AC379" s="54"/>
      <c r="AD379" s="54"/>
      <c r="AE379" s="54">
        <f t="shared" si="160"/>
        <v>46285.36</v>
      </c>
      <c r="AF379" s="54">
        <f t="shared" si="161"/>
        <v>30380.151093105014</v>
      </c>
      <c r="AG379" s="49">
        <f t="shared" si="162"/>
        <v>496780.25759999995</v>
      </c>
      <c r="AH379" s="49">
        <f t="shared" si="163"/>
        <v>564523.0199999999</v>
      </c>
    </row>
    <row r="380" spans="1:34" s="56" customFormat="1">
      <c r="A380" s="62" t="s">
        <v>484</v>
      </c>
      <c r="B380" s="62"/>
      <c r="C380" s="62"/>
      <c r="D380" s="62"/>
      <c r="E380" s="141">
        <v>1</v>
      </c>
      <c r="F380" s="142"/>
      <c r="G380" s="143">
        <v>0.12</v>
      </c>
      <c r="H380" s="143">
        <v>0</v>
      </c>
      <c r="I380" s="49">
        <v>32875</v>
      </c>
      <c r="J380" s="49">
        <f t="shared" si="152"/>
        <v>27516.375</v>
      </c>
      <c r="K380" s="49">
        <f t="shared" si="153"/>
        <v>24214.41</v>
      </c>
      <c r="L380" s="58"/>
      <c r="M380" s="141">
        <v>0</v>
      </c>
      <c r="N380" s="50">
        <f t="shared" si="154"/>
        <v>0</v>
      </c>
      <c r="O380" s="50">
        <f t="shared" si="155"/>
        <v>0</v>
      </c>
      <c r="P380" s="59"/>
      <c r="Q380" s="141">
        <v>0</v>
      </c>
      <c r="R380" s="50">
        <f t="shared" si="156"/>
        <v>0</v>
      </c>
      <c r="S380" s="51">
        <f t="shared" si="157"/>
        <v>0</v>
      </c>
      <c r="T380" s="64">
        <v>5</v>
      </c>
      <c r="U380" s="65" t="s">
        <v>81</v>
      </c>
      <c r="V380" s="53">
        <f>SUMIF('Avoided Costs 2014-2023'!$A:$A,'2014 Actuals'!U380&amp;ROUNDDOWN('2014 Actuals'!T380,0),'Avoided Costs 2014-2023'!$E:$E)*K380</f>
        <v>20603.268424068079</v>
      </c>
      <c r="W380" s="53">
        <f>SUMIF('Avoided Costs 2014-2023'!$A:$A,'2014 Actuals'!U380&amp;ROUNDDOWN('2014 Actuals'!T380,0),'Avoided Costs 2014-2023'!$K:$K)*O380</f>
        <v>0</v>
      </c>
      <c r="X380" s="53">
        <f>SUMIF('Avoided Costs 2014-2023'!$A:$A,'2014 Actuals'!U380&amp;ROUNDDOWN('2014 Actuals'!T380,0),'Avoided Costs 2014-2023'!$M:$M)*S380</f>
        <v>0</v>
      </c>
      <c r="Y380" s="53">
        <f t="shared" si="158"/>
        <v>20603.268424068079</v>
      </c>
      <c r="Z380" s="55">
        <v>6275.34</v>
      </c>
      <c r="AA380" s="54">
        <f t="shared" si="159"/>
        <v>5522.2992000000004</v>
      </c>
      <c r="AB380" s="54"/>
      <c r="AC380" s="54"/>
      <c r="AD380" s="54"/>
      <c r="AE380" s="54">
        <f t="shared" si="160"/>
        <v>5522.2992000000004</v>
      </c>
      <c r="AF380" s="54">
        <f t="shared" si="161"/>
        <v>15080.969224068078</v>
      </c>
      <c r="AG380" s="49">
        <f t="shared" si="162"/>
        <v>121072.05</v>
      </c>
      <c r="AH380" s="49">
        <f t="shared" si="163"/>
        <v>137581.875</v>
      </c>
    </row>
    <row r="381" spans="1:34" s="56" customFormat="1">
      <c r="A381" s="62" t="s">
        <v>485</v>
      </c>
      <c r="B381" s="62"/>
      <c r="C381" s="62"/>
      <c r="D381" s="62"/>
      <c r="E381" s="141">
        <v>1</v>
      </c>
      <c r="F381" s="142"/>
      <c r="G381" s="143">
        <v>0.12</v>
      </c>
      <c r="H381" s="143">
        <v>0</v>
      </c>
      <c r="I381" s="49">
        <v>9379</v>
      </c>
      <c r="J381" s="49">
        <f t="shared" si="152"/>
        <v>7850.223</v>
      </c>
      <c r="K381" s="49">
        <f t="shared" si="153"/>
        <v>6908.1962400000002</v>
      </c>
      <c r="L381" s="58"/>
      <c r="M381" s="141">
        <v>1518</v>
      </c>
      <c r="N381" s="50">
        <f t="shared" si="154"/>
        <v>1518</v>
      </c>
      <c r="O381" s="50">
        <f t="shared" si="155"/>
        <v>1335.84</v>
      </c>
      <c r="P381" s="59"/>
      <c r="Q381" s="141">
        <v>0</v>
      </c>
      <c r="R381" s="50">
        <f t="shared" si="156"/>
        <v>0</v>
      </c>
      <c r="S381" s="51">
        <f t="shared" si="157"/>
        <v>0</v>
      </c>
      <c r="T381" s="64">
        <v>15</v>
      </c>
      <c r="U381" s="65" t="s">
        <v>81</v>
      </c>
      <c r="V381" s="53">
        <f>SUMIF('Avoided Costs 2014-2023'!$A:$A,'2014 Actuals'!U381&amp;ROUNDDOWN('2014 Actuals'!T381,0),'Avoided Costs 2014-2023'!$E:$E)*K381</f>
        <v>15991.589461396496</v>
      </c>
      <c r="W381" s="53">
        <f>SUMIF('Avoided Costs 2014-2023'!$A:$A,'2014 Actuals'!U381&amp;ROUNDDOWN('2014 Actuals'!T381,0),'Avoided Costs 2014-2023'!$K:$K)*O381</f>
        <v>1579.6045677427389</v>
      </c>
      <c r="X381" s="53">
        <f>SUMIF('Avoided Costs 2014-2023'!$A:$A,'2014 Actuals'!U381&amp;ROUNDDOWN('2014 Actuals'!T381,0),'Avoided Costs 2014-2023'!$M:$M)*S381</f>
        <v>0</v>
      </c>
      <c r="Y381" s="53">
        <f t="shared" si="158"/>
        <v>17571.194029139235</v>
      </c>
      <c r="Z381" s="55">
        <v>85181</v>
      </c>
      <c r="AA381" s="54">
        <f t="shared" si="159"/>
        <v>74959.28</v>
      </c>
      <c r="AB381" s="54"/>
      <c r="AC381" s="54"/>
      <c r="AD381" s="54"/>
      <c r="AE381" s="54">
        <f t="shared" si="160"/>
        <v>74959.28</v>
      </c>
      <c r="AF381" s="54">
        <f t="shared" si="161"/>
        <v>-57388.08597086076</v>
      </c>
      <c r="AG381" s="49">
        <f t="shared" si="162"/>
        <v>103622.9436</v>
      </c>
      <c r="AH381" s="49">
        <f t="shared" si="163"/>
        <v>117753.345</v>
      </c>
    </row>
    <row r="382" spans="1:34" s="56" customFormat="1">
      <c r="A382" s="62" t="s">
        <v>486</v>
      </c>
      <c r="B382" s="62"/>
      <c r="C382" s="62"/>
      <c r="D382" s="62"/>
      <c r="E382" s="141">
        <v>1</v>
      </c>
      <c r="F382" s="142"/>
      <c r="G382" s="143">
        <v>0.12</v>
      </c>
      <c r="H382" s="143">
        <v>0</v>
      </c>
      <c r="I382" s="49">
        <v>104583</v>
      </c>
      <c r="J382" s="49">
        <f t="shared" si="152"/>
        <v>87535.97099999999</v>
      </c>
      <c r="K382" s="49">
        <f t="shared" si="153"/>
        <v>77031.654479999997</v>
      </c>
      <c r="L382" s="58"/>
      <c r="M382" s="141">
        <v>0</v>
      </c>
      <c r="N382" s="50">
        <f t="shared" si="154"/>
        <v>0</v>
      </c>
      <c r="O382" s="50">
        <f t="shared" si="155"/>
        <v>0</v>
      </c>
      <c r="P382" s="59"/>
      <c r="Q382" s="141">
        <v>0</v>
      </c>
      <c r="R382" s="50">
        <f t="shared" si="156"/>
        <v>0</v>
      </c>
      <c r="S382" s="51">
        <f t="shared" si="157"/>
        <v>0</v>
      </c>
      <c r="T382" s="64">
        <v>15</v>
      </c>
      <c r="U382" s="65" t="s">
        <v>81</v>
      </c>
      <c r="V382" s="53">
        <f>SUMIF('Avoided Costs 2014-2023'!$A:$A,'2014 Actuals'!U382&amp;ROUNDDOWN('2014 Actuals'!T382,0),'Avoided Costs 2014-2023'!$E:$E)*K382</f>
        <v>178318.41354528518</v>
      </c>
      <c r="W382" s="53">
        <f>SUMIF('Avoided Costs 2014-2023'!$A:$A,'2014 Actuals'!U382&amp;ROUNDDOWN('2014 Actuals'!T382,0),'Avoided Costs 2014-2023'!$K:$K)*O382</f>
        <v>0</v>
      </c>
      <c r="X382" s="53">
        <f>SUMIF('Avoided Costs 2014-2023'!$A:$A,'2014 Actuals'!U382&amp;ROUNDDOWN('2014 Actuals'!T382,0),'Avoided Costs 2014-2023'!$M:$M)*S382</f>
        <v>0</v>
      </c>
      <c r="Y382" s="53">
        <f t="shared" si="158"/>
        <v>178318.41354528518</v>
      </c>
      <c r="Z382" s="55">
        <v>49250</v>
      </c>
      <c r="AA382" s="54">
        <f t="shared" si="159"/>
        <v>43340</v>
      </c>
      <c r="AB382" s="54"/>
      <c r="AC382" s="54"/>
      <c r="AD382" s="54"/>
      <c r="AE382" s="54">
        <f t="shared" si="160"/>
        <v>43340</v>
      </c>
      <c r="AF382" s="54">
        <f t="shared" si="161"/>
        <v>134978.41354528518</v>
      </c>
      <c r="AG382" s="49">
        <f t="shared" si="162"/>
        <v>1155474.8171999999</v>
      </c>
      <c r="AH382" s="49">
        <f t="shared" si="163"/>
        <v>1313039.5649999999</v>
      </c>
    </row>
    <row r="383" spans="1:34" s="56" customFormat="1">
      <c r="A383" s="62" t="s">
        <v>487</v>
      </c>
      <c r="B383" s="62"/>
      <c r="C383" s="62"/>
      <c r="D383" s="62"/>
      <c r="E383" s="141">
        <v>1</v>
      </c>
      <c r="F383" s="142"/>
      <c r="G383" s="143">
        <v>0.12</v>
      </c>
      <c r="H383" s="143">
        <v>0</v>
      </c>
      <c r="I383" s="49">
        <v>446111</v>
      </c>
      <c r="J383" s="49">
        <f t="shared" si="152"/>
        <v>373394.90700000001</v>
      </c>
      <c r="K383" s="49">
        <f t="shared" si="153"/>
        <v>328587.51816000004</v>
      </c>
      <c r="L383" s="58"/>
      <c r="M383" s="141">
        <v>5461795</v>
      </c>
      <c r="N383" s="50">
        <f t="shared" si="154"/>
        <v>5461795</v>
      </c>
      <c r="O383" s="50">
        <f t="shared" si="155"/>
        <v>4806379.5999999996</v>
      </c>
      <c r="P383" s="59"/>
      <c r="Q383" s="141">
        <v>0</v>
      </c>
      <c r="R383" s="50">
        <f t="shared" si="156"/>
        <v>0</v>
      </c>
      <c r="S383" s="51">
        <f t="shared" si="157"/>
        <v>0</v>
      </c>
      <c r="T383" s="64">
        <v>20</v>
      </c>
      <c r="U383" s="65" t="s">
        <v>81</v>
      </c>
      <c r="V383" s="53">
        <f>SUMIF('Avoided Costs 2014-2023'!$A:$A,'2014 Actuals'!U383&amp;ROUNDDOWN('2014 Actuals'!T383,0),'Avoided Costs 2014-2023'!$E:$E)*K383</f>
        <v>919014.25681768905</v>
      </c>
      <c r="W383" s="53">
        <f>SUMIF('Avoided Costs 2014-2023'!$A:$A,'2014 Actuals'!U383&amp;ROUNDDOWN('2014 Actuals'!T383,0),'Avoided Costs 2014-2023'!$K:$K)*O383</f>
        <v>6835186.8322055312</v>
      </c>
      <c r="X383" s="53">
        <f>SUMIF('Avoided Costs 2014-2023'!$A:$A,'2014 Actuals'!U383&amp;ROUNDDOWN('2014 Actuals'!T383,0),'Avoided Costs 2014-2023'!$M:$M)*S383</f>
        <v>0</v>
      </c>
      <c r="Y383" s="53">
        <f t="shared" si="158"/>
        <v>7754201.0890232204</v>
      </c>
      <c r="Z383" s="55">
        <v>2517370</v>
      </c>
      <c r="AA383" s="54">
        <f t="shared" si="159"/>
        <v>2215285.6</v>
      </c>
      <c r="AB383" s="54"/>
      <c r="AC383" s="54"/>
      <c r="AD383" s="54"/>
      <c r="AE383" s="54">
        <f t="shared" si="160"/>
        <v>2215285.6</v>
      </c>
      <c r="AF383" s="54">
        <f t="shared" si="161"/>
        <v>5538915.4890232198</v>
      </c>
      <c r="AG383" s="49">
        <f t="shared" si="162"/>
        <v>6571750.3632000005</v>
      </c>
      <c r="AH383" s="49">
        <f t="shared" si="163"/>
        <v>7467898.1400000006</v>
      </c>
    </row>
    <row r="384" spans="1:34" s="56" customFormat="1">
      <c r="A384" s="62" t="s">
        <v>488</v>
      </c>
      <c r="B384" s="62"/>
      <c r="C384" s="62"/>
      <c r="D384" s="62"/>
      <c r="E384" s="141">
        <v>1</v>
      </c>
      <c r="F384" s="142"/>
      <c r="G384" s="143">
        <v>0.12</v>
      </c>
      <c r="H384" s="143">
        <v>0</v>
      </c>
      <c r="I384" s="49">
        <v>69969</v>
      </c>
      <c r="J384" s="49">
        <f t="shared" si="152"/>
        <v>58564.053</v>
      </c>
      <c r="K384" s="49">
        <f t="shared" si="153"/>
        <v>51536.36664</v>
      </c>
      <c r="L384" s="58"/>
      <c r="M384" s="141">
        <v>0</v>
      </c>
      <c r="N384" s="50">
        <f t="shared" si="154"/>
        <v>0</v>
      </c>
      <c r="O384" s="50">
        <f t="shared" si="155"/>
        <v>0</v>
      </c>
      <c r="P384" s="59"/>
      <c r="Q384" s="141">
        <v>0</v>
      </c>
      <c r="R384" s="50">
        <f t="shared" si="156"/>
        <v>0</v>
      </c>
      <c r="S384" s="51">
        <f t="shared" si="157"/>
        <v>0</v>
      </c>
      <c r="T384" s="64">
        <v>15</v>
      </c>
      <c r="U384" s="65" t="s">
        <v>81</v>
      </c>
      <c r="V384" s="53">
        <f>SUMIF('Avoided Costs 2014-2023'!$A:$A,'2014 Actuals'!U384&amp;ROUNDDOWN('2014 Actuals'!T384,0),'Avoided Costs 2014-2023'!$E:$E)*K384</f>
        <v>119300.08775183403</v>
      </c>
      <c r="W384" s="53">
        <f>SUMIF('Avoided Costs 2014-2023'!$A:$A,'2014 Actuals'!U384&amp;ROUNDDOWN('2014 Actuals'!T384,0),'Avoided Costs 2014-2023'!$K:$K)*O384</f>
        <v>0</v>
      </c>
      <c r="X384" s="53">
        <f>SUMIF('Avoided Costs 2014-2023'!$A:$A,'2014 Actuals'!U384&amp;ROUNDDOWN('2014 Actuals'!T384,0),'Avoided Costs 2014-2023'!$M:$M)*S384</f>
        <v>0</v>
      </c>
      <c r="Y384" s="53">
        <f t="shared" si="158"/>
        <v>119300.08775183403</v>
      </c>
      <c r="Z384" s="55">
        <v>30000</v>
      </c>
      <c r="AA384" s="54">
        <f t="shared" si="159"/>
        <v>26400</v>
      </c>
      <c r="AB384" s="54"/>
      <c r="AC384" s="54"/>
      <c r="AD384" s="54"/>
      <c r="AE384" s="54">
        <f t="shared" si="160"/>
        <v>26400</v>
      </c>
      <c r="AF384" s="54">
        <f t="shared" si="161"/>
        <v>92900.087751834028</v>
      </c>
      <c r="AG384" s="49">
        <f t="shared" si="162"/>
        <v>773045.49959999998</v>
      </c>
      <c r="AH384" s="49">
        <f t="shared" si="163"/>
        <v>878460.79500000004</v>
      </c>
    </row>
    <row r="385" spans="1:34" s="56" customFormat="1">
      <c r="A385" s="62" t="s">
        <v>489</v>
      </c>
      <c r="B385" s="62"/>
      <c r="C385" s="62"/>
      <c r="D385" s="62"/>
      <c r="E385" s="141">
        <v>1</v>
      </c>
      <c r="F385" s="142"/>
      <c r="G385" s="143">
        <v>0.12</v>
      </c>
      <c r="H385" s="143">
        <v>0</v>
      </c>
      <c r="I385" s="49">
        <v>297118</v>
      </c>
      <c r="J385" s="49">
        <f t="shared" si="152"/>
        <v>248687.766</v>
      </c>
      <c r="K385" s="49">
        <f t="shared" si="153"/>
        <v>218845.23407999999</v>
      </c>
      <c r="L385" s="58"/>
      <c r="M385" s="141">
        <v>0</v>
      </c>
      <c r="N385" s="50">
        <f t="shared" si="154"/>
        <v>0</v>
      </c>
      <c r="O385" s="50">
        <f t="shared" si="155"/>
        <v>0</v>
      </c>
      <c r="P385" s="59"/>
      <c r="Q385" s="141">
        <v>0</v>
      </c>
      <c r="R385" s="50">
        <f t="shared" si="156"/>
        <v>0</v>
      </c>
      <c r="S385" s="51">
        <f t="shared" si="157"/>
        <v>0</v>
      </c>
      <c r="T385" s="64">
        <v>5</v>
      </c>
      <c r="U385" s="65" t="s">
        <v>81</v>
      </c>
      <c r="V385" s="53">
        <f>SUMIF('Avoided Costs 2014-2023'!$A:$A,'2014 Actuals'!U385&amp;ROUNDDOWN('2014 Actuals'!T385,0),'Avoided Costs 2014-2023'!$E:$E)*K385</f>
        <v>186208.42304554401</v>
      </c>
      <c r="W385" s="53">
        <f>SUMIF('Avoided Costs 2014-2023'!$A:$A,'2014 Actuals'!U385&amp;ROUNDDOWN('2014 Actuals'!T385,0),'Avoided Costs 2014-2023'!$K:$K)*O385</f>
        <v>0</v>
      </c>
      <c r="X385" s="53">
        <f>SUMIF('Avoided Costs 2014-2023'!$A:$A,'2014 Actuals'!U385&amp;ROUNDDOWN('2014 Actuals'!T385,0),'Avoided Costs 2014-2023'!$M:$M)*S385</f>
        <v>0</v>
      </c>
      <c r="Y385" s="53">
        <f t="shared" si="158"/>
        <v>186208.42304554401</v>
      </c>
      <c r="Z385" s="55">
        <v>3120</v>
      </c>
      <c r="AA385" s="54">
        <f t="shared" si="159"/>
        <v>2745.6</v>
      </c>
      <c r="AB385" s="54"/>
      <c r="AC385" s="54"/>
      <c r="AD385" s="54"/>
      <c r="AE385" s="54">
        <f t="shared" si="160"/>
        <v>2745.6</v>
      </c>
      <c r="AF385" s="54">
        <f t="shared" si="161"/>
        <v>183462.82304554401</v>
      </c>
      <c r="AG385" s="49">
        <f t="shared" si="162"/>
        <v>1094226.1703999999</v>
      </c>
      <c r="AH385" s="49">
        <f t="shared" si="163"/>
        <v>1243438.83</v>
      </c>
    </row>
    <row r="386" spans="1:34" s="56" customFormat="1">
      <c r="A386" s="62" t="s">
        <v>490</v>
      </c>
      <c r="B386" s="62"/>
      <c r="C386" s="62"/>
      <c r="D386" s="62"/>
      <c r="E386" s="141">
        <v>1</v>
      </c>
      <c r="F386" s="142"/>
      <c r="G386" s="143">
        <v>0.12</v>
      </c>
      <c r="H386" s="143">
        <v>0</v>
      </c>
      <c r="I386" s="49">
        <v>226267</v>
      </c>
      <c r="J386" s="49">
        <f t="shared" si="152"/>
        <v>189385.47899999999</v>
      </c>
      <c r="K386" s="49">
        <f t="shared" si="153"/>
        <v>166659.22151999999</v>
      </c>
      <c r="L386" s="58"/>
      <c r="M386" s="141">
        <v>0</v>
      </c>
      <c r="N386" s="50">
        <f t="shared" si="154"/>
        <v>0</v>
      </c>
      <c r="O386" s="50">
        <f t="shared" si="155"/>
        <v>0</v>
      </c>
      <c r="P386" s="59"/>
      <c r="Q386" s="141">
        <v>0</v>
      </c>
      <c r="R386" s="50">
        <f t="shared" si="156"/>
        <v>0</v>
      </c>
      <c r="S386" s="51">
        <f t="shared" si="157"/>
        <v>0</v>
      </c>
      <c r="T386" s="64">
        <v>5</v>
      </c>
      <c r="U386" s="65" t="s">
        <v>81</v>
      </c>
      <c r="V386" s="53">
        <f>SUMIF('Avoided Costs 2014-2023'!$A:$A,'2014 Actuals'!U386&amp;ROUNDDOWN('2014 Actuals'!T386,0),'Avoided Costs 2014-2023'!$E:$E)*K386</f>
        <v>141805.01099645966</v>
      </c>
      <c r="W386" s="53">
        <f>SUMIF('Avoided Costs 2014-2023'!$A:$A,'2014 Actuals'!U386&amp;ROUNDDOWN('2014 Actuals'!T386,0),'Avoided Costs 2014-2023'!$K:$K)*O386</f>
        <v>0</v>
      </c>
      <c r="X386" s="53">
        <f>SUMIF('Avoided Costs 2014-2023'!$A:$A,'2014 Actuals'!U386&amp;ROUNDDOWN('2014 Actuals'!T386,0),'Avoided Costs 2014-2023'!$M:$M)*S386</f>
        <v>0</v>
      </c>
      <c r="Y386" s="53">
        <f t="shared" si="158"/>
        <v>141805.01099645966</v>
      </c>
      <c r="Z386" s="55">
        <v>55300</v>
      </c>
      <c r="AA386" s="54">
        <f t="shared" si="159"/>
        <v>48664</v>
      </c>
      <c r="AB386" s="54"/>
      <c r="AC386" s="54"/>
      <c r="AD386" s="54"/>
      <c r="AE386" s="54">
        <f t="shared" si="160"/>
        <v>48664</v>
      </c>
      <c r="AF386" s="54">
        <f t="shared" si="161"/>
        <v>93141.010996459663</v>
      </c>
      <c r="AG386" s="49">
        <f t="shared" si="162"/>
        <v>833296.10759999999</v>
      </c>
      <c r="AH386" s="49">
        <f t="shared" si="163"/>
        <v>946927.39500000002</v>
      </c>
    </row>
    <row r="387" spans="1:34" s="56" customFormat="1">
      <c r="A387" s="136" t="s">
        <v>491</v>
      </c>
      <c r="B387" s="136"/>
      <c r="C387" s="136"/>
      <c r="D387" s="136"/>
      <c r="E387" s="137">
        <v>1</v>
      </c>
      <c r="F387" s="138"/>
      <c r="G387" s="139">
        <v>0.12</v>
      </c>
      <c r="H387" s="139">
        <v>0</v>
      </c>
      <c r="I387" s="49">
        <v>1066638</v>
      </c>
      <c r="J387" s="49">
        <f t="shared" si="152"/>
        <v>892776.00599999994</v>
      </c>
      <c r="K387" s="49">
        <f t="shared" si="153"/>
        <v>785642.88527999993</v>
      </c>
      <c r="L387" s="138"/>
      <c r="M387" s="137">
        <v>1486515</v>
      </c>
      <c r="N387" s="50">
        <f t="shared" si="154"/>
        <v>1486515</v>
      </c>
      <c r="O387" s="50">
        <f t="shared" si="155"/>
        <v>1308133.2</v>
      </c>
      <c r="P387" s="140"/>
      <c r="Q387" s="137">
        <v>0</v>
      </c>
      <c r="R387" s="50">
        <f t="shared" si="156"/>
        <v>0</v>
      </c>
      <c r="S387" s="51">
        <f t="shared" si="157"/>
        <v>0</v>
      </c>
      <c r="T387" s="64">
        <v>15</v>
      </c>
      <c r="U387" s="65" t="s">
        <v>81</v>
      </c>
      <c r="V387" s="53">
        <f>SUMIF('Avoided Costs 2014-2023'!$A:$A,'2014 Actuals'!U387&amp;ROUNDDOWN('2014 Actuals'!T387,0),'Avoided Costs 2014-2023'!$E:$E)*K387</f>
        <v>1818662.6505944165</v>
      </c>
      <c r="W387" s="53">
        <f>SUMIF('Avoided Costs 2014-2023'!$A:$A,'2014 Actuals'!U387&amp;ROUNDDOWN('2014 Actuals'!T387,0),'Avoided Costs 2014-2023'!$K:$K)*O387</f>
        <v>1546841.8208287864</v>
      </c>
      <c r="X387" s="53">
        <f>SUMIF('Avoided Costs 2014-2023'!$A:$A,'2014 Actuals'!U387&amp;ROUNDDOWN('2014 Actuals'!T387,0),'Avoided Costs 2014-2023'!$M:$M)*S387</f>
        <v>0</v>
      </c>
      <c r="Y387" s="53">
        <f t="shared" si="158"/>
        <v>3365504.4714232031</v>
      </c>
      <c r="Z387" s="55">
        <v>1821275</v>
      </c>
      <c r="AA387" s="54">
        <f t="shared" si="159"/>
        <v>1602722</v>
      </c>
      <c r="AB387" s="54"/>
      <c r="AC387" s="54"/>
      <c r="AD387" s="54"/>
      <c r="AE387" s="54">
        <f t="shared" si="160"/>
        <v>1602722</v>
      </c>
      <c r="AF387" s="54">
        <f t="shared" si="161"/>
        <v>1762782.4714232031</v>
      </c>
      <c r="AG387" s="49">
        <f t="shared" si="162"/>
        <v>11784643.279199999</v>
      </c>
      <c r="AH387" s="49">
        <f t="shared" si="163"/>
        <v>13391640.09</v>
      </c>
    </row>
    <row r="388" spans="1:34" s="69" customFormat="1" collapsed="1">
      <c r="A388" s="145" t="s">
        <v>35</v>
      </c>
      <c r="B388" s="145" t="s">
        <v>492</v>
      </c>
      <c r="C388" s="65"/>
      <c r="D388" s="65">
        <v>0</v>
      </c>
      <c r="E388" s="51">
        <f>SUM(E371:E387)</f>
        <v>16</v>
      </c>
      <c r="F388" s="105"/>
      <c r="G388" s="147"/>
      <c r="H388" s="211"/>
      <c r="I388" s="49">
        <f>SUM(I371:I387)</f>
        <v>2853474</v>
      </c>
      <c r="J388" s="49">
        <f>SUM(J371:J387)</f>
        <v>2388357.7379999999</v>
      </c>
      <c r="K388" s="49">
        <f>SUM(K371:K387)</f>
        <v>2101754.80944</v>
      </c>
      <c r="L388" s="146"/>
      <c r="M388" s="49">
        <f>SUM(M371:M387)</f>
        <v>6947103</v>
      </c>
      <c r="N388" s="49">
        <f>SUM(N371:N387)</f>
        <v>6947103</v>
      </c>
      <c r="O388" s="49">
        <f>SUM(O371:O387)</f>
        <v>6113450.6399999997</v>
      </c>
      <c r="P388" s="148"/>
      <c r="Q388" s="49">
        <f>SUM(Q371:Q387)</f>
        <v>0</v>
      </c>
      <c r="R388" s="49">
        <f>SUM(R371:R387)</f>
        <v>0</v>
      </c>
      <c r="S388" s="49">
        <f>SUM(S371:S387)</f>
        <v>0</v>
      </c>
      <c r="T388" s="64"/>
      <c r="U388" s="65"/>
      <c r="V388" s="54">
        <f t="shared" ref="V388:AA388" si="164">SUM(V371:V387)</f>
        <v>4537330.0945941778</v>
      </c>
      <c r="W388" s="54">
        <f t="shared" si="164"/>
        <v>8380772.6696922453</v>
      </c>
      <c r="X388" s="54">
        <f t="shared" si="164"/>
        <v>0</v>
      </c>
      <c r="Y388" s="54">
        <f t="shared" si="164"/>
        <v>12918102.764286423</v>
      </c>
      <c r="Z388" s="54"/>
      <c r="AA388" s="54">
        <f t="shared" si="164"/>
        <v>4426201.6392000001</v>
      </c>
      <c r="AB388" s="54">
        <v>178696.68</v>
      </c>
      <c r="AC388" s="54">
        <v>32960.550000000003</v>
      </c>
      <c r="AD388" s="54">
        <f>AB388+AC388</f>
        <v>211657.22999999998</v>
      </c>
      <c r="AE388" s="54">
        <f t="shared" si="160"/>
        <v>4459162.1891999999</v>
      </c>
      <c r="AF388" s="212">
        <f t="shared" si="161"/>
        <v>8458940.5750864223</v>
      </c>
      <c r="AG388" s="49">
        <f>SUM(AG371:AG387)</f>
        <v>30631854.726</v>
      </c>
      <c r="AH388" s="49">
        <f>SUM(AH371:AH387)</f>
        <v>34808925.825000003</v>
      </c>
    </row>
    <row r="389" spans="1:34">
      <c r="A389" s="135"/>
      <c r="K389" s="11"/>
      <c r="P389" s="23"/>
      <c r="Q389" s="11"/>
      <c r="S389" s="11"/>
      <c r="T389" s="48"/>
      <c r="AA389" s="40"/>
      <c r="AB389" s="40"/>
      <c r="AD389" s="40"/>
      <c r="AE389" s="40"/>
      <c r="AF389" s="40"/>
      <c r="AG389" s="38"/>
      <c r="AH389" s="38"/>
    </row>
    <row r="390" spans="1:34" s="69" customFormat="1">
      <c r="A390" s="224"/>
      <c r="B390" s="224"/>
      <c r="C390" s="121"/>
      <c r="D390" s="121"/>
      <c r="E390" s="225"/>
      <c r="F390" s="226"/>
      <c r="G390" s="227"/>
      <c r="H390" s="228"/>
      <c r="I390" s="229"/>
      <c r="J390" s="229"/>
      <c r="K390" s="229"/>
      <c r="L390" s="230"/>
      <c r="M390" s="229"/>
      <c r="N390" s="229"/>
      <c r="O390" s="229"/>
      <c r="P390" s="231"/>
      <c r="Q390" s="229"/>
      <c r="R390" s="229"/>
      <c r="S390" s="229"/>
      <c r="T390" s="232"/>
      <c r="U390" s="121"/>
      <c r="V390" s="233"/>
      <c r="W390" s="233"/>
      <c r="X390" s="233"/>
      <c r="Y390" s="233"/>
      <c r="Z390" s="234"/>
      <c r="AA390" s="233"/>
      <c r="AB390" s="233"/>
      <c r="AC390" s="233"/>
      <c r="AD390" s="233"/>
      <c r="AE390" s="233"/>
      <c r="AF390" s="233"/>
      <c r="AG390" s="235"/>
      <c r="AH390" s="235"/>
    </row>
    <row r="391" spans="1:34">
      <c r="A391" s="224" t="s">
        <v>493</v>
      </c>
      <c r="B391" s="202"/>
      <c r="C391" s="121"/>
      <c r="D391" s="121"/>
      <c r="E391" s="203">
        <f>E388+E368+E339+E329+E274+E226+E186+E130+E86+E56+E190</f>
        <v>292</v>
      </c>
      <c r="F391" s="116"/>
      <c r="G391" s="117"/>
      <c r="H391" s="118"/>
      <c r="I391" s="203">
        <f>I388+I368+I339+I329+I274+I226+I186+I130+I86+I56+I190</f>
        <v>11008296</v>
      </c>
      <c r="J391" s="203">
        <f>J388+J368+J339+J329+J274+J226+J186+J130+J86+J56+J190</f>
        <v>9213943.7520000003</v>
      </c>
      <c r="K391" s="203">
        <f>K388+K368+K339+K329+K274+K226+K186+K130+K86+K56+K190</f>
        <v>8108270.5017599994</v>
      </c>
      <c r="L391" s="116"/>
      <c r="M391" s="203">
        <f>M388+M368+M339+M329+M274+M226+M186+M130+M86+M56+M190</f>
        <v>9090539</v>
      </c>
      <c r="N391" s="203">
        <f>N388+N368+N339+N329+N274+N226+N186+N130+N86+N56+N190</f>
        <v>9090539</v>
      </c>
      <c r="O391" s="203">
        <f>O388+O368+O339+O329+O274+O226+O186+O130+O86+O56+O190</f>
        <v>7999674.3199999994</v>
      </c>
      <c r="P391" s="119"/>
      <c r="Q391" s="203">
        <f>Q388+Q368+Q339+Q329+Q274+Q226+Q186+Q130+Q86+Q56+Q190</f>
        <v>0</v>
      </c>
      <c r="R391" s="203">
        <f>R388+R368+R339+R329+R274+R226+R186+R130+R86+R56+R190</f>
        <v>0</v>
      </c>
      <c r="S391" s="203">
        <f>S388+S368+S339+S329+S274+S226+S186+S130+S86+S56+S190</f>
        <v>0</v>
      </c>
      <c r="T391" s="120"/>
      <c r="U391" s="121"/>
      <c r="V391" s="204">
        <f>V388+V368+V339+V329+V274+V226+V186+V130+V86+V56+V190</f>
        <v>18201056.451788127</v>
      </c>
      <c r="W391" s="204">
        <f>W388+W368+W339+W329+W274+W226+W186+W130+W86+W56+W190</f>
        <v>10611025.060086155</v>
      </c>
      <c r="X391" s="204">
        <f>X388+X368+X339+X329+X274+X226+X186+X130+X86+X56+X190</f>
        <v>0</v>
      </c>
      <c r="Y391" s="204">
        <f>Y388+Y368+Y339+Y329+Y274+Y226+Y186+Y130+Y86+Y56+Y190</f>
        <v>28812081.511874281</v>
      </c>
      <c r="Z391" s="122"/>
      <c r="AA391" s="204">
        <f>AA388+AA368+AA339+AA329+AA274+AA226+AA186+AA130+AA86+AA56+AA190</f>
        <v>11992894.082400002</v>
      </c>
      <c r="AB391" s="204">
        <f t="shared" ref="AB391:AH391" si="165">AB388+AB368+AB339+AB329+AB274+AB226+AB186+AB130+AB86+AB56+AB190</f>
        <v>1877591.71</v>
      </c>
      <c r="AC391" s="204">
        <f t="shared" si="165"/>
        <v>787173.15</v>
      </c>
      <c r="AD391" s="204">
        <f t="shared" si="165"/>
        <v>2664764.86</v>
      </c>
      <c r="AE391" s="204">
        <f t="shared" si="165"/>
        <v>12780067.232400002</v>
      </c>
      <c r="AF391" s="205">
        <f t="shared" si="165"/>
        <v>16032014.279474277</v>
      </c>
      <c r="AG391" s="203">
        <f t="shared" si="165"/>
        <v>126504557.5004091</v>
      </c>
      <c r="AH391" s="206">
        <f t="shared" si="165"/>
        <v>143755178.97773761</v>
      </c>
    </row>
    <row r="392" spans="1:34">
      <c r="A392" s="44"/>
      <c r="B392" s="69"/>
      <c r="C392" s="43"/>
      <c r="D392" s="43"/>
      <c r="E392" s="11"/>
      <c r="F392" s="12"/>
      <c r="G392" s="13"/>
      <c r="H392" s="14"/>
      <c r="I392" s="11"/>
      <c r="J392" s="11"/>
      <c r="K392" s="11"/>
      <c r="L392" s="12"/>
      <c r="M392" s="11"/>
      <c r="N392" s="11"/>
      <c r="O392" s="11"/>
      <c r="P392" s="23"/>
      <c r="Q392" s="11"/>
      <c r="R392" s="11"/>
      <c r="S392" s="11"/>
      <c r="T392" s="48"/>
      <c r="U392" s="43"/>
      <c r="V392" s="40"/>
      <c r="W392" s="40"/>
      <c r="X392" s="40"/>
      <c r="Y392" s="40"/>
      <c r="Z392" s="66"/>
      <c r="AA392" s="40"/>
      <c r="AB392" s="40"/>
      <c r="AC392" s="40"/>
      <c r="AD392" s="40"/>
      <c r="AE392" s="40"/>
      <c r="AF392" s="40"/>
      <c r="AG392" s="236"/>
      <c r="AH392" s="236"/>
    </row>
    <row r="393" spans="1:34">
      <c r="A393" s="44"/>
      <c r="B393" s="69" t="s">
        <v>494</v>
      </c>
      <c r="C393" s="43"/>
      <c r="D393" s="43"/>
      <c r="E393" s="11"/>
      <c r="F393" s="12"/>
      <c r="G393" s="13"/>
      <c r="H393" s="14"/>
      <c r="I393" s="11"/>
      <c r="J393" s="11"/>
      <c r="K393" s="11"/>
      <c r="L393" s="12"/>
      <c r="M393" s="11"/>
      <c r="N393" s="11"/>
      <c r="O393" s="11"/>
      <c r="P393" s="23"/>
      <c r="Q393" s="11"/>
      <c r="R393" s="11"/>
      <c r="S393" s="11"/>
      <c r="T393" s="48"/>
      <c r="U393" s="43"/>
      <c r="V393" s="40"/>
      <c r="W393" s="40"/>
      <c r="X393" s="40"/>
      <c r="Y393" s="40"/>
      <c r="Z393" s="66"/>
      <c r="AA393" s="40"/>
      <c r="AB393" s="40"/>
      <c r="AC393" s="40"/>
      <c r="AD393" s="40"/>
      <c r="AE393" s="40"/>
      <c r="AF393" s="40"/>
      <c r="AG393" s="236"/>
      <c r="AH393" s="236"/>
    </row>
    <row r="394" spans="1:34" s="56" customFormat="1">
      <c r="A394" s="62" t="s">
        <v>495</v>
      </c>
      <c r="B394" s="62" t="s">
        <v>496</v>
      </c>
      <c r="C394" s="62"/>
      <c r="D394" s="62"/>
      <c r="E394" s="141">
        <v>45</v>
      </c>
      <c r="F394" s="142">
        <f>IF(E394=0,0,I394/E394)</f>
        <v>13890.844444444445</v>
      </c>
      <c r="G394" s="143">
        <v>0</v>
      </c>
      <c r="H394" s="143">
        <v>0</v>
      </c>
      <c r="I394" s="49">
        <f>J394</f>
        <v>625088</v>
      </c>
      <c r="J394" s="49">
        <f>K394/(1-G394)</f>
        <v>625088</v>
      </c>
      <c r="K394" s="49">
        <f>AG394/T394</f>
        <v>625088</v>
      </c>
      <c r="L394" s="58"/>
      <c r="M394" s="141"/>
      <c r="N394" s="50">
        <f>+$M$42*M394</f>
        <v>0</v>
      </c>
      <c r="O394" s="50">
        <f>N394*(1-G394)</f>
        <v>0</v>
      </c>
      <c r="P394" s="59"/>
      <c r="Q394" s="141"/>
      <c r="R394" s="50">
        <f>+Q394*$Q$42</f>
        <v>0</v>
      </c>
      <c r="S394" s="51">
        <f>R394*(1-G394)</f>
        <v>0</v>
      </c>
      <c r="T394" s="67">
        <f>'[4]2014 Notes'!B204</f>
        <v>5</v>
      </c>
      <c r="U394" s="65" t="s">
        <v>81</v>
      </c>
      <c r="V394" s="53">
        <f>SUMIF('Avoided Costs 2014-2023'!$A:$A,'2014 Actuals'!U394&amp;ROUNDDOWN('2014 Actuals'!T394,0),'Avoided Costs 2014-2023'!$E:$E)*K394</f>
        <v>531867.42326837068</v>
      </c>
      <c r="W394" s="53">
        <f>SUMIF('Avoided Costs 2014-2023'!$A:$A,'2014 Actuals'!U394&amp;ROUNDDOWN('2014 Actuals'!T394,0),'Avoided Costs 2014-2023'!$K:$K)*O394</f>
        <v>0</v>
      </c>
      <c r="X394" s="53">
        <f>SUMIF('Avoided Costs 2014-2023'!$A:$A,'2014 Actuals'!U394&amp;ROUNDDOWN('2014 Actuals'!T394,0),'Avoided Costs 2014-2023'!$M:$M)*S394</f>
        <v>0</v>
      </c>
      <c r="Y394" s="53">
        <f>SUM(V394:X394)</f>
        <v>531867.42326837068</v>
      </c>
      <c r="Z394" s="55">
        <f>AA394/E394</f>
        <v>5290.3462222222215</v>
      </c>
      <c r="AA394" s="54">
        <f>'[4]2014 Notes'!D204</f>
        <v>238065.58</v>
      </c>
      <c r="AB394" s="68">
        <v>-125782.42</v>
      </c>
      <c r="AC394" s="54">
        <v>1614487.56</v>
      </c>
      <c r="AD394" s="54">
        <v>1488705.1400000001</v>
      </c>
      <c r="AE394" s="54">
        <f>AA394+AC394</f>
        <v>1852553.1400000001</v>
      </c>
      <c r="AF394" s="54">
        <f>Y394-AE394</f>
        <v>-1320685.7167316293</v>
      </c>
      <c r="AG394" s="49">
        <f>'[4]2014 Notes'!C204</f>
        <v>3125440</v>
      </c>
      <c r="AH394" s="49">
        <f>(J394*T394)</f>
        <v>3125440</v>
      </c>
    </row>
    <row r="395" spans="1:34" s="69" customFormat="1" collapsed="1">
      <c r="A395" s="145" t="s">
        <v>35</v>
      </c>
      <c r="B395" s="62" t="s">
        <v>497</v>
      </c>
      <c r="C395" s="65"/>
      <c r="D395" s="65">
        <v>0</v>
      </c>
      <c r="E395" s="51">
        <f>SUM(E394:E394)</f>
        <v>45</v>
      </c>
      <c r="F395" s="105">
        <f>SUM(F394:F394)</f>
        <v>13890.844444444445</v>
      </c>
      <c r="G395" s="147"/>
      <c r="H395" s="211"/>
      <c r="I395" s="49">
        <f>SUM(I394:I394)</f>
        <v>625088</v>
      </c>
      <c r="J395" s="49">
        <f>J394</f>
        <v>625088</v>
      </c>
      <c r="K395" s="49">
        <f>SUM(K394)</f>
        <v>625088</v>
      </c>
      <c r="L395" s="146"/>
      <c r="M395" s="49">
        <v>0</v>
      </c>
      <c r="N395" s="49">
        <f>+$M$42*M395</f>
        <v>0</v>
      </c>
      <c r="O395" s="49">
        <f>N395*(1-G395)</f>
        <v>0</v>
      </c>
      <c r="P395" s="148"/>
      <c r="Q395" s="49">
        <v>0</v>
      </c>
      <c r="R395" s="49">
        <f>+Q395*$Q$42</f>
        <v>0</v>
      </c>
      <c r="S395" s="49">
        <f>R395*(1-G395)</f>
        <v>0</v>
      </c>
      <c r="T395" s="64"/>
      <c r="U395" s="65" t="s">
        <v>160</v>
      </c>
      <c r="V395" s="54">
        <f>SUM(V394:V394)</f>
        <v>531867.42326837068</v>
      </c>
      <c r="W395" s="54">
        <f>SUMIF('Avoided Costs 2014-2023'!$A:$A,'2014 Actuals'!U395&amp;'2014 Actuals'!T395,'Avoided Costs 2014-2023'!$K:$K)*O395</f>
        <v>0</v>
      </c>
      <c r="X395" s="54">
        <f>SUMIF('Avoided Costs 2014-2023'!$A:$A,'2014 Actuals'!U395&amp;'2014 Actuals'!T395,'Avoided Costs 2014-2023'!$M:$M)*S395</f>
        <v>0</v>
      </c>
      <c r="Y395" s="54">
        <f>SUM(V395:X395)</f>
        <v>531867.42326837068</v>
      </c>
      <c r="Z395" s="55"/>
      <c r="AA395" s="54">
        <f>SUM(AA394)</f>
        <v>238065.58</v>
      </c>
      <c r="AB395" s="68">
        <f>SUM(AB394)</f>
        <v>-125782.42</v>
      </c>
      <c r="AC395" s="54">
        <v>1614487.56</v>
      </c>
      <c r="AD395" s="54">
        <v>1488705.1400000001</v>
      </c>
      <c r="AE395" s="54">
        <f>AA395+AC395</f>
        <v>1852553.1400000001</v>
      </c>
      <c r="AF395" s="212">
        <f>Y395-AE395</f>
        <v>-1320685.7167316293</v>
      </c>
      <c r="AG395" s="49">
        <f>SUM(AG394:AG394)</f>
        <v>3125440</v>
      </c>
      <c r="AH395" s="49">
        <f>SUM(AH394:AH394)</f>
        <v>3125440</v>
      </c>
    </row>
    <row r="396" spans="1:34" ht="15.75" customHeight="1">
      <c r="A396" s="135"/>
      <c r="E396" s="16" t="s">
        <v>498</v>
      </c>
      <c r="K396" s="16" t="s">
        <v>498</v>
      </c>
      <c r="L396" s="15" t="s">
        <v>498</v>
      </c>
      <c r="AB396" s="237"/>
      <c r="AG396" s="38"/>
      <c r="AH396" s="38"/>
    </row>
    <row r="397" spans="1:34">
      <c r="A397" s="224" t="s">
        <v>499</v>
      </c>
      <c r="B397" s="202"/>
      <c r="C397" s="121"/>
      <c r="D397" s="121"/>
      <c r="E397" s="203">
        <f>E395</f>
        <v>45</v>
      </c>
      <c r="F397" s="116"/>
      <c r="G397" s="117"/>
      <c r="H397" s="118"/>
      <c r="I397" s="203">
        <f>I395</f>
        <v>625088</v>
      </c>
      <c r="J397" s="203">
        <f>J395</f>
        <v>625088</v>
      </c>
      <c r="K397" s="203">
        <f>K395</f>
        <v>625088</v>
      </c>
      <c r="L397" s="116"/>
      <c r="M397" s="203">
        <f>M395</f>
        <v>0</v>
      </c>
      <c r="N397" s="203">
        <f>N395</f>
        <v>0</v>
      </c>
      <c r="O397" s="203">
        <f>O395</f>
        <v>0</v>
      </c>
      <c r="P397" s="119"/>
      <c r="Q397" s="203">
        <f>Q395</f>
        <v>0</v>
      </c>
      <c r="R397" s="203">
        <f>R395</f>
        <v>0</v>
      </c>
      <c r="S397" s="203">
        <f>S395</f>
        <v>0</v>
      </c>
      <c r="T397" s="120"/>
      <c r="U397" s="121"/>
      <c r="V397" s="204">
        <f>V395</f>
        <v>531867.42326837068</v>
      </c>
      <c r="W397" s="204">
        <f>W395</f>
        <v>0</v>
      </c>
      <c r="X397" s="204">
        <f>X395</f>
        <v>0</v>
      </c>
      <c r="Y397" s="204">
        <f>Y395</f>
        <v>531867.42326837068</v>
      </c>
      <c r="Z397" s="122"/>
      <c r="AA397" s="204">
        <f t="shared" ref="AA397" si="166">AA395</f>
        <v>238065.58</v>
      </c>
      <c r="AB397" s="238">
        <f t="shared" ref="AB397:AD397" si="167">AB395</f>
        <v>-125782.42</v>
      </c>
      <c r="AC397" s="204">
        <f t="shared" si="167"/>
        <v>1614487.56</v>
      </c>
      <c r="AD397" s="204">
        <f t="shared" si="167"/>
        <v>1488705.1400000001</v>
      </c>
      <c r="AE397" s="204">
        <f>AE395</f>
        <v>1852553.1400000001</v>
      </c>
      <c r="AF397" s="205">
        <f>AF395</f>
        <v>-1320685.7167316293</v>
      </c>
      <c r="AG397" s="203">
        <f>AG395</f>
        <v>3125440</v>
      </c>
      <c r="AH397" s="206">
        <f>AH395</f>
        <v>3125440</v>
      </c>
    </row>
    <row r="398" spans="1:34" ht="15.75" customHeight="1">
      <c r="A398" s="135"/>
      <c r="AG398" s="38"/>
      <c r="AH398" s="38"/>
    </row>
    <row r="399" spans="1:34" s="69" customFormat="1">
      <c r="A399" s="44"/>
      <c r="B399" s="69" t="s">
        <v>500</v>
      </c>
      <c r="C399" s="43"/>
      <c r="D399" s="43"/>
      <c r="E399" s="11"/>
      <c r="F399" s="12" t="s">
        <v>498</v>
      </c>
      <c r="G399" s="13"/>
      <c r="H399" s="14"/>
      <c r="I399" s="11"/>
      <c r="J399" s="11"/>
      <c r="K399" s="11"/>
      <c r="L399" s="12"/>
      <c r="M399" s="11"/>
      <c r="N399" s="11"/>
      <c r="O399" s="11"/>
      <c r="P399" s="23"/>
      <c r="Q399" s="11"/>
      <c r="R399" s="11"/>
      <c r="S399" s="11"/>
      <c r="T399" s="48"/>
      <c r="U399" s="43"/>
      <c r="V399" s="40"/>
      <c r="W399" s="40"/>
      <c r="X399" s="40"/>
      <c r="Y399" s="40"/>
      <c r="Z399" s="66"/>
      <c r="AA399" s="40"/>
      <c r="AB399" s="40"/>
      <c r="AC399" s="40"/>
      <c r="AD399" s="40"/>
      <c r="AE399" s="40"/>
      <c r="AF399" s="40"/>
      <c r="AG399" s="38"/>
      <c r="AH399" s="38"/>
    </row>
    <row r="400" spans="1:34">
      <c r="A400" s="135" t="s">
        <v>501</v>
      </c>
      <c r="B400" s="9" t="s">
        <v>502</v>
      </c>
      <c r="I400" s="37"/>
      <c r="M400" s="16">
        <v>0</v>
      </c>
      <c r="P400" s="23"/>
      <c r="Q400" s="16">
        <v>0</v>
      </c>
      <c r="S400" s="11"/>
      <c r="T400" s="48"/>
      <c r="AA400" s="40"/>
      <c r="AB400" s="40"/>
      <c r="AD400" s="40"/>
      <c r="AE400" s="40"/>
      <c r="AF400" s="40"/>
      <c r="AG400" s="38"/>
      <c r="AH400" s="38"/>
    </row>
    <row r="401" spans="1:34" s="56" customFormat="1">
      <c r="A401" s="62" t="s">
        <v>503</v>
      </c>
      <c r="B401" s="62"/>
      <c r="C401" s="62"/>
      <c r="D401" s="62"/>
      <c r="E401" s="141">
        <v>1</v>
      </c>
      <c r="F401" s="142"/>
      <c r="G401" s="143">
        <v>0.2</v>
      </c>
      <c r="H401" s="143">
        <v>0</v>
      </c>
      <c r="I401" s="49">
        <v>143133</v>
      </c>
      <c r="J401" s="49">
        <f t="shared" ref="J401:J464" si="168">+$I$42*I401</f>
        <v>119802.321</v>
      </c>
      <c r="K401" s="49">
        <f t="shared" ref="K401:K464" si="169">J401*(1-G401)</f>
        <v>95841.856800000009</v>
      </c>
      <c r="L401" s="58"/>
      <c r="M401" s="141">
        <v>0</v>
      </c>
      <c r="N401" s="50">
        <f t="shared" ref="N401:N464" si="170">+$M$42*M401</f>
        <v>0</v>
      </c>
      <c r="O401" s="50">
        <f t="shared" ref="O401:O464" si="171">N401*(1-G401)</f>
        <v>0</v>
      </c>
      <c r="P401" s="59"/>
      <c r="Q401" s="141">
        <v>0</v>
      </c>
      <c r="R401" s="50">
        <f t="shared" ref="R401:R464" si="172">+Q401*$Q$42</f>
        <v>0</v>
      </c>
      <c r="S401" s="51">
        <f t="shared" ref="S401:S464" si="173">R401*(1-G401)</f>
        <v>0</v>
      </c>
      <c r="T401" s="60">
        <v>25</v>
      </c>
      <c r="U401" s="61" t="s">
        <v>81</v>
      </c>
      <c r="V401" s="53">
        <f>SUMIF('Avoided Costs 2014-2023'!$A:$A,'2014 Actuals'!U401&amp;ROUNDDOWN('2014 Actuals'!T401,0),'Avoided Costs 2014-2023'!$E:$E)*K401</f>
        <v>304420.91592550086</v>
      </c>
      <c r="W401" s="53">
        <f>SUMIF('Avoided Costs 2014-2023'!$A:$A,'2014 Actuals'!U401&amp;ROUNDDOWN('2014 Actuals'!T401,0),'Avoided Costs 2014-2023'!$K:$K)*O401</f>
        <v>0</v>
      </c>
      <c r="X401" s="53">
        <f>SUMIF('Avoided Costs 2014-2023'!$A:$A,'2014 Actuals'!U401&amp;ROUNDDOWN('2014 Actuals'!T401,0),'Avoided Costs 2014-2023'!$M:$M)*S401</f>
        <v>0</v>
      </c>
      <c r="Y401" s="53">
        <f t="shared" ref="Y401:Y464" si="174">SUM(V401:X401)</f>
        <v>304420.91592550086</v>
      </c>
      <c r="Z401" s="55">
        <v>66991</v>
      </c>
      <c r="AA401" s="54">
        <f t="shared" ref="AA401:AA464" si="175">Z401*(1-G401)</f>
        <v>53592.800000000003</v>
      </c>
      <c r="AB401" s="54"/>
      <c r="AC401" s="54"/>
      <c r="AD401" s="54"/>
      <c r="AE401" s="54">
        <f t="shared" ref="AE401:AE464" si="176">AA401+AC401</f>
        <v>53592.800000000003</v>
      </c>
      <c r="AF401" s="54">
        <f t="shared" ref="AF401:AF464" si="177">Y401-AE401</f>
        <v>250828.11592550087</v>
      </c>
      <c r="AG401" s="49">
        <f t="shared" ref="AG401:AG464" si="178">K401*T401</f>
        <v>2396046.4200000004</v>
      </c>
      <c r="AH401" s="49">
        <f t="shared" ref="AH401:AH464" si="179">(J401*T401)</f>
        <v>2995058.0249999999</v>
      </c>
    </row>
    <row r="402" spans="1:34" s="56" customFormat="1">
      <c r="A402" s="62" t="s">
        <v>504</v>
      </c>
      <c r="B402" s="62"/>
      <c r="C402" s="62"/>
      <c r="D402" s="62"/>
      <c r="E402" s="141">
        <v>1</v>
      </c>
      <c r="F402" s="142"/>
      <c r="G402" s="143">
        <v>0.2</v>
      </c>
      <c r="H402" s="143">
        <v>0</v>
      </c>
      <c r="I402" s="49">
        <v>8172</v>
      </c>
      <c r="J402" s="49">
        <f t="shared" si="168"/>
        <v>6839.9639999999999</v>
      </c>
      <c r="K402" s="49">
        <f t="shared" si="169"/>
        <v>5471.9712</v>
      </c>
      <c r="L402" s="58"/>
      <c r="M402" s="141">
        <v>0</v>
      </c>
      <c r="N402" s="50">
        <f t="shared" si="170"/>
        <v>0</v>
      </c>
      <c r="O402" s="50">
        <f t="shared" si="171"/>
        <v>0</v>
      </c>
      <c r="P402" s="59"/>
      <c r="Q402" s="141">
        <v>0</v>
      </c>
      <c r="R402" s="50">
        <f t="shared" si="172"/>
        <v>0</v>
      </c>
      <c r="S402" s="51">
        <f t="shared" si="173"/>
        <v>0</v>
      </c>
      <c r="T402" s="60">
        <v>25</v>
      </c>
      <c r="U402" s="61" t="s">
        <v>94</v>
      </c>
      <c r="V402" s="53">
        <f>SUMIF('Avoided Costs 2014-2023'!$A:$A,'2014 Actuals'!U402&amp;ROUNDDOWN('2014 Actuals'!T402,0),'Avoided Costs 2014-2023'!$E:$E)*K402</f>
        <v>16283.202070231995</v>
      </c>
      <c r="W402" s="53">
        <f>SUMIF('Avoided Costs 2014-2023'!$A:$A,'2014 Actuals'!U402&amp;ROUNDDOWN('2014 Actuals'!T402,0),'Avoided Costs 2014-2023'!$K:$K)*O402</f>
        <v>0</v>
      </c>
      <c r="X402" s="53">
        <f>SUMIF('Avoided Costs 2014-2023'!$A:$A,'2014 Actuals'!U402&amp;ROUNDDOWN('2014 Actuals'!T402,0),'Avoided Costs 2014-2023'!$M:$M)*S402</f>
        <v>0</v>
      </c>
      <c r="Y402" s="53">
        <f t="shared" si="174"/>
        <v>16283.202070231995</v>
      </c>
      <c r="Z402" s="55">
        <v>24784</v>
      </c>
      <c r="AA402" s="54">
        <f t="shared" si="175"/>
        <v>19827.2</v>
      </c>
      <c r="AB402" s="54"/>
      <c r="AC402" s="54"/>
      <c r="AD402" s="54"/>
      <c r="AE402" s="54">
        <f t="shared" si="176"/>
        <v>19827.2</v>
      </c>
      <c r="AF402" s="54">
        <f t="shared" si="177"/>
        <v>-3543.9979297680056</v>
      </c>
      <c r="AG402" s="49">
        <f t="shared" si="178"/>
        <v>136799.28</v>
      </c>
      <c r="AH402" s="49">
        <f t="shared" si="179"/>
        <v>170999.1</v>
      </c>
    </row>
    <row r="403" spans="1:34" s="56" customFormat="1">
      <c r="A403" s="62" t="s">
        <v>505</v>
      </c>
      <c r="B403" s="62"/>
      <c r="C403" s="62"/>
      <c r="D403" s="62"/>
      <c r="E403" s="141">
        <v>1</v>
      </c>
      <c r="F403" s="142"/>
      <c r="G403" s="143">
        <v>0.2</v>
      </c>
      <c r="H403" s="143">
        <v>0</v>
      </c>
      <c r="I403" s="49">
        <v>99247</v>
      </c>
      <c r="J403" s="49">
        <f t="shared" si="168"/>
        <v>83069.739000000001</v>
      </c>
      <c r="K403" s="49">
        <f t="shared" si="169"/>
        <v>66455.791200000007</v>
      </c>
      <c r="L403" s="58"/>
      <c r="M403" s="141">
        <v>92220</v>
      </c>
      <c r="N403" s="50">
        <f t="shared" si="170"/>
        <v>92220</v>
      </c>
      <c r="O403" s="50">
        <f t="shared" si="171"/>
        <v>73776</v>
      </c>
      <c r="P403" s="59"/>
      <c r="Q403" s="141">
        <v>0</v>
      </c>
      <c r="R403" s="50">
        <f t="shared" si="172"/>
        <v>0</v>
      </c>
      <c r="S403" s="51">
        <f t="shared" si="173"/>
        <v>0</v>
      </c>
      <c r="T403" s="60">
        <v>15</v>
      </c>
      <c r="U403" s="61" t="s">
        <v>81</v>
      </c>
      <c r="V403" s="53">
        <f>SUMIF('Avoided Costs 2014-2023'!$A:$A,'2014 Actuals'!U403&amp;ROUNDDOWN('2014 Actuals'!T403,0),'Avoided Costs 2014-2023'!$E:$E)*K403</f>
        <v>153836.64465830027</v>
      </c>
      <c r="W403" s="53">
        <f>SUMIF('Avoided Costs 2014-2023'!$A:$A,'2014 Actuals'!U403&amp;ROUNDDOWN('2014 Actuals'!T403,0),'Avoided Costs 2014-2023'!$K:$K)*O403</f>
        <v>87238.671240409269</v>
      </c>
      <c r="X403" s="53">
        <f>SUMIF('Avoided Costs 2014-2023'!$A:$A,'2014 Actuals'!U403&amp;ROUNDDOWN('2014 Actuals'!T403,0),'Avoided Costs 2014-2023'!$M:$M)*S403</f>
        <v>0</v>
      </c>
      <c r="Y403" s="53">
        <f t="shared" si="174"/>
        <v>241075.31589870952</v>
      </c>
      <c r="Z403" s="55">
        <v>13330</v>
      </c>
      <c r="AA403" s="54">
        <f t="shared" si="175"/>
        <v>10664</v>
      </c>
      <c r="AB403" s="54"/>
      <c r="AC403" s="54"/>
      <c r="AD403" s="54"/>
      <c r="AE403" s="54">
        <f t="shared" si="176"/>
        <v>10664</v>
      </c>
      <c r="AF403" s="54">
        <f t="shared" si="177"/>
        <v>230411.31589870952</v>
      </c>
      <c r="AG403" s="49">
        <f t="shared" si="178"/>
        <v>996836.86800000013</v>
      </c>
      <c r="AH403" s="49">
        <f t="shared" si="179"/>
        <v>1246046.085</v>
      </c>
    </row>
    <row r="404" spans="1:34" s="56" customFormat="1">
      <c r="A404" s="62" t="s">
        <v>506</v>
      </c>
      <c r="B404" s="62"/>
      <c r="C404" s="62"/>
      <c r="D404" s="62"/>
      <c r="E404" s="141">
        <v>1</v>
      </c>
      <c r="F404" s="142"/>
      <c r="G404" s="143">
        <v>0.2</v>
      </c>
      <c r="H404" s="143">
        <v>0</v>
      </c>
      <c r="I404" s="49">
        <v>36386</v>
      </c>
      <c r="J404" s="49">
        <f t="shared" si="168"/>
        <v>30455.081999999999</v>
      </c>
      <c r="K404" s="49">
        <f t="shared" si="169"/>
        <v>24364.065600000002</v>
      </c>
      <c r="L404" s="58"/>
      <c r="M404" s="141">
        <v>62502</v>
      </c>
      <c r="N404" s="50">
        <f t="shared" si="170"/>
        <v>62502</v>
      </c>
      <c r="O404" s="50">
        <f t="shared" si="171"/>
        <v>50001.600000000006</v>
      </c>
      <c r="P404" s="59"/>
      <c r="Q404" s="141">
        <v>0</v>
      </c>
      <c r="R404" s="50">
        <f t="shared" si="172"/>
        <v>0</v>
      </c>
      <c r="S404" s="51">
        <f t="shared" si="173"/>
        <v>0</v>
      </c>
      <c r="T404" s="60">
        <v>15</v>
      </c>
      <c r="U404" s="61" t="s">
        <v>81</v>
      </c>
      <c r="V404" s="53">
        <f>SUMIF('Avoided Costs 2014-2023'!$A:$A,'2014 Actuals'!U404&amp;ROUNDDOWN('2014 Actuals'!T404,0),'Avoided Costs 2014-2023'!$E:$E)*K404</f>
        <v>56399.691200105932</v>
      </c>
      <c r="W404" s="53">
        <f>SUMIF('Avoided Costs 2014-2023'!$A:$A,'2014 Actuals'!U404&amp;ROUNDDOWN('2014 Actuals'!T404,0),'Avoided Costs 2014-2023'!$K:$K)*O404</f>
        <v>59125.910104836919</v>
      </c>
      <c r="X404" s="53">
        <f>SUMIF('Avoided Costs 2014-2023'!$A:$A,'2014 Actuals'!U404&amp;ROUNDDOWN('2014 Actuals'!T404,0),'Avoided Costs 2014-2023'!$M:$M)*S404</f>
        <v>0</v>
      </c>
      <c r="Y404" s="53">
        <f t="shared" si="174"/>
        <v>115525.60130494286</v>
      </c>
      <c r="Z404" s="55">
        <v>9250</v>
      </c>
      <c r="AA404" s="54">
        <f t="shared" si="175"/>
        <v>7400</v>
      </c>
      <c r="AB404" s="54"/>
      <c r="AC404" s="54"/>
      <c r="AD404" s="54"/>
      <c r="AE404" s="54">
        <f t="shared" si="176"/>
        <v>7400</v>
      </c>
      <c r="AF404" s="54">
        <f t="shared" si="177"/>
        <v>108125.60130494286</v>
      </c>
      <c r="AG404" s="49">
        <f t="shared" si="178"/>
        <v>365460.98400000005</v>
      </c>
      <c r="AH404" s="49">
        <f t="shared" si="179"/>
        <v>456826.23</v>
      </c>
    </row>
    <row r="405" spans="1:34" s="56" customFormat="1">
      <c r="A405" s="62" t="s">
        <v>507</v>
      </c>
      <c r="B405" s="62"/>
      <c r="C405" s="62"/>
      <c r="D405" s="62"/>
      <c r="E405" s="141">
        <v>1</v>
      </c>
      <c r="F405" s="142"/>
      <c r="G405" s="143">
        <v>0.2</v>
      </c>
      <c r="H405" s="143">
        <v>0</v>
      </c>
      <c r="I405" s="49">
        <v>4660</v>
      </c>
      <c r="J405" s="49">
        <f t="shared" si="168"/>
        <v>3900.4199999999996</v>
      </c>
      <c r="K405" s="49">
        <f t="shared" si="169"/>
        <v>3120.3359999999998</v>
      </c>
      <c r="L405" s="58"/>
      <c r="M405" s="141">
        <v>0</v>
      </c>
      <c r="N405" s="50">
        <f t="shared" si="170"/>
        <v>0</v>
      </c>
      <c r="O405" s="50">
        <f t="shared" si="171"/>
        <v>0</v>
      </c>
      <c r="P405" s="59"/>
      <c r="Q405" s="141">
        <v>0</v>
      </c>
      <c r="R405" s="50">
        <f t="shared" si="172"/>
        <v>0</v>
      </c>
      <c r="S405" s="51">
        <f t="shared" si="173"/>
        <v>0</v>
      </c>
      <c r="T405" s="60">
        <v>25</v>
      </c>
      <c r="U405" s="61" t="s">
        <v>94</v>
      </c>
      <c r="V405" s="53">
        <f>SUMIF('Avoided Costs 2014-2023'!$A:$A,'2014 Actuals'!U405&amp;ROUNDDOWN('2014 Actuals'!T405,0),'Avoided Costs 2014-2023'!$E:$E)*K405</f>
        <v>9285.3305980520181</v>
      </c>
      <c r="W405" s="53">
        <f>SUMIF('Avoided Costs 2014-2023'!$A:$A,'2014 Actuals'!U405&amp;ROUNDDOWN('2014 Actuals'!T405,0),'Avoided Costs 2014-2023'!$K:$K)*O405</f>
        <v>0</v>
      </c>
      <c r="X405" s="53">
        <f>SUMIF('Avoided Costs 2014-2023'!$A:$A,'2014 Actuals'!U405&amp;ROUNDDOWN('2014 Actuals'!T405,0),'Avoided Costs 2014-2023'!$M:$M)*S405</f>
        <v>0</v>
      </c>
      <c r="Y405" s="53">
        <f t="shared" si="174"/>
        <v>9285.3305980520181</v>
      </c>
      <c r="Z405" s="55">
        <v>4128</v>
      </c>
      <c r="AA405" s="54">
        <f t="shared" si="175"/>
        <v>3302.4</v>
      </c>
      <c r="AB405" s="54"/>
      <c r="AC405" s="54"/>
      <c r="AD405" s="54"/>
      <c r="AE405" s="54">
        <f t="shared" si="176"/>
        <v>3302.4</v>
      </c>
      <c r="AF405" s="54">
        <f t="shared" si="177"/>
        <v>5982.9305980520185</v>
      </c>
      <c r="AG405" s="49">
        <f t="shared" si="178"/>
        <v>78008.399999999994</v>
      </c>
      <c r="AH405" s="49">
        <f t="shared" si="179"/>
        <v>97510.499999999985</v>
      </c>
    </row>
    <row r="406" spans="1:34" s="56" customFormat="1">
      <c r="A406" s="62" t="s">
        <v>508</v>
      </c>
      <c r="B406" s="62"/>
      <c r="C406" s="62"/>
      <c r="D406" s="62"/>
      <c r="E406" s="141">
        <v>0</v>
      </c>
      <c r="F406" s="142"/>
      <c r="G406" s="143">
        <v>0.2</v>
      </c>
      <c r="H406" s="143">
        <v>0</v>
      </c>
      <c r="I406" s="49">
        <v>31155</v>
      </c>
      <c r="J406" s="49">
        <f t="shared" si="168"/>
        <v>26076.735000000001</v>
      </c>
      <c r="K406" s="49">
        <f t="shared" si="169"/>
        <v>20861.388000000003</v>
      </c>
      <c r="L406" s="58"/>
      <c r="M406" s="141">
        <v>0</v>
      </c>
      <c r="N406" s="50">
        <f t="shared" si="170"/>
        <v>0</v>
      </c>
      <c r="O406" s="50">
        <f t="shared" si="171"/>
        <v>0</v>
      </c>
      <c r="P406" s="59"/>
      <c r="Q406" s="141">
        <v>0</v>
      </c>
      <c r="R406" s="50">
        <f t="shared" si="172"/>
        <v>0</v>
      </c>
      <c r="S406" s="51">
        <f t="shared" si="173"/>
        <v>0</v>
      </c>
      <c r="T406" s="60">
        <v>25</v>
      </c>
      <c r="U406" s="61" t="s">
        <v>94</v>
      </c>
      <c r="V406" s="53">
        <f>SUMIF('Avoided Costs 2014-2023'!$A:$A,'2014 Actuals'!U406&amp;ROUNDDOWN('2014 Actuals'!T406,0),'Avoided Costs 2014-2023'!$E:$E)*K406</f>
        <v>62078.213472598865</v>
      </c>
      <c r="W406" s="53">
        <f>SUMIF('Avoided Costs 2014-2023'!$A:$A,'2014 Actuals'!U406&amp;ROUNDDOWN('2014 Actuals'!T406,0),'Avoided Costs 2014-2023'!$K:$K)*O406</f>
        <v>0</v>
      </c>
      <c r="X406" s="53">
        <f>SUMIF('Avoided Costs 2014-2023'!$A:$A,'2014 Actuals'!U406&amp;ROUNDDOWN('2014 Actuals'!T406,0),'Avoided Costs 2014-2023'!$M:$M)*S406</f>
        <v>0</v>
      </c>
      <c r="Y406" s="53">
        <f t="shared" si="174"/>
        <v>62078.213472598865</v>
      </c>
      <c r="Z406" s="55">
        <v>15592</v>
      </c>
      <c r="AA406" s="54">
        <f t="shared" si="175"/>
        <v>12473.6</v>
      </c>
      <c r="AB406" s="54"/>
      <c r="AC406" s="54"/>
      <c r="AD406" s="54"/>
      <c r="AE406" s="54">
        <f t="shared" si="176"/>
        <v>12473.6</v>
      </c>
      <c r="AF406" s="54">
        <f t="shared" si="177"/>
        <v>49604.613472598867</v>
      </c>
      <c r="AG406" s="49">
        <f t="shared" si="178"/>
        <v>521534.70000000007</v>
      </c>
      <c r="AH406" s="49">
        <f t="shared" si="179"/>
        <v>651918.375</v>
      </c>
    </row>
    <row r="407" spans="1:34" s="56" customFormat="1">
      <c r="A407" s="62" t="s">
        <v>509</v>
      </c>
      <c r="B407" s="62"/>
      <c r="C407" s="62"/>
      <c r="D407" s="62"/>
      <c r="E407" s="141">
        <v>1</v>
      </c>
      <c r="F407" s="142"/>
      <c r="G407" s="143">
        <v>0.2</v>
      </c>
      <c r="H407" s="143">
        <v>0</v>
      </c>
      <c r="I407" s="49">
        <v>79417</v>
      </c>
      <c r="J407" s="49">
        <f t="shared" si="168"/>
        <v>66472.028999999995</v>
      </c>
      <c r="K407" s="49">
        <f t="shared" si="169"/>
        <v>53177.623200000002</v>
      </c>
      <c r="L407" s="58"/>
      <c r="M407" s="141">
        <v>0</v>
      </c>
      <c r="N407" s="50">
        <f t="shared" si="170"/>
        <v>0</v>
      </c>
      <c r="O407" s="50">
        <f t="shared" si="171"/>
        <v>0</v>
      </c>
      <c r="P407" s="59"/>
      <c r="Q407" s="141">
        <v>0</v>
      </c>
      <c r="R407" s="50">
        <f t="shared" si="172"/>
        <v>0</v>
      </c>
      <c r="S407" s="51">
        <f t="shared" si="173"/>
        <v>0</v>
      </c>
      <c r="T407" s="60">
        <v>25</v>
      </c>
      <c r="U407" s="61" t="s">
        <v>81</v>
      </c>
      <c r="V407" s="53">
        <f>SUMIF('Avoided Costs 2014-2023'!$A:$A,'2014 Actuals'!U407&amp;ROUNDDOWN('2014 Actuals'!T407,0),'Avoided Costs 2014-2023'!$E:$E)*K407</f>
        <v>168907.21133530003</v>
      </c>
      <c r="W407" s="53">
        <f>SUMIF('Avoided Costs 2014-2023'!$A:$A,'2014 Actuals'!U407&amp;ROUNDDOWN('2014 Actuals'!T407,0),'Avoided Costs 2014-2023'!$K:$K)*O407</f>
        <v>0</v>
      </c>
      <c r="X407" s="53">
        <f>SUMIF('Avoided Costs 2014-2023'!$A:$A,'2014 Actuals'!U407&amp;ROUNDDOWN('2014 Actuals'!T407,0),'Avoided Costs 2014-2023'!$M:$M)*S407</f>
        <v>0</v>
      </c>
      <c r="Y407" s="53">
        <f t="shared" si="174"/>
        <v>168907.21133530003</v>
      </c>
      <c r="Z407" s="55">
        <v>31752</v>
      </c>
      <c r="AA407" s="54">
        <f t="shared" si="175"/>
        <v>25401.600000000002</v>
      </c>
      <c r="AB407" s="54"/>
      <c r="AC407" s="54"/>
      <c r="AD407" s="54"/>
      <c r="AE407" s="54">
        <f t="shared" si="176"/>
        <v>25401.600000000002</v>
      </c>
      <c r="AF407" s="54">
        <f t="shared" si="177"/>
        <v>143505.61133530003</v>
      </c>
      <c r="AG407" s="49">
        <f t="shared" si="178"/>
        <v>1329440.58</v>
      </c>
      <c r="AH407" s="49">
        <f t="shared" si="179"/>
        <v>1661800.7249999999</v>
      </c>
    </row>
    <row r="408" spans="1:34" s="56" customFormat="1">
      <c r="A408" s="62" t="s">
        <v>510</v>
      </c>
      <c r="B408" s="62"/>
      <c r="C408" s="62"/>
      <c r="D408" s="62"/>
      <c r="E408" s="141">
        <v>0</v>
      </c>
      <c r="F408" s="142"/>
      <c r="G408" s="143">
        <v>0.2</v>
      </c>
      <c r="H408" s="143">
        <v>0</v>
      </c>
      <c r="I408" s="49">
        <v>13924</v>
      </c>
      <c r="J408" s="49">
        <f t="shared" si="168"/>
        <v>11654.387999999999</v>
      </c>
      <c r="K408" s="49">
        <f t="shared" si="169"/>
        <v>9323.5103999999992</v>
      </c>
      <c r="L408" s="58"/>
      <c r="M408" s="141">
        <v>36248</v>
      </c>
      <c r="N408" s="50">
        <f t="shared" si="170"/>
        <v>36248</v>
      </c>
      <c r="O408" s="50">
        <f t="shared" si="171"/>
        <v>28998.400000000001</v>
      </c>
      <c r="P408" s="59"/>
      <c r="Q408" s="141">
        <v>0</v>
      </c>
      <c r="R408" s="50">
        <f t="shared" si="172"/>
        <v>0</v>
      </c>
      <c r="S408" s="51">
        <f t="shared" si="173"/>
        <v>0</v>
      </c>
      <c r="T408" s="60">
        <v>15</v>
      </c>
      <c r="U408" s="61" t="s">
        <v>81</v>
      </c>
      <c r="V408" s="53">
        <f>SUMIF('Avoided Costs 2014-2023'!$A:$A,'2014 Actuals'!U408&amp;ROUNDDOWN('2014 Actuals'!T408,0),'Avoided Costs 2014-2023'!$E:$E)*K408</f>
        <v>21582.732377020693</v>
      </c>
      <c r="W408" s="53">
        <f>SUMIF('Avoided Costs 2014-2023'!$A:$A,'2014 Actuals'!U408&amp;ROUNDDOWN('2014 Actuals'!T408,0),'Avoided Costs 2014-2023'!$K:$K)*O408</f>
        <v>34290.038550448444</v>
      </c>
      <c r="X408" s="53">
        <f>SUMIF('Avoided Costs 2014-2023'!$A:$A,'2014 Actuals'!U408&amp;ROUNDDOWN('2014 Actuals'!T408,0),'Avoided Costs 2014-2023'!$M:$M)*S408</f>
        <v>0</v>
      </c>
      <c r="Y408" s="53">
        <f t="shared" si="174"/>
        <v>55872.770927469137</v>
      </c>
      <c r="Z408" s="55">
        <v>94500</v>
      </c>
      <c r="AA408" s="54">
        <f t="shared" si="175"/>
        <v>75600</v>
      </c>
      <c r="AB408" s="54"/>
      <c r="AC408" s="54"/>
      <c r="AD408" s="54"/>
      <c r="AE408" s="54">
        <f t="shared" si="176"/>
        <v>75600</v>
      </c>
      <c r="AF408" s="54">
        <f t="shared" si="177"/>
        <v>-19727.229072530863</v>
      </c>
      <c r="AG408" s="49">
        <f t="shared" si="178"/>
        <v>139852.65599999999</v>
      </c>
      <c r="AH408" s="49">
        <f t="shared" si="179"/>
        <v>174815.81999999998</v>
      </c>
    </row>
    <row r="409" spans="1:34" s="56" customFormat="1">
      <c r="A409" s="62" t="s">
        <v>511</v>
      </c>
      <c r="B409" s="62"/>
      <c r="C409" s="62"/>
      <c r="D409" s="62"/>
      <c r="E409" s="141">
        <v>1</v>
      </c>
      <c r="F409" s="142"/>
      <c r="G409" s="143">
        <v>0.2</v>
      </c>
      <c r="H409" s="143">
        <v>0</v>
      </c>
      <c r="I409" s="49">
        <v>67926</v>
      </c>
      <c r="J409" s="49">
        <f t="shared" si="168"/>
        <v>56854.061999999998</v>
      </c>
      <c r="K409" s="49">
        <f t="shared" si="169"/>
        <v>45483.249600000003</v>
      </c>
      <c r="L409" s="58"/>
      <c r="M409" s="141">
        <v>0</v>
      </c>
      <c r="N409" s="50">
        <f t="shared" si="170"/>
        <v>0</v>
      </c>
      <c r="O409" s="50">
        <f t="shared" si="171"/>
        <v>0</v>
      </c>
      <c r="P409" s="59"/>
      <c r="Q409" s="141">
        <v>0</v>
      </c>
      <c r="R409" s="50">
        <f t="shared" si="172"/>
        <v>0</v>
      </c>
      <c r="S409" s="51">
        <f t="shared" si="173"/>
        <v>0</v>
      </c>
      <c r="T409" s="60">
        <v>25</v>
      </c>
      <c r="U409" s="61" t="s">
        <v>81</v>
      </c>
      <c r="V409" s="53">
        <f>SUMIF('Avoided Costs 2014-2023'!$A:$A,'2014 Actuals'!U409&amp;ROUNDDOWN('2014 Actuals'!T409,0),'Avoided Costs 2014-2023'!$E:$E)*K409</f>
        <v>144467.69881966821</v>
      </c>
      <c r="W409" s="53">
        <f>SUMIF('Avoided Costs 2014-2023'!$A:$A,'2014 Actuals'!U409&amp;ROUNDDOWN('2014 Actuals'!T409,0),'Avoided Costs 2014-2023'!$K:$K)*O409</f>
        <v>0</v>
      </c>
      <c r="X409" s="53">
        <f>SUMIF('Avoided Costs 2014-2023'!$A:$A,'2014 Actuals'!U409&amp;ROUNDDOWN('2014 Actuals'!T409,0),'Avoided Costs 2014-2023'!$M:$M)*S409</f>
        <v>0</v>
      </c>
      <c r="Y409" s="53">
        <f t="shared" si="174"/>
        <v>144467.69881966821</v>
      </c>
      <c r="Z409" s="55">
        <v>10872</v>
      </c>
      <c r="AA409" s="54">
        <f t="shared" si="175"/>
        <v>8697.6</v>
      </c>
      <c r="AB409" s="54"/>
      <c r="AC409" s="54"/>
      <c r="AD409" s="54"/>
      <c r="AE409" s="54">
        <f t="shared" si="176"/>
        <v>8697.6</v>
      </c>
      <c r="AF409" s="54">
        <f t="shared" si="177"/>
        <v>135770.0988196682</v>
      </c>
      <c r="AG409" s="49">
        <f t="shared" si="178"/>
        <v>1137081.24</v>
      </c>
      <c r="AH409" s="49">
        <f t="shared" si="179"/>
        <v>1421351.55</v>
      </c>
    </row>
    <row r="410" spans="1:34" s="56" customFormat="1">
      <c r="A410" s="62" t="s">
        <v>512</v>
      </c>
      <c r="B410" s="62"/>
      <c r="C410" s="62"/>
      <c r="D410" s="62"/>
      <c r="E410" s="141">
        <v>1</v>
      </c>
      <c r="F410" s="142"/>
      <c r="G410" s="143">
        <v>0.2</v>
      </c>
      <c r="H410" s="143">
        <v>0</v>
      </c>
      <c r="I410" s="49">
        <v>51068</v>
      </c>
      <c r="J410" s="49">
        <f t="shared" si="168"/>
        <v>42743.915999999997</v>
      </c>
      <c r="K410" s="49">
        <f t="shared" si="169"/>
        <v>34195.132799999999</v>
      </c>
      <c r="L410" s="58"/>
      <c r="M410" s="141">
        <v>0</v>
      </c>
      <c r="N410" s="50">
        <f t="shared" si="170"/>
        <v>0</v>
      </c>
      <c r="O410" s="50">
        <f t="shared" si="171"/>
        <v>0</v>
      </c>
      <c r="P410" s="59"/>
      <c r="Q410" s="141">
        <v>0</v>
      </c>
      <c r="R410" s="50">
        <f t="shared" si="172"/>
        <v>0</v>
      </c>
      <c r="S410" s="51">
        <f t="shared" si="173"/>
        <v>0</v>
      </c>
      <c r="T410" s="60">
        <v>25</v>
      </c>
      <c r="U410" s="61" t="s">
        <v>81</v>
      </c>
      <c r="V410" s="53">
        <f>SUMIF('Avoided Costs 2014-2023'!$A:$A,'2014 Actuals'!U410&amp;ROUNDDOWN('2014 Actuals'!T410,0),'Avoided Costs 2014-2023'!$E:$E)*K410</f>
        <v>108613.43879107876</v>
      </c>
      <c r="W410" s="53">
        <f>SUMIF('Avoided Costs 2014-2023'!$A:$A,'2014 Actuals'!U410&amp;ROUNDDOWN('2014 Actuals'!T410,0),'Avoided Costs 2014-2023'!$K:$K)*O410</f>
        <v>0</v>
      </c>
      <c r="X410" s="53">
        <f>SUMIF('Avoided Costs 2014-2023'!$A:$A,'2014 Actuals'!U410&amp;ROUNDDOWN('2014 Actuals'!T410,0),'Avoided Costs 2014-2023'!$M:$M)*S410</f>
        <v>0</v>
      </c>
      <c r="Y410" s="53">
        <f t="shared" si="174"/>
        <v>108613.43879107876</v>
      </c>
      <c r="Z410" s="55">
        <v>21480</v>
      </c>
      <c r="AA410" s="54">
        <f t="shared" si="175"/>
        <v>17184</v>
      </c>
      <c r="AB410" s="54"/>
      <c r="AC410" s="54"/>
      <c r="AD410" s="54"/>
      <c r="AE410" s="54">
        <f t="shared" si="176"/>
        <v>17184</v>
      </c>
      <c r="AF410" s="54">
        <f t="shared" si="177"/>
        <v>91429.438791078763</v>
      </c>
      <c r="AG410" s="49">
        <f t="shared" si="178"/>
        <v>854878.32</v>
      </c>
      <c r="AH410" s="49">
        <f t="shared" si="179"/>
        <v>1068597.8999999999</v>
      </c>
    </row>
    <row r="411" spans="1:34" s="56" customFormat="1">
      <c r="A411" s="62" t="s">
        <v>513</v>
      </c>
      <c r="B411" s="62"/>
      <c r="C411" s="62"/>
      <c r="D411" s="62"/>
      <c r="E411" s="141">
        <v>1</v>
      </c>
      <c r="F411" s="142"/>
      <c r="G411" s="143">
        <v>0.2</v>
      </c>
      <c r="H411" s="143">
        <v>0</v>
      </c>
      <c r="I411" s="49">
        <v>176888</v>
      </c>
      <c r="J411" s="49">
        <f t="shared" si="168"/>
        <v>148055.25599999999</v>
      </c>
      <c r="K411" s="49">
        <f t="shared" si="169"/>
        <v>118444.20480000001</v>
      </c>
      <c r="L411" s="58"/>
      <c r="M411" s="141">
        <v>0</v>
      </c>
      <c r="N411" s="50">
        <f t="shared" si="170"/>
        <v>0</v>
      </c>
      <c r="O411" s="50">
        <f t="shared" si="171"/>
        <v>0</v>
      </c>
      <c r="P411" s="59"/>
      <c r="Q411" s="141">
        <v>0</v>
      </c>
      <c r="R411" s="50">
        <f t="shared" si="172"/>
        <v>0</v>
      </c>
      <c r="S411" s="51">
        <f t="shared" si="173"/>
        <v>0</v>
      </c>
      <c r="T411" s="60">
        <v>25</v>
      </c>
      <c r="U411" s="61" t="s">
        <v>81</v>
      </c>
      <c r="V411" s="53">
        <f>SUMIF('Avoided Costs 2014-2023'!$A:$A,'2014 Actuals'!U411&amp;ROUNDDOWN('2014 Actuals'!T411,0),'Avoided Costs 2014-2023'!$E:$E)*K411</f>
        <v>376212.38272257266</v>
      </c>
      <c r="W411" s="53">
        <f>SUMIF('Avoided Costs 2014-2023'!$A:$A,'2014 Actuals'!U411&amp;ROUNDDOWN('2014 Actuals'!T411,0),'Avoided Costs 2014-2023'!$K:$K)*O411</f>
        <v>0</v>
      </c>
      <c r="X411" s="53">
        <f>SUMIF('Avoided Costs 2014-2023'!$A:$A,'2014 Actuals'!U411&amp;ROUNDDOWN('2014 Actuals'!T411,0),'Avoided Costs 2014-2023'!$M:$M)*S411</f>
        <v>0</v>
      </c>
      <c r="Y411" s="53">
        <f t="shared" si="174"/>
        <v>376212.38272257266</v>
      </c>
      <c r="Z411" s="55">
        <v>171593</v>
      </c>
      <c r="AA411" s="54">
        <f t="shared" si="175"/>
        <v>137274.4</v>
      </c>
      <c r="AB411" s="54"/>
      <c r="AC411" s="54"/>
      <c r="AD411" s="54"/>
      <c r="AE411" s="54">
        <f t="shared" si="176"/>
        <v>137274.4</v>
      </c>
      <c r="AF411" s="54">
        <f t="shared" si="177"/>
        <v>238937.98272257266</v>
      </c>
      <c r="AG411" s="49">
        <f t="shared" si="178"/>
        <v>2961105.12</v>
      </c>
      <c r="AH411" s="49">
        <f t="shared" si="179"/>
        <v>3701381.4</v>
      </c>
    </row>
    <row r="412" spans="1:34" s="56" customFormat="1">
      <c r="A412" s="62" t="s">
        <v>514</v>
      </c>
      <c r="B412" s="62"/>
      <c r="C412" s="62"/>
      <c r="D412" s="62"/>
      <c r="E412" s="141">
        <v>1</v>
      </c>
      <c r="F412" s="142"/>
      <c r="G412" s="143">
        <v>0.2</v>
      </c>
      <c r="H412" s="143">
        <v>0</v>
      </c>
      <c r="I412" s="49">
        <v>37417</v>
      </c>
      <c r="J412" s="49">
        <f t="shared" si="168"/>
        <v>31318.028999999999</v>
      </c>
      <c r="K412" s="49">
        <f t="shared" si="169"/>
        <v>25054.423200000001</v>
      </c>
      <c r="L412" s="58"/>
      <c r="M412" s="141">
        <v>0</v>
      </c>
      <c r="N412" s="50">
        <f t="shared" si="170"/>
        <v>0</v>
      </c>
      <c r="O412" s="50">
        <f t="shared" si="171"/>
        <v>0</v>
      </c>
      <c r="P412" s="59"/>
      <c r="Q412" s="141">
        <v>0</v>
      </c>
      <c r="R412" s="50">
        <f t="shared" si="172"/>
        <v>0</v>
      </c>
      <c r="S412" s="51">
        <f t="shared" si="173"/>
        <v>0</v>
      </c>
      <c r="T412" s="60">
        <v>25</v>
      </c>
      <c r="U412" s="61" t="s">
        <v>81</v>
      </c>
      <c r="V412" s="53">
        <f>SUMIF('Avoided Costs 2014-2023'!$A:$A,'2014 Actuals'!U412&amp;ROUNDDOWN('2014 Actuals'!T412,0),'Avoided Costs 2014-2023'!$E:$E)*K412</f>
        <v>79579.952989069367</v>
      </c>
      <c r="W412" s="53">
        <f>SUMIF('Avoided Costs 2014-2023'!$A:$A,'2014 Actuals'!U412&amp;ROUNDDOWN('2014 Actuals'!T412,0),'Avoided Costs 2014-2023'!$K:$K)*O412</f>
        <v>0</v>
      </c>
      <c r="X412" s="53">
        <f>SUMIF('Avoided Costs 2014-2023'!$A:$A,'2014 Actuals'!U412&amp;ROUNDDOWN('2014 Actuals'!T412,0),'Avoided Costs 2014-2023'!$M:$M)*S412</f>
        <v>0</v>
      </c>
      <c r="Y412" s="53">
        <f t="shared" si="174"/>
        <v>79579.952989069367</v>
      </c>
      <c r="Z412" s="55">
        <v>14284</v>
      </c>
      <c r="AA412" s="54">
        <f t="shared" si="175"/>
        <v>11427.2</v>
      </c>
      <c r="AB412" s="54"/>
      <c r="AC412" s="54"/>
      <c r="AD412" s="54"/>
      <c r="AE412" s="54">
        <f t="shared" si="176"/>
        <v>11427.2</v>
      </c>
      <c r="AF412" s="54">
        <f t="shared" si="177"/>
        <v>68152.75298906937</v>
      </c>
      <c r="AG412" s="49">
        <f t="shared" si="178"/>
        <v>626360.58000000007</v>
      </c>
      <c r="AH412" s="49">
        <f t="shared" si="179"/>
        <v>782950.72499999998</v>
      </c>
    </row>
    <row r="413" spans="1:34" s="56" customFormat="1">
      <c r="A413" s="62" t="s">
        <v>515</v>
      </c>
      <c r="B413" s="62"/>
      <c r="C413" s="62"/>
      <c r="D413" s="62"/>
      <c r="E413" s="141">
        <v>0</v>
      </c>
      <c r="F413" s="142"/>
      <c r="G413" s="143">
        <v>0.2</v>
      </c>
      <c r="H413" s="143">
        <v>0</v>
      </c>
      <c r="I413" s="49">
        <v>3165</v>
      </c>
      <c r="J413" s="49">
        <f t="shared" si="168"/>
        <v>2649.105</v>
      </c>
      <c r="K413" s="49">
        <f t="shared" si="169"/>
        <v>2119.2840000000001</v>
      </c>
      <c r="L413" s="58"/>
      <c r="M413" s="141">
        <v>0</v>
      </c>
      <c r="N413" s="50">
        <f t="shared" si="170"/>
        <v>0</v>
      </c>
      <c r="O413" s="50">
        <f t="shared" si="171"/>
        <v>0</v>
      </c>
      <c r="P413" s="59"/>
      <c r="Q413" s="141">
        <v>0</v>
      </c>
      <c r="R413" s="50">
        <f t="shared" si="172"/>
        <v>0</v>
      </c>
      <c r="S413" s="51">
        <f t="shared" si="173"/>
        <v>0</v>
      </c>
      <c r="T413" s="60">
        <v>15</v>
      </c>
      <c r="U413" s="61" t="s">
        <v>81</v>
      </c>
      <c r="V413" s="53">
        <f>SUMIF('Avoided Costs 2014-2023'!$A:$A,'2014 Actuals'!U413&amp;ROUNDDOWN('2014 Actuals'!T413,0),'Avoided Costs 2014-2023'!$E:$E)*K413</f>
        <v>4905.8710121567437</v>
      </c>
      <c r="W413" s="53">
        <f>SUMIF('Avoided Costs 2014-2023'!$A:$A,'2014 Actuals'!U413&amp;ROUNDDOWN('2014 Actuals'!T413,0),'Avoided Costs 2014-2023'!$K:$K)*O413</f>
        <v>0</v>
      </c>
      <c r="X413" s="53">
        <f>SUMIF('Avoided Costs 2014-2023'!$A:$A,'2014 Actuals'!U413&amp;ROUNDDOWN('2014 Actuals'!T413,0),'Avoided Costs 2014-2023'!$M:$M)*S413</f>
        <v>0</v>
      </c>
      <c r="Y413" s="53">
        <f t="shared" si="174"/>
        <v>4905.8710121567437</v>
      </c>
      <c r="Z413" s="55">
        <v>700</v>
      </c>
      <c r="AA413" s="54">
        <f t="shared" si="175"/>
        <v>560</v>
      </c>
      <c r="AB413" s="54"/>
      <c r="AC413" s="54"/>
      <c r="AD413" s="54"/>
      <c r="AE413" s="54">
        <f t="shared" si="176"/>
        <v>560</v>
      </c>
      <c r="AF413" s="54">
        <f t="shared" si="177"/>
        <v>4345.8710121567437</v>
      </c>
      <c r="AG413" s="49">
        <f t="shared" si="178"/>
        <v>31789.260000000002</v>
      </c>
      <c r="AH413" s="49">
        <f t="shared" si="179"/>
        <v>39736.574999999997</v>
      </c>
    </row>
    <row r="414" spans="1:34" s="56" customFormat="1">
      <c r="A414" s="62" t="s">
        <v>516</v>
      </c>
      <c r="B414" s="62"/>
      <c r="C414" s="62"/>
      <c r="D414" s="62"/>
      <c r="E414" s="141">
        <v>0</v>
      </c>
      <c r="F414" s="142"/>
      <c r="G414" s="143">
        <v>0.2</v>
      </c>
      <c r="H414" s="143">
        <v>0</v>
      </c>
      <c r="I414" s="49">
        <v>1377</v>
      </c>
      <c r="J414" s="49">
        <f t="shared" si="168"/>
        <v>1152.549</v>
      </c>
      <c r="K414" s="49">
        <f t="shared" si="169"/>
        <v>922.03920000000005</v>
      </c>
      <c r="L414" s="58"/>
      <c r="M414" s="141">
        <v>0</v>
      </c>
      <c r="N414" s="50">
        <f t="shared" si="170"/>
        <v>0</v>
      </c>
      <c r="O414" s="50">
        <f t="shared" si="171"/>
        <v>0</v>
      </c>
      <c r="P414" s="59"/>
      <c r="Q414" s="141">
        <v>0</v>
      </c>
      <c r="R414" s="50">
        <f t="shared" si="172"/>
        <v>0</v>
      </c>
      <c r="S414" s="51">
        <f t="shared" si="173"/>
        <v>0</v>
      </c>
      <c r="T414" s="60">
        <v>15</v>
      </c>
      <c r="U414" s="61" t="s">
        <v>94</v>
      </c>
      <c r="V414" s="53">
        <f>SUMIF('Avoided Costs 2014-2023'!$A:$A,'2014 Actuals'!U414&amp;ROUNDDOWN('2014 Actuals'!T414,0),'Avoided Costs 2014-2023'!$E:$E)*K414</f>
        <v>1998.7788313242449</v>
      </c>
      <c r="W414" s="53">
        <f>SUMIF('Avoided Costs 2014-2023'!$A:$A,'2014 Actuals'!U414&amp;ROUNDDOWN('2014 Actuals'!T414,0),'Avoided Costs 2014-2023'!$K:$K)*O414</f>
        <v>0</v>
      </c>
      <c r="X414" s="53">
        <f>SUMIF('Avoided Costs 2014-2023'!$A:$A,'2014 Actuals'!U414&amp;ROUNDDOWN('2014 Actuals'!T414,0),'Avoided Costs 2014-2023'!$M:$M)*S414</f>
        <v>0</v>
      </c>
      <c r="Y414" s="53">
        <f t="shared" si="174"/>
        <v>1998.7788313242449</v>
      </c>
      <c r="Z414" s="55">
        <v>500</v>
      </c>
      <c r="AA414" s="54">
        <f t="shared" si="175"/>
        <v>400</v>
      </c>
      <c r="AB414" s="54"/>
      <c r="AC414" s="54"/>
      <c r="AD414" s="54"/>
      <c r="AE414" s="54">
        <f t="shared" si="176"/>
        <v>400</v>
      </c>
      <c r="AF414" s="54">
        <f t="shared" si="177"/>
        <v>1598.7788313242449</v>
      </c>
      <c r="AG414" s="49">
        <f t="shared" si="178"/>
        <v>13830.588000000002</v>
      </c>
      <c r="AH414" s="49">
        <f t="shared" si="179"/>
        <v>17288.235000000001</v>
      </c>
    </row>
    <row r="415" spans="1:34" s="56" customFormat="1">
      <c r="A415" s="62" t="s">
        <v>517</v>
      </c>
      <c r="B415" s="62"/>
      <c r="C415" s="62"/>
      <c r="D415" s="62"/>
      <c r="E415" s="141">
        <v>1</v>
      </c>
      <c r="F415" s="142"/>
      <c r="G415" s="143">
        <v>0.2</v>
      </c>
      <c r="H415" s="143">
        <v>0</v>
      </c>
      <c r="I415" s="49">
        <v>21571</v>
      </c>
      <c r="J415" s="49">
        <f t="shared" si="168"/>
        <v>18054.927</v>
      </c>
      <c r="K415" s="49">
        <f t="shared" si="169"/>
        <v>14443.9416</v>
      </c>
      <c r="L415" s="58"/>
      <c r="M415" s="141">
        <v>22890</v>
      </c>
      <c r="N415" s="50">
        <f t="shared" si="170"/>
        <v>22890</v>
      </c>
      <c r="O415" s="50">
        <f t="shared" si="171"/>
        <v>18312</v>
      </c>
      <c r="P415" s="59"/>
      <c r="Q415" s="141">
        <v>0</v>
      </c>
      <c r="R415" s="50">
        <f t="shared" si="172"/>
        <v>0</v>
      </c>
      <c r="S415" s="51">
        <f t="shared" si="173"/>
        <v>0</v>
      </c>
      <c r="T415" s="60">
        <v>15</v>
      </c>
      <c r="U415" s="61" t="s">
        <v>81</v>
      </c>
      <c r="V415" s="53">
        <f>SUMIF('Avoided Costs 2014-2023'!$A:$A,'2014 Actuals'!U415&amp;ROUNDDOWN('2014 Actuals'!T415,0),'Avoided Costs 2014-2023'!$E:$E)*K415</f>
        <v>33435.874756155805</v>
      </c>
      <c r="W415" s="53">
        <f>SUMIF('Avoided Costs 2014-2023'!$A:$A,'2014 Actuals'!U415&amp;ROUNDDOWN('2014 Actuals'!T415,0),'Avoided Costs 2014-2023'!$K:$K)*O415</f>
        <v>21653.5804022226</v>
      </c>
      <c r="X415" s="53">
        <f>SUMIF('Avoided Costs 2014-2023'!$A:$A,'2014 Actuals'!U415&amp;ROUNDDOWN('2014 Actuals'!T415,0),'Avoided Costs 2014-2023'!$M:$M)*S415</f>
        <v>0</v>
      </c>
      <c r="Y415" s="53">
        <f t="shared" si="174"/>
        <v>55089.455158378405</v>
      </c>
      <c r="Z415" s="55">
        <v>11680</v>
      </c>
      <c r="AA415" s="54">
        <f t="shared" si="175"/>
        <v>9344</v>
      </c>
      <c r="AB415" s="54"/>
      <c r="AC415" s="54"/>
      <c r="AD415" s="54"/>
      <c r="AE415" s="54">
        <f t="shared" si="176"/>
        <v>9344</v>
      </c>
      <c r="AF415" s="54">
        <f t="shared" si="177"/>
        <v>45745.455158378405</v>
      </c>
      <c r="AG415" s="49">
        <f t="shared" si="178"/>
        <v>216659.12400000001</v>
      </c>
      <c r="AH415" s="49">
        <f t="shared" si="179"/>
        <v>270823.90499999997</v>
      </c>
    </row>
    <row r="416" spans="1:34" s="56" customFormat="1">
      <c r="A416" s="62" t="s">
        <v>518</v>
      </c>
      <c r="B416" s="62"/>
      <c r="C416" s="62"/>
      <c r="D416" s="62"/>
      <c r="E416" s="141">
        <v>1</v>
      </c>
      <c r="F416" s="142"/>
      <c r="G416" s="143">
        <v>0.2</v>
      </c>
      <c r="H416" s="143">
        <v>0</v>
      </c>
      <c r="I416" s="49">
        <v>81457</v>
      </c>
      <c r="J416" s="49">
        <f t="shared" si="168"/>
        <v>68179.508999999991</v>
      </c>
      <c r="K416" s="49">
        <f t="shared" si="169"/>
        <v>54543.607199999999</v>
      </c>
      <c r="L416" s="58"/>
      <c r="M416" s="141">
        <v>0</v>
      </c>
      <c r="N416" s="50">
        <f t="shared" si="170"/>
        <v>0</v>
      </c>
      <c r="O416" s="50">
        <f t="shared" si="171"/>
        <v>0</v>
      </c>
      <c r="P416" s="59"/>
      <c r="Q416" s="141">
        <v>0</v>
      </c>
      <c r="R416" s="50">
        <f t="shared" si="172"/>
        <v>0</v>
      </c>
      <c r="S416" s="51">
        <f t="shared" si="173"/>
        <v>0</v>
      </c>
      <c r="T416" s="60">
        <v>25</v>
      </c>
      <c r="U416" s="61" t="s">
        <v>81</v>
      </c>
      <c r="V416" s="53">
        <f>SUMIF('Avoided Costs 2014-2023'!$A:$A,'2014 Actuals'!U416&amp;ROUNDDOWN('2014 Actuals'!T416,0),'Avoided Costs 2014-2023'!$E:$E)*K416</f>
        <v>173245.96388354551</v>
      </c>
      <c r="W416" s="53">
        <f>SUMIF('Avoided Costs 2014-2023'!$A:$A,'2014 Actuals'!U416&amp;ROUNDDOWN('2014 Actuals'!T416,0),'Avoided Costs 2014-2023'!$K:$K)*O416</f>
        <v>0</v>
      </c>
      <c r="X416" s="53">
        <f>SUMIF('Avoided Costs 2014-2023'!$A:$A,'2014 Actuals'!U416&amp;ROUNDDOWN('2014 Actuals'!T416,0),'Avoided Costs 2014-2023'!$M:$M)*S416</f>
        <v>0</v>
      </c>
      <c r="Y416" s="53">
        <f t="shared" si="174"/>
        <v>173245.96388354551</v>
      </c>
      <c r="Z416" s="55">
        <v>44353</v>
      </c>
      <c r="AA416" s="54">
        <f t="shared" si="175"/>
        <v>35482.400000000001</v>
      </c>
      <c r="AB416" s="54"/>
      <c r="AC416" s="54"/>
      <c r="AD416" s="54"/>
      <c r="AE416" s="54">
        <f t="shared" si="176"/>
        <v>35482.400000000001</v>
      </c>
      <c r="AF416" s="54">
        <f t="shared" si="177"/>
        <v>137763.56388354552</v>
      </c>
      <c r="AG416" s="49">
        <f t="shared" si="178"/>
        <v>1363590.18</v>
      </c>
      <c r="AH416" s="49">
        <f t="shared" si="179"/>
        <v>1704487.7249999999</v>
      </c>
    </row>
    <row r="417" spans="1:34" s="56" customFormat="1">
      <c r="A417" s="62" t="s">
        <v>519</v>
      </c>
      <c r="B417" s="62"/>
      <c r="C417" s="62"/>
      <c r="D417" s="62"/>
      <c r="E417" s="141">
        <v>1</v>
      </c>
      <c r="F417" s="142"/>
      <c r="G417" s="143">
        <v>0.2</v>
      </c>
      <c r="H417" s="143">
        <v>0</v>
      </c>
      <c r="I417" s="49">
        <v>51352</v>
      </c>
      <c r="J417" s="49">
        <f t="shared" si="168"/>
        <v>42981.623999999996</v>
      </c>
      <c r="K417" s="49">
        <f t="shared" si="169"/>
        <v>34385.299200000001</v>
      </c>
      <c r="L417" s="58"/>
      <c r="M417" s="141">
        <v>0</v>
      </c>
      <c r="N417" s="50">
        <f t="shared" si="170"/>
        <v>0</v>
      </c>
      <c r="O417" s="50">
        <f t="shared" si="171"/>
        <v>0</v>
      </c>
      <c r="P417" s="59"/>
      <c r="Q417" s="141">
        <v>0</v>
      </c>
      <c r="R417" s="50">
        <f t="shared" si="172"/>
        <v>0</v>
      </c>
      <c r="S417" s="51">
        <f t="shared" si="173"/>
        <v>0</v>
      </c>
      <c r="T417" s="60">
        <v>25</v>
      </c>
      <c r="U417" s="61" t="s">
        <v>81</v>
      </c>
      <c r="V417" s="53">
        <f>SUMIF('Avoided Costs 2014-2023'!$A:$A,'2014 Actuals'!U417&amp;ROUNDDOWN('2014 Actuals'!T417,0),'Avoided Costs 2014-2023'!$E:$E)*K417</f>
        <v>109217.46120465804</v>
      </c>
      <c r="W417" s="53">
        <f>SUMIF('Avoided Costs 2014-2023'!$A:$A,'2014 Actuals'!U417&amp;ROUNDDOWN('2014 Actuals'!T417,0),'Avoided Costs 2014-2023'!$K:$K)*O417</f>
        <v>0</v>
      </c>
      <c r="X417" s="53">
        <f>SUMIF('Avoided Costs 2014-2023'!$A:$A,'2014 Actuals'!U417&amp;ROUNDDOWN('2014 Actuals'!T417,0),'Avoided Costs 2014-2023'!$M:$M)*S417</f>
        <v>0</v>
      </c>
      <c r="Y417" s="53">
        <f t="shared" si="174"/>
        <v>109217.46120465804</v>
      </c>
      <c r="Z417" s="55">
        <v>26705</v>
      </c>
      <c r="AA417" s="54">
        <f t="shared" si="175"/>
        <v>21364</v>
      </c>
      <c r="AB417" s="54"/>
      <c r="AC417" s="54"/>
      <c r="AD417" s="54"/>
      <c r="AE417" s="54">
        <f t="shared" si="176"/>
        <v>21364</v>
      </c>
      <c r="AF417" s="54">
        <f t="shared" si="177"/>
        <v>87853.461204658044</v>
      </c>
      <c r="AG417" s="49">
        <f t="shared" si="178"/>
        <v>859632.48</v>
      </c>
      <c r="AH417" s="49">
        <f t="shared" si="179"/>
        <v>1074540.5999999999</v>
      </c>
    </row>
    <row r="418" spans="1:34" s="56" customFormat="1">
      <c r="A418" s="62" t="s">
        <v>520</v>
      </c>
      <c r="B418" s="62"/>
      <c r="C418" s="62"/>
      <c r="D418" s="62"/>
      <c r="E418" s="141">
        <v>1</v>
      </c>
      <c r="F418" s="142"/>
      <c r="G418" s="143">
        <v>0.2</v>
      </c>
      <c r="H418" s="143">
        <v>0</v>
      </c>
      <c r="I418" s="49">
        <v>67959</v>
      </c>
      <c r="J418" s="49">
        <f t="shared" si="168"/>
        <v>56881.682999999997</v>
      </c>
      <c r="K418" s="49">
        <f t="shared" si="169"/>
        <v>45505.346400000002</v>
      </c>
      <c r="L418" s="58"/>
      <c r="M418" s="141">
        <v>0</v>
      </c>
      <c r="N418" s="50">
        <f t="shared" si="170"/>
        <v>0</v>
      </c>
      <c r="O418" s="50">
        <f t="shared" si="171"/>
        <v>0</v>
      </c>
      <c r="P418" s="59"/>
      <c r="Q418" s="141">
        <v>0</v>
      </c>
      <c r="R418" s="50">
        <f t="shared" si="172"/>
        <v>0</v>
      </c>
      <c r="S418" s="51">
        <f t="shared" si="173"/>
        <v>0</v>
      </c>
      <c r="T418" s="60">
        <v>25</v>
      </c>
      <c r="U418" s="61" t="s">
        <v>81</v>
      </c>
      <c r="V418" s="53">
        <f>SUMIF('Avoided Costs 2014-2023'!$A:$A,'2014 Actuals'!U418&amp;ROUNDDOWN('2014 Actuals'!T418,0),'Avoided Costs 2014-2023'!$E:$E)*K418</f>
        <v>144537.88452265455</v>
      </c>
      <c r="W418" s="53">
        <f>SUMIF('Avoided Costs 2014-2023'!$A:$A,'2014 Actuals'!U418&amp;ROUNDDOWN('2014 Actuals'!T418,0),'Avoided Costs 2014-2023'!$K:$K)*O418</f>
        <v>0</v>
      </c>
      <c r="X418" s="53">
        <f>SUMIF('Avoided Costs 2014-2023'!$A:$A,'2014 Actuals'!U418&amp;ROUNDDOWN('2014 Actuals'!T418,0),'Avoided Costs 2014-2023'!$M:$M)*S418</f>
        <v>0</v>
      </c>
      <c r="Y418" s="53">
        <f t="shared" si="174"/>
        <v>144537.88452265455</v>
      </c>
      <c r="Z418" s="55">
        <v>5284</v>
      </c>
      <c r="AA418" s="54">
        <f t="shared" si="175"/>
        <v>4227.2</v>
      </c>
      <c r="AB418" s="54"/>
      <c r="AC418" s="54"/>
      <c r="AD418" s="54"/>
      <c r="AE418" s="54">
        <f t="shared" si="176"/>
        <v>4227.2</v>
      </c>
      <c r="AF418" s="54">
        <f t="shared" si="177"/>
        <v>140310.68452265454</v>
      </c>
      <c r="AG418" s="49">
        <f t="shared" si="178"/>
        <v>1137633.6600000001</v>
      </c>
      <c r="AH418" s="49">
        <f t="shared" si="179"/>
        <v>1422042.075</v>
      </c>
    </row>
    <row r="419" spans="1:34" s="56" customFormat="1">
      <c r="A419" s="62" t="s">
        <v>521</v>
      </c>
      <c r="B419" s="62"/>
      <c r="C419" s="62"/>
      <c r="D419" s="62"/>
      <c r="E419" s="141">
        <v>0</v>
      </c>
      <c r="F419" s="142"/>
      <c r="G419" s="143">
        <v>0.2</v>
      </c>
      <c r="H419" s="143">
        <v>0</v>
      </c>
      <c r="I419" s="49">
        <v>34884</v>
      </c>
      <c r="J419" s="49">
        <f t="shared" si="168"/>
        <v>29197.907999999999</v>
      </c>
      <c r="K419" s="49">
        <f t="shared" si="169"/>
        <v>23358.326400000002</v>
      </c>
      <c r="L419" s="58"/>
      <c r="M419" s="141">
        <v>0</v>
      </c>
      <c r="N419" s="50">
        <f t="shared" si="170"/>
        <v>0</v>
      </c>
      <c r="O419" s="50">
        <f t="shared" si="171"/>
        <v>0</v>
      </c>
      <c r="P419" s="59"/>
      <c r="Q419" s="141">
        <v>0</v>
      </c>
      <c r="R419" s="50">
        <f t="shared" si="172"/>
        <v>0</v>
      </c>
      <c r="S419" s="51">
        <f t="shared" si="173"/>
        <v>0</v>
      </c>
      <c r="T419" s="60">
        <v>25</v>
      </c>
      <c r="U419" s="61" t="s">
        <v>81</v>
      </c>
      <c r="V419" s="53">
        <f>SUMIF('Avoided Costs 2014-2023'!$A:$A,'2014 Actuals'!U419&amp;ROUNDDOWN('2014 Actuals'!T419,0),'Avoided Costs 2014-2023'!$E:$E)*K419</f>
        <v>74192.668574997879</v>
      </c>
      <c r="W419" s="53">
        <f>SUMIF('Avoided Costs 2014-2023'!$A:$A,'2014 Actuals'!U419&amp;ROUNDDOWN('2014 Actuals'!T419,0),'Avoided Costs 2014-2023'!$K:$K)*O419</f>
        <v>0</v>
      </c>
      <c r="X419" s="53">
        <f>SUMIF('Avoided Costs 2014-2023'!$A:$A,'2014 Actuals'!U419&amp;ROUNDDOWN('2014 Actuals'!T419,0),'Avoided Costs 2014-2023'!$M:$M)*S419</f>
        <v>0</v>
      </c>
      <c r="Y419" s="53">
        <f t="shared" si="174"/>
        <v>74192.668574997879</v>
      </c>
      <c r="Z419" s="55">
        <v>21794</v>
      </c>
      <c r="AA419" s="54">
        <f t="shared" si="175"/>
        <v>17435.2</v>
      </c>
      <c r="AB419" s="54"/>
      <c r="AC419" s="54"/>
      <c r="AD419" s="54"/>
      <c r="AE419" s="54">
        <f t="shared" si="176"/>
        <v>17435.2</v>
      </c>
      <c r="AF419" s="54">
        <f t="shared" si="177"/>
        <v>56757.468574997882</v>
      </c>
      <c r="AG419" s="49">
        <f t="shared" si="178"/>
        <v>583958.16</v>
      </c>
      <c r="AH419" s="49">
        <f t="shared" si="179"/>
        <v>729947.7</v>
      </c>
    </row>
    <row r="420" spans="1:34" s="56" customFormat="1">
      <c r="A420" s="62" t="s">
        <v>522</v>
      </c>
      <c r="B420" s="62"/>
      <c r="C420" s="62"/>
      <c r="D420" s="62"/>
      <c r="E420" s="141">
        <v>1</v>
      </c>
      <c r="F420" s="142"/>
      <c r="G420" s="143">
        <v>0.2</v>
      </c>
      <c r="H420" s="143">
        <v>0</v>
      </c>
      <c r="I420" s="49">
        <v>51205</v>
      </c>
      <c r="J420" s="49">
        <f t="shared" si="168"/>
        <v>42858.584999999999</v>
      </c>
      <c r="K420" s="49">
        <f t="shared" si="169"/>
        <v>34286.868000000002</v>
      </c>
      <c r="L420" s="58"/>
      <c r="M420" s="141">
        <v>46982</v>
      </c>
      <c r="N420" s="50">
        <f t="shared" si="170"/>
        <v>46982</v>
      </c>
      <c r="O420" s="50">
        <f t="shared" si="171"/>
        <v>37585.599999999999</v>
      </c>
      <c r="P420" s="59"/>
      <c r="Q420" s="141">
        <v>0</v>
      </c>
      <c r="R420" s="50">
        <f t="shared" si="172"/>
        <v>0</v>
      </c>
      <c r="S420" s="51">
        <f t="shared" si="173"/>
        <v>0</v>
      </c>
      <c r="T420" s="60">
        <v>15</v>
      </c>
      <c r="U420" s="61" t="s">
        <v>81</v>
      </c>
      <c r="V420" s="53">
        <f>SUMIF('Avoided Costs 2014-2023'!$A:$A,'2014 Actuals'!U420&amp;ROUNDDOWN('2014 Actuals'!T420,0),'Avoided Costs 2014-2023'!$E:$E)*K420</f>
        <v>79369.707796994015</v>
      </c>
      <c r="W420" s="53">
        <f>SUMIF('Avoided Costs 2014-2023'!$A:$A,'2014 Actuals'!U420&amp;ROUNDDOWN('2014 Actuals'!T420,0),'Avoided Costs 2014-2023'!$K:$K)*O420</f>
        <v>44444.233921241685</v>
      </c>
      <c r="X420" s="53">
        <f>SUMIF('Avoided Costs 2014-2023'!$A:$A,'2014 Actuals'!U420&amp;ROUNDDOWN('2014 Actuals'!T420,0),'Avoided Costs 2014-2023'!$M:$M)*S420</f>
        <v>0</v>
      </c>
      <c r="Y420" s="53">
        <f t="shared" si="174"/>
        <v>123813.9417182357</v>
      </c>
      <c r="Z420" s="55">
        <v>20800</v>
      </c>
      <c r="AA420" s="54">
        <f t="shared" si="175"/>
        <v>16640</v>
      </c>
      <c r="AB420" s="54"/>
      <c r="AC420" s="54"/>
      <c r="AD420" s="54"/>
      <c r="AE420" s="54">
        <f t="shared" si="176"/>
        <v>16640</v>
      </c>
      <c r="AF420" s="54">
        <f t="shared" si="177"/>
        <v>107173.9417182357</v>
      </c>
      <c r="AG420" s="49">
        <f t="shared" si="178"/>
        <v>514303.02</v>
      </c>
      <c r="AH420" s="49">
        <f t="shared" si="179"/>
        <v>642878.77500000002</v>
      </c>
    </row>
    <row r="421" spans="1:34" s="56" customFormat="1">
      <c r="A421" s="62" t="s">
        <v>523</v>
      </c>
      <c r="B421" s="62"/>
      <c r="C421" s="62"/>
      <c r="D421" s="62"/>
      <c r="E421" s="141">
        <v>1</v>
      </c>
      <c r="F421" s="142"/>
      <c r="G421" s="143">
        <v>0.2</v>
      </c>
      <c r="H421" s="143">
        <v>0</v>
      </c>
      <c r="I421" s="49">
        <v>13599</v>
      </c>
      <c r="J421" s="49">
        <f t="shared" si="168"/>
        <v>11382.362999999999</v>
      </c>
      <c r="K421" s="49">
        <f t="shared" si="169"/>
        <v>9105.8904000000002</v>
      </c>
      <c r="L421" s="58"/>
      <c r="M421" s="141">
        <v>0</v>
      </c>
      <c r="N421" s="50">
        <f t="shared" si="170"/>
        <v>0</v>
      </c>
      <c r="O421" s="50">
        <f t="shared" si="171"/>
        <v>0</v>
      </c>
      <c r="P421" s="59"/>
      <c r="Q421" s="141">
        <v>0</v>
      </c>
      <c r="R421" s="50">
        <f t="shared" si="172"/>
        <v>0</v>
      </c>
      <c r="S421" s="51">
        <f t="shared" si="173"/>
        <v>0</v>
      </c>
      <c r="T421" s="60">
        <v>25</v>
      </c>
      <c r="U421" s="61" t="s">
        <v>81</v>
      </c>
      <c r="V421" s="53">
        <f>SUMIF('Avoided Costs 2014-2023'!$A:$A,'2014 Actuals'!U421&amp;ROUNDDOWN('2014 Actuals'!T421,0),'Avoided Costs 2014-2023'!$E:$E)*K421</f>
        <v>28922.890148818835</v>
      </c>
      <c r="W421" s="53">
        <f>SUMIF('Avoided Costs 2014-2023'!$A:$A,'2014 Actuals'!U421&amp;ROUNDDOWN('2014 Actuals'!T421,0),'Avoided Costs 2014-2023'!$K:$K)*O421</f>
        <v>0</v>
      </c>
      <c r="X421" s="53">
        <f>SUMIF('Avoided Costs 2014-2023'!$A:$A,'2014 Actuals'!U421&amp;ROUNDDOWN('2014 Actuals'!T421,0),'Avoided Costs 2014-2023'!$M:$M)*S421</f>
        <v>0</v>
      </c>
      <c r="Y421" s="53">
        <f t="shared" si="174"/>
        <v>28922.890148818835</v>
      </c>
      <c r="Z421" s="55">
        <v>23502</v>
      </c>
      <c r="AA421" s="54">
        <f t="shared" si="175"/>
        <v>18801.600000000002</v>
      </c>
      <c r="AB421" s="54"/>
      <c r="AC421" s="54"/>
      <c r="AD421" s="54"/>
      <c r="AE421" s="54">
        <f t="shared" si="176"/>
        <v>18801.600000000002</v>
      </c>
      <c r="AF421" s="54">
        <f t="shared" si="177"/>
        <v>10121.290148818833</v>
      </c>
      <c r="AG421" s="49">
        <f t="shared" si="178"/>
        <v>227647.26</v>
      </c>
      <c r="AH421" s="49">
        <f t="shared" si="179"/>
        <v>284559.07500000001</v>
      </c>
    </row>
    <row r="422" spans="1:34" s="56" customFormat="1">
      <c r="A422" s="62" t="s">
        <v>524</v>
      </c>
      <c r="B422" s="62"/>
      <c r="C422" s="62"/>
      <c r="D422" s="62"/>
      <c r="E422" s="141">
        <v>1</v>
      </c>
      <c r="F422" s="142"/>
      <c r="G422" s="143">
        <v>0.2</v>
      </c>
      <c r="H422" s="143">
        <v>0</v>
      </c>
      <c r="I422" s="49">
        <v>17832</v>
      </c>
      <c r="J422" s="49">
        <f t="shared" si="168"/>
        <v>14925.384</v>
      </c>
      <c r="K422" s="49">
        <f t="shared" si="169"/>
        <v>11940.307200000001</v>
      </c>
      <c r="L422" s="58"/>
      <c r="M422" s="141">
        <v>0</v>
      </c>
      <c r="N422" s="50">
        <f t="shared" si="170"/>
        <v>0</v>
      </c>
      <c r="O422" s="50">
        <f t="shared" si="171"/>
        <v>0</v>
      </c>
      <c r="P422" s="59"/>
      <c r="Q422" s="141">
        <v>0</v>
      </c>
      <c r="R422" s="50">
        <f t="shared" si="172"/>
        <v>0</v>
      </c>
      <c r="S422" s="51">
        <f t="shared" si="173"/>
        <v>0</v>
      </c>
      <c r="T422" s="60">
        <v>25</v>
      </c>
      <c r="U422" s="61" t="s">
        <v>81</v>
      </c>
      <c r="V422" s="53">
        <f>SUMIF('Avoided Costs 2014-2023'!$A:$A,'2014 Actuals'!U422&amp;ROUNDDOWN('2014 Actuals'!T422,0),'Avoided Costs 2014-2023'!$E:$E)*K422</f>
        <v>37925.801686428225</v>
      </c>
      <c r="W422" s="53">
        <f>SUMIF('Avoided Costs 2014-2023'!$A:$A,'2014 Actuals'!U422&amp;ROUNDDOWN('2014 Actuals'!T422,0),'Avoided Costs 2014-2023'!$K:$K)*O422</f>
        <v>0</v>
      </c>
      <c r="X422" s="53">
        <f>SUMIF('Avoided Costs 2014-2023'!$A:$A,'2014 Actuals'!U422&amp;ROUNDDOWN('2014 Actuals'!T422,0),'Avoided Costs 2014-2023'!$M:$M)*S422</f>
        <v>0</v>
      </c>
      <c r="Y422" s="53">
        <f t="shared" si="174"/>
        <v>37925.801686428225</v>
      </c>
      <c r="Z422" s="55">
        <v>11960</v>
      </c>
      <c r="AA422" s="54">
        <f t="shared" si="175"/>
        <v>9568</v>
      </c>
      <c r="AB422" s="54"/>
      <c r="AC422" s="54"/>
      <c r="AD422" s="54"/>
      <c r="AE422" s="54">
        <f t="shared" si="176"/>
        <v>9568</v>
      </c>
      <c r="AF422" s="54">
        <f t="shared" si="177"/>
        <v>28357.801686428225</v>
      </c>
      <c r="AG422" s="49">
        <f t="shared" si="178"/>
        <v>298507.68000000005</v>
      </c>
      <c r="AH422" s="49">
        <f t="shared" si="179"/>
        <v>373134.6</v>
      </c>
    </row>
    <row r="423" spans="1:34" s="56" customFormat="1">
      <c r="A423" s="62" t="s">
        <v>525</v>
      </c>
      <c r="B423" s="62"/>
      <c r="C423" s="62"/>
      <c r="D423" s="62"/>
      <c r="E423" s="141">
        <v>1</v>
      </c>
      <c r="F423" s="142"/>
      <c r="G423" s="143">
        <v>0.2</v>
      </c>
      <c r="H423" s="143">
        <v>0</v>
      </c>
      <c r="I423" s="49">
        <v>43311</v>
      </c>
      <c r="J423" s="49">
        <f t="shared" si="168"/>
        <v>36251.307000000001</v>
      </c>
      <c r="K423" s="49">
        <f t="shared" si="169"/>
        <v>29001.045600000001</v>
      </c>
      <c r="L423" s="58"/>
      <c r="M423" s="141">
        <v>0</v>
      </c>
      <c r="N423" s="50">
        <f t="shared" si="170"/>
        <v>0</v>
      </c>
      <c r="O423" s="50">
        <f t="shared" si="171"/>
        <v>0</v>
      </c>
      <c r="P423" s="59"/>
      <c r="Q423" s="141">
        <v>0</v>
      </c>
      <c r="R423" s="50">
        <f t="shared" si="172"/>
        <v>0</v>
      </c>
      <c r="S423" s="51">
        <f t="shared" si="173"/>
        <v>0</v>
      </c>
      <c r="T423" s="60">
        <v>25</v>
      </c>
      <c r="U423" s="61" t="s">
        <v>81</v>
      </c>
      <c r="V423" s="53">
        <f>SUMIF('Avoided Costs 2014-2023'!$A:$A,'2014 Actuals'!U423&amp;ROUNDDOWN('2014 Actuals'!T423,0),'Avoided Costs 2014-2023'!$E:$E)*K423</f>
        <v>92115.544910323733</v>
      </c>
      <c r="W423" s="53">
        <f>SUMIF('Avoided Costs 2014-2023'!$A:$A,'2014 Actuals'!U423&amp;ROUNDDOWN('2014 Actuals'!T423,0),'Avoided Costs 2014-2023'!$K:$K)*O423</f>
        <v>0</v>
      </c>
      <c r="X423" s="53">
        <f>SUMIF('Avoided Costs 2014-2023'!$A:$A,'2014 Actuals'!U423&amp;ROUNDDOWN('2014 Actuals'!T423,0),'Avoided Costs 2014-2023'!$M:$M)*S423</f>
        <v>0</v>
      </c>
      <c r="Y423" s="53">
        <f t="shared" si="174"/>
        <v>92115.544910323733</v>
      </c>
      <c r="Z423" s="55">
        <v>15129</v>
      </c>
      <c r="AA423" s="54">
        <f t="shared" si="175"/>
        <v>12103.2</v>
      </c>
      <c r="AB423" s="54"/>
      <c r="AC423" s="54"/>
      <c r="AD423" s="54"/>
      <c r="AE423" s="54">
        <f t="shared" si="176"/>
        <v>12103.2</v>
      </c>
      <c r="AF423" s="54">
        <f t="shared" si="177"/>
        <v>80012.344910323736</v>
      </c>
      <c r="AG423" s="49">
        <f t="shared" si="178"/>
        <v>725026.14</v>
      </c>
      <c r="AH423" s="49">
        <f t="shared" si="179"/>
        <v>906282.67500000005</v>
      </c>
    </row>
    <row r="424" spans="1:34" s="56" customFormat="1">
      <c r="A424" s="62" t="s">
        <v>526</v>
      </c>
      <c r="B424" s="62"/>
      <c r="C424" s="62"/>
      <c r="D424" s="62"/>
      <c r="E424" s="141">
        <v>1</v>
      </c>
      <c r="F424" s="142"/>
      <c r="G424" s="143">
        <v>0.2</v>
      </c>
      <c r="H424" s="143">
        <v>0</v>
      </c>
      <c r="I424" s="49">
        <v>7658</v>
      </c>
      <c r="J424" s="49">
        <f t="shared" si="168"/>
        <v>6409.7460000000001</v>
      </c>
      <c r="K424" s="49">
        <f t="shared" si="169"/>
        <v>5127.7968000000001</v>
      </c>
      <c r="L424" s="58"/>
      <c r="M424" s="141">
        <v>0</v>
      </c>
      <c r="N424" s="50">
        <f t="shared" si="170"/>
        <v>0</v>
      </c>
      <c r="O424" s="50">
        <f t="shared" si="171"/>
        <v>0</v>
      </c>
      <c r="P424" s="59"/>
      <c r="Q424" s="141">
        <v>0</v>
      </c>
      <c r="R424" s="50">
        <f t="shared" si="172"/>
        <v>0</v>
      </c>
      <c r="S424" s="51">
        <f t="shared" si="173"/>
        <v>0</v>
      </c>
      <c r="T424" s="60">
        <v>25</v>
      </c>
      <c r="U424" s="61" t="s">
        <v>81</v>
      </c>
      <c r="V424" s="53">
        <f>SUMIF('Avoided Costs 2014-2023'!$A:$A,'2014 Actuals'!U424&amp;ROUNDDOWN('2014 Actuals'!T424,0),'Avoided Costs 2014-2023'!$E:$E)*K424</f>
        <v>16287.336771796061</v>
      </c>
      <c r="W424" s="53">
        <f>SUMIF('Avoided Costs 2014-2023'!$A:$A,'2014 Actuals'!U424&amp;ROUNDDOWN('2014 Actuals'!T424,0),'Avoided Costs 2014-2023'!$K:$K)*O424</f>
        <v>0</v>
      </c>
      <c r="X424" s="53">
        <f>SUMIF('Avoided Costs 2014-2023'!$A:$A,'2014 Actuals'!U424&amp;ROUNDDOWN('2014 Actuals'!T424,0),'Avoided Costs 2014-2023'!$M:$M)*S424</f>
        <v>0</v>
      </c>
      <c r="Y424" s="53">
        <f t="shared" si="174"/>
        <v>16287.336771796061</v>
      </c>
      <c r="Z424" s="55">
        <v>7244</v>
      </c>
      <c r="AA424" s="54">
        <f t="shared" si="175"/>
        <v>5795.2000000000007</v>
      </c>
      <c r="AB424" s="54"/>
      <c r="AC424" s="54"/>
      <c r="AD424" s="54"/>
      <c r="AE424" s="54">
        <f t="shared" si="176"/>
        <v>5795.2000000000007</v>
      </c>
      <c r="AF424" s="54">
        <f t="shared" si="177"/>
        <v>10492.13677179606</v>
      </c>
      <c r="AG424" s="49">
        <f t="shared" si="178"/>
        <v>128194.92</v>
      </c>
      <c r="AH424" s="49">
        <f t="shared" si="179"/>
        <v>160243.65</v>
      </c>
    </row>
    <row r="425" spans="1:34" s="56" customFormat="1">
      <c r="A425" s="62" t="s">
        <v>527</v>
      </c>
      <c r="B425" s="62"/>
      <c r="C425" s="62"/>
      <c r="D425" s="62"/>
      <c r="E425" s="141">
        <v>0</v>
      </c>
      <c r="F425" s="142"/>
      <c r="G425" s="143">
        <v>0.2</v>
      </c>
      <c r="H425" s="143">
        <v>0</v>
      </c>
      <c r="I425" s="49">
        <v>1312</v>
      </c>
      <c r="J425" s="49">
        <f t="shared" si="168"/>
        <v>1098.144</v>
      </c>
      <c r="K425" s="49">
        <f t="shared" si="169"/>
        <v>878.51520000000005</v>
      </c>
      <c r="L425" s="58"/>
      <c r="M425" s="141">
        <v>0</v>
      </c>
      <c r="N425" s="50">
        <f t="shared" si="170"/>
        <v>0</v>
      </c>
      <c r="O425" s="50">
        <f t="shared" si="171"/>
        <v>0</v>
      </c>
      <c r="P425" s="59"/>
      <c r="Q425" s="141">
        <v>0</v>
      </c>
      <c r="R425" s="50">
        <f t="shared" si="172"/>
        <v>0</v>
      </c>
      <c r="S425" s="51">
        <f t="shared" si="173"/>
        <v>0</v>
      </c>
      <c r="T425" s="60">
        <v>15</v>
      </c>
      <c r="U425" s="61" t="s">
        <v>81</v>
      </c>
      <c r="V425" s="53">
        <f>SUMIF('Avoided Costs 2014-2023'!$A:$A,'2014 Actuals'!U425&amp;ROUNDDOWN('2014 Actuals'!T425,0),'Avoided Costs 2014-2023'!$E:$E)*K425</f>
        <v>2033.6501636491778</v>
      </c>
      <c r="W425" s="53">
        <f>SUMIF('Avoided Costs 2014-2023'!$A:$A,'2014 Actuals'!U425&amp;ROUNDDOWN('2014 Actuals'!T425,0),'Avoided Costs 2014-2023'!$K:$K)*O425</f>
        <v>0</v>
      </c>
      <c r="X425" s="53">
        <f>SUMIF('Avoided Costs 2014-2023'!$A:$A,'2014 Actuals'!U425&amp;ROUNDDOWN('2014 Actuals'!T425,0),'Avoided Costs 2014-2023'!$M:$M)*S425</f>
        <v>0</v>
      </c>
      <c r="Y425" s="53">
        <f t="shared" si="174"/>
        <v>2033.6501636491778</v>
      </c>
      <c r="Z425" s="55">
        <v>2000</v>
      </c>
      <c r="AA425" s="54">
        <f t="shared" si="175"/>
        <v>1600</v>
      </c>
      <c r="AB425" s="54"/>
      <c r="AC425" s="54"/>
      <c r="AD425" s="54"/>
      <c r="AE425" s="54">
        <f t="shared" si="176"/>
        <v>1600</v>
      </c>
      <c r="AF425" s="54">
        <f t="shared" si="177"/>
        <v>433.65016364917778</v>
      </c>
      <c r="AG425" s="49">
        <f t="shared" si="178"/>
        <v>13177.728000000001</v>
      </c>
      <c r="AH425" s="49">
        <f t="shared" si="179"/>
        <v>16472.16</v>
      </c>
    </row>
    <row r="426" spans="1:34" s="56" customFormat="1">
      <c r="A426" s="62" t="s">
        <v>528</v>
      </c>
      <c r="B426" s="62"/>
      <c r="C426" s="62"/>
      <c r="D426" s="62"/>
      <c r="E426" s="141">
        <v>0</v>
      </c>
      <c r="F426" s="142"/>
      <c r="G426" s="143">
        <v>0.2</v>
      </c>
      <c r="H426" s="143">
        <v>0</v>
      </c>
      <c r="I426" s="49">
        <v>519</v>
      </c>
      <c r="J426" s="49">
        <f t="shared" si="168"/>
        <v>434.40299999999996</v>
      </c>
      <c r="K426" s="49">
        <f t="shared" si="169"/>
        <v>347.5224</v>
      </c>
      <c r="L426" s="58"/>
      <c r="M426" s="141">
        <v>0</v>
      </c>
      <c r="N426" s="50">
        <f t="shared" si="170"/>
        <v>0</v>
      </c>
      <c r="O426" s="50">
        <f t="shared" si="171"/>
        <v>0</v>
      </c>
      <c r="P426" s="59"/>
      <c r="Q426" s="141">
        <v>0</v>
      </c>
      <c r="R426" s="50">
        <f t="shared" si="172"/>
        <v>0</v>
      </c>
      <c r="S426" s="51">
        <f t="shared" si="173"/>
        <v>0</v>
      </c>
      <c r="T426" s="60">
        <v>15</v>
      </c>
      <c r="U426" s="61" t="s">
        <v>94</v>
      </c>
      <c r="V426" s="53">
        <f>SUMIF('Avoided Costs 2014-2023'!$A:$A,'2014 Actuals'!U426&amp;ROUNDDOWN('2014 Actuals'!T426,0),'Avoided Costs 2014-2023'!$E:$E)*K426</f>
        <v>753.35236997624042</v>
      </c>
      <c r="W426" s="53">
        <f>SUMIF('Avoided Costs 2014-2023'!$A:$A,'2014 Actuals'!U426&amp;ROUNDDOWN('2014 Actuals'!T426,0),'Avoided Costs 2014-2023'!$K:$K)*O426</f>
        <v>0</v>
      </c>
      <c r="X426" s="53">
        <f>SUMIF('Avoided Costs 2014-2023'!$A:$A,'2014 Actuals'!U426&amp;ROUNDDOWN('2014 Actuals'!T426,0),'Avoided Costs 2014-2023'!$M:$M)*S426</f>
        <v>0</v>
      </c>
      <c r="Y426" s="53">
        <f t="shared" si="174"/>
        <v>753.35236997624042</v>
      </c>
      <c r="Z426" s="55">
        <v>1100</v>
      </c>
      <c r="AA426" s="54">
        <f t="shared" si="175"/>
        <v>880</v>
      </c>
      <c r="AB426" s="54"/>
      <c r="AC426" s="54"/>
      <c r="AD426" s="54"/>
      <c r="AE426" s="54">
        <f t="shared" si="176"/>
        <v>880</v>
      </c>
      <c r="AF426" s="54">
        <f t="shared" si="177"/>
        <v>-126.64763002375958</v>
      </c>
      <c r="AG426" s="49">
        <f t="shared" si="178"/>
        <v>5212.8360000000002</v>
      </c>
      <c r="AH426" s="49">
        <f t="shared" si="179"/>
        <v>6516.0449999999992</v>
      </c>
    </row>
    <row r="427" spans="1:34" s="56" customFormat="1">
      <c r="A427" s="62" t="s">
        <v>529</v>
      </c>
      <c r="B427" s="62"/>
      <c r="C427" s="62"/>
      <c r="D427" s="62"/>
      <c r="E427" s="141">
        <v>1</v>
      </c>
      <c r="F427" s="142"/>
      <c r="G427" s="143">
        <v>0.2</v>
      </c>
      <c r="H427" s="143">
        <v>0</v>
      </c>
      <c r="I427" s="49">
        <v>3247</v>
      </c>
      <c r="J427" s="49">
        <f t="shared" si="168"/>
        <v>2717.739</v>
      </c>
      <c r="K427" s="49">
        <f t="shared" si="169"/>
        <v>2174.1912000000002</v>
      </c>
      <c r="L427" s="58"/>
      <c r="M427" s="141">
        <v>4891</v>
      </c>
      <c r="N427" s="50">
        <f t="shared" si="170"/>
        <v>4891</v>
      </c>
      <c r="O427" s="50">
        <f t="shared" si="171"/>
        <v>3912.8</v>
      </c>
      <c r="P427" s="59"/>
      <c r="Q427" s="141">
        <v>0</v>
      </c>
      <c r="R427" s="50">
        <f t="shared" si="172"/>
        <v>0</v>
      </c>
      <c r="S427" s="51">
        <f t="shared" si="173"/>
        <v>0</v>
      </c>
      <c r="T427" s="60">
        <v>15</v>
      </c>
      <c r="U427" s="61" t="s">
        <v>81</v>
      </c>
      <c r="V427" s="53">
        <f>SUMIF('Avoided Costs 2014-2023'!$A:$A,'2014 Actuals'!U427&amp;ROUNDDOWN('2014 Actuals'!T427,0),'Avoided Costs 2014-2023'!$E:$E)*K427</f>
        <v>5032.974147384818</v>
      </c>
      <c r="W427" s="53">
        <f>SUMIF('Avoided Costs 2014-2023'!$A:$A,'2014 Actuals'!U427&amp;ROUNDDOWN('2014 Actuals'!T427,0),'Avoided Costs 2014-2023'!$K:$K)*O427</f>
        <v>4626.8091632708929</v>
      </c>
      <c r="X427" s="53">
        <f>SUMIF('Avoided Costs 2014-2023'!$A:$A,'2014 Actuals'!U427&amp;ROUNDDOWN('2014 Actuals'!T427,0),'Avoided Costs 2014-2023'!$M:$M)*S427</f>
        <v>0</v>
      </c>
      <c r="Y427" s="53">
        <f t="shared" si="174"/>
        <v>9659.7833106557118</v>
      </c>
      <c r="Z427" s="55">
        <v>12000</v>
      </c>
      <c r="AA427" s="54">
        <f t="shared" si="175"/>
        <v>9600</v>
      </c>
      <c r="AB427" s="54"/>
      <c r="AC427" s="54"/>
      <c r="AD427" s="54"/>
      <c r="AE427" s="54">
        <f t="shared" si="176"/>
        <v>9600</v>
      </c>
      <c r="AF427" s="54">
        <f t="shared" si="177"/>
        <v>59.78331065571183</v>
      </c>
      <c r="AG427" s="49">
        <f t="shared" si="178"/>
        <v>32612.868000000002</v>
      </c>
      <c r="AH427" s="49">
        <f t="shared" si="179"/>
        <v>40766.084999999999</v>
      </c>
    </row>
    <row r="428" spans="1:34" s="56" customFormat="1">
      <c r="A428" s="62" t="s">
        <v>530</v>
      </c>
      <c r="B428" s="62"/>
      <c r="C428" s="62"/>
      <c r="D428" s="62"/>
      <c r="E428" s="141">
        <v>1</v>
      </c>
      <c r="F428" s="142"/>
      <c r="G428" s="143">
        <v>0.2</v>
      </c>
      <c r="H428" s="143">
        <v>0</v>
      </c>
      <c r="I428" s="49">
        <v>30744</v>
      </c>
      <c r="J428" s="49">
        <f t="shared" si="168"/>
        <v>25732.727999999999</v>
      </c>
      <c r="K428" s="49">
        <f t="shared" si="169"/>
        <v>20586.182400000002</v>
      </c>
      <c r="L428" s="58"/>
      <c r="M428" s="141">
        <v>0</v>
      </c>
      <c r="N428" s="50">
        <f t="shared" si="170"/>
        <v>0</v>
      </c>
      <c r="O428" s="50">
        <f t="shared" si="171"/>
        <v>0</v>
      </c>
      <c r="P428" s="59"/>
      <c r="Q428" s="141">
        <v>0</v>
      </c>
      <c r="R428" s="50">
        <f t="shared" si="172"/>
        <v>0</v>
      </c>
      <c r="S428" s="51">
        <f t="shared" si="173"/>
        <v>0</v>
      </c>
      <c r="T428" s="60">
        <v>25</v>
      </c>
      <c r="U428" s="61" t="s">
        <v>81</v>
      </c>
      <c r="V428" s="53">
        <f>SUMIF('Avoided Costs 2014-2023'!$A:$A,'2014 Actuals'!U428&amp;ROUNDDOWN('2014 Actuals'!T428,0),'Avoided Costs 2014-2023'!$E:$E)*K428</f>
        <v>65387.553109440858</v>
      </c>
      <c r="W428" s="53">
        <f>SUMIF('Avoided Costs 2014-2023'!$A:$A,'2014 Actuals'!U428&amp;ROUNDDOWN('2014 Actuals'!T428,0),'Avoided Costs 2014-2023'!$K:$K)*O428</f>
        <v>0</v>
      </c>
      <c r="X428" s="53">
        <f>SUMIF('Avoided Costs 2014-2023'!$A:$A,'2014 Actuals'!U428&amp;ROUNDDOWN('2014 Actuals'!T428,0),'Avoided Costs 2014-2023'!$M:$M)*S428</f>
        <v>0</v>
      </c>
      <c r="Y428" s="53">
        <f t="shared" si="174"/>
        <v>65387.553109440858</v>
      </c>
      <c r="Z428" s="55">
        <v>15700</v>
      </c>
      <c r="AA428" s="54">
        <f t="shared" si="175"/>
        <v>12560</v>
      </c>
      <c r="AB428" s="54"/>
      <c r="AC428" s="54"/>
      <c r="AD428" s="54"/>
      <c r="AE428" s="54">
        <f t="shared" si="176"/>
        <v>12560</v>
      </c>
      <c r="AF428" s="54">
        <f t="shared" si="177"/>
        <v>52827.553109440858</v>
      </c>
      <c r="AG428" s="49">
        <f t="shared" si="178"/>
        <v>514654.56000000006</v>
      </c>
      <c r="AH428" s="49">
        <f t="shared" si="179"/>
        <v>643318.19999999995</v>
      </c>
    </row>
    <row r="429" spans="1:34" s="56" customFormat="1">
      <c r="A429" s="62" t="s">
        <v>531</v>
      </c>
      <c r="B429" s="62"/>
      <c r="C429" s="62"/>
      <c r="D429" s="62"/>
      <c r="E429" s="141">
        <v>1</v>
      </c>
      <c r="F429" s="142"/>
      <c r="G429" s="143">
        <v>0.2</v>
      </c>
      <c r="H429" s="143">
        <v>0</v>
      </c>
      <c r="I429" s="49">
        <v>20242</v>
      </c>
      <c r="J429" s="49">
        <f t="shared" si="168"/>
        <v>16942.554</v>
      </c>
      <c r="K429" s="49">
        <f t="shared" si="169"/>
        <v>13554.0432</v>
      </c>
      <c r="L429" s="58"/>
      <c r="M429" s="141">
        <v>0</v>
      </c>
      <c r="N429" s="50">
        <f t="shared" si="170"/>
        <v>0</v>
      </c>
      <c r="O429" s="50">
        <f t="shared" si="171"/>
        <v>0</v>
      </c>
      <c r="P429" s="59"/>
      <c r="Q429" s="141">
        <v>0</v>
      </c>
      <c r="R429" s="50">
        <f t="shared" si="172"/>
        <v>0</v>
      </c>
      <c r="S429" s="51">
        <f t="shared" si="173"/>
        <v>0</v>
      </c>
      <c r="T429" s="60">
        <v>25</v>
      </c>
      <c r="U429" s="61" t="s">
        <v>81</v>
      </c>
      <c r="V429" s="53">
        <f>SUMIF('Avoided Costs 2014-2023'!$A:$A,'2014 Actuals'!U429&amp;ROUNDDOWN('2014 Actuals'!T429,0),'Avoided Costs 2014-2023'!$E:$E)*K429</f>
        <v>43051.484843914317</v>
      </c>
      <c r="W429" s="53">
        <f>SUMIF('Avoided Costs 2014-2023'!$A:$A,'2014 Actuals'!U429&amp;ROUNDDOWN('2014 Actuals'!T429,0),'Avoided Costs 2014-2023'!$K:$K)*O429</f>
        <v>0</v>
      </c>
      <c r="X429" s="53">
        <f>SUMIF('Avoided Costs 2014-2023'!$A:$A,'2014 Actuals'!U429&amp;ROUNDDOWN('2014 Actuals'!T429,0),'Avoided Costs 2014-2023'!$M:$M)*S429</f>
        <v>0</v>
      </c>
      <c r="Y429" s="53">
        <f t="shared" si="174"/>
        <v>43051.484843914317</v>
      </c>
      <c r="Z429" s="55">
        <v>11960</v>
      </c>
      <c r="AA429" s="54">
        <f t="shared" si="175"/>
        <v>9568</v>
      </c>
      <c r="AB429" s="54"/>
      <c r="AC429" s="54"/>
      <c r="AD429" s="54"/>
      <c r="AE429" s="54">
        <f t="shared" si="176"/>
        <v>9568</v>
      </c>
      <c r="AF429" s="54">
        <f t="shared" si="177"/>
        <v>33483.484843914317</v>
      </c>
      <c r="AG429" s="49">
        <f t="shared" si="178"/>
        <v>338851.08</v>
      </c>
      <c r="AH429" s="49">
        <f t="shared" si="179"/>
        <v>423563.85</v>
      </c>
    </row>
    <row r="430" spans="1:34" s="56" customFormat="1">
      <c r="A430" s="62" t="s">
        <v>532</v>
      </c>
      <c r="B430" s="62"/>
      <c r="C430" s="62"/>
      <c r="D430" s="62"/>
      <c r="E430" s="141">
        <v>1</v>
      </c>
      <c r="F430" s="142"/>
      <c r="G430" s="143">
        <v>0.2</v>
      </c>
      <c r="H430" s="143">
        <v>0</v>
      </c>
      <c r="I430" s="49">
        <v>17628</v>
      </c>
      <c r="J430" s="49">
        <f t="shared" si="168"/>
        <v>14754.635999999999</v>
      </c>
      <c r="K430" s="49">
        <f t="shared" si="169"/>
        <v>11803.7088</v>
      </c>
      <c r="L430" s="58"/>
      <c r="M430" s="141">
        <v>0</v>
      </c>
      <c r="N430" s="50">
        <f t="shared" si="170"/>
        <v>0</v>
      </c>
      <c r="O430" s="50">
        <f t="shared" si="171"/>
        <v>0</v>
      </c>
      <c r="P430" s="59"/>
      <c r="Q430" s="141">
        <v>0</v>
      </c>
      <c r="R430" s="50">
        <f t="shared" si="172"/>
        <v>0</v>
      </c>
      <c r="S430" s="51">
        <f t="shared" si="173"/>
        <v>0</v>
      </c>
      <c r="T430" s="60">
        <v>25</v>
      </c>
      <c r="U430" s="61" t="s">
        <v>81</v>
      </c>
      <c r="V430" s="53">
        <f>SUMIF('Avoided Costs 2014-2023'!$A:$A,'2014 Actuals'!U430&amp;ROUNDDOWN('2014 Actuals'!T430,0),'Avoided Costs 2014-2023'!$E:$E)*K430</f>
        <v>37491.926431603679</v>
      </c>
      <c r="W430" s="53">
        <f>SUMIF('Avoided Costs 2014-2023'!$A:$A,'2014 Actuals'!U430&amp;ROUNDDOWN('2014 Actuals'!T430,0),'Avoided Costs 2014-2023'!$K:$K)*O430</f>
        <v>0</v>
      </c>
      <c r="X430" s="53">
        <f>SUMIF('Avoided Costs 2014-2023'!$A:$A,'2014 Actuals'!U430&amp;ROUNDDOWN('2014 Actuals'!T430,0),'Avoided Costs 2014-2023'!$M:$M)*S430</f>
        <v>0</v>
      </c>
      <c r="Y430" s="53">
        <f t="shared" si="174"/>
        <v>37491.926431603679</v>
      </c>
      <c r="Z430" s="55">
        <v>11496</v>
      </c>
      <c r="AA430" s="54">
        <f t="shared" si="175"/>
        <v>9196.8000000000011</v>
      </c>
      <c r="AB430" s="54"/>
      <c r="AC430" s="54"/>
      <c r="AD430" s="54"/>
      <c r="AE430" s="54">
        <f t="shared" si="176"/>
        <v>9196.8000000000011</v>
      </c>
      <c r="AF430" s="54">
        <f t="shared" si="177"/>
        <v>28295.126431603676</v>
      </c>
      <c r="AG430" s="49">
        <f t="shared" si="178"/>
        <v>295092.72000000003</v>
      </c>
      <c r="AH430" s="49">
        <f t="shared" si="179"/>
        <v>368865.89999999997</v>
      </c>
    </row>
    <row r="431" spans="1:34" s="56" customFormat="1">
      <c r="A431" s="62" t="s">
        <v>533</v>
      </c>
      <c r="B431" s="62"/>
      <c r="C431" s="62"/>
      <c r="D431" s="62"/>
      <c r="E431" s="141">
        <v>1</v>
      </c>
      <c r="F431" s="142"/>
      <c r="G431" s="143">
        <v>0.2</v>
      </c>
      <c r="H431" s="143">
        <v>0</v>
      </c>
      <c r="I431" s="49">
        <v>75951</v>
      </c>
      <c r="J431" s="49">
        <f t="shared" si="168"/>
        <v>63570.987000000001</v>
      </c>
      <c r="K431" s="49">
        <f t="shared" si="169"/>
        <v>50856.789600000004</v>
      </c>
      <c r="L431" s="58"/>
      <c r="M431" s="141">
        <v>107853</v>
      </c>
      <c r="N431" s="50">
        <f t="shared" si="170"/>
        <v>107853</v>
      </c>
      <c r="O431" s="50">
        <f t="shared" si="171"/>
        <v>86282.400000000009</v>
      </c>
      <c r="P431" s="59"/>
      <c r="Q431" s="141">
        <v>0</v>
      </c>
      <c r="R431" s="50">
        <f t="shared" si="172"/>
        <v>0</v>
      </c>
      <c r="S431" s="51">
        <f t="shared" si="173"/>
        <v>0</v>
      </c>
      <c r="T431" s="60">
        <v>15</v>
      </c>
      <c r="U431" s="61" t="s">
        <v>81</v>
      </c>
      <c r="V431" s="53">
        <f>SUMIF('Avoided Costs 2014-2023'!$A:$A,'2014 Actuals'!U431&amp;ROUNDDOWN('2014 Actuals'!T431,0),'Avoided Costs 2014-2023'!$E:$E)*K431</f>
        <v>117726.95394765146</v>
      </c>
      <c r="W431" s="53">
        <f>SUMIF('Avoided Costs 2014-2023'!$A:$A,'2014 Actuals'!U431&amp;ROUNDDOWN('2014 Actuals'!T431,0),'Avoided Costs 2014-2023'!$K:$K)*O431</f>
        <v>102027.24364879486</v>
      </c>
      <c r="X431" s="53">
        <f>SUMIF('Avoided Costs 2014-2023'!$A:$A,'2014 Actuals'!U431&amp;ROUNDDOWN('2014 Actuals'!T431,0),'Avoided Costs 2014-2023'!$M:$M)*S431</f>
        <v>0</v>
      </c>
      <c r="Y431" s="53">
        <f t="shared" si="174"/>
        <v>219754.19759644632</v>
      </c>
      <c r="Z431" s="55">
        <v>15200</v>
      </c>
      <c r="AA431" s="54">
        <f t="shared" si="175"/>
        <v>12160</v>
      </c>
      <c r="AB431" s="54"/>
      <c r="AC431" s="54"/>
      <c r="AD431" s="54"/>
      <c r="AE431" s="54">
        <f t="shared" si="176"/>
        <v>12160</v>
      </c>
      <c r="AF431" s="54">
        <f t="shared" si="177"/>
        <v>207594.19759644632</v>
      </c>
      <c r="AG431" s="49">
        <f t="shared" si="178"/>
        <v>762851.84400000004</v>
      </c>
      <c r="AH431" s="49">
        <f t="shared" si="179"/>
        <v>953564.80500000005</v>
      </c>
    </row>
    <row r="432" spans="1:34" s="56" customFormat="1">
      <c r="A432" s="62" t="s">
        <v>534</v>
      </c>
      <c r="B432" s="62"/>
      <c r="C432" s="62"/>
      <c r="D432" s="62"/>
      <c r="E432" s="141">
        <v>1</v>
      </c>
      <c r="F432" s="142"/>
      <c r="G432" s="143">
        <v>0.2</v>
      </c>
      <c r="H432" s="143">
        <v>0</v>
      </c>
      <c r="I432" s="49">
        <v>7814</v>
      </c>
      <c r="J432" s="49">
        <f t="shared" si="168"/>
        <v>6540.3179999999993</v>
      </c>
      <c r="K432" s="49">
        <f t="shared" si="169"/>
        <v>5232.2543999999998</v>
      </c>
      <c r="L432" s="58"/>
      <c r="M432" s="141">
        <v>0</v>
      </c>
      <c r="N432" s="50">
        <f t="shared" si="170"/>
        <v>0</v>
      </c>
      <c r="O432" s="50">
        <f t="shared" si="171"/>
        <v>0</v>
      </c>
      <c r="P432" s="59"/>
      <c r="Q432" s="141">
        <v>0</v>
      </c>
      <c r="R432" s="50">
        <f t="shared" si="172"/>
        <v>0</v>
      </c>
      <c r="S432" s="51">
        <f t="shared" si="173"/>
        <v>0</v>
      </c>
      <c r="T432" s="60">
        <v>25</v>
      </c>
      <c r="U432" s="61" t="s">
        <v>81</v>
      </c>
      <c r="V432" s="53">
        <f>SUMIF('Avoided Costs 2014-2023'!$A:$A,'2014 Actuals'!U432&amp;ROUNDDOWN('2014 Actuals'!T432,0),'Avoided Costs 2014-2023'!$E:$E)*K432</f>
        <v>16619.123731367774</v>
      </c>
      <c r="W432" s="53">
        <f>SUMIF('Avoided Costs 2014-2023'!$A:$A,'2014 Actuals'!U432&amp;ROUNDDOWN('2014 Actuals'!T432,0),'Avoided Costs 2014-2023'!$K:$K)*O432</f>
        <v>0</v>
      </c>
      <c r="X432" s="53">
        <f>SUMIF('Avoided Costs 2014-2023'!$A:$A,'2014 Actuals'!U432&amp;ROUNDDOWN('2014 Actuals'!T432,0),'Avoided Costs 2014-2023'!$M:$M)*S432</f>
        <v>0</v>
      </c>
      <c r="Y432" s="53">
        <f t="shared" si="174"/>
        <v>16619.123731367774</v>
      </c>
      <c r="Z432" s="55">
        <v>9629</v>
      </c>
      <c r="AA432" s="54">
        <f t="shared" si="175"/>
        <v>7703.2000000000007</v>
      </c>
      <c r="AB432" s="54"/>
      <c r="AC432" s="54"/>
      <c r="AD432" s="54"/>
      <c r="AE432" s="54">
        <f t="shared" si="176"/>
        <v>7703.2000000000007</v>
      </c>
      <c r="AF432" s="54">
        <f t="shared" si="177"/>
        <v>8915.9237313677731</v>
      </c>
      <c r="AG432" s="49">
        <f t="shared" si="178"/>
        <v>130806.36</v>
      </c>
      <c r="AH432" s="49">
        <f t="shared" si="179"/>
        <v>163507.94999999998</v>
      </c>
    </row>
    <row r="433" spans="1:34" s="56" customFormat="1">
      <c r="A433" s="62" t="s">
        <v>535</v>
      </c>
      <c r="B433" s="62"/>
      <c r="C433" s="62"/>
      <c r="D433" s="62"/>
      <c r="E433" s="141">
        <v>1</v>
      </c>
      <c r="F433" s="142"/>
      <c r="G433" s="143">
        <v>0.2</v>
      </c>
      <c r="H433" s="143">
        <v>0</v>
      </c>
      <c r="I433" s="49">
        <v>5864</v>
      </c>
      <c r="J433" s="49">
        <f t="shared" si="168"/>
        <v>4908.1679999999997</v>
      </c>
      <c r="K433" s="49">
        <f t="shared" si="169"/>
        <v>3926.5344</v>
      </c>
      <c r="L433" s="58"/>
      <c r="M433" s="141">
        <v>0</v>
      </c>
      <c r="N433" s="50">
        <f t="shared" si="170"/>
        <v>0</v>
      </c>
      <c r="O433" s="50">
        <f t="shared" si="171"/>
        <v>0</v>
      </c>
      <c r="P433" s="59"/>
      <c r="Q433" s="141">
        <v>0</v>
      </c>
      <c r="R433" s="50">
        <f t="shared" si="172"/>
        <v>0</v>
      </c>
      <c r="S433" s="51">
        <f t="shared" si="173"/>
        <v>0</v>
      </c>
      <c r="T433" s="60">
        <v>25</v>
      </c>
      <c r="U433" s="61" t="s">
        <v>81</v>
      </c>
      <c r="V433" s="53">
        <f>SUMIF('Avoided Costs 2014-2023'!$A:$A,'2014 Actuals'!U433&amp;ROUNDDOWN('2014 Actuals'!T433,0),'Avoided Costs 2014-2023'!$E:$E)*K433</f>
        <v>12471.786736721349</v>
      </c>
      <c r="W433" s="53">
        <f>SUMIF('Avoided Costs 2014-2023'!$A:$A,'2014 Actuals'!U433&amp;ROUNDDOWN('2014 Actuals'!T433,0),'Avoided Costs 2014-2023'!$K:$K)*O433</f>
        <v>0</v>
      </c>
      <c r="X433" s="53">
        <f>SUMIF('Avoided Costs 2014-2023'!$A:$A,'2014 Actuals'!U433&amp;ROUNDDOWN('2014 Actuals'!T433,0),'Avoided Costs 2014-2023'!$M:$M)*S433</f>
        <v>0</v>
      </c>
      <c r="Y433" s="53">
        <f t="shared" si="174"/>
        <v>12471.786736721349</v>
      </c>
      <c r="Z433" s="55">
        <v>9629</v>
      </c>
      <c r="AA433" s="54">
        <f t="shared" si="175"/>
        <v>7703.2000000000007</v>
      </c>
      <c r="AB433" s="54"/>
      <c r="AC433" s="54"/>
      <c r="AD433" s="54"/>
      <c r="AE433" s="54">
        <f t="shared" si="176"/>
        <v>7703.2000000000007</v>
      </c>
      <c r="AF433" s="54">
        <f t="shared" si="177"/>
        <v>4768.5867367213486</v>
      </c>
      <c r="AG433" s="49">
        <f t="shared" si="178"/>
        <v>98163.36</v>
      </c>
      <c r="AH433" s="49">
        <f t="shared" si="179"/>
        <v>122704.2</v>
      </c>
    </row>
    <row r="434" spans="1:34" s="56" customFormat="1">
      <c r="A434" s="62" t="s">
        <v>536</v>
      </c>
      <c r="B434" s="62"/>
      <c r="C434" s="62"/>
      <c r="D434" s="62"/>
      <c r="E434" s="141">
        <v>1</v>
      </c>
      <c r="F434" s="142"/>
      <c r="G434" s="143">
        <v>0.2</v>
      </c>
      <c r="H434" s="143">
        <v>0</v>
      </c>
      <c r="I434" s="49">
        <v>71634</v>
      </c>
      <c r="J434" s="49">
        <f t="shared" si="168"/>
        <v>59957.657999999996</v>
      </c>
      <c r="K434" s="49">
        <f t="shared" si="169"/>
        <v>47966.126400000001</v>
      </c>
      <c r="L434" s="58"/>
      <c r="M434" s="141">
        <v>0</v>
      </c>
      <c r="N434" s="50">
        <f t="shared" si="170"/>
        <v>0</v>
      </c>
      <c r="O434" s="50">
        <f t="shared" si="171"/>
        <v>0</v>
      </c>
      <c r="P434" s="59"/>
      <c r="Q434" s="141">
        <v>0</v>
      </c>
      <c r="R434" s="50">
        <f t="shared" si="172"/>
        <v>0</v>
      </c>
      <c r="S434" s="51">
        <f t="shared" si="173"/>
        <v>0</v>
      </c>
      <c r="T434" s="60">
        <v>25</v>
      </c>
      <c r="U434" s="61" t="s">
        <v>94</v>
      </c>
      <c r="V434" s="53">
        <f>SUMIF('Avoided Costs 2014-2023'!$A:$A,'2014 Actuals'!U434&amp;ROUNDDOWN('2014 Actuals'!T434,0),'Avoided Costs 2014-2023'!$E:$E)*K434</f>
        <v>142735.05838215846</v>
      </c>
      <c r="W434" s="53">
        <f>SUMIF('Avoided Costs 2014-2023'!$A:$A,'2014 Actuals'!U434&amp;ROUNDDOWN('2014 Actuals'!T434,0),'Avoided Costs 2014-2023'!$K:$K)*O434</f>
        <v>0</v>
      </c>
      <c r="X434" s="53">
        <f>SUMIF('Avoided Costs 2014-2023'!$A:$A,'2014 Actuals'!U434&amp;ROUNDDOWN('2014 Actuals'!T434,0),'Avoided Costs 2014-2023'!$M:$M)*S434</f>
        <v>0</v>
      </c>
      <c r="Y434" s="53">
        <f t="shared" si="174"/>
        <v>142735.05838215846</v>
      </c>
      <c r="Z434" s="55">
        <v>15706</v>
      </c>
      <c r="AA434" s="54">
        <f t="shared" si="175"/>
        <v>12564.800000000001</v>
      </c>
      <c r="AB434" s="54"/>
      <c r="AC434" s="54"/>
      <c r="AD434" s="54"/>
      <c r="AE434" s="54">
        <f t="shared" si="176"/>
        <v>12564.800000000001</v>
      </c>
      <c r="AF434" s="54">
        <f t="shared" si="177"/>
        <v>130170.25838215846</v>
      </c>
      <c r="AG434" s="49">
        <f t="shared" si="178"/>
        <v>1199153.1599999999</v>
      </c>
      <c r="AH434" s="49">
        <f t="shared" si="179"/>
        <v>1498941.45</v>
      </c>
    </row>
    <row r="435" spans="1:34" s="56" customFormat="1">
      <c r="A435" s="62" t="s">
        <v>537</v>
      </c>
      <c r="B435" s="62"/>
      <c r="C435" s="62"/>
      <c r="D435" s="62"/>
      <c r="E435" s="141">
        <v>1</v>
      </c>
      <c r="F435" s="142"/>
      <c r="G435" s="143">
        <v>0.2</v>
      </c>
      <c r="H435" s="143">
        <v>0</v>
      </c>
      <c r="I435" s="49">
        <v>18405</v>
      </c>
      <c r="J435" s="49">
        <f t="shared" si="168"/>
        <v>15404.984999999999</v>
      </c>
      <c r="K435" s="49">
        <f t="shared" si="169"/>
        <v>12323.987999999999</v>
      </c>
      <c r="L435" s="58"/>
      <c r="M435" s="141">
        <v>0</v>
      </c>
      <c r="N435" s="50">
        <f t="shared" si="170"/>
        <v>0</v>
      </c>
      <c r="O435" s="50">
        <f t="shared" si="171"/>
        <v>0</v>
      </c>
      <c r="P435" s="59"/>
      <c r="Q435" s="141">
        <v>0</v>
      </c>
      <c r="R435" s="50">
        <f t="shared" si="172"/>
        <v>0</v>
      </c>
      <c r="S435" s="51">
        <f t="shared" si="173"/>
        <v>0</v>
      </c>
      <c r="T435" s="60">
        <v>25</v>
      </c>
      <c r="U435" s="61" t="s">
        <v>81</v>
      </c>
      <c r="V435" s="53">
        <f>SUMIF('Avoided Costs 2014-2023'!$A:$A,'2014 Actuals'!U435&amp;ROUNDDOWN('2014 Actuals'!T435,0),'Avoided Costs 2014-2023'!$E:$E)*K435</f>
        <v>39144.480711008939</v>
      </c>
      <c r="W435" s="53">
        <f>SUMIF('Avoided Costs 2014-2023'!$A:$A,'2014 Actuals'!U435&amp;ROUNDDOWN('2014 Actuals'!T435,0),'Avoided Costs 2014-2023'!$K:$K)*O435</f>
        <v>0</v>
      </c>
      <c r="X435" s="53">
        <f>SUMIF('Avoided Costs 2014-2023'!$A:$A,'2014 Actuals'!U435&amp;ROUNDDOWN('2014 Actuals'!T435,0),'Avoided Costs 2014-2023'!$M:$M)*S435</f>
        <v>0</v>
      </c>
      <c r="Y435" s="53">
        <f t="shared" si="174"/>
        <v>39144.480711008939</v>
      </c>
      <c r="Z435" s="55">
        <v>14983</v>
      </c>
      <c r="AA435" s="54">
        <f t="shared" si="175"/>
        <v>11986.400000000001</v>
      </c>
      <c r="AB435" s="54"/>
      <c r="AC435" s="54"/>
      <c r="AD435" s="54"/>
      <c r="AE435" s="54">
        <f t="shared" si="176"/>
        <v>11986.400000000001</v>
      </c>
      <c r="AF435" s="54">
        <f t="shared" si="177"/>
        <v>27158.080711008937</v>
      </c>
      <c r="AG435" s="49">
        <f t="shared" si="178"/>
        <v>308099.7</v>
      </c>
      <c r="AH435" s="49">
        <f t="shared" si="179"/>
        <v>385124.62499999994</v>
      </c>
    </row>
    <row r="436" spans="1:34" s="56" customFormat="1">
      <c r="A436" s="62" t="s">
        <v>538</v>
      </c>
      <c r="B436" s="62"/>
      <c r="C436" s="62"/>
      <c r="D436" s="62"/>
      <c r="E436" s="141">
        <v>1</v>
      </c>
      <c r="F436" s="142"/>
      <c r="G436" s="143">
        <v>0.2</v>
      </c>
      <c r="H436" s="143">
        <v>0</v>
      </c>
      <c r="I436" s="49">
        <v>18503</v>
      </c>
      <c r="J436" s="49">
        <f t="shared" si="168"/>
        <v>15487.010999999999</v>
      </c>
      <c r="K436" s="49">
        <f t="shared" si="169"/>
        <v>12389.6088</v>
      </c>
      <c r="L436" s="58"/>
      <c r="M436" s="141">
        <v>0</v>
      </c>
      <c r="N436" s="50">
        <f t="shared" si="170"/>
        <v>0</v>
      </c>
      <c r="O436" s="50">
        <f t="shared" si="171"/>
        <v>0</v>
      </c>
      <c r="P436" s="59"/>
      <c r="Q436" s="141">
        <v>0</v>
      </c>
      <c r="R436" s="50">
        <f t="shared" si="172"/>
        <v>0</v>
      </c>
      <c r="S436" s="51">
        <f t="shared" si="173"/>
        <v>0</v>
      </c>
      <c r="T436" s="60">
        <v>25</v>
      </c>
      <c r="U436" s="61" t="s">
        <v>81</v>
      </c>
      <c r="V436" s="53">
        <f>SUMIF('Avoided Costs 2014-2023'!$A:$A,'2014 Actuals'!U436&amp;ROUNDDOWN('2014 Actuals'!T436,0),'Avoided Costs 2014-2023'!$E:$E)*K436</f>
        <v>39352.910980483481</v>
      </c>
      <c r="W436" s="53">
        <f>SUMIF('Avoided Costs 2014-2023'!$A:$A,'2014 Actuals'!U436&amp;ROUNDDOWN('2014 Actuals'!T436,0),'Avoided Costs 2014-2023'!$K:$K)*O436</f>
        <v>0</v>
      </c>
      <c r="X436" s="53">
        <f>SUMIF('Avoided Costs 2014-2023'!$A:$A,'2014 Actuals'!U436&amp;ROUNDDOWN('2014 Actuals'!T436,0),'Avoided Costs 2014-2023'!$M:$M)*S436</f>
        <v>0</v>
      </c>
      <c r="Y436" s="53">
        <f t="shared" si="174"/>
        <v>39352.910980483481</v>
      </c>
      <c r="Z436" s="55">
        <v>18767</v>
      </c>
      <c r="AA436" s="54">
        <f t="shared" si="175"/>
        <v>15013.6</v>
      </c>
      <c r="AB436" s="54"/>
      <c r="AC436" s="54"/>
      <c r="AD436" s="54"/>
      <c r="AE436" s="54">
        <f t="shared" si="176"/>
        <v>15013.6</v>
      </c>
      <c r="AF436" s="54">
        <f t="shared" si="177"/>
        <v>24339.310980483482</v>
      </c>
      <c r="AG436" s="49">
        <f t="shared" si="178"/>
        <v>309740.21999999997</v>
      </c>
      <c r="AH436" s="49">
        <f t="shared" si="179"/>
        <v>387175.27499999997</v>
      </c>
    </row>
    <row r="437" spans="1:34" s="56" customFormat="1">
      <c r="A437" s="62" t="s">
        <v>539</v>
      </c>
      <c r="B437" s="62"/>
      <c r="C437" s="62"/>
      <c r="D437" s="62"/>
      <c r="E437" s="141">
        <v>1</v>
      </c>
      <c r="F437" s="142"/>
      <c r="G437" s="143">
        <v>0.2</v>
      </c>
      <c r="H437" s="143">
        <v>0</v>
      </c>
      <c r="I437" s="49">
        <v>8885</v>
      </c>
      <c r="J437" s="49">
        <f t="shared" si="168"/>
        <v>7436.7449999999999</v>
      </c>
      <c r="K437" s="49">
        <f t="shared" si="169"/>
        <v>5949.3960000000006</v>
      </c>
      <c r="L437" s="58"/>
      <c r="M437" s="141">
        <v>7925</v>
      </c>
      <c r="N437" s="50">
        <f t="shared" si="170"/>
        <v>7925</v>
      </c>
      <c r="O437" s="50">
        <f t="shared" si="171"/>
        <v>6340</v>
      </c>
      <c r="P437" s="59"/>
      <c r="Q437" s="141">
        <v>0</v>
      </c>
      <c r="R437" s="50">
        <f t="shared" si="172"/>
        <v>0</v>
      </c>
      <c r="S437" s="51">
        <f t="shared" si="173"/>
        <v>0</v>
      </c>
      <c r="T437" s="60">
        <v>15</v>
      </c>
      <c r="U437" s="61" t="s">
        <v>81</v>
      </c>
      <c r="V437" s="53">
        <f>SUMIF('Avoided Costs 2014-2023'!$A:$A,'2014 Actuals'!U437&amp;ROUNDDOWN('2014 Actuals'!T437,0),'Avoided Costs 2014-2023'!$E:$E)*K437</f>
        <v>13772.089713432124</v>
      </c>
      <c r="W437" s="53">
        <f>SUMIF('Avoided Costs 2014-2023'!$A:$A,'2014 Actuals'!U437&amp;ROUNDDOWN('2014 Actuals'!T437,0),'Avoided Costs 2014-2023'!$K:$K)*O437</f>
        <v>7496.9254996773307</v>
      </c>
      <c r="X437" s="53">
        <f>SUMIF('Avoided Costs 2014-2023'!$A:$A,'2014 Actuals'!U437&amp;ROUNDDOWN('2014 Actuals'!T437,0),'Avoided Costs 2014-2023'!$M:$M)*S437</f>
        <v>0</v>
      </c>
      <c r="Y437" s="53">
        <f t="shared" si="174"/>
        <v>21269.015213109455</v>
      </c>
      <c r="Z437" s="55">
        <v>5085</v>
      </c>
      <c r="AA437" s="54">
        <f t="shared" si="175"/>
        <v>4068</v>
      </c>
      <c r="AB437" s="54"/>
      <c r="AC437" s="54"/>
      <c r="AD437" s="54"/>
      <c r="AE437" s="54">
        <f t="shared" si="176"/>
        <v>4068</v>
      </c>
      <c r="AF437" s="54">
        <f t="shared" si="177"/>
        <v>17201.015213109455</v>
      </c>
      <c r="AG437" s="49">
        <f t="shared" si="178"/>
        <v>89240.94</v>
      </c>
      <c r="AH437" s="49">
        <f t="shared" si="179"/>
        <v>111551.175</v>
      </c>
    </row>
    <row r="438" spans="1:34" s="56" customFormat="1">
      <c r="A438" s="62" t="s">
        <v>540</v>
      </c>
      <c r="B438" s="62"/>
      <c r="C438" s="62"/>
      <c r="D438" s="62"/>
      <c r="E438" s="141">
        <v>1</v>
      </c>
      <c r="F438" s="142"/>
      <c r="G438" s="143">
        <v>0.2</v>
      </c>
      <c r="H438" s="143">
        <v>0</v>
      </c>
      <c r="I438" s="49">
        <v>5385</v>
      </c>
      <c r="J438" s="49">
        <f t="shared" si="168"/>
        <v>4507.2449999999999</v>
      </c>
      <c r="K438" s="49">
        <f t="shared" si="169"/>
        <v>3605.7960000000003</v>
      </c>
      <c r="L438" s="58"/>
      <c r="M438" s="141">
        <v>0</v>
      </c>
      <c r="N438" s="50">
        <f t="shared" si="170"/>
        <v>0</v>
      </c>
      <c r="O438" s="50">
        <f t="shared" si="171"/>
        <v>0</v>
      </c>
      <c r="P438" s="59"/>
      <c r="Q438" s="141">
        <v>0</v>
      </c>
      <c r="R438" s="50">
        <f t="shared" si="172"/>
        <v>0</v>
      </c>
      <c r="S438" s="51">
        <f t="shared" si="173"/>
        <v>0</v>
      </c>
      <c r="T438" s="60">
        <v>25</v>
      </c>
      <c r="U438" s="61" t="s">
        <v>94</v>
      </c>
      <c r="V438" s="53">
        <f>SUMIF('Avoided Costs 2014-2023'!$A:$A,'2014 Actuals'!U438&amp;ROUNDDOWN('2014 Actuals'!T438,0),'Avoided Costs 2014-2023'!$E:$E)*K438</f>
        <v>10729.936753328353</v>
      </c>
      <c r="W438" s="53">
        <f>SUMIF('Avoided Costs 2014-2023'!$A:$A,'2014 Actuals'!U438&amp;ROUNDDOWN('2014 Actuals'!T438,0),'Avoided Costs 2014-2023'!$K:$K)*O438</f>
        <v>0</v>
      </c>
      <c r="X438" s="53">
        <f>SUMIF('Avoided Costs 2014-2023'!$A:$A,'2014 Actuals'!U438&amp;ROUNDDOWN('2014 Actuals'!T438,0),'Avoided Costs 2014-2023'!$M:$M)*S438</f>
        <v>0</v>
      </c>
      <c r="Y438" s="53">
        <f t="shared" si="174"/>
        <v>10729.936753328353</v>
      </c>
      <c r="Z438" s="55">
        <v>15040</v>
      </c>
      <c r="AA438" s="54">
        <f t="shared" si="175"/>
        <v>12032</v>
      </c>
      <c r="AB438" s="54"/>
      <c r="AC438" s="54"/>
      <c r="AD438" s="54"/>
      <c r="AE438" s="54">
        <f t="shared" si="176"/>
        <v>12032</v>
      </c>
      <c r="AF438" s="54">
        <f t="shared" si="177"/>
        <v>-1302.063246671647</v>
      </c>
      <c r="AG438" s="49">
        <f t="shared" si="178"/>
        <v>90144.900000000009</v>
      </c>
      <c r="AH438" s="49">
        <f t="shared" si="179"/>
        <v>112681.125</v>
      </c>
    </row>
    <row r="439" spans="1:34" s="56" customFormat="1">
      <c r="A439" s="62" t="s">
        <v>541</v>
      </c>
      <c r="B439" s="62"/>
      <c r="C439" s="62"/>
      <c r="D439" s="62"/>
      <c r="E439" s="141">
        <v>1</v>
      </c>
      <c r="F439" s="142"/>
      <c r="G439" s="143">
        <v>0.2</v>
      </c>
      <c r="H439" s="143">
        <v>0</v>
      </c>
      <c r="I439" s="49">
        <v>24764</v>
      </c>
      <c r="J439" s="49">
        <f t="shared" si="168"/>
        <v>20727.468000000001</v>
      </c>
      <c r="K439" s="49">
        <f t="shared" si="169"/>
        <v>16581.974400000003</v>
      </c>
      <c r="L439" s="58"/>
      <c r="M439" s="141">
        <v>0</v>
      </c>
      <c r="N439" s="50">
        <f t="shared" si="170"/>
        <v>0</v>
      </c>
      <c r="O439" s="50">
        <f t="shared" si="171"/>
        <v>0</v>
      </c>
      <c r="P439" s="59"/>
      <c r="Q439" s="141">
        <v>0</v>
      </c>
      <c r="R439" s="50">
        <f t="shared" si="172"/>
        <v>0</v>
      </c>
      <c r="S439" s="51">
        <f t="shared" si="173"/>
        <v>0</v>
      </c>
      <c r="T439" s="60">
        <v>25</v>
      </c>
      <c r="U439" s="61" t="s">
        <v>81</v>
      </c>
      <c r="V439" s="53">
        <f>SUMIF('Avoided Costs 2014-2023'!$A:$A,'2014 Actuals'!U439&amp;ROUNDDOWN('2014 Actuals'!T439,0),'Avoided Costs 2014-2023'!$E:$E)*K439</f>
        <v>52669.052992525161</v>
      </c>
      <c r="W439" s="53">
        <f>SUMIF('Avoided Costs 2014-2023'!$A:$A,'2014 Actuals'!U439&amp;ROUNDDOWN('2014 Actuals'!T439,0),'Avoided Costs 2014-2023'!$K:$K)*O439</f>
        <v>0</v>
      </c>
      <c r="X439" s="53">
        <f>SUMIF('Avoided Costs 2014-2023'!$A:$A,'2014 Actuals'!U439&amp;ROUNDDOWN('2014 Actuals'!T439,0),'Avoided Costs 2014-2023'!$M:$M)*S439</f>
        <v>0</v>
      </c>
      <c r="Y439" s="53">
        <f t="shared" si="174"/>
        <v>52669.052992525161</v>
      </c>
      <c r="Z439" s="55">
        <v>15676</v>
      </c>
      <c r="AA439" s="54">
        <f t="shared" si="175"/>
        <v>12540.800000000001</v>
      </c>
      <c r="AB439" s="54"/>
      <c r="AC439" s="54"/>
      <c r="AD439" s="54"/>
      <c r="AE439" s="54">
        <f t="shared" si="176"/>
        <v>12540.800000000001</v>
      </c>
      <c r="AF439" s="54">
        <f t="shared" si="177"/>
        <v>40128.252992525158</v>
      </c>
      <c r="AG439" s="49">
        <f t="shared" si="178"/>
        <v>414549.36000000004</v>
      </c>
      <c r="AH439" s="49">
        <f t="shared" si="179"/>
        <v>518186.7</v>
      </c>
    </row>
    <row r="440" spans="1:34" s="56" customFormat="1">
      <c r="A440" s="62" t="s">
        <v>542</v>
      </c>
      <c r="B440" s="62"/>
      <c r="C440" s="62"/>
      <c r="D440" s="62"/>
      <c r="E440" s="141">
        <v>1</v>
      </c>
      <c r="F440" s="142"/>
      <c r="G440" s="143">
        <v>0.2</v>
      </c>
      <c r="H440" s="143">
        <v>0</v>
      </c>
      <c r="I440" s="49">
        <v>59211</v>
      </c>
      <c r="J440" s="49">
        <f t="shared" si="168"/>
        <v>49559.606999999996</v>
      </c>
      <c r="K440" s="49">
        <f t="shared" si="169"/>
        <v>39647.685599999997</v>
      </c>
      <c r="L440" s="58"/>
      <c r="M440" s="141">
        <v>0</v>
      </c>
      <c r="N440" s="50">
        <f t="shared" si="170"/>
        <v>0</v>
      </c>
      <c r="O440" s="50">
        <f t="shared" si="171"/>
        <v>0</v>
      </c>
      <c r="P440" s="59"/>
      <c r="Q440" s="141">
        <v>0</v>
      </c>
      <c r="R440" s="50">
        <f t="shared" si="172"/>
        <v>0</v>
      </c>
      <c r="S440" s="51">
        <f t="shared" si="173"/>
        <v>0</v>
      </c>
      <c r="T440" s="60">
        <v>25</v>
      </c>
      <c r="U440" s="61" t="s">
        <v>94</v>
      </c>
      <c r="V440" s="53">
        <f>SUMIF('Avoided Costs 2014-2023'!$A:$A,'2014 Actuals'!U440&amp;ROUNDDOWN('2014 Actuals'!T440,0),'Avoided Costs 2014-2023'!$E:$E)*K440</f>
        <v>117981.48284147169</v>
      </c>
      <c r="W440" s="53">
        <f>SUMIF('Avoided Costs 2014-2023'!$A:$A,'2014 Actuals'!U440&amp;ROUNDDOWN('2014 Actuals'!T440,0),'Avoided Costs 2014-2023'!$K:$K)*O440</f>
        <v>0</v>
      </c>
      <c r="X440" s="53">
        <f>SUMIF('Avoided Costs 2014-2023'!$A:$A,'2014 Actuals'!U440&amp;ROUNDDOWN('2014 Actuals'!T440,0),'Avoided Costs 2014-2023'!$M:$M)*S440</f>
        <v>0</v>
      </c>
      <c r="Y440" s="53">
        <f t="shared" si="174"/>
        <v>117981.48284147169</v>
      </c>
      <c r="Z440" s="55">
        <v>27986</v>
      </c>
      <c r="AA440" s="54">
        <f t="shared" si="175"/>
        <v>22388.800000000003</v>
      </c>
      <c r="AB440" s="54"/>
      <c r="AC440" s="54"/>
      <c r="AD440" s="54"/>
      <c r="AE440" s="54">
        <f t="shared" si="176"/>
        <v>22388.800000000003</v>
      </c>
      <c r="AF440" s="54">
        <f t="shared" si="177"/>
        <v>95592.682841471687</v>
      </c>
      <c r="AG440" s="49">
        <f t="shared" si="178"/>
        <v>991192.1399999999</v>
      </c>
      <c r="AH440" s="49">
        <f t="shared" si="179"/>
        <v>1238990.1749999998</v>
      </c>
    </row>
    <row r="441" spans="1:34" s="56" customFormat="1">
      <c r="A441" s="62" t="s">
        <v>543</v>
      </c>
      <c r="B441" s="62"/>
      <c r="C441" s="62"/>
      <c r="D441" s="62"/>
      <c r="E441" s="141">
        <v>1</v>
      </c>
      <c r="F441" s="142"/>
      <c r="G441" s="143">
        <v>0.2</v>
      </c>
      <c r="H441" s="143">
        <v>0</v>
      </c>
      <c r="I441" s="49">
        <v>11212</v>
      </c>
      <c r="J441" s="49">
        <f t="shared" si="168"/>
        <v>9384.4439999999995</v>
      </c>
      <c r="K441" s="49">
        <f t="shared" si="169"/>
        <v>7507.5551999999998</v>
      </c>
      <c r="L441" s="58"/>
      <c r="M441" s="141">
        <v>0</v>
      </c>
      <c r="N441" s="50">
        <f t="shared" si="170"/>
        <v>0</v>
      </c>
      <c r="O441" s="50">
        <f t="shared" si="171"/>
        <v>0</v>
      </c>
      <c r="P441" s="59"/>
      <c r="Q441" s="141">
        <v>0</v>
      </c>
      <c r="R441" s="50">
        <f t="shared" si="172"/>
        <v>0</v>
      </c>
      <c r="S441" s="51">
        <f t="shared" si="173"/>
        <v>0</v>
      </c>
      <c r="T441" s="60">
        <v>25</v>
      </c>
      <c r="U441" s="61" t="s">
        <v>81</v>
      </c>
      <c r="V441" s="53">
        <f>SUMIF('Avoided Costs 2014-2023'!$A:$A,'2014 Actuals'!U441&amp;ROUNDDOWN('2014 Actuals'!T441,0),'Avoided Costs 2014-2023'!$E:$E)*K441</f>
        <v>23846.124299474723</v>
      </c>
      <c r="W441" s="53">
        <f>SUMIF('Avoided Costs 2014-2023'!$A:$A,'2014 Actuals'!U441&amp;ROUNDDOWN('2014 Actuals'!T441,0),'Avoided Costs 2014-2023'!$K:$K)*O441</f>
        <v>0</v>
      </c>
      <c r="X441" s="53">
        <f>SUMIF('Avoided Costs 2014-2023'!$A:$A,'2014 Actuals'!U441&amp;ROUNDDOWN('2014 Actuals'!T441,0),'Avoided Costs 2014-2023'!$M:$M)*S441</f>
        <v>0</v>
      </c>
      <c r="Y441" s="53">
        <f t="shared" si="174"/>
        <v>23846.124299474723</v>
      </c>
      <c r="Z441" s="55">
        <v>4333</v>
      </c>
      <c r="AA441" s="54">
        <f t="shared" si="175"/>
        <v>3466.4</v>
      </c>
      <c r="AB441" s="54"/>
      <c r="AC441" s="54"/>
      <c r="AD441" s="54"/>
      <c r="AE441" s="54">
        <f t="shared" si="176"/>
        <v>3466.4</v>
      </c>
      <c r="AF441" s="54">
        <f t="shared" si="177"/>
        <v>20379.724299474721</v>
      </c>
      <c r="AG441" s="49">
        <f t="shared" si="178"/>
        <v>187688.88</v>
      </c>
      <c r="AH441" s="49">
        <f t="shared" si="179"/>
        <v>234611.09999999998</v>
      </c>
    </row>
    <row r="442" spans="1:34" s="56" customFormat="1">
      <c r="A442" s="62" t="s">
        <v>544</v>
      </c>
      <c r="B442" s="62"/>
      <c r="C442" s="62"/>
      <c r="D442" s="62"/>
      <c r="E442" s="141">
        <v>0</v>
      </c>
      <c r="F442" s="142"/>
      <c r="G442" s="143">
        <v>0.2</v>
      </c>
      <c r="H442" s="143">
        <v>0</v>
      </c>
      <c r="I442" s="49">
        <v>18305</v>
      </c>
      <c r="J442" s="49">
        <f t="shared" si="168"/>
        <v>15321.285</v>
      </c>
      <c r="K442" s="49">
        <f t="shared" si="169"/>
        <v>12257.028</v>
      </c>
      <c r="L442" s="58"/>
      <c r="M442" s="141">
        <v>-4828</v>
      </c>
      <c r="N442" s="50">
        <f t="shared" si="170"/>
        <v>-4828</v>
      </c>
      <c r="O442" s="50">
        <f t="shared" si="171"/>
        <v>-3862.4</v>
      </c>
      <c r="P442" s="59"/>
      <c r="Q442" s="141">
        <v>0</v>
      </c>
      <c r="R442" s="50">
        <f t="shared" si="172"/>
        <v>0</v>
      </c>
      <c r="S442" s="51">
        <f t="shared" si="173"/>
        <v>0</v>
      </c>
      <c r="T442" s="60">
        <v>15</v>
      </c>
      <c r="U442" s="61" t="s">
        <v>81</v>
      </c>
      <c r="V442" s="53">
        <f>SUMIF('Avoided Costs 2014-2023'!$A:$A,'2014 Actuals'!U442&amp;ROUNDDOWN('2014 Actuals'!T442,0),'Avoided Costs 2014-2023'!$E:$E)*K442</f>
        <v>28373.449882315701</v>
      </c>
      <c r="W442" s="53">
        <f>SUMIF('Avoided Costs 2014-2023'!$A:$A,'2014 Actuals'!U442&amp;ROUNDDOWN('2014 Actuals'!T442,0),'Avoided Costs 2014-2023'!$K:$K)*O442</f>
        <v>-4567.2121529895458</v>
      </c>
      <c r="X442" s="53">
        <f>SUMIF('Avoided Costs 2014-2023'!$A:$A,'2014 Actuals'!U442&amp;ROUNDDOWN('2014 Actuals'!T442,0),'Avoided Costs 2014-2023'!$M:$M)*S442</f>
        <v>0</v>
      </c>
      <c r="Y442" s="53">
        <f t="shared" si="174"/>
        <v>23806.237729326156</v>
      </c>
      <c r="Z442" s="55">
        <v>28251</v>
      </c>
      <c r="AA442" s="54">
        <f t="shared" si="175"/>
        <v>22600.800000000003</v>
      </c>
      <c r="AB442" s="54"/>
      <c r="AC442" s="54"/>
      <c r="AD442" s="54"/>
      <c r="AE442" s="54">
        <f t="shared" si="176"/>
        <v>22600.800000000003</v>
      </c>
      <c r="AF442" s="54">
        <f t="shared" si="177"/>
        <v>1205.4377293261532</v>
      </c>
      <c r="AG442" s="49">
        <f t="shared" si="178"/>
        <v>183855.42</v>
      </c>
      <c r="AH442" s="49">
        <f t="shared" si="179"/>
        <v>229819.27499999999</v>
      </c>
    </row>
    <row r="443" spans="1:34" s="56" customFormat="1">
      <c r="A443" s="62" t="s">
        <v>545</v>
      </c>
      <c r="B443" s="62"/>
      <c r="C443" s="62"/>
      <c r="D443" s="62"/>
      <c r="E443" s="141">
        <v>1</v>
      </c>
      <c r="F443" s="142"/>
      <c r="G443" s="143">
        <v>0.2</v>
      </c>
      <c r="H443" s="143">
        <v>0</v>
      </c>
      <c r="I443" s="49">
        <v>51039</v>
      </c>
      <c r="J443" s="49">
        <f t="shared" si="168"/>
        <v>42719.642999999996</v>
      </c>
      <c r="K443" s="49">
        <f t="shared" si="169"/>
        <v>34175.714399999997</v>
      </c>
      <c r="L443" s="58"/>
      <c r="M443" s="141">
        <v>0</v>
      </c>
      <c r="N443" s="50">
        <f t="shared" si="170"/>
        <v>0</v>
      </c>
      <c r="O443" s="50">
        <f t="shared" si="171"/>
        <v>0</v>
      </c>
      <c r="P443" s="59"/>
      <c r="Q443" s="141">
        <v>0</v>
      </c>
      <c r="R443" s="50">
        <f t="shared" si="172"/>
        <v>0</v>
      </c>
      <c r="S443" s="51">
        <f t="shared" si="173"/>
        <v>0</v>
      </c>
      <c r="T443" s="63">
        <v>21.4</v>
      </c>
      <c r="U443" s="61" t="s">
        <v>81</v>
      </c>
      <c r="V443" s="53">
        <f>SUMIF('Avoided Costs 2014-2023'!$A:$A,'2014 Actuals'!U443&amp;ROUNDDOWN('2014 Actuals'!T443,0),'Avoided Costs 2014-2023'!$E:$E)*K443</f>
        <v>98432.144539091096</v>
      </c>
      <c r="W443" s="53">
        <f>SUMIF('Avoided Costs 2014-2023'!$A:$A,'2014 Actuals'!U443&amp;ROUNDDOWN('2014 Actuals'!T443,0),'Avoided Costs 2014-2023'!$K:$K)*O443</f>
        <v>0</v>
      </c>
      <c r="X443" s="53">
        <f>SUMIF('Avoided Costs 2014-2023'!$A:$A,'2014 Actuals'!U443&amp;ROUNDDOWN('2014 Actuals'!T443,0),'Avoided Costs 2014-2023'!$M:$M)*S443</f>
        <v>0</v>
      </c>
      <c r="Y443" s="53">
        <f t="shared" si="174"/>
        <v>98432.144539091096</v>
      </c>
      <c r="Z443" s="55">
        <v>31799.47</v>
      </c>
      <c r="AA443" s="54">
        <f t="shared" si="175"/>
        <v>25439.576000000001</v>
      </c>
      <c r="AB443" s="54"/>
      <c r="AC443" s="54"/>
      <c r="AD443" s="54"/>
      <c r="AE443" s="54">
        <f t="shared" si="176"/>
        <v>25439.576000000001</v>
      </c>
      <c r="AF443" s="54">
        <f t="shared" si="177"/>
        <v>72992.568539091095</v>
      </c>
      <c r="AG443" s="49">
        <f t="shared" si="178"/>
        <v>731360.28815999988</v>
      </c>
      <c r="AH443" s="49">
        <f t="shared" si="179"/>
        <v>914200.36019999988</v>
      </c>
    </row>
    <row r="444" spans="1:34" s="56" customFormat="1">
      <c r="A444" s="62" t="s">
        <v>546</v>
      </c>
      <c r="B444" s="62"/>
      <c r="C444" s="62"/>
      <c r="D444" s="62"/>
      <c r="E444" s="141">
        <v>1</v>
      </c>
      <c r="F444" s="142"/>
      <c r="G444" s="143">
        <v>0.2</v>
      </c>
      <c r="H444" s="143">
        <v>0</v>
      </c>
      <c r="I444" s="49">
        <v>15007</v>
      </c>
      <c r="J444" s="49">
        <f t="shared" si="168"/>
        <v>12560.859</v>
      </c>
      <c r="K444" s="49">
        <f t="shared" si="169"/>
        <v>10048.6872</v>
      </c>
      <c r="L444" s="58"/>
      <c r="M444" s="141">
        <v>0</v>
      </c>
      <c r="N444" s="50">
        <f t="shared" si="170"/>
        <v>0</v>
      </c>
      <c r="O444" s="50">
        <f t="shared" si="171"/>
        <v>0</v>
      </c>
      <c r="P444" s="59"/>
      <c r="Q444" s="141">
        <v>0</v>
      </c>
      <c r="R444" s="50">
        <f t="shared" si="172"/>
        <v>0</v>
      </c>
      <c r="S444" s="51">
        <f t="shared" si="173"/>
        <v>0</v>
      </c>
      <c r="T444" s="63">
        <v>25</v>
      </c>
      <c r="U444" s="61" t="s">
        <v>94</v>
      </c>
      <c r="V444" s="53">
        <f>SUMIF('Avoided Costs 2014-2023'!$A:$A,'2014 Actuals'!U444&amp;ROUNDDOWN('2014 Actuals'!T444,0),'Avoided Costs 2014-2023'!$E:$E)*K444</f>
        <v>29902.351134113018</v>
      </c>
      <c r="W444" s="53">
        <f>SUMIF('Avoided Costs 2014-2023'!$A:$A,'2014 Actuals'!U444&amp;ROUNDDOWN('2014 Actuals'!T444,0),'Avoided Costs 2014-2023'!$K:$K)*O444</f>
        <v>0</v>
      </c>
      <c r="X444" s="53">
        <f>SUMIF('Avoided Costs 2014-2023'!$A:$A,'2014 Actuals'!U444&amp;ROUNDDOWN('2014 Actuals'!T444,0),'Avoided Costs 2014-2023'!$M:$M)*S444</f>
        <v>0</v>
      </c>
      <c r="Y444" s="53">
        <f t="shared" si="174"/>
        <v>29902.351134113018</v>
      </c>
      <c r="Z444" s="55">
        <v>27467</v>
      </c>
      <c r="AA444" s="54">
        <f t="shared" si="175"/>
        <v>21973.600000000002</v>
      </c>
      <c r="AB444" s="54"/>
      <c r="AC444" s="54"/>
      <c r="AD444" s="54"/>
      <c r="AE444" s="54">
        <f t="shared" si="176"/>
        <v>21973.600000000002</v>
      </c>
      <c r="AF444" s="54">
        <f t="shared" si="177"/>
        <v>7928.7511341130157</v>
      </c>
      <c r="AG444" s="49">
        <f t="shared" si="178"/>
        <v>251217.18</v>
      </c>
      <c r="AH444" s="49">
        <f t="shared" si="179"/>
        <v>314021.47500000003</v>
      </c>
    </row>
    <row r="445" spans="1:34" s="56" customFormat="1">
      <c r="A445" s="62" t="s">
        <v>547</v>
      </c>
      <c r="B445" s="62"/>
      <c r="C445" s="62"/>
      <c r="D445" s="62"/>
      <c r="E445" s="141">
        <v>1</v>
      </c>
      <c r="F445" s="142"/>
      <c r="G445" s="143">
        <v>0.2</v>
      </c>
      <c r="H445" s="143">
        <v>0</v>
      </c>
      <c r="I445" s="49">
        <v>112006</v>
      </c>
      <c r="J445" s="49">
        <f t="shared" si="168"/>
        <v>93749.021999999997</v>
      </c>
      <c r="K445" s="49">
        <f t="shared" si="169"/>
        <v>74999.217600000004</v>
      </c>
      <c r="L445" s="58"/>
      <c r="M445" s="141">
        <v>32086</v>
      </c>
      <c r="N445" s="50">
        <f t="shared" si="170"/>
        <v>32086</v>
      </c>
      <c r="O445" s="50">
        <f t="shared" si="171"/>
        <v>25668.800000000003</v>
      </c>
      <c r="P445" s="59"/>
      <c r="Q445" s="141">
        <v>0</v>
      </c>
      <c r="R445" s="50">
        <f t="shared" si="172"/>
        <v>0</v>
      </c>
      <c r="S445" s="51">
        <f t="shared" si="173"/>
        <v>0</v>
      </c>
      <c r="T445" s="63">
        <v>15</v>
      </c>
      <c r="U445" s="61" t="s">
        <v>81</v>
      </c>
      <c r="V445" s="53">
        <f>SUMIF('Avoided Costs 2014-2023'!$A:$A,'2014 Actuals'!U445&amp;ROUNDDOWN('2014 Actuals'!T445,0),'Avoided Costs 2014-2023'!$E:$E)*K445</f>
        <v>173613.58249214164</v>
      </c>
      <c r="W445" s="53">
        <f>SUMIF('Avoided Costs 2014-2023'!$A:$A,'2014 Actuals'!U445&amp;ROUNDDOWN('2014 Actuals'!T445,0),'Avoided Costs 2014-2023'!$K:$K)*O445</f>
        <v>30352.851934718845</v>
      </c>
      <c r="X445" s="53">
        <f>SUMIF('Avoided Costs 2014-2023'!$A:$A,'2014 Actuals'!U445&amp;ROUNDDOWN('2014 Actuals'!T445,0),'Avoided Costs 2014-2023'!$M:$M)*S445</f>
        <v>0</v>
      </c>
      <c r="Y445" s="53">
        <f t="shared" si="174"/>
        <v>203966.43442686048</v>
      </c>
      <c r="Z445" s="55">
        <v>66567.27</v>
      </c>
      <c r="AA445" s="54">
        <f t="shared" si="175"/>
        <v>53253.816000000006</v>
      </c>
      <c r="AB445" s="54"/>
      <c r="AC445" s="54"/>
      <c r="AD445" s="54"/>
      <c r="AE445" s="54">
        <f t="shared" si="176"/>
        <v>53253.816000000006</v>
      </c>
      <c r="AF445" s="54">
        <f t="shared" si="177"/>
        <v>150712.61842686048</v>
      </c>
      <c r="AG445" s="49">
        <f t="shared" si="178"/>
        <v>1124988.264</v>
      </c>
      <c r="AH445" s="49">
        <f t="shared" si="179"/>
        <v>1406235.33</v>
      </c>
    </row>
    <row r="446" spans="1:34" s="56" customFormat="1">
      <c r="A446" s="62" t="s">
        <v>548</v>
      </c>
      <c r="B446" s="62"/>
      <c r="C446" s="62"/>
      <c r="D446" s="62"/>
      <c r="E446" s="141">
        <v>1</v>
      </c>
      <c r="F446" s="142"/>
      <c r="G446" s="143">
        <v>0.2</v>
      </c>
      <c r="H446" s="143">
        <v>0</v>
      </c>
      <c r="I446" s="49">
        <v>16106</v>
      </c>
      <c r="J446" s="49">
        <f t="shared" si="168"/>
        <v>13480.722</v>
      </c>
      <c r="K446" s="49">
        <f t="shared" si="169"/>
        <v>10784.577600000001</v>
      </c>
      <c r="L446" s="58"/>
      <c r="M446" s="141">
        <v>0</v>
      </c>
      <c r="N446" s="50">
        <f t="shared" si="170"/>
        <v>0</v>
      </c>
      <c r="O446" s="50">
        <f t="shared" si="171"/>
        <v>0</v>
      </c>
      <c r="P446" s="59"/>
      <c r="Q446" s="141">
        <v>0</v>
      </c>
      <c r="R446" s="50">
        <f t="shared" si="172"/>
        <v>0</v>
      </c>
      <c r="S446" s="51">
        <f t="shared" si="173"/>
        <v>0</v>
      </c>
      <c r="T446" s="63">
        <v>25</v>
      </c>
      <c r="U446" s="61" t="s">
        <v>94</v>
      </c>
      <c r="V446" s="53">
        <f>SUMIF('Avoided Costs 2014-2023'!$A:$A,'2014 Actuals'!U446&amp;ROUNDDOWN('2014 Actuals'!T446,0),'Avoided Costs 2014-2023'!$E:$E)*K446</f>
        <v>32092.17480949052</v>
      </c>
      <c r="W446" s="53">
        <f>SUMIF('Avoided Costs 2014-2023'!$A:$A,'2014 Actuals'!U446&amp;ROUNDDOWN('2014 Actuals'!T446,0),'Avoided Costs 2014-2023'!$K:$K)*O446</f>
        <v>0</v>
      </c>
      <c r="X446" s="53">
        <f>SUMIF('Avoided Costs 2014-2023'!$A:$A,'2014 Actuals'!U446&amp;ROUNDDOWN('2014 Actuals'!T446,0),'Avoided Costs 2014-2023'!$M:$M)*S446</f>
        <v>0</v>
      </c>
      <c r="Y446" s="53">
        <f t="shared" si="174"/>
        <v>32092.17480949052</v>
      </c>
      <c r="Z446" s="55">
        <v>15710</v>
      </c>
      <c r="AA446" s="54">
        <f t="shared" si="175"/>
        <v>12568</v>
      </c>
      <c r="AB446" s="54"/>
      <c r="AC446" s="54"/>
      <c r="AD446" s="54"/>
      <c r="AE446" s="54">
        <f t="shared" si="176"/>
        <v>12568</v>
      </c>
      <c r="AF446" s="54">
        <f t="shared" si="177"/>
        <v>19524.17480949052</v>
      </c>
      <c r="AG446" s="49">
        <f t="shared" si="178"/>
        <v>269614.44</v>
      </c>
      <c r="AH446" s="49">
        <f t="shared" si="179"/>
        <v>337018.05</v>
      </c>
    </row>
    <row r="447" spans="1:34" s="56" customFormat="1">
      <c r="A447" s="62" t="s">
        <v>549</v>
      </c>
      <c r="B447" s="62"/>
      <c r="C447" s="62"/>
      <c r="D447" s="62"/>
      <c r="E447" s="141">
        <v>0</v>
      </c>
      <c r="F447" s="142"/>
      <c r="G447" s="143">
        <v>0.2</v>
      </c>
      <c r="H447" s="143">
        <v>0</v>
      </c>
      <c r="I447" s="49">
        <v>2195</v>
      </c>
      <c r="J447" s="49">
        <f t="shared" si="168"/>
        <v>1837.2149999999999</v>
      </c>
      <c r="K447" s="49">
        <f t="shared" si="169"/>
        <v>1469.7719999999999</v>
      </c>
      <c r="L447" s="58"/>
      <c r="M447" s="141">
        <v>0</v>
      </c>
      <c r="N447" s="50">
        <f t="shared" si="170"/>
        <v>0</v>
      </c>
      <c r="O447" s="50">
        <f t="shared" si="171"/>
        <v>0</v>
      </c>
      <c r="P447" s="59"/>
      <c r="Q447" s="141">
        <v>0</v>
      </c>
      <c r="R447" s="50">
        <f t="shared" si="172"/>
        <v>0</v>
      </c>
      <c r="S447" s="51">
        <f t="shared" si="173"/>
        <v>0</v>
      </c>
      <c r="T447" s="63">
        <v>15</v>
      </c>
      <c r="U447" s="61" t="s">
        <v>81</v>
      </c>
      <c r="V447" s="53">
        <f>SUMIF('Avoided Costs 2014-2023'!$A:$A,'2014 Actuals'!U447&amp;ROUNDDOWN('2014 Actuals'!T447,0),'Avoided Costs 2014-2023'!$E:$E)*K447</f>
        <v>3402.333924702702</v>
      </c>
      <c r="W447" s="53">
        <f>SUMIF('Avoided Costs 2014-2023'!$A:$A,'2014 Actuals'!U447&amp;ROUNDDOWN('2014 Actuals'!T447,0),'Avoided Costs 2014-2023'!$K:$K)*O447</f>
        <v>0</v>
      </c>
      <c r="X447" s="53">
        <f>SUMIF('Avoided Costs 2014-2023'!$A:$A,'2014 Actuals'!U447&amp;ROUNDDOWN('2014 Actuals'!T447,0),'Avoided Costs 2014-2023'!$M:$M)*S447</f>
        <v>0</v>
      </c>
      <c r="Y447" s="53">
        <f t="shared" si="174"/>
        <v>3402.333924702702</v>
      </c>
      <c r="Z447" s="55">
        <v>1000</v>
      </c>
      <c r="AA447" s="54">
        <f t="shared" si="175"/>
        <v>800</v>
      </c>
      <c r="AB447" s="54"/>
      <c r="AC447" s="54"/>
      <c r="AD447" s="54"/>
      <c r="AE447" s="54">
        <f t="shared" si="176"/>
        <v>800</v>
      </c>
      <c r="AF447" s="54">
        <f t="shared" si="177"/>
        <v>2602.333924702702</v>
      </c>
      <c r="AG447" s="49">
        <f t="shared" si="178"/>
        <v>22046.579999999998</v>
      </c>
      <c r="AH447" s="49">
        <f t="shared" si="179"/>
        <v>27558.224999999999</v>
      </c>
    </row>
    <row r="448" spans="1:34" s="56" customFormat="1">
      <c r="A448" s="62" t="s">
        <v>550</v>
      </c>
      <c r="B448" s="62"/>
      <c r="C448" s="62"/>
      <c r="D448" s="62"/>
      <c r="E448" s="141">
        <v>0</v>
      </c>
      <c r="F448" s="142"/>
      <c r="G448" s="143">
        <v>0.2</v>
      </c>
      <c r="H448" s="143">
        <v>0</v>
      </c>
      <c r="I448" s="49">
        <v>1708</v>
      </c>
      <c r="J448" s="49">
        <f t="shared" si="168"/>
        <v>1429.596</v>
      </c>
      <c r="K448" s="49">
        <f t="shared" si="169"/>
        <v>1143.6768</v>
      </c>
      <c r="L448" s="58"/>
      <c r="M448" s="141">
        <v>0</v>
      </c>
      <c r="N448" s="50">
        <f t="shared" si="170"/>
        <v>0</v>
      </c>
      <c r="O448" s="50">
        <f t="shared" si="171"/>
        <v>0</v>
      </c>
      <c r="P448" s="59"/>
      <c r="Q448" s="141">
        <v>0</v>
      </c>
      <c r="R448" s="50">
        <f t="shared" si="172"/>
        <v>0</v>
      </c>
      <c r="S448" s="51">
        <f t="shared" si="173"/>
        <v>0</v>
      </c>
      <c r="T448" s="63">
        <v>15</v>
      </c>
      <c r="U448" s="61" t="s">
        <v>94</v>
      </c>
      <c r="V448" s="53">
        <f>SUMIF('Avoided Costs 2014-2023'!$A:$A,'2014 Actuals'!U448&amp;ROUNDDOWN('2014 Actuals'!T448,0),'Avoided Costs 2014-2023'!$E:$E)*K448</f>
        <v>2479.240554758032</v>
      </c>
      <c r="W448" s="53">
        <f>SUMIF('Avoided Costs 2014-2023'!$A:$A,'2014 Actuals'!U448&amp;ROUNDDOWN('2014 Actuals'!T448,0),'Avoided Costs 2014-2023'!$K:$K)*O448</f>
        <v>0</v>
      </c>
      <c r="X448" s="53">
        <f>SUMIF('Avoided Costs 2014-2023'!$A:$A,'2014 Actuals'!U448&amp;ROUNDDOWN('2014 Actuals'!T448,0),'Avoided Costs 2014-2023'!$M:$M)*S448</f>
        <v>0</v>
      </c>
      <c r="Y448" s="53">
        <f t="shared" si="174"/>
        <v>2479.240554758032</v>
      </c>
      <c r="Z448" s="55">
        <v>1000</v>
      </c>
      <c r="AA448" s="54">
        <f t="shared" si="175"/>
        <v>800</v>
      </c>
      <c r="AB448" s="54"/>
      <c r="AC448" s="54"/>
      <c r="AD448" s="54"/>
      <c r="AE448" s="54">
        <f t="shared" si="176"/>
        <v>800</v>
      </c>
      <c r="AF448" s="54">
        <f t="shared" si="177"/>
        <v>1679.240554758032</v>
      </c>
      <c r="AG448" s="49">
        <f t="shared" si="178"/>
        <v>17155.151999999998</v>
      </c>
      <c r="AH448" s="49">
        <f t="shared" si="179"/>
        <v>21443.94</v>
      </c>
    </row>
    <row r="449" spans="1:34" s="56" customFormat="1">
      <c r="A449" s="62" t="s">
        <v>551</v>
      </c>
      <c r="B449" s="62"/>
      <c r="C449" s="62"/>
      <c r="D449" s="62"/>
      <c r="E449" s="141">
        <v>1</v>
      </c>
      <c r="F449" s="142"/>
      <c r="G449" s="143">
        <v>0.2</v>
      </c>
      <c r="H449" s="143">
        <v>0</v>
      </c>
      <c r="I449" s="49">
        <v>11207</v>
      </c>
      <c r="J449" s="49">
        <f t="shared" si="168"/>
        <v>9380.259</v>
      </c>
      <c r="K449" s="49">
        <f t="shared" si="169"/>
        <v>7504.2072000000007</v>
      </c>
      <c r="L449" s="58"/>
      <c r="M449" s="141">
        <v>6381</v>
      </c>
      <c r="N449" s="50">
        <f t="shared" si="170"/>
        <v>6381</v>
      </c>
      <c r="O449" s="50">
        <f t="shared" si="171"/>
        <v>5104.8</v>
      </c>
      <c r="P449" s="59"/>
      <c r="Q449" s="141">
        <v>0</v>
      </c>
      <c r="R449" s="50">
        <f t="shared" si="172"/>
        <v>0</v>
      </c>
      <c r="S449" s="51">
        <f t="shared" si="173"/>
        <v>0</v>
      </c>
      <c r="T449" s="63">
        <v>15</v>
      </c>
      <c r="U449" s="61" t="s">
        <v>81</v>
      </c>
      <c r="V449" s="53">
        <f>SUMIF('Avoided Costs 2014-2023'!$A:$A,'2014 Actuals'!U449&amp;ROUNDDOWN('2014 Actuals'!T449,0),'Avoided Costs 2014-2023'!$E:$E)*K449</f>
        <v>17371.278493914891</v>
      </c>
      <c r="W449" s="53">
        <f>SUMIF('Avoided Costs 2014-2023'!$A:$A,'2014 Actuals'!U449&amp;ROUNDDOWN('2014 Actuals'!T449,0),'Avoided Costs 2014-2023'!$K:$K)*O449</f>
        <v>6036.3257556392491</v>
      </c>
      <c r="X449" s="53">
        <f>SUMIF('Avoided Costs 2014-2023'!$A:$A,'2014 Actuals'!U449&amp;ROUNDDOWN('2014 Actuals'!T449,0),'Avoided Costs 2014-2023'!$M:$M)*S449</f>
        <v>0</v>
      </c>
      <c r="Y449" s="53">
        <f t="shared" si="174"/>
        <v>23407.604249554141</v>
      </c>
      <c r="Z449" s="55">
        <v>7995</v>
      </c>
      <c r="AA449" s="54">
        <f t="shared" si="175"/>
        <v>6396</v>
      </c>
      <c r="AB449" s="54"/>
      <c r="AC449" s="54"/>
      <c r="AD449" s="54"/>
      <c r="AE449" s="54">
        <f t="shared" si="176"/>
        <v>6396</v>
      </c>
      <c r="AF449" s="54">
        <f t="shared" si="177"/>
        <v>17011.604249554141</v>
      </c>
      <c r="AG449" s="49">
        <f t="shared" si="178"/>
        <v>112563.10800000001</v>
      </c>
      <c r="AH449" s="49">
        <f t="shared" si="179"/>
        <v>140703.88500000001</v>
      </c>
    </row>
    <row r="450" spans="1:34" s="56" customFormat="1">
      <c r="A450" s="62" t="s">
        <v>552</v>
      </c>
      <c r="B450" s="62"/>
      <c r="C450" s="62"/>
      <c r="D450" s="62"/>
      <c r="E450" s="141">
        <v>1</v>
      </c>
      <c r="F450" s="142"/>
      <c r="G450" s="143">
        <v>0.2</v>
      </c>
      <c r="H450" s="143">
        <v>0</v>
      </c>
      <c r="I450" s="49">
        <v>3535</v>
      </c>
      <c r="J450" s="49">
        <f t="shared" si="168"/>
        <v>2958.7950000000001</v>
      </c>
      <c r="K450" s="49">
        <f t="shared" si="169"/>
        <v>2367.0360000000001</v>
      </c>
      <c r="L450" s="58"/>
      <c r="M450" s="141">
        <v>0</v>
      </c>
      <c r="N450" s="50">
        <f t="shared" si="170"/>
        <v>0</v>
      </c>
      <c r="O450" s="50">
        <f t="shared" si="171"/>
        <v>0</v>
      </c>
      <c r="P450" s="59"/>
      <c r="Q450" s="141">
        <v>0</v>
      </c>
      <c r="R450" s="50">
        <f t="shared" si="172"/>
        <v>0</v>
      </c>
      <c r="S450" s="51">
        <f t="shared" si="173"/>
        <v>0</v>
      </c>
      <c r="T450" s="63">
        <v>25</v>
      </c>
      <c r="U450" s="61" t="s">
        <v>94</v>
      </c>
      <c r="V450" s="53">
        <f>SUMIF('Avoided Costs 2014-2023'!$A:$A,'2014 Actuals'!U450&amp;ROUNDDOWN('2014 Actuals'!T450,0),'Avoided Costs 2014-2023'!$E:$E)*K450</f>
        <v>7043.7003571059849</v>
      </c>
      <c r="W450" s="53">
        <f>SUMIF('Avoided Costs 2014-2023'!$A:$A,'2014 Actuals'!U450&amp;ROUNDDOWN('2014 Actuals'!T450,0),'Avoided Costs 2014-2023'!$K:$K)*O450</f>
        <v>0</v>
      </c>
      <c r="X450" s="53">
        <f>SUMIF('Avoided Costs 2014-2023'!$A:$A,'2014 Actuals'!U450&amp;ROUNDDOWN('2014 Actuals'!T450,0),'Avoided Costs 2014-2023'!$M:$M)*S450</f>
        <v>0</v>
      </c>
      <c r="Y450" s="53">
        <f t="shared" si="174"/>
        <v>7043.7003571059849</v>
      </c>
      <c r="Z450" s="55">
        <v>4090</v>
      </c>
      <c r="AA450" s="54">
        <f t="shared" si="175"/>
        <v>3272</v>
      </c>
      <c r="AB450" s="54"/>
      <c r="AC450" s="54"/>
      <c r="AD450" s="54"/>
      <c r="AE450" s="54">
        <f t="shared" si="176"/>
        <v>3272</v>
      </c>
      <c r="AF450" s="54">
        <f t="shared" si="177"/>
        <v>3771.7003571059849</v>
      </c>
      <c r="AG450" s="49">
        <f t="shared" si="178"/>
        <v>59175.9</v>
      </c>
      <c r="AH450" s="49">
        <f t="shared" si="179"/>
        <v>73969.875</v>
      </c>
    </row>
    <row r="451" spans="1:34" s="56" customFormat="1">
      <c r="A451" s="62" t="s">
        <v>553</v>
      </c>
      <c r="B451" s="62"/>
      <c r="C451" s="62"/>
      <c r="D451" s="62"/>
      <c r="E451" s="141">
        <v>0</v>
      </c>
      <c r="F451" s="142"/>
      <c r="G451" s="143">
        <v>0.2</v>
      </c>
      <c r="H451" s="143">
        <v>0</v>
      </c>
      <c r="I451" s="49">
        <v>3937</v>
      </c>
      <c r="J451" s="49">
        <f t="shared" si="168"/>
        <v>3295.2689999999998</v>
      </c>
      <c r="K451" s="49">
        <f t="shared" si="169"/>
        <v>2636.2152000000001</v>
      </c>
      <c r="L451" s="58"/>
      <c r="M451" s="141">
        <v>0</v>
      </c>
      <c r="N451" s="50">
        <f t="shared" si="170"/>
        <v>0</v>
      </c>
      <c r="O451" s="50">
        <f t="shared" si="171"/>
        <v>0</v>
      </c>
      <c r="P451" s="59"/>
      <c r="Q451" s="141">
        <v>0</v>
      </c>
      <c r="R451" s="50">
        <f t="shared" si="172"/>
        <v>0</v>
      </c>
      <c r="S451" s="51">
        <f t="shared" si="173"/>
        <v>0</v>
      </c>
      <c r="T451" s="63">
        <v>25</v>
      </c>
      <c r="U451" s="61" t="s">
        <v>94</v>
      </c>
      <c r="V451" s="53">
        <f>SUMIF('Avoided Costs 2014-2023'!$A:$A,'2014 Actuals'!U451&amp;ROUNDDOWN('2014 Actuals'!T451,0),'Avoided Costs 2014-2023'!$E:$E)*K451</f>
        <v>7844.7095632040346</v>
      </c>
      <c r="W451" s="53">
        <f>SUMIF('Avoided Costs 2014-2023'!$A:$A,'2014 Actuals'!U451&amp;ROUNDDOWN('2014 Actuals'!T451,0),'Avoided Costs 2014-2023'!$K:$K)*O451</f>
        <v>0</v>
      </c>
      <c r="X451" s="53">
        <f>SUMIF('Avoided Costs 2014-2023'!$A:$A,'2014 Actuals'!U451&amp;ROUNDDOWN('2014 Actuals'!T451,0),'Avoided Costs 2014-2023'!$M:$M)*S451</f>
        <v>0</v>
      </c>
      <c r="Y451" s="53">
        <f t="shared" si="174"/>
        <v>7844.7095632040346</v>
      </c>
      <c r="Z451" s="55">
        <v>6609</v>
      </c>
      <c r="AA451" s="54">
        <f t="shared" si="175"/>
        <v>5287.2000000000007</v>
      </c>
      <c r="AB451" s="54"/>
      <c r="AC451" s="54"/>
      <c r="AD451" s="54"/>
      <c r="AE451" s="54">
        <f t="shared" si="176"/>
        <v>5287.2000000000007</v>
      </c>
      <c r="AF451" s="54">
        <f t="shared" si="177"/>
        <v>2557.5095632040338</v>
      </c>
      <c r="AG451" s="49">
        <f t="shared" si="178"/>
        <v>65905.38</v>
      </c>
      <c r="AH451" s="49">
        <f t="shared" si="179"/>
        <v>82381.724999999991</v>
      </c>
    </row>
    <row r="452" spans="1:34" s="56" customFormat="1">
      <c r="A452" s="136" t="s">
        <v>554</v>
      </c>
      <c r="B452" s="136"/>
      <c r="C452" s="136"/>
      <c r="D452" s="136"/>
      <c r="E452" s="137">
        <v>1</v>
      </c>
      <c r="F452" s="138"/>
      <c r="G452" s="139">
        <v>0.2</v>
      </c>
      <c r="H452" s="139">
        <v>0</v>
      </c>
      <c r="I452" s="49">
        <v>4020</v>
      </c>
      <c r="J452" s="49">
        <f t="shared" si="168"/>
        <v>3364.74</v>
      </c>
      <c r="K452" s="49">
        <f t="shared" si="169"/>
        <v>2691.7919999999999</v>
      </c>
      <c r="L452" s="138"/>
      <c r="M452" s="137">
        <v>0</v>
      </c>
      <c r="N452" s="50">
        <f t="shared" si="170"/>
        <v>0</v>
      </c>
      <c r="O452" s="50">
        <f t="shared" si="171"/>
        <v>0</v>
      </c>
      <c r="P452" s="140"/>
      <c r="Q452" s="137">
        <v>0</v>
      </c>
      <c r="R452" s="50">
        <f t="shared" si="172"/>
        <v>0</v>
      </c>
      <c r="S452" s="51">
        <f t="shared" si="173"/>
        <v>0</v>
      </c>
      <c r="T452" s="63">
        <v>15</v>
      </c>
      <c r="U452" s="52" t="s">
        <v>81</v>
      </c>
      <c r="V452" s="53">
        <f>SUMIF('Avoided Costs 2014-2023'!$A:$A,'2014 Actuals'!U452&amp;ROUNDDOWN('2014 Actuals'!T452,0),'Avoided Costs 2014-2023'!$E:$E)*K452</f>
        <v>6231.153702644584</v>
      </c>
      <c r="W452" s="53">
        <f>SUMIF('Avoided Costs 2014-2023'!$A:$A,'2014 Actuals'!U452&amp;ROUNDDOWN('2014 Actuals'!T452,0),'Avoided Costs 2014-2023'!$K:$K)*O452</f>
        <v>0</v>
      </c>
      <c r="X452" s="53">
        <f>SUMIF('Avoided Costs 2014-2023'!$A:$A,'2014 Actuals'!U452&amp;ROUNDDOWN('2014 Actuals'!T452,0),'Avoided Costs 2014-2023'!$M:$M)*S452</f>
        <v>0</v>
      </c>
      <c r="Y452" s="53">
        <f t="shared" si="174"/>
        <v>6231.153702644584</v>
      </c>
      <c r="Z452" s="55">
        <v>8500</v>
      </c>
      <c r="AA452" s="54">
        <f t="shared" si="175"/>
        <v>6800</v>
      </c>
      <c r="AB452" s="54"/>
      <c r="AC452" s="54"/>
      <c r="AD452" s="54"/>
      <c r="AE452" s="54">
        <f t="shared" si="176"/>
        <v>6800</v>
      </c>
      <c r="AF452" s="54">
        <f t="shared" si="177"/>
        <v>-568.84629735541603</v>
      </c>
      <c r="AG452" s="49">
        <f t="shared" si="178"/>
        <v>40376.879999999997</v>
      </c>
      <c r="AH452" s="49">
        <f t="shared" si="179"/>
        <v>50471.1</v>
      </c>
    </row>
    <row r="453" spans="1:34" s="56" customFormat="1">
      <c r="A453" s="136" t="s">
        <v>555</v>
      </c>
      <c r="B453" s="136"/>
      <c r="C453" s="136"/>
      <c r="D453" s="136"/>
      <c r="E453" s="137">
        <v>0</v>
      </c>
      <c r="F453" s="138"/>
      <c r="G453" s="139">
        <v>0.2</v>
      </c>
      <c r="H453" s="139">
        <v>0</v>
      </c>
      <c r="I453" s="49">
        <v>391</v>
      </c>
      <c r="J453" s="49">
        <f t="shared" si="168"/>
        <v>327.267</v>
      </c>
      <c r="K453" s="49">
        <f t="shared" si="169"/>
        <v>261.81360000000001</v>
      </c>
      <c r="L453" s="138"/>
      <c r="M453" s="137">
        <v>0</v>
      </c>
      <c r="N453" s="50">
        <f t="shared" si="170"/>
        <v>0</v>
      </c>
      <c r="O453" s="50">
        <f t="shared" si="171"/>
        <v>0</v>
      </c>
      <c r="P453" s="140"/>
      <c r="Q453" s="137">
        <v>0</v>
      </c>
      <c r="R453" s="50">
        <f t="shared" si="172"/>
        <v>0</v>
      </c>
      <c r="S453" s="51">
        <f t="shared" si="173"/>
        <v>0</v>
      </c>
      <c r="T453" s="63">
        <v>15</v>
      </c>
      <c r="U453" s="52" t="s">
        <v>94</v>
      </c>
      <c r="V453" s="53">
        <f>SUMIF('Avoided Costs 2014-2023'!$A:$A,'2014 Actuals'!U453&amp;ROUNDDOWN('2014 Actuals'!T453,0),'Avoided Costs 2014-2023'!$E:$E)*K453</f>
        <v>567.55448296861277</v>
      </c>
      <c r="W453" s="53">
        <f>SUMIF('Avoided Costs 2014-2023'!$A:$A,'2014 Actuals'!U453&amp;ROUNDDOWN('2014 Actuals'!T453,0),'Avoided Costs 2014-2023'!$K:$K)*O453</f>
        <v>0</v>
      </c>
      <c r="X453" s="53">
        <f>SUMIF('Avoided Costs 2014-2023'!$A:$A,'2014 Actuals'!U453&amp;ROUNDDOWN('2014 Actuals'!T453,0),'Avoided Costs 2014-2023'!$M:$M)*S453</f>
        <v>0</v>
      </c>
      <c r="Y453" s="53">
        <f t="shared" si="174"/>
        <v>567.55448296861277</v>
      </c>
      <c r="Z453" s="55">
        <v>800</v>
      </c>
      <c r="AA453" s="54">
        <f t="shared" si="175"/>
        <v>640</v>
      </c>
      <c r="AB453" s="54"/>
      <c r="AC453" s="54"/>
      <c r="AD453" s="54"/>
      <c r="AE453" s="54">
        <f t="shared" si="176"/>
        <v>640</v>
      </c>
      <c r="AF453" s="54">
        <f t="shared" si="177"/>
        <v>-72.445517031387226</v>
      </c>
      <c r="AG453" s="49">
        <f t="shared" si="178"/>
        <v>3927.2040000000002</v>
      </c>
      <c r="AH453" s="49">
        <f t="shared" si="179"/>
        <v>4909.0050000000001</v>
      </c>
    </row>
    <row r="454" spans="1:34" s="56" customFormat="1">
      <c r="A454" s="136" t="s">
        <v>556</v>
      </c>
      <c r="B454" s="136"/>
      <c r="C454" s="136"/>
      <c r="D454" s="136"/>
      <c r="E454" s="137">
        <v>1</v>
      </c>
      <c r="F454" s="138"/>
      <c r="G454" s="139">
        <v>0.2</v>
      </c>
      <c r="H454" s="139">
        <v>0</v>
      </c>
      <c r="I454" s="49">
        <v>3171</v>
      </c>
      <c r="J454" s="49">
        <f t="shared" si="168"/>
        <v>2654.127</v>
      </c>
      <c r="K454" s="49">
        <f t="shared" si="169"/>
        <v>2123.3016000000002</v>
      </c>
      <c r="L454" s="138"/>
      <c r="M454" s="137">
        <v>0</v>
      </c>
      <c r="N454" s="50">
        <f t="shared" si="170"/>
        <v>0</v>
      </c>
      <c r="O454" s="50">
        <f t="shared" si="171"/>
        <v>0</v>
      </c>
      <c r="P454" s="140"/>
      <c r="Q454" s="137">
        <v>0</v>
      </c>
      <c r="R454" s="50">
        <f t="shared" si="172"/>
        <v>0</v>
      </c>
      <c r="S454" s="51">
        <f t="shared" si="173"/>
        <v>0</v>
      </c>
      <c r="T454" s="63">
        <v>15</v>
      </c>
      <c r="U454" s="52" t="s">
        <v>81</v>
      </c>
      <c r="V454" s="53">
        <f>SUMIF('Avoided Costs 2014-2023'!$A:$A,'2014 Actuals'!U454&amp;ROUNDDOWN('2014 Actuals'!T454,0),'Avoided Costs 2014-2023'!$E:$E)*K454</f>
        <v>4915.1712415636766</v>
      </c>
      <c r="W454" s="53">
        <f>SUMIF('Avoided Costs 2014-2023'!$A:$A,'2014 Actuals'!U454&amp;ROUNDDOWN('2014 Actuals'!T454,0),'Avoided Costs 2014-2023'!$K:$K)*O454</f>
        <v>0</v>
      </c>
      <c r="X454" s="53">
        <f>SUMIF('Avoided Costs 2014-2023'!$A:$A,'2014 Actuals'!U454&amp;ROUNDDOWN('2014 Actuals'!T454,0),'Avoided Costs 2014-2023'!$M:$M)*S454</f>
        <v>0</v>
      </c>
      <c r="Y454" s="53">
        <f t="shared" si="174"/>
        <v>4915.1712415636766</v>
      </c>
      <c r="Z454" s="55">
        <v>7000</v>
      </c>
      <c r="AA454" s="54">
        <f t="shared" si="175"/>
        <v>5600</v>
      </c>
      <c r="AB454" s="54"/>
      <c r="AC454" s="54"/>
      <c r="AD454" s="54"/>
      <c r="AE454" s="54">
        <f t="shared" si="176"/>
        <v>5600</v>
      </c>
      <c r="AF454" s="54">
        <f t="shared" si="177"/>
        <v>-684.82875843632337</v>
      </c>
      <c r="AG454" s="49">
        <f t="shared" si="178"/>
        <v>31849.524000000005</v>
      </c>
      <c r="AH454" s="49">
        <f t="shared" si="179"/>
        <v>39811.904999999999</v>
      </c>
    </row>
    <row r="455" spans="1:34" s="56" customFormat="1">
      <c r="A455" s="62" t="s">
        <v>557</v>
      </c>
      <c r="B455" s="62"/>
      <c r="C455" s="62"/>
      <c r="D455" s="62"/>
      <c r="E455" s="141">
        <v>1</v>
      </c>
      <c r="F455" s="142"/>
      <c r="G455" s="143">
        <v>0.2</v>
      </c>
      <c r="H455" s="143">
        <v>0</v>
      </c>
      <c r="I455" s="49">
        <v>76051</v>
      </c>
      <c r="J455" s="49">
        <f t="shared" si="168"/>
        <v>63654.686999999998</v>
      </c>
      <c r="K455" s="49">
        <f t="shared" si="169"/>
        <v>50923.749600000003</v>
      </c>
      <c r="L455" s="58"/>
      <c r="M455" s="141">
        <v>0</v>
      </c>
      <c r="N455" s="50">
        <f t="shared" si="170"/>
        <v>0</v>
      </c>
      <c r="O455" s="50">
        <f t="shared" si="171"/>
        <v>0</v>
      </c>
      <c r="P455" s="59"/>
      <c r="Q455" s="141">
        <v>0</v>
      </c>
      <c r="R455" s="50">
        <f t="shared" si="172"/>
        <v>0</v>
      </c>
      <c r="S455" s="51">
        <f t="shared" si="173"/>
        <v>0</v>
      </c>
      <c r="T455" s="63">
        <v>15</v>
      </c>
      <c r="U455" s="61" t="s">
        <v>81</v>
      </c>
      <c r="V455" s="53">
        <f>SUMIF('Avoided Costs 2014-2023'!$A:$A,'2014 Actuals'!U455&amp;ROUNDDOWN('2014 Actuals'!T455,0),'Avoided Costs 2014-2023'!$E:$E)*K455</f>
        <v>117881.95777110032</v>
      </c>
      <c r="W455" s="53">
        <f>SUMIF('Avoided Costs 2014-2023'!$A:$A,'2014 Actuals'!U455&amp;ROUNDDOWN('2014 Actuals'!T455,0),'Avoided Costs 2014-2023'!$K:$K)*O455</f>
        <v>0</v>
      </c>
      <c r="X455" s="53">
        <f>SUMIF('Avoided Costs 2014-2023'!$A:$A,'2014 Actuals'!U455&amp;ROUNDDOWN('2014 Actuals'!T455,0),'Avoided Costs 2014-2023'!$M:$M)*S455</f>
        <v>0</v>
      </c>
      <c r="Y455" s="53">
        <f t="shared" si="174"/>
        <v>117881.95777110032</v>
      </c>
      <c r="Z455" s="55">
        <v>30500</v>
      </c>
      <c r="AA455" s="54">
        <f t="shared" si="175"/>
        <v>24400</v>
      </c>
      <c r="AB455" s="54"/>
      <c r="AC455" s="54"/>
      <c r="AD455" s="54"/>
      <c r="AE455" s="54">
        <f t="shared" si="176"/>
        <v>24400</v>
      </c>
      <c r="AF455" s="54">
        <f t="shared" si="177"/>
        <v>93481.957771100322</v>
      </c>
      <c r="AG455" s="49">
        <f t="shared" si="178"/>
        <v>763856.24400000006</v>
      </c>
      <c r="AH455" s="49">
        <f t="shared" si="179"/>
        <v>954820.30499999993</v>
      </c>
    </row>
    <row r="456" spans="1:34" s="56" customFormat="1">
      <c r="A456" s="136" t="s">
        <v>558</v>
      </c>
      <c r="B456" s="136"/>
      <c r="C456" s="136"/>
      <c r="D456" s="136"/>
      <c r="E456" s="137">
        <v>1</v>
      </c>
      <c r="F456" s="138"/>
      <c r="G456" s="139">
        <v>0.2</v>
      </c>
      <c r="H456" s="139">
        <v>0</v>
      </c>
      <c r="I456" s="49">
        <v>42954</v>
      </c>
      <c r="J456" s="49">
        <f t="shared" si="168"/>
        <v>35952.498</v>
      </c>
      <c r="K456" s="49">
        <f t="shared" si="169"/>
        <v>28761.9984</v>
      </c>
      <c r="L456" s="138"/>
      <c r="M456" s="137">
        <v>39377</v>
      </c>
      <c r="N456" s="50">
        <f t="shared" si="170"/>
        <v>39377</v>
      </c>
      <c r="O456" s="50">
        <f t="shared" si="171"/>
        <v>31501.600000000002</v>
      </c>
      <c r="P456" s="140"/>
      <c r="Q456" s="137">
        <v>0</v>
      </c>
      <c r="R456" s="50">
        <f t="shared" si="172"/>
        <v>0</v>
      </c>
      <c r="S456" s="51">
        <f t="shared" si="173"/>
        <v>0</v>
      </c>
      <c r="T456" s="63">
        <v>15</v>
      </c>
      <c r="U456" s="52" t="s">
        <v>81</v>
      </c>
      <c r="V456" s="53">
        <f>SUMIF('Avoided Costs 2014-2023'!$A:$A,'2014 Actuals'!U456&amp;ROUNDDOWN('2014 Actuals'!T456,0),'Avoided Costs 2014-2023'!$E:$E)*K456</f>
        <v>66580.342324227735</v>
      </c>
      <c r="W456" s="53">
        <f>SUMIF('Avoided Costs 2014-2023'!$A:$A,'2014 Actuals'!U456&amp;ROUNDDOWN('2014 Actuals'!T456,0),'Avoided Costs 2014-2023'!$K:$K)*O456</f>
        <v>37250.023394421987</v>
      </c>
      <c r="X456" s="53">
        <f>SUMIF('Avoided Costs 2014-2023'!$A:$A,'2014 Actuals'!U456&amp;ROUNDDOWN('2014 Actuals'!T456,0),'Avoided Costs 2014-2023'!$M:$M)*S456</f>
        <v>0</v>
      </c>
      <c r="Y456" s="53">
        <f t="shared" si="174"/>
        <v>103830.36571864973</v>
      </c>
      <c r="Z456" s="55">
        <v>8000</v>
      </c>
      <c r="AA456" s="54">
        <f t="shared" si="175"/>
        <v>6400</v>
      </c>
      <c r="AB456" s="54"/>
      <c r="AC456" s="54"/>
      <c r="AD456" s="54"/>
      <c r="AE456" s="54">
        <f t="shared" si="176"/>
        <v>6400</v>
      </c>
      <c r="AF456" s="54">
        <f t="shared" si="177"/>
        <v>97430.365718649729</v>
      </c>
      <c r="AG456" s="49">
        <f t="shared" si="178"/>
        <v>431429.97600000002</v>
      </c>
      <c r="AH456" s="49">
        <f t="shared" si="179"/>
        <v>539287.47</v>
      </c>
    </row>
    <row r="457" spans="1:34" s="56" customFormat="1">
      <c r="A457" s="62" t="s">
        <v>559</v>
      </c>
      <c r="B457" s="62"/>
      <c r="C457" s="62"/>
      <c r="D457" s="62"/>
      <c r="E457" s="141">
        <v>1</v>
      </c>
      <c r="F457" s="142"/>
      <c r="G457" s="143">
        <v>0.2</v>
      </c>
      <c r="H457" s="143">
        <v>0</v>
      </c>
      <c r="I457" s="49">
        <v>62871</v>
      </c>
      <c r="J457" s="49">
        <f t="shared" si="168"/>
        <v>52623.026999999995</v>
      </c>
      <c r="K457" s="49">
        <f t="shared" si="169"/>
        <v>42098.421600000001</v>
      </c>
      <c r="L457" s="58"/>
      <c r="M457" s="141">
        <v>0</v>
      </c>
      <c r="N457" s="50">
        <f t="shared" si="170"/>
        <v>0</v>
      </c>
      <c r="O457" s="50">
        <f t="shared" si="171"/>
        <v>0</v>
      </c>
      <c r="P457" s="59"/>
      <c r="Q457" s="141">
        <v>0</v>
      </c>
      <c r="R457" s="50">
        <f t="shared" si="172"/>
        <v>0</v>
      </c>
      <c r="S457" s="51">
        <f t="shared" si="173"/>
        <v>0</v>
      </c>
      <c r="T457" s="63">
        <v>25</v>
      </c>
      <c r="U457" s="61" t="s">
        <v>81</v>
      </c>
      <c r="V457" s="53">
        <f>SUMIF('Avoided Costs 2014-2023'!$A:$A,'2014 Actuals'!U457&amp;ROUNDDOWN('2014 Actuals'!T457,0),'Avoided Costs 2014-2023'!$E:$E)*K457</f>
        <v>133716.52522585401</v>
      </c>
      <c r="W457" s="53">
        <f>SUMIF('Avoided Costs 2014-2023'!$A:$A,'2014 Actuals'!U457&amp;ROUNDDOWN('2014 Actuals'!T457,0),'Avoided Costs 2014-2023'!$K:$K)*O457</f>
        <v>0</v>
      </c>
      <c r="X457" s="53">
        <f>SUMIF('Avoided Costs 2014-2023'!$A:$A,'2014 Actuals'!U457&amp;ROUNDDOWN('2014 Actuals'!T457,0),'Avoided Costs 2014-2023'!$M:$M)*S457</f>
        <v>0</v>
      </c>
      <c r="Y457" s="53">
        <f t="shared" si="174"/>
        <v>133716.52522585401</v>
      </c>
      <c r="Z457" s="55">
        <v>15633</v>
      </c>
      <c r="AA457" s="54">
        <f t="shared" si="175"/>
        <v>12506.400000000001</v>
      </c>
      <c r="AB457" s="54"/>
      <c r="AC457" s="54"/>
      <c r="AD457" s="54"/>
      <c r="AE457" s="54">
        <f t="shared" si="176"/>
        <v>12506.400000000001</v>
      </c>
      <c r="AF457" s="54">
        <f t="shared" si="177"/>
        <v>121210.12522585402</v>
      </c>
      <c r="AG457" s="49">
        <f t="shared" si="178"/>
        <v>1052460.54</v>
      </c>
      <c r="AH457" s="49">
        <f t="shared" si="179"/>
        <v>1315575.6749999998</v>
      </c>
    </row>
    <row r="458" spans="1:34" s="56" customFormat="1">
      <c r="A458" s="62" t="s">
        <v>560</v>
      </c>
      <c r="B458" s="62"/>
      <c r="C458" s="62"/>
      <c r="D458" s="62"/>
      <c r="E458" s="141">
        <v>0</v>
      </c>
      <c r="F458" s="142"/>
      <c r="G458" s="143">
        <v>0.2</v>
      </c>
      <c r="H458" s="143">
        <v>0</v>
      </c>
      <c r="I458" s="49">
        <v>29097</v>
      </c>
      <c r="J458" s="49">
        <f t="shared" si="168"/>
        <v>24354.188999999998</v>
      </c>
      <c r="K458" s="49">
        <f t="shared" si="169"/>
        <v>19483.351200000001</v>
      </c>
      <c r="L458" s="58"/>
      <c r="M458" s="141">
        <v>0</v>
      </c>
      <c r="N458" s="50">
        <f t="shared" si="170"/>
        <v>0</v>
      </c>
      <c r="O458" s="50">
        <f t="shared" si="171"/>
        <v>0</v>
      </c>
      <c r="P458" s="59"/>
      <c r="Q458" s="141">
        <v>0</v>
      </c>
      <c r="R458" s="50">
        <f t="shared" si="172"/>
        <v>0</v>
      </c>
      <c r="S458" s="51">
        <f t="shared" si="173"/>
        <v>0</v>
      </c>
      <c r="T458" s="63">
        <v>25</v>
      </c>
      <c r="U458" s="61" t="s">
        <v>94</v>
      </c>
      <c r="V458" s="53">
        <f>SUMIF('Avoided Costs 2014-2023'!$A:$A,'2014 Actuals'!U458&amp;ROUNDDOWN('2014 Actuals'!T458,0),'Avoided Costs 2014-2023'!$E:$E)*K458</f>
        <v>57977.524551828246</v>
      </c>
      <c r="W458" s="53">
        <f>SUMIF('Avoided Costs 2014-2023'!$A:$A,'2014 Actuals'!U458&amp;ROUNDDOWN('2014 Actuals'!T458,0),'Avoided Costs 2014-2023'!$K:$K)*O458</f>
        <v>0</v>
      </c>
      <c r="X458" s="53">
        <f>SUMIF('Avoided Costs 2014-2023'!$A:$A,'2014 Actuals'!U458&amp;ROUNDDOWN('2014 Actuals'!T458,0),'Avoided Costs 2014-2023'!$M:$M)*S458</f>
        <v>0</v>
      </c>
      <c r="Y458" s="53">
        <f t="shared" si="174"/>
        <v>57977.524551828246</v>
      </c>
      <c r="Z458" s="55">
        <v>24251</v>
      </c>
      <c r="AA458" s="54">
        <f t="shared" si="175"/>
        <v>19400.8</v>
      </c>
      <c r="AB458" s="54"/>
      <c r="AC458" s="54"/>
      <c r="AD458" s="54"/>
      <c r="AE458" s="54">
        <f t="shared" si="176"/>
        <v>19400.8</v>
      </c>
      <c r="AF458" s="54">
        <f t="shared" si="177"/>
        <v>38576.724551828243</v>
      </c>
      <c r="AG458" s="49">
        <f t="shared" si="178"/>
        <v>487083.78</v>
      </c>
      <c r="AH458" s="49">
        <f t="shared" si="179"/>
        <v>608854.72499999998</v>
      </c>
    </row>
    <row r="459" spans="1:34" s="56" customFormat="1">
      <c r="A459" s="136" t="s">
        <v>561</v>
      </c>
      <c r="B459" s="136"/>
      <c r="C459" s="136"/>
      <c r="D459" s="136"/>
      <c r="E459" s="137">
        <v>1</v>
      </c>
      <c r="F459" s="138"/>
      <c r="G459" s="139">
        <v>0.2</v>
      </c>
      <c r="H459" s="139">
        <v>0</v>
      </c>
      <c r="I459" s="49">
        <v>70240</v>
      </c>
      <c r="J459" s="49">
        <f t="shared" si="168"/>
        <v>58790.879999999997</v>
      </c>
      <c r="K459" s="49">
        <f t="shared" si="169"/>
        <v>47032.703999999998</v>
      </c>
      <c r="L459" s="138"/>
      <c r="M459" s="137">
        <v>0</v>
      </c>
      <c r="N459" s="50">
        <f t="shared" si="170"/>
        <v>0</v>
      </c>
      <c r="O459" s="50">
        <f t="shared" si="171"/>
        <v>0</v>
      </c>
      <c r="P459" s="140"/>
      <c r="Q459" s="137">
        <v>0</v>
      </c>
      <c r="R459" s="50">
        <f t="shared" si="172"/>
        <v>0</v>
      </c>
      <c r="S459" s="51">
        <f t="shared" si="173"/>
        <v>0</v>
      </c>
      <c r="T459" s="63">
        <v>25</v>
      </c>
      <c r="U459" s="52" t="s">
        <v>81</v>
      </c>
      <c r="V459" s="53">
        <f>SUMIF('Avoided Costs 2014-2023'!$A:$A,'2014 Actuals'!U459&amp;ROUNDDOWN('2014 Actuals'!T459,0),'Avoided Costs 2014-2023'!$E:$E)*K459</f>
        <v>149389.20538664862</v>
      </c>
      <c r="W459" s="53">
        <f>SUMIF('Avoided Costs 2014-2023'!$A:$A,'2014 Actuals'!U459&amp;ROUNDDOWN('2014 Actuals'!T459,0),'Avoided Costs 2014-2023'!$K:$K)*O459</f>
        <v>0</v>
      </c>
      <c r="X459" s="53">
        <f>SUMIF('Avoided Costs 2014-2023'!$A:$A,'2014 Actuals'!U459&amp;ROUNDDOWN('2014 Actuals'!T459,0),'Avoided Costs 2014-2023'!$M:$M)*S459</f>
        <v>0</v>
      </c>
      <c r="Y459" s="53">
        <f t="shared" si="174"/>
        <v>149389.20538664862</v>
      </c>
      <c r="Z459" s="55">
        <v>5895</v>
      </c>
      <c r="AA459" s="54">
        <f t="shared" si="175"/>
        <v>4716</v>
      </c>
      <c r="AB459" s="54"/>
      <c r="AC459" s="54"/>
      <c r="AD459" s="54"/>
      <c r="AE459" s="54">
        <f t="shared" si="176"/>
        <v>4716</v>
      </c>
      <c r="AF459" s="54">
        <f t="shared" si="177"/>
        <v>144673.20538664862</v>
      </c>
      <c r="AG459" s="49">
        <f t="shared" si="178"/>
        <v>1175817.5999999999</v>
      </c>
      <c r="AH459" s="49">
        <f t="shared" si="179"/>
        <v>1469772</v>
      </c>
    </row>
    <row r="460" spans="1:34" s="56" customFormat="1">
      <c r="A460" s="136" t="s">
        <v>562</v>
      </c>
      <c r="B460" s="136"/>
      <c r="C460" s="136"/>
      <c r="D460" s="136"/>
      <c r="E460" s="137">
        <v>0</v>
      </c>
      <c r="F460" s="138"/>
      <c r="G460" s="139">
        <v>0.2</v>
      </c>
      <c r="H460" s="139">
        <v>0</v>
      </c>
      <c r="I460" s="49">
        <v>4546</v>
      </c>
      <c r="J460" s="49">
        <f t="shared" si="168"/>
        <v>3805.002</v>
      </c>
      <c r="K460" s="49">
        <f t="shared" si="169"/>
        <v>3044.0016000000001</v>
      </c>
      <c r="L460" s="138"/>
      <c r="M460" s="137">
        <v>0</v>
      </c>
      <c r="N460" s="50">
        <f t="shared" si="170"/>
        <v>0</v>
      </c>
      <c r="O460" s="50">
        <f t="shared" si="171"/>
        <v>0</v>
      </c>
      <c r="P460" s="140"/>
      <c r="Q460" s="137">
        <v>0</v>
      </c>
      <c r="R460" s="50">
        <f t="shared" si="172"/>
        <v>0</v>
      </c>
      <c r="S460" s="51">
        <f t="shared" si="173"/>
        <v>0</v>
      </c>
      <c r="T460" s="63">
        <v>15</v>
      </c>
      <c r="U460" s="52" t="s">
        <v>94</v>
      </c>
      <c r="V460" s="53">
        <f>SUMIF('Avoided Costs 2014-2023'!$A:$A,'2014 Actuals'!U460&amp;ROUNDDOWN('2014 Actuals'!T460,0),'Avoided Costs 2014-2023'!$E:$E)*K460</f>
        <v>6598.7280807552779</v>
      </c>
      <c r="W460" s="53">
        <f>SUMIF('Avoided Costs 2014-2023'!$A:$A,'2014 Actuals'!U460&amp;ROUNDDOWN('2014 Actuals'!T460,0),'Avoided Costs 2014-2023'!$K:$K)*O460</f>
        <v>0</v>
      </c>
      <c r="X460" s="53">
        <f>SUMIF('Avoided Costs 2014-2023'!$A:$A,'2014 Actuals'!U460&amp;ROUNDDOWN('2014 Actuals'!T460,0),'Avoided Costs 2014-2023'!$M:$M)*S460</f>
        <v>0</v>
      </c>
      <c r="Y460" s="53">
        <f t="shared" si="174"/>
        <v>6598.7280807552779</v>
      </c>
      <c r="Z460" s="55">
        <v>1600</v>
      </c>
      <c r="AA460" s="54">
        <f t="shared" si="175"/>
        <v>1280</v>
      </c>
      <c r="AB460" s="54"/>
      <c r="AC460" s="54"/>
      <c r="AD460" s="54"/>
      <c r="AE460" s="54">
        <f t="shared" si="176"/>
        <v>1280</v>
      </c>
      <c r="AF460" s="54">
        <f t="shared" si="177"/>
        <v>5318.7280807552779</v>
      </c>
      <c r="AG460" s="49">
        <f t="shared" si="178"/>
        <v>45660.023999999998</v>
      </c>
      <c r="AH460" s="49">
        <f t="shared" si="179"/>
        <v>57075.03</v>
      </c>
    </row>
    <row r="461" spans="1:34" s="56" customFormat="1">
      <c r="A461" s="136" t="s">
        <v>563</v>
      </c>
      <c r="B461" s="136"/>
      <c r="C461" s="136"/>
      <c r="D461" s="136"/>
      <c r="E461" s="137">
        <v>0</v>
      </c>
      <c r="F461" s="138"/>
      <c r="G461" s="139">
        <v>0.2</v>
      </c>
      <c r="H461" s="139">
        <v>0</v>
      </c>
      <c r="I461" s="49">
        <v>17142</v>
      </c>
      <c r="J461" s="49">
        <f t="shared" si="168"/>
        <v>14347.853999999999</v>
      </c>
      <c r="K461" s="49">
        <f t="shared" si="169"/>
        <v>11478.2832</v>
      </c>
      <c r="L461" s="138"/>
      <c r="M461" s="137">
        <v>0</v>
      </c>
      <c r="N461" s="50">
        <f t="shared" si="170"/>
        <v>0</v>
      </c>
      <c r="O461" s="50">
        <f t="shared" si="171"/>
        <v>0</v>
      </c>
      <c r="P461" s="140"/>
      <c r="Q461" s="137">
        <v>0</v>
      </c>
      <c r="R461" s="50">
        <f t="shared" si="172"/>
        <v>0</v>
      </c>
      <c r="S461" s="51">
        <f t="shared" si="173"/>
        <v>0</v>
      </c>
      <c r="T461" s="63">
        <v>15</v>
      </c>
      <c r="U461" s="52" t="s">
        <v>81</v>
      </c>
      <c r="V461" s="53">
        <f>SUMIF('Avoided Costs 2014-2023'!$A:$A,'2014 Actuals'!U461&amp;ROUNDDOWN('2014 Actuals'!T461,0),'Avoided Costs 2014-2023'!$E:$E)*K461</f>
        <v>26570.755415605337</v>
      </c>
      <c r="W461" s="53">
        <f>SUMIF('Avoided Costs 2014-2023'!$A:$A,'2014 Actuals'!U461&amp;ROUNDDOWN('2014 Actuals'!T461,0),'Avoided Costs 2014-2023'!$K:$K)*O461</f>
        <v>0</v>
      </c>
      <c r="X461" s="53">
        <f>SUMIF('Avoided Costs 2014-2023'!$A:$A,'2014 Actuals'!U461&amp;ROUNDDOWN('2014 Actuals'!T461,0),'Avoided Costs 2014-2023'!$M:$M)*S461</f>
        <v>0</v>
      </c>
      <c r="Y461" s="53">
        <f t="shared" si="174"/>
        <v>26570.755415605337</v>
      </c>
      <c r="Z461" s="55">
        <v>13027</v>
      </c>
      <c r="AA461" s="54">
        <f t="shared" si="175"/>
        <v>10421.6</v>
      </c>
      <c r="AB461" s="54"/>
      <c r="AC461" s="54"/>
      <c r="AD461" s="54"/>
      <c r="AE461" s="54">
        <f t="shared" si="176"/>
        <v>10421.6</v>
      </c>
      <c r="AF461" s="54">
        <f t="shared" si="177"/>
        <v>16149.155415605337</v>
      </c>
      <c r="AG461" s="49">
        <f t="shared" si="178"/>
        <v>172174.24799999999</v>
      </c>
      <c r="AH461" s="49">
        <f t="shared" si="179"/>
        <v>215217.81</v>
      </c>
    </row>
    <row r="462" spans="1:34" s="56" customFormat="1">
      <c r="A462" s="136" t="s">
        <v>564</v>
      </c>
      <c r="B462" s="136"/>
      <c r="C462" s="136"/>
      <c r="D462" s="136"/>
      <c r="E462" s="137">
        <v>1</v>
      </c>
      <c r="F462" s="138"/>
      <c r="G462" s="139">
        <v>0.2</v>
      </c>
      <c r="H462" s="139">
        <v>0</v>
      </c>
      <c r="I462" s="49">
        <v>13724</v>
      </c>
      <c r="J462" s="49">
        <f t="shared" si="168"/>
        <v>11486.987999999999</v>
      </c>
      <c r="K462" s="49">
        <f t="shared" si="169"/>
        <v>9189.5903999999991</v>
      </c>
      <c r="L462" s="138"/>
      <c r="M462" s="137">
        <v>0</v>
      </c>
      <c r="N462" s="50">
        <f t="shared" si="170"/>
        <v>0</v>
      </c>
      <c r="O462" s="50">
        <f t="shared" si="171"/>
        <v>0</v>
      </c>
      <c r="P462" s="140"/>
      <c r="Q462" s="137">
        <v>0</v>
      </c>
      <c r="R462" s="50">
        <f t="shared" si="172"/>
        <v>0</v>
      </c>
      <c r="S462" s="51">
        <f t="shared" si="173"/>
        <v>0</v>
      </c>
      <c r="T462" s="63">
        <v>15</v>
      </c>
      <c r="U462" s="52" t="s">
        <v>81</v>
      </c>
      <c r="V462" s="53">
        <f>SUMIF('Avoided Costs 2014-2023'!$A:$A,'2014 Actuals'!U462&amp;ROUNDDOWN('2014 Actuals'!T462,0),'Avoided Costs 2014-2023'!$E:$E)*K462</f>
        <v>21272.724730122951</v>
      </c>
      <c r="W462" s="53">
        <f>SUMIF('Avoided Costs 2014-2023'!$A:$A,'2014 Actuals'!U462&amp;ROUNDDOWN('2014 Actuals'!T462,0),'Avoided Costs 2014-2023'!$K:$K)*O462</f>
        <v>0</v>
      </c>
      <c r="X462" s="53">
        <f>SUMIF('Avoided Costs 2014-2023'!$A:$A,'2014 Actuals'!U462&amp;ROUNDDOWN('2014 Actuals'!T462,0),'Avoided Costs 2014-2023'!$M:$M)*S462</f>
        <v>0</v>
      </c>
      <c r="Y462" s="53">
        <f t="shared" si="174"/>
        <v>21272.724730122951</v>
      </c>
      <c r="Z462" s="55">
        <v>4300</v>
      </c>
      <c r="AA462" s="54">
        <f t="shared" si="175"/>
        <v>3440</v>
      </c>
      <c r="AB462" s="54"/>
      <c r="AC462" s="54"/>
      <c r="AD462" s="54"/>
      <c r="AE462" s="54">
        <f t="shared" si="176"/>
        <v>3440</v>
      </c>
      <c r="AF462" s="54">
        <f t="shared" si="177"/>
        <v>17832.724730122951</v>
      </c>
      <c r="AG462" s="49">
        <f t="shared" si="178"/>
        <v>137843.856</v>
      </c>
      <c r="AH462" s="49">
        <f t="shared" si="179"/>
        <v>172304.81999999998</v>
      </c>
    </row>
    <row r="463" spans="1:34" s="56" customFormat="1">
      <c r="A463" s="62" t="s">
        <v>565</v>
      </c>
      <c r="B463" s="62"/>
      <c r="C463" s="62"/>
      <c r="D463" s="62"/>
      <c r="E463" s="141">
        <v>0</v>
      </c>
      <c r="F463" s="142"/>
      <c r="G463" s="143">
        <v>0.2</v>
      </c>
      <c r="H463" s="143">
        <v>0</v>
      </c>
      <c r="I463" s="49">
        <v>3924</v>
      </c>
      <c r="J463" s="49">
        <f t="shared" si="168"/>
        <v>3284.3879999999999</v>
      </c>
      <c r="K463" s="49">
        <f t="shared" si="169"/>
        <v>2627.5104000000001</v>
      </c>
      <c r="L463" s="58"/>
      <c r="M463" s="141">
        <v>0</v>
      </c>
      <c r="N463" s="50">
        <f t="shared" si="170"/>
        <v>0</v>
      </c>
      <c r="O463" s="50">
        <f t="shared" si="171"/>
        <v>0</v>
      </c>
      <c r="P463" s="59"/>
      <c r="Q463" s="141">
        <v>0</v>
      </c>
      <c r="R463" s="50">
        <f t="shared" si="172"/>
        <v>0</v>
      </c>
      <c r="S463" s="51">
        <f t="shared" si="173"/>
        <v>0</v>
      </c>
      <c r="T463" s="63">
        <v>25</v>
      </c>
      <c r="U463" s="61" t="s">
        <v>94</v>
      </c>
      <c r="V463" s="53">
        <f>SUMIF('Avoided Costs 2014-2023'!$A:$A,'2014 Actuals'!U463&amp;ROUNDDOWN('2014 Actuals'!T463,0),'Avoided Costs 2014-2023'!$E:$E)*K463</f>
        <v>7818.8062804197698</v>
      </c>
      <c r="W463" s="53">
        <f>SUMIF('Avoided Costs 2014-2023'!$A:$A,'2014 Actuals'!U463&amp;ROUNDDOWN('2014 Actuals'!T463,0),'Avoided Costs 2014-2023'!$K:$K)*O463</f>
        <v>0</v>
      </c>
      <c r="X463" s="53">
        <f>SUMIF('Avoided Costs 2014-2023'!$A:$A,'2014 Actuals'!U463&amp;ROUNDDOWN('2014 Actuals'!T463,0),'Avoided Costs 2014-2023'!$M:$M)*S463</f>
        <v>0</v>
      </c>
      <c r="Y463" s="53">
        <f t="shared" si="174"/>
        <v>7818.8062804197698</v>
      </c>
      <c r="Z463" s="55">
        <v>3852</v>
      </c>
      <c r="AA463" s="54">
        <f t="shared" si="175"/>
        <v>3081.6000000000004</v>
      </c>
      <c r="AB463" s="54"/>
      <c r="AC463" s="54"/>
      <c r="AD463" s="54"/>
      <c r="AE463" s="54">
        <f t="shared" si="176"/>
        <v>3081.6000000000004</v>
      </c>
      <c r="AF463" s="54">
        <f t="shared" si="177"/>
        <v>4737.2062804197694</v>
      </c>
      <c r="AG463" s="49">
        <f t="shared" si="178"/>
        <v>65687.760000000009</v>
      </c>
      <c r="AH463" s="49">
        <f t="shared" si="179"/>
        <v>82109.7</v>
      </c>
    </row>
    <row r="464" spans="1:34" s="56" customFormat="1">
      <c r="A464" s="62" t="s">
        <v>566</v>
      </c>
      <c r="B464" s="62"/>
      <c r="C464" s="62"/>
      <c r="D464" s="62"/>
      <c r="E464" s="141">
        <v>1</v>
      </c>
      <c r="F464" s="142"/>
      <c r="G464" s="143">
        <v>0.2</v>
      </c>
      <c r="H464" s="143">
        <v>0</v>
      </c>
      <c r="I464" s="49">
        <v>5514</v>
      </c>
      <c r="J464" s="49">
        <f t="shared" si="168"/>
        <v>4615.2179999999998</v>
      </c>
      <c r="K464" s="49">
        <f t="shared" si="169"/>
        <v>3692.1743999999999</v>
      </c>
      <c r="L464" s="58"/>
      <c r="M464" s="141">
        <v>0</v>
      </c>
      <c r="N464" s="50">
        <f t="shared" si="170"/>
        <v>0</v>
      </c>
      <c r="O464" s="50">
        <f t="shared" si="171"/>
        <v>0</v>
      </c>
      <c r="P464" s="59"/>
      <c r="Q464" s="141">
        <v>0</v>
      </c>
      <c r="R464" s="50">
        <f t="shared" si="172"/>
        <v>0</v>
      </c>
      <c r="S464" s="51">
        <f t="shared" si="173"/>
        <v>0</v>
      </c>
      <c r="T464" s="63">
        <v>15</v>
      </c>
      <c r="U464" s="61" t="s">
        <v>81</v>
      </c>
      <c r="V464" s="53">
        <f>SUMIF('Avoided Costs 2014-2023'!$A:$A,'2014 Actuals'!U464&amp;ROUNDDOWN('2014 Actuals'!T464,0),'Avoided Costs 2014-2023'!$E:$E)*K464</f>
        <v>8546.910824970706</v>
      </c>
      <c r="W464" s="53">
        <f>SUMIF('Avoided Costs 2014-2023'!$A:$A,'2014 Actuals'!U464&amp;ROUNDDOWN('2014 Actuals'!T464,0),'Avoided Costs 2014-2023'!$K:$K)*O464</f>
        <v>0</v>
      </c>
      <c r="X464" s="53">
        <f>SUMIF('Avoided Costs 2014-2023'!$A:$A,'2014 Actuals'!U464&amp;ROUNDDOWN('2014 Actuals'!T464,0),'Avoided Costs 2014-2023'!$M:$M)*S464</f>
        <v>0</v>
      </c>
      <c r="Y464" s="53">
        <f t="shared" si="174"/>
        <v>8546.910824970706</v>
      </c>
      <c r="Z464" s="55">
        <v>10000</v>
      </c>
      <c r="AA464" s="54">
        <f t="shared" si="175"/>
        <v>8000</v>
      </c>
      <c r="AB464" s="54"/>
      <c r="AC464" s="54"/>
      <c r="AD464" s="54"/>
      <c r="AE464" s="54">
        <f t="shared" si="176"/>
        <v>8000</v>
      </c>
      <c r="AF464" s="54">
        <f t="shared" si="177"/>
        <v>546.91082497070602</v>
      </c>
      <c r="AG464" s="49">
        <f t="shared" si="178"/>
        <v>55382.615999999995</v>
      </c>
      <c r="AH464" s="49">
        <f t="shared" si="179"/>
        <v>69228.27</v>
      </c>
    </row>
    <row r="465" spans="1:34" s="56" customFormat="1">
      <c r="A465" s="62" t="s">
        <v>567</v>
      </c>
      <c r="B465" s="62"/>
      <c r="C465" s="62"/>
      <c r="D465" s="62"/>
      <c r="E465" s="141">
        <v>0</v>
      </c>
      <c r="F465" s="142"/>
      <c r="G465" s="143">
        <v>0.2</v>
      </c>
      <c r="H465" s="143">
        <v>0</v>
      </c>
      <c r="I465" s="49">
        <v>5345</v>
      </c>
      <c r="J465" s="49">
        <f t="shared" ref="J465:J528" si="180">+$I$42*I465</f>
        <v>4473.7649999999994</v>
      </c>
      <c r="K465" s="49">
        <f t="shared" ref="K465:K528" si="181">J465*(1-G465)</f>
        <v>3579.0119999999997</v>
      </c>
      <c r="L465" s="58"/>
      <c r="M465" s="141">
        <v>0</v>
      </c>
      <c r="N465" s="50">
        <f t="shared" ref="N465:N528" si="182">+$M$42*M465</f>
        <v>0</v>
      </c>
      <c r="O465" s="50">
        <f t="shared" ref="O465:O528" si="183">N465*(1-G465)</f>
        <v>0</v>
      </c>
      <c r="P465" s="59"/>
      <c r="Q465" s="141">
        <v>0</v>
      </c>
      <c r="R465" s="50">
        <f t="shared" ref="R465:R528" si="184">+Q465*$Q$42</f>
        <v>0</v>
      </c>
      <c r="S465" s="51">
        <f t="shared" ref="S465:S528" si="185">R465*(1-G465)</f>
        <v>0</v>
      </c>
      <c r="T465" s="63">
        <v>25</v>
      </c>
      <c r="U465" s="61" t="s">
        <v>94</v>
      </c>
      <c r="V465" s="53">
        <f>SUMIF('Avoided Costs 2014-2023'!$A:$A,'2014 Actuals'!U465&amp;ROUNDDOWN('2014 Actuals'!T465,0),'Avoided Costs 2014-2023'!$E:$E)*K465</f>
        <v>10650.234344761382</v>
      </c>
      <c r="W465" s="53">
        <f>SUMIF('Avoided Costs 2014-2023'!$A:$A,'2014 Actuals'!U465&amp;ROUNDDOWN('2014 Actuals'!T465,0),'Avoided Costs 2014-2023'!$K:$K)*O465</f>
        <v>0</v>
      </c>
      <c r="X465" s="53">
        <f>SUMIF('Avoided Costs 2014-2023'!$A:$A,'2014 Actuals'!U465&amp;ROUNDDOWN('2014 Actuals'!T465,0),'Avoided Costs 2014-2023'!$M:$M)*S465</f>
        <v>0</v>
      </c>
      <c r="Y465" s="53">
        <f t="shared" ref="Y465:Y528" si="186">SUM(V465:X465)</f>
        <v>10650.234344761382</v>
      </c>
      <c r="Z465" s="55">
        <v>3282</v>
      </c>
      <c r="AA465" s="54">
        <f t="shared" ref="AA465:AA528" si="187">Z465*(1-G465)</f>
        <v>2625.6000000000004</v>
      </c>
      <c r="AB465" s="54"/>
      <c r="AC465" s="54"/>
      <c r="AD465" s="54"/>
      <c r="AE465" s="54">
        <f t="shared" ref="AE465:AE528" si="188">AA465+AC465</f>
        <v>2625.6000000000004</v>
      </c>
      <c r="AF465" s="54">
        <f t="shared" ref="AF465:AF528" si="189">Y465-AE465</f>
        <v>8024.6343447613817</v>
      </c>
      <c r="AG465" s="49">
        <f t="shared" ref="AG465:AG528" si="190">K465*T465</f>
        <v>89475.299999999988</v>
      </c>
      <c r="AH465" s="49">
        <f t="shared" ref="AH465:AH528" si="191">(J465*T465)</f>
        <v>111844.12499999999</v>
      </c>
    </row>
    <row r="466" spans="1:34" s="56" customFormat="1">
      <c r="A466" s="62" t="s">
        <v>568</v>
      </c>
      <c r="B466" s="62"/>
      <c r="C466" s="62"/>
      <c r="D466" s="62"/>
      <c r="E466" s="141">
        <v>1</v>
      </c>
      <c r="F466" s="142"/>
      <c r="G466" s="143">
        <v>0.2</v>
      </c>
      <c r="H466" s="143">
        <v>0</v>
      </c>
      <c r="I466" s="49">
        <v>20218</v>
      </c>
      <c r="J466" s="49">
        <f t="shared" si="180"/>
        <v>16922.466</v>
      </c>
      <c r="K466" s="49">
        <f t="shared" si="181"/>
        <v>13537.972800000001</v>
      </c>
      <c r="L466" s="58"/>
      <c r="M466" s="141">
        <v>0</v>
      </c>
      <c r="N466" s="50">
        <f t="shared" si="182"/>
        <v>0</v>
      </c>
      <c r="O466" s="50">
        <f t="shared" si="183"/>
        <v>0</v>
      </c>
      <c r="P466" s="59"/>
      <c r="Q466" s="141">
        <v>0</v>
      </c>
      <c r="R466" s="50">
        <f t="shared" si="184"/>
        <v>0</v>
      </c>
      <c r="S466" s="51">
        <f t="shared" si="185"/>
        <v>0</v>
      </c>
      <c r="T466" s="63">
        <v>25</v>
      </c>
      <c r="U466" s="61" t="s">
        <v>81</v>
      </c>
      <c r="V466" s="53">
        <f>SUMIF('Avoided Costs 2014-2023'!$A:$A,'2014 Actuals'!U466&amp;ROUNDDOWN('2014 Actuals'!T466,0),'Avoided Costs 2014-2023'!$E:$E)*K466</f>
        <v>43000.440696287907</v>
      </c>
      <c r="W466" s="53">
        <f>SUMIF('Avoided Costs 2014-2023'!$A:$A,'2014 Actuals'!U466&amp;ROUNDDOWN('2014 Actuals'!T466,0),'Avoided Costs 2014-2023'!$K:$K)*O466</f>
        <v>0</v>
      </c>
      <c r="X466" s="53">
        <f>SUMIF('Avoided Costs 2014-2023'!$A:$A,'2014 Actuals'!U466&amp;ROUNDDOWN('2014 Actuals'!T466,0),'Avoided Costs 2014-2023'!$M:$M)*S466</f>
        <v>0</v>
      </c>
      <c r="Y466" s="53">
        <f t="shared" si="186"/>
        <v>43000.440696287907</v>
      </c>
      <c r="Z466" s="55">
        <v>1221</v>
      </c>
      <c r="AA466" s="54">
        <f t="shared" si="187"/>
        <v>976.80000000000007</v>
      </c>
      <c r="AB466" s="54"/>
      <c r="AC466" s="54"/>
      <c r="AD466" s="54"/>
      <c r="AE466" s="54">
        <f t="shared" si="188"/>
        <v>976.80000000000007</v>
      </c>
      <c r="AF466" s="54">
        <f t="shared" si="189"/>
        <v>42023.640696287905</v>
      </c>
      <c r="AG466" s="49">
        <f t="shared" si="190"/>
        <v>338449.32</v>
      </c>
      <c r="AH466" s="49">
        <f t="shared" si="191"/>
        <v>423061.65</v>
      </c>
    </row>
    <row r="467" spans="1:34" s="56" customFormat="1">
      <c r="A467" s="62" t="s">
        <v>569</v>
      </c>
      <c r="B467" s="62"/>
      <c r="C467" s="62"/>
      <c r="D467" s="62"/>
      <c r="E467" s="141">
        <v>0</v>
      </c>
      <c r="F467" s="142"/>
      <c r="G467" s="143">
        <v>0.2</v>
      </c>
      <c r="H467" s="143">
        <v>0</v>
      </c>
      <c r="I467" s="49">
        <v>9562</v>
      </c>
      <c r="J467" s="49">
        <f t="shared" si="180"/>
        <v>8003.3939999999993</v>
      </c>
      <c r="K467" s="49">
        <f t="shared" si="181"/>
        <v>6402.7151999999996</v>
      </c>
      <c r="L467" s="58"/>
      <c r="M467" s="141">
        <v>0</v>
      </c>
      <c r="N467" s="50">
        <f t="shared" si="182"/>
        <v>0</v>
      </c>
      <c r="O467" s="50">
        <f t="shared" si="183"/>
        <v>0</v>
      </c>
      <c r="P467" s="59"/>
      <c r="Q467" s="141">
        <v>0</v>
      </c>
      <c r="R467" s="50">
        <f t="shared" si="184"/>
        <v>0</v>
      </c>
      <c r="S467" s="51">
        <f t="shared" si="185"/>
        <v>0</v>
      </c>
      <c r="T467" s="63">
        <v>25</v>
      </c>
      <c r="U467" s="61" t="s">
        <v>94</v>
      </c>
      <c r="V467" s="53">
        <f>SUMIF('Avoided Costs 2014-2023'!$A:$A,'2014 Actuals'!U467&amp;ROUNDDOWN('2014 Actuals'!T467,0),'Avoided Costs 2014-2023'!$E:$E)*K467</f>
        <v>19052.860767934206</v>
      </c>
      <c r="W467" s="53">
        <f>SUMIF('Avoided Costs 2014-2023'!$A:$A,'2014 Actuals'!U467&amp;ROUNDDOWN('2014 Actuals'!T467,0),'Avoided Costs 2014-2023'!$K:$K)*O467</f>
        <v>0</v>
      </c>
      <c r="X467" s="53">
        <f>SUMIF('Avoided Costs 2014-2023'!$A:$A,'2014 Actuals'!U467&amp;ROUNDDOWN('2014 Actuals'!T467,0),'Avoided Costs 2014-2023'!$M:$M)*S467</f>
        <v>0</v>
      </c>
      <c r="Y467" s="53">
        <f t="shared" si="186"/>
        <v>19052.860767934206</v>
      </c>
      <c r="Z467" s="55">
        <v>4161</v>
      </c>
      <c r="AA467" s="54">
        <f t="shared" si="187"/>
        <v>3328.8</v>
      </c>
      <c r="AB467" s="54"/>
      <c r="AC467" s="54"/>
      <c r="AD467" s="54"/>
      <c r="AE467" s="54">
        <f t="shared" si="188"/>
        <v>3328.8</v>
      </c>
      <c r="AF467" s="54">
        <f t="shared" si="189"/>
        <v>15724.060767934207</v>
      </c>
      <c r="AG467" s="49">
        <f t="shared" si="190"/>
        <v>160067.88</v>
      </c>
      <c r="AH467" s="49">
        <f t="shared" si="191"/>
        <v>200084.84999999998</v>
      </c>
    </row>
    <row r="468" spans="1:34" s="56" customFormat="1">
      <c r="A468" s="62" t="s">
        <v>570</v>
      </c>
      <c r="B468" s="62"/>
      <c r="C468" s="62"/>
      <c r="D468" s="62"/>
      <c r="E468" s="141">
        <v>1</v>
      </c>
      <c r="F468" s="142"/>
      <c r="G468" s="143">
        <v>0.2</v>
      </c>
      <c r="H468" s="143">
        <v>0</v>
      </c>
      <c r="I468" s="49">
        <v>25868</v>
      </c>
      <c r="J468" s="49">
        <f t="shared" si="180"/>
        <v>21651.516</v>
      </c>
      <c r="K468" s="49">
        <f t="shared" si="181"/>
        <v>17321.212800000001</v>
      </c>
      <c r="L468" s="58"/>
      <c r="M468" s="141">
        <v>0</v>
      </c>
      <c r="N468" s="50">
        <f t="shared" si="182"/>
        <v>0</v>
      </c>
      <c r="O468" s="50">
        <f t="shared" si="183"/>
        <v>0</v>
      </c>
      <c r="P468" s="59"/>
      <c r="Q468" s="141">
        <v>0</v>
      </c>
      <c r="R468" s="50">
        <f t="shared" si="184"/>
        <v>0</v>
      </c>
      <c r="S468" s="51">
        <f t="shared" si="185"/>
        <v>0</v>
      </c>
      <c r="T468" s="63">
        <v>25</v>
      </c>
      <c r="U468" s="61" t="s">
        <v>81</v>
      </c>
      <c r="V468" s="53">
        <f>SUMIF('Avoided Costs 2014-2023'!$A:$A,'2014 Actuals'!U468&amp;ROUNDDOWN('2014 Actuals'!T468,0),'Avoided Costs 2014-2023'!$E:$E)*K468</f>
        <v>55017.083783340364</v>
      </c>
      <c r="W468" s="53">
        <f>SUMIF('Avoided Costs 2014-2023'!$A:$A,'2014 Actuals'!U468&amp;ROUNDDOWN('2014 Actuals'!T468,0),'Avoided Costs 2014-2023'!$K:$K)*O468</f>
        <v>0</v>
      </c>
      <c r="X468" s="53">
        <f>SUMIF('Avoided Costs 2014-2023'!$A:$A,'2014 Actuals'!U468&amp;ROUNDDOWN('2014 Actuals'!T468,0),'Avoided Costs 2014-2023'!$M:$M)*S468</f>
        <v>0</v>
      </c>
      <c r="Y468" s="53">
        <f t="shared" si="186"/>
        <v>55017.083783340364</v>
      </c>
      <c r="Z468" s="55">
        <v>430</v>
      </c>
      <c r="AA468" s="54">
        <f t="shared" si="187"/>
        <v>344</v>
      </c>
      <c r="AB468" s="54"/>
      <c r="AC468" s="54"/>
      <c r="AD468" s="54"/>
      <c r="AE468" s="54">
        <f t="shared" si="188"/>
        <v>344</v>
      </c>
      <c r="AF468" s="54">
        <f t="shared" si="189"/>
        <v>54673.083783340364</v>
      </c>
      <c r="AG468" s="49">
        <f t="shared" si="190"/>
        <v>433030.32</v>
      </c>
      <c r="AH468" s="49">
        <f t="shared" si="191"/>
        <v>541287.9</v>
      </c>
    </row>
    <row r="469" spans="1:34" s="56" customFormat="1">
      <c r="A469" s="62" t="s">
        <v>571</v>
      </c>
      <c r="B469" s="62"/>
      <c r="C469" s="62"/>
      <c r="D469" s="62"/>
      <c r="E469" s="141">
        <v>1</v>
      </c>
      <c r="F469" s="142"/>
      <c r="G469" s="143">
        <v>0.2</v>
      </c>
      <c r="H469" s="143">
        <v>0</v>
      </c>
      <c r="I469" s="49">
        <v>4674</v>
      </c>
      <c r="J469" s="49">
        <f t="shared" si="180"/>
        <v>3912.1379999999999</v>
      </c>
      <c r="K469" s="49">
        <f t="shared" si="181"/>
        <v>3129.7103999999999</v>
      </c>
      <c r="L469" s="58"/>
      <c r="M469" s="141">
        <v>0</v>
      </c>
      <c r="N469" s="50">
        <f t="shared" si="182"/>
        <v>0</v>
      </c>
      <c r="O469" s="50">
        <f t="shared" si="183"/>
        <v>0</v>
      </c>
      <c r="P469" s="59"/>
      <c r="Q469" s="141">
        <v>0</v>
      </c>
      <c r="R469" s="50">
        <f t="shared" si="184"/>
        <v>0</v>
      </c>
      <c r="S469" s="51">
        <f t="shared" si="185"/>
        <v>0</v>
      </c>
      <c r="T469" s="63">
        <v>25</v>
      </c>
      <c r="U469" s="61" t="s">
        <v>94</v>
      </c>
      <c r="V469" s="53">
        <f>SUMIF('Avoided Costs 2014-2023'!$A:$A,'2014 Actuals'!U469&amp;ROUNDDOWN('2014 Actuals'!T469,0),'Avoided Costs 2014-2023'!$E:$E)*K469</f>
        <v>9313.2264410504595</v>
      </c>
      <c r="W469" s="53">
        <f>SUMIF('Avoided Costs 2014-2023'!$A:$A,'2014 Actuals'!U469&amp;ROUNDDOWN('2014 Actuals'!T469,0),'Avoided Costs 2014-2023'!$K:$K)*O469</f>
        <v>0</v>
      </c>
      <c r="X469" s="53">
        <f>SUMIF('Avoided Costs 2014-2023'!$A:$A,'2014 Actuals'!U469&amp;ROUNDDOWN('2014 Actuals'!T469,0),'Avoided Costs 2014-2023'!$M:$M)*S469</f>
        <v>0</v>
      </c>
      <c r="Y469" s="53">
        <f t="shared" si="186"/>
        <v>9313.2264410504595</v>
      </c>
      <c r="Z469" s="55">
        <v>4040</v>
      </c>
      <c r="AA469" s="54">
        <f t="shared" si="187"/>
        <v>3232</v>
      </c>
      <c r="AB469" s="54"/>
      <c r="AC469" s="54"/>
      <c r="AD469" s="54"/>
      <c r="AE469" s="54">
        <f t="shared" si="188"/>
        <v>3232</v>
      </c>
      <c r="AF469" s="54">
        <f t="shared" si="189"/>
        <v>6081.2264410504595</v>
      </c>
      <c r="AG469" s="49">
        <f t="shared" si="190"/>
        <v>78242.759999999995</v>
      </c>
      <c r="AH469" s="49">
        <f t="shared" si="191"/>
        <v>97803.45</v>
      </c>
    </row>
    <row r="470" spans="1:34" s="56" customFormat="1">
      <c r="A470" s="62" t="s">
        <v>572</v>
      </c>
      <c r="B470" s="62"/>
      <c r="C470" s="62"/>
      <c r="D470" s="62"/>
      <c r="E470" s="141">
        <v>0</v>
      </c>
      <c r="F470" s="142"/>
      <c r="G470" s="143">
        <v>0.2</v>
      </c>
      <c r="H470" s="143">
        <v>0</v>
      </c>
      <c r="I470" s="49">
        <v>2128</v>
      </c>
      <c r="J470" s="49">
        <f t="shared" si="180"/>
        <v>1781.136</v>
      </c>
      <c r="K470" s="49">
        <f t="shared" si="181"/>
        <v>1424.9088000000002</v>
      </c>
      <c r="L470" s="58"/>
      <c r="M470" s="141">
        <v>0</v>
      </c>
      <c r="N470" s="50">
        <f t="shared" si="182"/>
        <v>0</v>
      </c>
      <c r="O470" s="50">
        <f t="shared" si="183"/>
        <v>0</v>
      </c>
      <c r="P470" s="59"/>
      <c r="Q470" s="141">
        <v>0</v>
      </c>
      <c r="R470" s="50">
        <f t="shared" si="184"/>
        <v>0</v>
      </c>
      <c r="S470" s="51">
        <f t="shared" si="185"/>
        <v>0</v>
      </c>
      <c r="T470" s="63">
        <v>15</v>
      </c>
      <c r="U470" s="61" t="s">
        <v>94</v>
      </c>
      <c r="V470" s="53">
        <f>SUMIF('Avoided Costs 2014-2023'!$A:$A,'2014 Actuals'!U470&amp;ROUNDDOWN('2014 Actuals'!T470,0),'Avoided Costs 2014-2023'!$E:$E)*K470</f>
        <v>3088.8898715018108</v>
      </c>
      <c r="W470" s="53">
        <f>SUMIF('Avoided Costs 2014-2023'!$A:$A,'2014 Actuals'!U470&amp;ROUNDDOWN('2014 Actuals'!T470,0),'Avoided Costs 2014-2023'!$K:$K)*O470</f>
        <v>0</v>
      </c>
      <c r="X470" s="53">
        <f>SUMIF('Avoided Costs 2014-2023'!$A:$A,'2014 Actuals'!U470&amp;ROUNDDOWN('2014 Actuals'!T470,0),'Avoided Costs 2014-2023'!$M:$M)*S470</f>
        <v>0</v>
      </c>
      <c r="Y470" s="53">
        <f t="shared" si="186"/>
        <v>3088.8898715018108</v>
      </c>
      <c r="Z470" s="55">
        <v>2300</v>
      </c>
      <c r="AA470" s="54">
        <f t="shared" si="187"/>
        <v>1840</v>
      </c>
      <c r="AB470" s="54"/>
      <c r="AC470" s="54"/>
      <c r="AD470" s="54"/>
      <c r="AE470" s="54">
        <f t="shared" si="188"/>
        <v>1840</v>
      </c>
      <c r="AF470" s="54">
        <f t="shared" si="189"/>
        <v>1248.8898715018108</v>
      </c>
      <c r="AG470" s="49">
        <f t="shared" si="190"/>
        <v>21373.632000000001</v>
      </c>
      <c r="AH470" s="49">
        <f t="shared" si="191"/>
        <v>26717.040000000001</v>
      </c>
    </row>
    <row r="471" spans="1:34" s="56" customFormat="1">
      <c r="A471" s="62" t="s">
        <v>573</v>
      </c>
      <c r="B471" s="62"/>
      <c r="C471" s="62"/>
      <c r="D471" s="62"/>
      <c r="E471" s="141">
        <v>1</v>
      </c>
      <c r="F471" s="142"/>
      <c r="G471" s="143">
        <v>0.2</v>
      </c>
      <c r="H471" s="143">
        <v>0</v>
      </c>
      <c r="I471" s="49">
        <v>19457</v>
      </c>
      <c r="J471" s="49">
        <f t="shared" si="180"/>
        <v>16285.509</v>
      </c>
      <c r="K471" s="49">
        <f t="shared" si="181"/>
        <v>13028.407200000001</v>
      </c>
      <c r="L471" s="58"/>
      <c r="M471" s="141">
        <v>0</v>
      </c>
      <c r="N471" s="50">
        <f t="shared" si="182"/>
        <v>0</v>
      </c>
      <c r="O471" s="50">
        <f t="shared" si="183"/>
        <v>0</v>
      </c>
      <c r="P471" s="59"/>
      <c r="Q471" s="141">
        <v>0</v>
      </c>
      <c r="R471" s="50">
        <f t="shared" si="184"/>
        <v>0</v>
      </c>
      <c r="S471" s="51">
        <f t="shared" si="185"/>
        <v>0</v>
      </c>
      <c r="T471" s="63">
        <v>15</v>
      </c>
      <c r="U471" s="61" t="s">
        <v>81</v>
      </c>
      <c r="V471" s="53">
        <f>SUMIF('Avoided Costs 2014-2023'!$A:$A,'2014 Actuals'!U471&amp;ROUNDDOWN('2014 Actuals'!T471,0),'Avoided Costs 2014-2023'!$E:$E)*K471</f>
        <v>30159.093928446688</v>
      </c>
      <c r="W471" s="53">
        <f>SUMIF('Avoided Costs 2014-2023'!$A:$A,'2014 Actuals'!U471&amp;ROUNDDOWN('2014 Actuals'!T471,0),'Avoided Costs 2014-2023'!$K:$K)*O471</f>
        <v>0</v>
      </c>
      <c r="X471" s="53">
        <f>SUMIF('Avoided Costs 2014-2023'!$A:$A,'2014 Actuals'!U471&amp;ROUNDDOWN('2014 Actuals'!T471,0),'Avoided Costs 2014-2023'!$M:$M)*S471</f>
        <v>0</v>
      </c>
      <c r="Y471" s="53">
        <f t="shared" si="186"/>
        <v>30159.093928446688</v>
      </c>
      <c r="Z471" s="55">
        <v>10000</v>
      </c>
      <c r="AA471" s="54">
        <f t="shared" si="187"/>
        <v>8000</v>
      </c>
      <c r="AB471" s="54"/>
      <c r="AC471" s="54"/>
      <c r="AD471" s="54"/>
      <c r="AE471" s="54">
        <f t="shared" si="188"/>
        <v>8000</v>
      </c>
      <c r="AF471" s="54">
        <f t="shared" si="189"/>
        <v>22159.093928446688</v>
      </c>
      <c r="AG471" s="49">
        <f t="shared" si="190"/>
        <v>195426.10800000001</v>
      </c>
      <c r="AH471" s="49">
        <f t="shared" si="191"/>
        <v>244282.63500000001</v>
      </c>
    </row>
    <row r="472" spans="1:34" s="56" customFormat="1">
      <c r="A472" s="62" t="s">
        <v>574</v>
      </c>
      <c r="B472" s="62"/>
      <c r="C472" s="62"/>
      <c r="D472" s="62"/>
      <c r="E472" s="141">
        <v>1</v>
      </c>
      <c r="F472" s="142"/>
      <c r="G472" s="143">
        <v>0.2</v>
      </c>
      <c r="H472" s="143">
        <v>0</v>
      </c>
      <c r="I472" s="49">
        <v>5021</v>
      </c>
      <c r="J472" s="49">
        <f t="shared" si="180"/>
        <v>4202.5770000000002</v>
      </c>
      <c r="K472" s="49">
        <f t="shared" si="181"/>
        <v>3362.0616000000005</v>
      </c>
      <c r="L472" s="58"/>
      <c r="M472" s="141">
        <v>0</v>
      </c>
      <c r="N472" s="50">
        <f t="shared" si="182"/>
        <v>0</v>
      </c>
      <c r="O472" s="50">
        <f t="shared" si="183"/>
        <v>0</v>
      </c>
      <c r="P472" s="59"/>
      <c r="Q472" s="141">
        <v>0</v>
      </c>
      <c r="R472" s="50">
        <f t="shared" si="184"/>
        <v>0</v>
      </c>
      <c r="S472" s="51">
        <f t="shared" si="185"/>
        <v>0</v>
      </c>
      <c r="T472" s="63">
        <v>25</v>
      </c>
      <c r="U472" s="61" t="s">
        <v>94</v>
      </c>
      <c r="V472" s="53">
        <f>SUMIF('Avoided Costs 2014-2023'!$A:$A,'2014 Actuals'!U472&amp;ROUNDDOWN('2014 Actuals'!T472,0),'Avoided Costs 2014-2023'!$E:$E)*K472</f>
        <v>10004.644835368927</v>
      </c>
      <c r="W472" s="53">
        <f>SUMIF('Avoided Costs 2014-2023'!$A:$A,'2014 Actuals'!U472&amp;ROUNDDOWN('2014 Actuals'!T472,0),'Avoided Costs 2014-2023'!$K:$K)*O472</f>
        <v>0</v>
      </c>
      <c r="X472" s="53">
        <f>SUMIF('Avoided Costs 2014-2023'!$A:$A,'2014 Actuals'!U472&amp;ROUNDDOWN('2014 Actuals'!T472,0),'Avoided Costs 2014-2023'!$M:$M)*S472</f>
        <v>0</v>
      </c>
      <c r="Y472" s="53">
        <f t="shared" si="186"/>
        <v>10004.644835368927</v>
      </c>
      <c r="Z472" s="55">
        <v>14978</v>
      </c>
      <c r="AA472" s="54">
        <f t="shared" si="187"/>
        <v>11982.400000000001</v>
      </c>
      <c r="AB472" s="54"/>
      <c r="AC472" s="54"/>
      <c r="AD472" s="54"/>
      <c r="AE472" s="54">
        <f t="shared" si="188"/>
        <v>11982.400000000001</v>
      </c>
      <c r="AF472" s="54">
        <f t="shared" si="189"/>
        <v>-1977.7551646310749</v>
      </c>
      <c r="AG472" s="49">
        <f t="shared" si="190"/>
        <v>84051.540000000008</v>
      </c>
      <c r="AH472" s="49">
        <f t="shared" si="191"/>
        <v>105064.425</v>
      </c>
    </row>
    <row r="473" spans="1:34" s="56" customFormat="1">
      <c r="A473" s="62" t="s">
        <v>575</v>
      </c>
      <c r="B473" s="62"/>
      <c r="C473" s="62"/>
      <c r="D473" s="62"/>
      <c r="E473" s="141">
        <v>1</v>
      </c>
      <c r="F473" s="142"/>
      <c r="G473" s="143">
        <v>0.2</v>
      </c>
      <c r="H473" s="143">
        <v>0</v>
      </c>
      <c r="I473" s="49">
        <v>142133</v>
      </c>
      <c r="J473" s="49">
        <f t="shared" si="180"/>
        <v>118965.321</v>
      </c>
      <c r="K473" s="49">
        <f t="shared" si="181"/>
        <v>95172.256800000003</v>
      </c>
      <c r="L473" s="58"/>
      <c r="M473" s="141">
        <v>0</v>
      </c>
      <c r="N473" s="50">
        <f t="shared" si="182"/>
        <v>0</v>
      </c>
      <c r="O473" s="50">
        <f t="shared" si="183"/>
        <v>0</v>
      </c>
      <c r="P473" s="59"/>
      <c r="Q473" s="141">
        <v>0</v>
      </c>
      <c r="R473" s="50">
        <f t="shared" si="184"/>
        <v>0</v>
      </c>
      <c r="S473" s="51">
        <f t="shared" si="185"/>
        <v>0</v>
      </c>
      <c r="T473" s="63">
        <v>25</v>
      </c>
      <c r="U473" s="61" t="s">
        <v>81</v>
      </c>
      <c r="V473" s="53">
        <f>SUMIF('Avoided Costs 2014-2023'!$A:$A,'2014 Actuals'!U473&amp;ROUNDDOWN('2014 Actuals'!T473,0),'Avoided Costs 2014-2023'!$E:$E)*K473</f>
        <v>302294.07644106681</v>
      </c>
      <c r="W473" s="53">
        <f>SUMIF('Avoided Costs 2014-2023'!$A:$A,'2014 Actuals'!U473&amp;ROUNDDOWN('2014 Actuals'!T473,0),'Avoided Costs 2014-2023'!$K:$K)*O473</f>
        <v>0</v>
      </c>
      <c r="X473" s="53">
        <f>SUMIF('Avoided Costs 2014-2023'!$A:$A,'2014 Actuals'!U473&amp;ROUNDDOWN('2014 Actuals'!T473,0),'Avoided Costs 2014-2023'!$M:$M)*S473</f>
        <v>0</v>
      </c>
      <c r="Y473" s="53">
        <f t="shared" si="186"/>
        <v>302294.07644106681</v>
      </c>
      <c r="Z473" s="55">
        <v>64903</v>
      </c>
      <c r="AA473" s="54">
        <f t="shared" si="187"/>
        <v>51922.400000000001</v>
      </c>
      <c r="AB473" s="54"/>
      <c r="AC473" s="54"/>
      <c r="AD473" s="54"/>
      <c r="AE473" s="54">
        <f t="shared" si="188"/>
        <v>51922.400000000001</v>
      </c>
      <c r="AF473" s="54">
        <f t="shared" si="189"/>
        <v>250371.67644106681</v>
      </c>
      <c r="AG473" s="49">
        <f t="shared" si="190"/>
        <v>2379306.42</v>
      </c>
      <c r="AH473" s="49">
        <f t="shared" si="191"/>
        <v>2974133.0249999999</v>
      </c>
    </row>
    <row r="474" spans="1:34" s="56" customFormat="1">
      <c r="A474" s="62" t="s">
        <v>576</v>
      </c>
      <c r="B474" s="62"/>
      <c r="C474" s="62"/>
      <c r="D474" s="62"/>
      <c r="E474" s="141">
        <v>0</v>
      </c>
      <c r="F474" s="142"/>
      <c r="G474" s="143">
        <v>0.2</v>
      </c>
      <c r="H474" s="143">
        <v>0</v>
      </c>
      <c r="I474" s="49">
        <v>22257</v>
      </c>
      <c r="J474" s="49">
        <f t="shared" si="180"/>
        <v>18629.109</v>
      </c>
      <c r="K474" s="49">
        <f t="shared" si="181"/>
        <v>14903.287200000001</v>
      </c>
      <c r="L474" s="58"/>
      <c r="M474" s="141">
        <v>0</v>
      </c>
      <c r="N474" s="50">
        <f t="shared" si="182"/>
        <v>0</v>
      </c>
      <c r="O474" s="50">
        <f t="shared" si="183"/>
        <v>0</v>
      </c>
      <c r="P474" s="59"/>
      <c r="Q474" s="141">
        <v>0</v>
      </c>
      <c r="R474" s="50">
        <f t="shared" si="184"/>
        <v>0</v>
      </c>
      <c r="S474" s="51">
        <f t="shared" si="185"/>
        <v>0</v>
      </c>
      <c r="T474" s="63">
        <v>25</v>
      </c>
      <c r="U474" s="61" t="s">
        <v>94</v>
      </c>
      <c r="V474" s="53">
        <f>SUMIF('Avoided Costs 2014-2023'!$A:$A,'2014 Actuals'!U474&amp;ROUNDDOWN('2014 Actuals'!T474,0),'Avoided Costs 2014-2023'!$E:$E)*K474</f>
        <v>44348.412686876349</v>
      </c>
      <c r="W474" s="53">
        <f>SUMIF('Avoided Costs 2014-2023'!$A:$A,'2014 Actuals'!U474&amp;ROUNDDOWN('2014 Actuals'!T474,0),'Avoided Costs 2014-2023'!$K:$K)*O474</f>
        <v>0</v>
      </c>
      <c r="X474" s="53">
        <f>SUMIF('Avoided Costs 2014-2023'!$A:$A,'2014 Actuals'!U474&amp;ROUNDDOWN('2014 Actuals'!T474,0),'Avoided Costs 2014-2023'!$M:$M)*S474</f>
        <v>0</v>
      </c>
      <c r="Y474" s="53">
        <f t="shared" si="186"/>
        <v>44348.412686876349</v>
      </c>
      <c r="Z474" s="55">
        <v>30446</v>
      </c>
      <c r="AA474" s="54">
        <f t="shared" si="187"/>
        <v>24356.800000000003</v>
      </c>
      <c r="AB474" s="54"/>
      <c r="AC474" s="54"/>
      <c r="AD474" s="54"/>
      <c r="AE474" s="54">
        <f t="shared" si="188"/>
        <v>24356.800000000003</v>
      </c>
      <c r="AF474" s="54">
        <f t="shared" si="189"/>
        <v>19991.612686876346</v>
      </c>
      <c r="AG474" s="49">
        <f t="shared" si="190"/>
        <v>372582.18</v>
      </c>
      <c r="AH474" s="49">
        <f t="shared" si="191"/>
        <v>465727.72500000003</v>
      </c>
    </row>
    <row r="475" spans="1:34" s="56" customFormat="1">
      <c r="A475" s="62" t="s">
        <v>577</v>
      </c>
      <c r="B475" s="62"/>
      <c r="C475" s="62"/>
      <c r="D475" s="62"/>
      <c r="E475" s="141">
        <v>1</v>
      </c>
      <c r="F475" s="142"/>
      <c r="G475" s="143">
        <v>0.2</v>
      </c>
      <c r="H475" s="143">
        <v>0</v>
      </c>
      <c r="I475" s="49">
        <v>47049</v>
      </c>
      <c r="J475" s="49">
        <f t="shared" si="180"/>
        <v>39380.012999999999</v>
      </c>
      <c r="K475" s="49">
        <f t="shared" si="181"/>
        <v>31504.010399999999</v>
      </c>
      <c r="L475" s="58"/>
      <c r="M475" s="141">
        <v>0</v>
      </c>
      <c r="N475" s="50">
        <f t="shared" si="182"/>
        <v>0</v>
      </c>
      <c r="O475" s="50">
        <f t="shared" si="183"/>
        <v>0</v>
      </c>
      <c r="P475" s="59"/>
      <c r="Q475" s="141">
        <v>0</v>
      </c>
      <c r="R475" s="50">
        <f t="shared" si="184"/>
        <v>0</v>
      </c>
      <c r="S475" s="51">
        <f t="shared" si="185"/>
        <v>0</v>
      </c>
      <c r="T475" s="63">
        <v>25</v>
      </c>
      <c r="U475" s="61" t="s">
        <v>81</v>
      </c>
      <c r="V475" s="53">
        <f>SUMIF('Avoided Costs 2014-2023'!$A:$A,'2014 Actuals'!U475&amp;ROUNDDOWN('2014 Actuals'!T475,0),'Avoided Costs 2014-2023'!$E:$E)*K475</f>
        <v>100065.67090313826</v>
      </c>
      <c r="W475" s="53">
        <f>SUMIF('Avoided Costs 2014-2023'!$A:$A,'2014 Actuals'!U475&amp;ROUNDDOWN('2014 Actuals'!T475,0),'Avoided Costs 2014-2023'!$K:$K)*O475</f>
        <v>0</v>
      </c>
      <c r="X475" s="53">
        <f>SUMIF('Avoided Costs 2014-2023'!$A:$A,'2014 Actuals'!U475&amp;ROUNDDOWN('2014 Actuals'!T475,0),'Avoided Costs 2014-2023'!$M:$M)*S475</f>
        <v>0</v>
      </c>
      <c r="Y475" s="53">
        <f t="shared" si="186"/>
        <v>100065.67090313826</v>
      </c>
      <c r="Z475" s="55">
        <v>32344</v>
      </c>
      <c r="AA475" s="54">
        <f t="shared" si="187"/>
        <v>25875.200000000001</v>
      </c>
      <c r="AB475" s="54"/>
      <c r="AC475" s="54"/>
      <c r="AD475" s="54"/>
      <c r="AE475" s="54">
        <f t="shared" si="188"/>
        <v>25875.200000000001</v>
      </c>
      <c r="AF475" s="54">
        <f t="shared" si="189"/>
        <v>74190.470903138266</v>
      </c>
      <c r="AG475" s="49">
        <f t="shared" si="190"/>
        <v>787600.26</v>
      </c>
      <c r="AH475" s="49">
        <f t="shared" si="191"/>
        <v>984500.32499999995</v>
      </c>
    </row>
    <row r="476" spans="1:34" s="56" customFormat="1">
      <c r="A476" s="62" t="s">
        <v>578</v>
      </c>
      <c r="B476" s="62"/>
      <c r="C476" s="62"/>
      <c r="D476" s="62"/>
      <c r="E476" s="141">
        <v>0</v>
      </c>
      <c r="F476" s="142"/>
      <c r="G476" s="143">
        <v>0.2</v>
      </c>
      <c r="H476" s="143">
        <v>0</v>
      </c>
      <c r="I476" s="49">
        <v>7269</v>
      </c>
      <c r="J476" s="49">
        <f t="shared" si="180"/>
        <v>6084.1529999999993</v>
      </c>
      <c r="K476" s="49">
        <f t="shared" si="181"/>
        <v>4867.3224</v>
      </c>
      <c r="L476" s="58"/>
      <c r="M476" s="141">
        <v>0</v>
      </c>
      <c r="N476" s="50">
        <f t="shared" si="182"/>
        <v>0</v>
      </c>
      <c r="O476" s="50">
        <f t="shared" si="183"/>
        <v>0</v>
      </c>
      <c r="P476" s="59"/>
      <c r="Q476" s="141">
        <v>0</v>
      </c>
      <c r="R476" s="50">
        <f t="shared" si="184"/>
        <v>0</v>
      </c>
      <c r="S476" s="51">
        <f t="shared" si="185"/>
        <v>0</v>
      </c>
      <c r="T476" s="63">
        <v>25</v>
      </c>
      <c r="U476" s="61" t="s">
        <v>94</v>
      </c>
      <c r="V476" s="53">
        <f>SUMIF('Avoided Costs 2014-2023'!$A:$A,'2014 Actuals'!U476&amp;ROUNDDOWN('2014 Actuals'!T476,0),'Avoided Costs 2014-2023'!$E:$E)*K476</f>
        <v>14483.920196832645</v>
      </c>
      <c r="W476" s="53">
        <f>SUMIF('Avoided Costs 2014-2023'!$A:$A,'2014 Actuals'!U476&amp;ROUNDDOWN('2014 Actuals'!T476,0),'Avoided Costs 2014-2023'!$K:$K)*O476</f>
        <v>0</v>
      </c>
      <c r="X476" s="53">
        <f>SUMIF('Avoided Costs 2014-2023'!$A:$A,'2014 Actuals'!U476&amp;ROUNDDOWN('2014 Actuals'!T476,0),'Avoided Costs 2014-2023'!$M:$M)*S476</f>
        <v>0</v>
      </c>
      <c r="Y476" s="53">
        <f t="shared" si="186"/>
        <v>14483.920196832645</v>
      </c>
      <c r="Z476" s="55">
        <v>1926</v>
      </c>
      <c r="AA476" s="54">
        <f t="shared" si="187"/>
        <v>1540.8000000000002</v>
      </c>
      <c r="AB476" s="54"/>
      <c r="AC476" s="54"/>
      <c r="AD476" s="54"/>
      <c r="AE476" s="54">
        <f t="shared" si="188"/>
        <v>1540.8000000000002</v>
      </c>
      <c r="AF476" s="54">
        <f t="shared" si="189"/>
        <v>12943.120196832646</v>
      </c>
      <c r="AG476" s="49">
        <f t="shared" si="190"/>
        <v>121683.06</v>
      </c>
      <c r="AH476" s="49">
        <f t="shared" si="191"/>
        <v>152103.82499999998</v>
      </c>
    </row>
    <row r="477" spans="1:34" s="56" customFormat="1">
      <c r="A477" s="62" t="s">
        <v>579</v>
      </c>
      <c r="B477" s="62"/>
      <c r="C477" s="62"/>
      <c r="D477" s="62"/>
      <c r="E477" s="141">
        <v>1</v>
      </c>
      <c r="F477" s="142"/>
      <c r="G477" s="143">
        <v>0.2</v>
      </c>
      <c r="H477" s="143">
        <v>0</v>
      </c>
      <c r="I477" s="49">
        <v>11438</v>
      </c>
      <c r="J477" s="49">
        <f t="shared" si="180"/>
        <v>9573.6059999999998</v>
      </c>
      <c r="K477" s="49">
        <f t="shared" si="181"/>
        <v>7658.8847999999998</v>
      </c>
      <c r="L477" s="58"/>
      <c r="M477" s="141">
        <v>0</v>
      </c>
      <c r="N477" s="50">
        <f t="shared" si="182"/>
        <v>0</v>
      </c>
      <c r="O477" s="50">
        <f t="shared" si="183"/>
        <v>0</v>
      </c>
      <c r="P477" s="59"/>
      <c r="Q477" s="141">
        <v>0</v>
      </c>
      <c r="R477" s="50">
        <f t="shared" si="184"/>
        <v>0</v>
      </c>
      <c r="S477" s="51">
        <f t="shared" si="185"/>
        <v>0</v>
      </c>
      <c r="T477" s="63">
        <v>25</v>
      </c>
      <c r="U477" s="61" t="s">
        <v>81</v>
      </c>
      <c r="V477" s="53">
        <f>SUMIF('Avoided Costs 2014-2023'!$A:$A,'2014 Actuals'!U477&amp;ROUNDDOWN('2014 Actuals'!T477,0),'Avoided Costs 2014-2023'!$E:$E)*K477</f>
        <v>24326.790022956819</v>
      </c>
      <c r="W477" s="53">
        <f>SUMIF('Avoided Costs 2014-2023'!$A:$A,'2014 Actuals'!U477&amp;ROUNDDOWN('2014 Actuals'!T477,0),'Avoided Costs 2014-2023'!$K:$K)*O477</f>
        <v>0</v>
      </c>
      <c r="X477" s="53">
        <f>SUMIF('Avoided Costs 2014-2023'!$A:$A,'2014 Actuals'!U477&amp;ROUNDDOWN('2014 Actuals'!T477,0),'Avoided Costs 2014-2023'!$M:$M)*S477</f>
        <v>0</v>
      </c>
      <c r="Y477" s="53">
        <f t="shared" si="186"/>
        <v>24326.790022956819</v>
      </c>
      <c r="Z477" s="55">
        <v>4196</v>
      </c>
      <c r="AA477" s="54">
        <f t="shared" si="187"/>
        <v>3356.8</v>
      </c>
      <c r="AB477" s="54"/>
      <c r="AC477" s="54"/>
      <c r="AD477" s="54"/>
      <c r="AE477" s="54">
        <f t="shared" si="188"/>
        <v>3356.8</v>
      </c>
      <c r="AF477" s="54">
        <f t="shared" si="189"/>
        <v>20969.990022956819</v>
      </c>
      <c r="AG477" s="49">
        <f t="shared" si="190"/>
        <v>191472.12</v>
      </c>
      <c r="AH477" s="49">
        <f t="shared" si="191"/>
        <v>239340.15</v>
      </c>
    </row>
    <row r="478" spans="1:34" s="56" customFormat="1">
      <c r="A478" s="62" t="s">
        <v>580</v>
      </c>
      <c r="B478" s="62"/>
      <c r="C478" s="62"/>
      <c r="D478" s="62"/>
      <c r="E478" s="141">
        <v>1</v>
      </c>
      <c r="F478" s="142"/>
      <c r="G478" s="143">
        <v>0.2</v>
      </c>
      <c r="H478" s="143">
        <v>0</v>
      </c>
      <c r="I478" s="49">
        <v>8136</v>
      </c>
      <c r="J478" s="49">
        <f t="shared" si="180"/>
        <v>6809.8319999999994</v>
      </c>
      <c r="K478" s="49">
        <f t="shared" si="181"/>
        <v>5447.8656000000001</v>
      </c>
      <c r="L478" s="58"/>
      <c r="M478" s="141">
        <v>0</v>
      </c>
      <c r="N478" s="50">
        <f t="shared" si="182"/>
        <v>0</v>
      </c>
      <c r="O478" s="50">
        <f t="shared" si="183"/>
        <v>0</v>
      </c>
      <c r="P478" s="59"/>
      <c r="Q478" s="141">
        <v>0</v>
      </c>
      <c r="R478" s="50">
        <f t="shared" si="184"/>
        <v>0</v>
      </c>
      <c r="S478" s="51">
        <f t="shared" si="185"/>
        <v>0</v>
      </c>
      <c r="T478" s="63">
        <v>25</v>
      </c>
      <c r="U478" s="61" t="s">
        <v>81</v>
      </c>
      <c r="V478" s="53">
        <f>SUMIF('Avoided Costs 2014-2023'!$A:$A,'2014 Actuals'!U478&amp;ROUNDDOWN('2014 Actuals'!T478,0),'Avoided Costs 2014-2023'!$E:$E)*K478</f>
        <v>17303.966045355544</v>
      </c>
      <c r="W478" s="53">
        <f>SUMIF('Avoided Costs 2014-2023'!$A:$A,'2014 Actuals'!U478&amp;ROUNDDOWN('2014 Actuals'!T478,0),'Avoided Costs 2014-2023'!$K:$K)*O478</f>
        <v>0</v>
      </c>
      <c r="X478" s="53">
        <f>SUMIF('Avoided Costs 2014-2023'!$A:$A,'2014 Actuals'!U478&amp;ROUNDDOWN('2014 Actuals'!T478,0),'Avoided Costs 2014-2023'!$M:$M)*S478</f>
        <v>0</v>
      </c>
      <c r="Y478" s="53">
        <f t="shared" si="186"/>
        <v>17303.966045355544</v>
      </c>
      <c r="Z478" s="55">
        <v>8078</v>
      </c>
      <c r="AA478" s="54">
        <f t="shared" si="187"/>
        <v>6462.4000000000005</v>
      </c>
      <c r="AB478" s="54"/>
      <c r="AC478" s="54"/>
      <c r="AD478" s="54"/>
      <c r="AE478" s="54">
        <f t="shared" si="188"/>
        <v>6462.4000000000005</v>
      </c>
      <c r="AF478" s="54">
        <f t="shared" si="189"/>
        <v>10841.566045355543</v>
      </c>
      <c r="AG478" s="49">
        <f t="shared" si="190"/>
        <v>136196.64000000001</v>
      </c>
      <c r="AH478" s="49">
        <f t="shared" si="191"/>
        <v>170245.8</v>
      </c>
    </row>
    <row r="479" spans="1:34" s="56" customFormat="1">
      <c r="A479" s="62" t="s">
        <v>581</v>
      </c>
      <c r="B479" s="62"/>
      <c r="C479" s="62"/>
      <c r="D479" s="62"/>
      <c r="E479" s="141">
        <v>1</v>
      </c>
      <c r="F479" s="142"/>
      <c r="G479" s="143">
        <v>0.2</v>
      </c>
      <c r="H479" s="143">
        <v>0</v>
      </c>
      <c r="I479" s="49">
        <v>56577</v>
      </c>
      <c r="J479" s="49">
        <f t="shared" si="180"/>
        <v>47354.949000000001</v>
      </c>
      <c r="K479" s="49">
        <f t="shared" si="181"/>
        <v>37883.959200000005</v>
      </c>
      <c r="L479" s="58"/>
      <c r="M479" s="141">
        <v>0</v>
      </c>
      <c r="N479" s="50">
        <f t="shared" si="182"/>
        <v>0</v>
      </c>
      <c r="O479" s="50">
        <f t="shared" si="183"/>
        <v>0</v>
      </c>
      <c r="P479" s="59"/>
      <c r="Q479" s="141">
        <v>0</v>
      </c>
      <c r="R479" s="50">
        <f t="shared" si="184"/>
        <v>0</v>
      </c>
      <c r="S479" s="51">
        <f t="shared" si="185"/>
        <v>0</v>
      </c>
      <c r="T479" s="63">
        <v>25</v>
      </c>
      <c r="U479" s="61" t="s">
        <v>81</v>
      </c>
      <c r="V479" s="53">
        <f>SUMIF('Avoided Costs 2014-2023'!$A:$A,'2014 Actuals'!U479&amp;ROUNDDOWN('2014 Actuals'!T479,0),'Avoided Costs 2014-2023'!$E:$E)*K479</f>
        <v>120330.19751082604</v>
      </c>
      <c r="W479" s="53">
        <f>SUMIF('Avoided Costs 2014-2023'!$A:$A,'2014 Actuals'!U479&amp;ROUNDDOWN('2014 Actuals'!T479,0),'Avoided Costs 2014-2023'!$K:$K)*O479</f>
        <v>0</v>
      </c>
      <c r="X479" s="53">
        <f>SUMIF('Avoided Costs 2014-2023'!$A:$A,'2014 Actuals'!U479&amp;ROUNDDOWN('2014 Actuals'!T479,0),'Avoided Costs 2014-2023'!$M:$M)*S479</f>
        <v>0</v>
      </c>
      <c r="Y479" s="53">
        <f t="shared" si="186"/>
        <v>120330.19751082604</v>
      </c>
      <c r="Z479" s="55">
        <v>6</v>
      </c>
      <c r="AA479" s="54">
        <f t="shared" si="187"/>
        <v>4.8000000000000007</v>
      </c>
      <c r="AB479" s="54"/>
      <c r="AC479" s="54"/>
      <c r="AD479" s="54"/>
      <c r="AE479" s="54">
        <f t="shared" si="188"/>
        <v>4.8000000000000007</v>
      </c>
      <c r="AF479" s="54">
        <f t="shared" si="189"/>
        <v>120325.39751082603</v>
      </c>
      <c r="AG479" s="49">
        <f t="shared" si="190"/>
        <v>947098.9800000001</v>
      </c>
      <c r="AH479" s="49">
        <f t="shared" si="191"/>
        <v>1183873.7250000001</v>
      </c>
    </row>
    <row r="480" spans="1:34" s="56" customFormat="1">
      <c r="A480" s="62" t="s">
        <v>582</v>
      </c>
      <c r="B480" s="62"/>
      <c r="C480" s="62"/>
      <c r="D480" s="62"/>
      <c r="E480" s="141">
        <v>1</v>
      </c>
      <c r="F480" s="142"/>
      <c r="G480" s="143">
        <v>0.2</v>
      </c>
      <c r="H480" s="143">
        <v>0</v>
      </c>
      <c r="I480" s="49">
        <v>5617</v>
      </c>
      <c r="J480" s="49">
        <f t="shared" si="180"/>
        <v>4701.4290000000001</v>
      </c>
      <c r="K480" s="49">
        <f t="shared" si="181"/>
        <v>3761.1432000000004</v>
      </c>
      <c r="L480" s="58"/>
      <c r="M480" s="141">
        <v>0</v>
      </c>
      <c r="N480" s="50">
        <f t="shared" si="182"/>
        <v>0</v>
      </c>
      <c r="O480" s="50">
        <f t="shared" si="183"/>
        <v>0</v>
      </c>
      <c r="P480" s="59"/>
      <c r="Q480" s="141">
        <v>0</v>
      </c>
      <c r="R480" s="50">
        <f t="shared" si="184"/>
        <v>0</v>
      </c>
      <c r="S480" s="51">
        <f t="shared" si="185"/>
        <v>0</v>
      </c>
      <c r="T480" s="63">
        <v>25</v>
      </c>
      <c r="U480" s="61" t="s">
        <v>94</v>
      </c>
      <c r="V480" s="53">
        <f>SUMIF('Avoided Costs 2014-2023'!$A:$A,'2014 Actuals'!U480&amp;ROUNDDOWN('2014 Actuals'!T480,0),'Avoided Costs 2014-2023'!$E:$E)*K480</f>
        <v>11192.21072301678</v>
      </c>
      <c r="W480" s="53">
        <f>SUMIF('Avoided Costs 2014-2023'!$A:$A,'2014 Actuals'!U480&amp;ROUNDDOWN('2014 Actuals'!T480,0),'Avoided Costs 2014-2023'!$K:$K)*O480</f>
        <v>0</v>
      </c>
      <c r="X480" s="53">
        <f>SUMIF('Avoided Costs 2014-2023'!$A:$A,'2014 Actuals'!U480&amp;ROUNDDOWN('2014 Actuals'!T480,0),'Avoided Costs 2014-2023'!$M:$M)*S480</f>
        <v>0</v>
      </c>
      <c r="Y480" s="53">
        <f t="shared" si="186"/>
        <v>11192.21072301678</v>
      </c>
      <c r="Z480" s="55">
        <v>5622</v>
      </c>
      <c r="AA480" s="54">
        <f t="shared" si="187"/>
        <v>4497.6000000000004</v>
      </c>
      <c r="AB480" s="54"/>
      <c r="AC480" s="54"/>
      <c r="AD480" s="54"/>
      <c r="AE480" s="54">
        <f t="shared" si="188"/>
        <v>4497.6000000000004</v>
      </c>
      <c r="AF480" s="54">
        <f t="shared" si="189"/>
        <v>6694.61072301678</v>
      </c>
      <c r="AG480" s="49">
        <f t="shared" si="190"/>
        <v>94028.580000000016</v>
      </c>
      <c r="AH480" s="49">
        <f t="shared" si="191"/>
        <v>117535.72500000001</v>
      </c>
    </row>
    <row r="481" spans="1:34" s="56" customFormat="1">
      <c r="A481" s="62" t="s">
        <v>583</v>
      </c>
      <c r="B481" s="62"/>
      <c r="C481" s="62"/>
      <c r="D481" s="62"/>
      <c r="E481" s="141">
        <v>0</v>
      </c>
      <c r="F481" s="142"/>
      <c r="G481" s="143">
        <v>0.2</v>
      </c>
      <c r="H481" s="143">
        <v>0</v>
      </c>
      <c r="I481" s="49">
        <v>8240</v>
      </c>
      <c r="J481" s="49">
        <f t="shared" si="180"/>
        <v>6896.88</v>
      </c>
      <c r="K481" s="49">
        <f t="shared" si="181"/>
        <v>5517.5040000000008</v>
      </c>
      <c r="L481" s="58"/>
      <c r="M481" s="141">
        <v>0</v>
      </c>
      <c r="N481" s="50">
        <f t="shared" si="182"/>
        <v>0</v>
      </c>
      <c r="O481" s="50">
        <f t="shared" si="183"/>
        <v>0</v>
      </c>
      <c r="P481" s="59"/>
      <c r="Q481" s="141">
        <v>0</v>
      </c>
      <c r="R481" s="50">
        <f t="shared" si="184"/>
        <v>0</v>
      </c>
      <c r="S481" s="51">
        <f t="shared" si="185"/>
        <v>0</v>
      </c>
      <c r="T481" s="63">
        <v>15</v>
      </c>
      <c r="U481" s="61" t="s">
        <v>94</v>
      </c>
      <c r="V481" s="53">
        <f>SUMIF('Avoided Costs 2014-2023'!$A:$A,'2014 Actuals'!U481&amp;ROUNDDOWN('2014 Actuals'!T481,0),'Avoided Costs 2014-2023'!$E:$E)*K481</f>
        <v>11960.738976116036</v>
      </c>
      <c r="W481" s="53">
        <f>SUMIF('Avoided Costs 2014-2023'!$A:$A,'2014 Actuals'!U481&amp;ROUNDDOWN('2014 Actuals'!T481,0),'Avoided Costs 2014-2023'!$K:$K)*O481</f>
        <v>0</v>
      </c>
      <c r="X481" s="53">
        <f>SUMIF('Avoided Costs 2014-2023'!$A:$A,'2014 Actuals'!U481&amp;ROUNDDOWN('2014 Actuals'!T481,0),'Avoided Costs 2014-2023'!$M:$M)*S481</f>
        <v>0</v>
      </c>
      <c r="Y481" s="53">
        <f t="shared" si="186"/>
        <v>11960.738976116036</v>
      </c>
      <c r="Z481" s="55">
        <v>2000</v>
      </c>
      <c r="AA481" s="54">
        <f t="shared" si="187"/>
        <v>1600</v>
      </c>
      <c r="AB481" s="54"/>
      <c r="AC481" s="54"/>
      <c r="AD481" s="54"/>
      <c r="AE481" s="54">
        <f t="shared" si="188"/>
        <v>1600</v>
      </c>
      <c r="AF481" s="54">
        <f t="shared" si="189"/>
        <v>10360.738976116036</v>
      </c>
      <c r="AG481" s="49">
        <f t="shared" si="190"/>
        <v>82762.560000000012</v>
      </c>
      <c r="AH481" s="49">
        <f t="shared" si="191"/>
        <v>103453.2</v>
      </c>
    </row>
    <row r="482" spans="1:34" s="56" customFormat="1">
      <c r="A482" s="62" t="s">
        <v>584</v>
      </c>
      <c r="B482" s="62"/>
      <c r="C482" s="62"/>
      <c r="D482" s="62"/>
      <c r="E482" s="141">
        <v>1</v>
      </c>
      <c r="F482" s="142"/>
      <c r="G482" s="143">
        <v>0.2</v>
      </c>
      <c r="H482" s="143">
        <v>0</v>
      </c>
      <c r="I482" s="49">
        <v>48864</v>
      </c>
      <c r="J482" s="49">
        <f t="shared" si="180"/>
        <v>40899.167999999998</v>
      </c>
      <c r="K482" s="49">
        <f t="shared" si="181"/>
        <v>32719.3344</v>
      </c>
      <c r="L482" s="58"/>
      <c r="M482" s="141">
        <v>62817</v>
      </c>
      <c r="N482" s="50">
        <f t="shared" si="182"/>
        <v>62817</v>
      </c>
      <c r="O482" s="50">
        <f t="shared" si="183"/>
        <v>50253.600000000006</v>
      </c>
      <c r="P482" s="59"/>
      <c r="Q482" s="141">
        <v>0</v>
      </c>
      <c r="R482" s="50">
        <f t="shared" si="184"/>
        <v>0</v>
      </c>
      <c r="S482" s="51">
        <f t="shared" si="185"/>
        <v>0</v>
      </c>
      <c r="T482" s="63">
        <v>15</v>
      </c>
      <c r="U482" s="61" t="s">
        <v>81</v>
      </c>
      <c r="V482" s="53">
        <f>SUMIF('Avoided Costs 2014-2023'!$A:$A,'2014 Actuals'!U482&amp;ROUNDDOWN('2014 Actuals'!T482,0),'Avoided Costs 2014-2023'!$E:$E)*K482</f>
        <v>75741.068290055962</v>
      </c>
      <c r="W482" s="53">
        <f>SUMIF('Avoided Costs 2014-2023'!$A:$A,'2014 Actuals'!U482&amp;ROUNDDOWN('2014 Actuals'!T482,0),'Avoided Costs 2014-2023'!$K:$K)*O482</f>
        <v>59423.895156243649</v>
      </c>
      <c r="X482" s="53">
        <f>SUMIF('Avoided Costs 2014-2023'!$A:$A,'2014 Actuals'!U482&amp;ROUNDDOWN('2014 Actuals'!T482,0),'Avoided Costs 2014-2023'!$M:$M)*S482</f>
        <v>0</v>
      </c>
      <c r="Y482" s="53">
        <f t="shared" si="186"/>
        <v>135164.9634462996</v>
      </c>
      <c r="Z482" s="55">
        <v>14395</v>
      </c>
      <c r="AA482" s="54">
        <f t="shared" si="187"/>
        <v>11516</v>
      </c>
      <c r="AB482" s="54"/>
      <c r="AC482" s="54"/>
      <c r="AD482" s="54"/>
      <c r="AE482" s="54">
        <f t="shared" si="188"/>
        <v>11516</v>
      </c>
      <c r="AF482" s="54">
        <f t="shared" si="189"/>
        <v>123648.9634462996</v>
      </c>
      <c r="AG482" s="49">
        <f t="shared" si="190"/>
        <v>490790.016</v>
      </c>
      <c r="AH482" s="49">
        <f t="shared" si="191"/>
        <v>613487.52</v>
      </c>
    </row>
    <row r="483" spans="1:34" s="56" customFormat="1">
      <c r="A483" s="62" t="s">
        <v>585</v>
      </c>
      <c r="B483" s="62"/>
      <c r="C483" s="62"/>
      <c r="D483" s="62"/>
      <c r="E483" s="141">
        <v>1</v>
      </c>
      <c r="F483" s="142"/>
      <c r="G483" s="143">
        <v>0.2</v>
      </c>
      <c r="H483" s="143">
        <v>0</v>
      </c>
      <c r="I483" s="49">
        <v>81058</v>
      </c>
      <c r="J483" s="49">
        <f t="shared" si="180"/>
        <v>67845.546000000002</v>
      </c>
      <c r="K483" s="49">
        <f t="shared" si="181"/>
        <v>54276.436800000003</v>
      </c>
      <c r="L483" s="58"/>
      <c r="M483" s="141">
        <v>97242</v>
      </c>
      <c r="N483" s="50">
        <f t="shared" si="182"/>
        <v>97242</v>
      </c>
      <c r="O483" s="50">
        <f t="shared" si="183"/>
        <v>77793.600000000006</v>
      </c>
      <c r="P483" s="59"/>
      <c r="Q483" s="141">
        <v>0</v>
      </c>
      <c r="R483" s="50">
        <f t="shared" si="184"/>
        <v>0</v>
      </c>
      <c r="S483" s="51">
        <f t="shared" si="185"/>
        <v>0</v>
      </c>
      <c r="T483" s="63">
        <v>15</v>
      </c>
      <c r="U483" s="61" t="s">
        <v>81</v>
      </c>
      <c r="V483" s="53">
        <f>SUMIF('Avoided Costs 2014-2023'!$A:$A,'2014 Actuals'!U483&amp;ROUNDDOWN('2014 Actuals'!T483,0),'Avoided Costs 2014-2023'!$E:$E)*K483</f>
        <v>125642.99921118526</v>
      </c>
      <c r="W483" s="53">
        <f>SUMIF('Avoided Costs 2014-2023'!$A:$A,'2014 Actuals'!U483&amp;ROUNDDOWN('2014 Actuals'!T483,0),'Avoided Costs 2014-2023'!$K:$K)*O483</f>
        <v>91989.404345693765</v>
      </c>
      <c r="X483" s="53">
        <f>SUMIF('Avoided Costs 2014-2023'!$A:$A,'2014 Actuals'!U483&amp;ROUNDDOWN('2014 Actuals'!T483,0),'Avoided Costs 2014-2023'!$M:$M)*S483</f>
        <v>0</v>
      </c>
      <c r="Y483" s="53">
        <f t="shared" si="186"/>
        <v>217632.40355687903</v>
      </c>
      <c r="Z483" s="55">
        <v>16454</v>
      </c>
      <c r="AA483" s="54">
        <f t="shared" si="187"/>
        <v>13163.2</v>
      </c>
      <c r="AB483" s="54"/>
      <c r="AC483" s="54"/>
      <c r="AD483" s="54"/>
      <c r="AE483" s="54">
        <f t="shared" si="188"/>
        <v>13163.2</v>
      </c>
      <c r="AF483" s="54">
        <f t="shared" si="189"/>
        <v>204469.20355687902</v>
      </c>
      <c r="AG483" s="49">
        <f t="shared" si="190"/>
        <v>814146.55200000003</v>
      </c>
      <c r="AH483" s="49">
        <f t="shared" si="191"/>
        <v>1017683.1900000001</v>
      </c>
    </row>
    <row r="484" spans="1:34" s="56" customFormat="1">
      <c r="A484" s="62" t="s">
        <v>586</v>
      </c>
      <c r="B484" s="62"/>
      <c r="C484" s="62"/>
      <c r="D484" s="62"/>
      <c r="E484" s="141">
        <v>0</v>
      </c>
      <c r="F484" s="142"/>
      <c r="G484" s="143">
        <v>0.2</v>
      </c>
      <c r="H484" s="143">
        <v>0</v>
      </c>
      <c r="I484" s="49">
        <v>47407</v>
      </c>
      <c r="J484" s="49">
        <f t="shared" si="180"/>
        <v>39679.659</v>
      </c>
      <c r="K484" s="49">
        <f t="shared" si="181"/>
        <v>31743.727200000001</v>
      </c>
      <c r="L484" s="58"/>
      <c r="M484" s="141">
        <v>0</v>
      </c>
      <c r="N484" s="50">
        <f t="shared" si="182"/>
        <v>0</v>
      </c>
      <c r="O484" s="50">
        <f t="shared" si="183"/>
        <v>0</v>
      </c>
      <c r="P484" s="59"/>
      <c r="Q484" s="141">
        <v>0</v>
      </c>
      <c r="R484" s="50">
        <f t="shared" si="184"/>
        <v>0</v>
      </c>
      <c r="S484" s="51">
        <f t="shared" si="185"/>
        <v>0</v>
      </c>
      <c r="T484" s="63">
        <v>25</v>
      </c>
      <c r="U484" s="61" t="s">
        <v>94</v>
      </c>
      <c r="V484" s="53">
        <f>SUMIF('Avoided Costs 2014-2023'!$A:$A,'2014 Actuals'!U484&amp;ROUNDDOWN('2014 Actuals'!T484,0),'Avoided Costs 2014-2023'!$E:$E)*K484</f>
        <v>94461.30207335882</v>
      </c>
      <c r="W484" s="53">
        <f>SUMIF('Avoided Costs 2014-2023'!$A:$A,'2014 Actuals'!U484&amp;ROUNDDOWN('2014 Actuals'!T484,0),'Avoided Costs 2014-2023'!$K:$K)*O484</f>
        <v>0</v>
      </c>
      <c r="X484" s="53">
        <f>SUMIF('Avoided Costs 2014-2023'!$A:$A,'2014 Actuals'!U484&amp;ROUNDDOWN('2014 Actuals'!T484,0),'Avoided Costs 2014-2023'!$M:$M)*S484</f>
        <v>0</v>
      </c>
      <c r="Y484" s="53">
        <f t="shared" si="186"/>
        <v>94461.30207335882</v>
      </c>
      <c r="Z484" s="55">
        <v>56778</v>
      </c>
      <c r="AA484" s="54">
        <f t="shared" si="187"/>
        <v>45422.400000000001</v>
      </c>
      <c r="AB484" s="54"/>
      <c r="AC484" s="54"/>
      <c r="AD484" s="54"/>
      <c r="AE484" s="54">
        <f t="shared" si="188"/>
        <v>45422.400000000001</v>
      </c>
      <c r="AF484" s="54">
        <f t="shared" si="189"/>
        <v>49038.902073358819</v>
      </c>
      <c r="AG484" s="49">
        <f t="shared" si="190"/>
        <v>793593.18</v>
      </c>
      <c r="AH484" s="49">
        <f t="shared" si="191"/>
        <v>991991.47499999998</v>
      </c>
    </row>
    <row r="485" spans="1:34" s="56" customFormat="1">
      <c r="A485" s="62" t="s">
        <v>587</v>
      </c>
      <c r="B485" s="62"/>
      <c r="C485" s="62"/>
      <c r="D485" s="62"/>
      <c r="E485" s="141">
        <v>0</v>
      </c>
      <c r="F485" s="142"/>
      <c r="G485" s="143">
        <v>0.2</v>
      </c>
      <c r="H485" s="143">
        <v>0</v>
      </c>
      <c r="I485" s="49">
        <v>22275</v>
      </c>
      <c r="J485" s="49">
        <f t="shared" si="180"/>
        <v>18644.174999999999</v>
      </c>
      <c r="K485" s="49">
        <f t="shared" si="181"/>
        <v>14915.34</v>
      </c>
      <c r="L485" s="58"/>
      <c r="M485" s="141">
        <v>0</v>
      </c>
      <c r="N485" s="50">
        <f t="shared" si="182"/>
        <v>0</v>
      </c>
      <c r="O485" s="50">
        <f t="shared" si="183"/>
        <v>0</v>
      </c>
      <c r="P485" s="59"/>
      <c r="Q485" s="141">
        <v>0</v>
      </c>
      <c r="R485" s="50">
        <f t="shared" si="184"/>
        <v>0</v>
      </c>
      <c r="S485" s="51">
        <f t="shared" si="185"/>
        <v>0</v>
      </c>
      <c r="T485" s="63">
        <v>25</v>
      </c>
      <c r="U485" s="61" t="s">
        <v>81</v>
      </c>
      <c r="V485" s="53">
        <f>SUMIF('Avoided Costs 2014-2023'!$A:$A,'2014 Actuals'!U485&amp;ROUNDDOWN('2014 Actuals'!T485,0),'Avoided Costs 2014-2023'!$E:$E)*K485</f>
        <v>47375.349515768772</v>
      </c>
      <c r="W485" s="53">
        <f>SUMIF('Avoided Costs 2014-2023'!$A:$A,'2014 Actuals'!U485&amp;ROUNDDOWN('2014 Actuals'!T485,0),'Avoided Costs 2014-2023'!$K:$K)*O485</f>
        <v>0</v>
      </c>
      <c r="X485" s="53">
        <f>SUMIF('Avoided Costs 2014-2023'!$A:$A,'2014 Actuals'!U485&amp;ROUNDDOWN('2014 Actuals'!T485,0),'Avoided Costs 2014-2023'!$M:$M)*S485</f>
        <v>0</v>
      </c>
      <c r="Y485" s="53">
        <f t="shared" si="186"/>
        <v>47375.349515768772</v>
      </c>
      <c r="Z485" s="55">
        <v>7411</v>
      </c>
      <c r="AA485" s="54">
        <f t="shared" si="187"/>
        <v>5928.8</v>
      </c>
      <c r="AB485" s="54"/>
      <c r="AC485" s="54"/>
      <c r="AD485" s="54"/>
      <c r="AE485" s="54">
        <f t="shared" si="188"/>
        <v>5928.8</v>
      </c>
      <c r="AF485" s="54">
        <f t="shared" si="189"/>
        <v>41446.549515768769</v>
      </c>
      <c r="AG485" s="49">
        <f t="shared" si="190"/>
        <v>372883.5</v>
      </c>
      <c r="AH485" s="49">
        <f t="shared" si="191"/>
        <v>466104.375</v>
      </c>
    </row>
    <row r="486" spans="1:34" s="56" customFormat="1">
      <c r="A486" s="62" t="s">
        <v>588</v>
      </c>
      <c r="B486" s="62"/>
      <c r="C486" s="62"/>
      <c r="D486" s="62"/>
      <c r="E486" s="141">
        <v>1</v>
      </c>
      <c r="F486" s="142"/>
      <c r="G486" s="143">
        <v>0.2</v>
      </c>
      <c r="H486" s="143">
        <v>0</v>
      </c>
      <c r="I486" s="49">
        <v>60405</v>
      </c>
      <c r="J486" s="49">
        <f t="shared" si="180"/>
        <v>50558.985000000001</v>
      </c>
      <c r="K486" s="49">
        <f t="shared" si="181"/>
        <v>40447.188000000002</v>
      </c>
      <c r="L486" s="58"/>
      <c r="M486" s="141">
        <v>96627</v>
      </c>
      <c r="N486" s="50">
        <f t="shared" si="182"/>
        <v>96627</v>
      </c>
      <c r="O486" s="50">
        <f t="shared" si="183"/>
        <v>77301.600000000006</v>
      </c>
      <c r="P486" s="59"/>
      <c r="Q486" s="141">
        <v>0</v>
      </c>
      <c r="R486" s="50">
        <f t="shared" si="184"/>
        <v>0</v>
      </c>
      <c r="S486" s="51">
        <f t="shared" si="185"/>
        <v>0</v>
      </c>
      <c r="T486" s="63">
        <v>15</v>
      </c>
      <c r="U486" s="61" t="s">
        <v>81</v>
      </c>
      <c r="V486" s="53">
        <f>SUMIF('Avoided Costs 2014-2023'!$A:$A,'2014 Actuals'!U486&amp;ROUNDDOWN('2014 Actuals'!T486,0),'Avoided Costs 2014-2023'!$E:$E)*K486</f>
        <v>93630.059554290085</v>
      </c>
      <c r="W486" s="53">
        <f>SUMIF('Avoided Costs 2014-2023'!$A:$A,'2014 Actuals'!U486&amp;ROUNDDOWN('2014 Actuals'!T486,0),'Avoided Costs 2014-2023'!$K:$K)*O486</f>
        <v>91407.624007232997</v>
      </c>
      <c r="X486" s="53">
        <f>SUMIF('Avoided Costs 2014-2023'!$A:$A,'2014 Actuals'!U486&amp;ROUNDDOWN('2014 Actuals'!T486,0),'Avoided Costs 2014-2023'!$M:$M)*S486</f>
        <v>0</v>
      </c>
      <c r="Y486" s="53">
        <f t="shared" si="186"/>
        <v>185037.6835615231</v>
      </c>
      <c r="Z486" s="55">
        <v>16000</v>
      </c>
      <c r="AA486" s="54">
        <f t="shared" si="187"/>
        <v>12800</v>
      </c>
      <c r="AB486" s="54"/>
      <c r="AC486" s="54"/>
      <c r="AD486" s="54"/>
      <c r="AE486" s="54">
        <f t="shared" si="188"/>
        <v>12800</v>
      </c>
      <c r="AF486" s="54">
        <f t="shared" si="189"/>
        <v>172237.6835615231</v>
      </c>
      <c r="AG486" s="49">
        <f t="shared" si="190"/>
        <v>606707.82000000007</v>
      </c>
      <c r="AH486" s="49">
        <f t="shared" si="191"/>
        <v>758384.77500000002</v>
      </c>
    </row>
    <row r="487" spans="1:34" s="56" customFormat="1">
      <c r="A487" s="62" t="s">
        <v>589</v>
      </c>
      <c r="B487" s="62"/>
      <c r="C487" s="62"/>
      <c r="D487" s="62"/>
      <c r="E487" s="141">
        <v>1</v>
      </c>
      <c r="F487" s="142"/>
      <c r="G487" s="143">
        <v>0.2</v>
      </c>
      <c r="H487" s="143">
        <v>0</v>
      </c>
      <c r="I487" s="49">
        <v>26639</v>
      </c>
      <c r="J487" s="49">
        <f t="shared" si="180"/>
        <v>22296.843000000001</v>
      </c>
      <c r="K487" s="49">
        <f t="shared" si="181"/>
        <v>17837.474400000003</v>
      </c>
      <c r="L487" s="58"/>
      <c r="M487" s="141">
        <v>25525</v>
      </c>
      <c r="N487" s="50">
        <f t="shared" si="182"/>
        <v>25525</v>
      </c>
      <c r="O487" s="50">
        <f t="shared" si="183"/>
        <v>20420</v>
      </c>
      <c r="P487" s="59"/>
      <c r="Q487" s="141">
        <v>0</v>
      </c>
      <c r="R487" s="50">
        <f t="shared" si="184"/>
        <v>0</v>
      </c>
      <c r="S487" s="51">
        <f t="shared" si="185"/>
        <v>0</v>
      </c>
      <c r="T487" s="63">
        <v>15</v>
      </c>
      <c r="U487" s="61" t="s">
        <v>81</v>
      </c>
      <c r="V487" s="53">
        <f>SUMIF('Avoided Costs 2014-2023'!$A:$A,'2014 Actuals'!U487&amp;ROUNDDOWN('2014 Actuals'!T487,0),'Avoided Costs 2014-2023'!$E:$E)*K487</f>
        <v>41291.468528544552</v>
      </c>
      <c r="W487" s="53">
        <f>SUMIF('Avoided Costs 2014-2023'!$A:$A,'2014 Actuals'!U487&amp;ROUNDDOWN('2014 Actuals'!T487,0),'Avoided Costs 2014-2023'!$K:$K)*O487</f>
        <v>24146.249006847174</v>
      </c>
      <c r="X487" s="53">
        <f>SUMIF('Avoided Costs 2014-2023'!$A:$A,'2014 Actuals'!U487&amp;ROUNDDOWN('2014 Actuals'!T487,0),'Avoided Costs 2014-2023'!$M:$M)*S487</f>
        <v>0</v>
      </c>
      <c r="Y487" s="53">
        <f t="shared" si="186"/>
        <v>65437.717535391726</v>
      </c>
      <c r="Z487" s="55">
        <v>8980</v>
      </c>
      <c r="AA487" s="54">
        <f t="shared" si="187"/>
        <v>7184</v>
      </c>
      <c r="AB487" s="54"/>
      <c r="AC487" s="54"/>
      <c r="AD487" s="54"/>
      <c r="AE487" s="54">
        <f t="shared" si="188"/>
        <v>7184</v>
      </c>
      <c r="AF487" s="54">
        <f t="shared" si="189"/>
        <v>58253.717535391726</v>
      </c>
      <c r="AG487" s="49">
        <f t="shared" si="190"/>
        <v>267562.11600000004</v>
      </c>
      <c r="AH487" s="49">
        <f t="shared" si="191"/>
        <v>334452.64500000002</v>
      </c>
    </row>
    <row r="488" spans="1:34" s="56" customFormat="1">
      <c r="A488" s="62" t="s">
        <v>590</v>
      </c>
      <c r="B488" s="62"/>
      <c r="C488" s="62"/>
      <c r="D488" s="62"/>
      <c r="E488" s="141">
        <v>1</v>
      </c>
      <c r="F488" s="142"/>
      <c r="G488" s="143">
        <v>0.2</v>
      </c>
      <c r="H488" s="143">
        <v>0</v>
      </c>
      <c r="I488" s="49">
        <v>108108</v>
      </c>
      <c r="J488" s="49">
        <f t="shared" si="180"/>
        <v>90486.395999999993</v>
      </c>
      <c r="K488" s="49">
        <f t="shared" si="181"/>
        <v>72389.116800000003</v>
      </c>
      <c r="L488" s="58"/>
      <c r="M488" s="141">
        <v>0</v>
      </c>
      <c r="N488" s="50">
        <f t="shared" si="182"/>
        <v>0</v>
      </c>
      <c r="O488" s="50">
        <f t="shared" si="183"/>
        <v>0</v>
      </c>
      <c r="P488" s="59"/>
      <c r="Q488" s="141">
        <v>0</v>
      </c>
      <c r="R488" s="50">
        <f t="shared" si="184"/>
        <v>0</v>
      </c>
      <c r="S488" s="51">
        <f t="shared" si="185"/>
        <v>0</v>
      </c>
      <c r="T488" s="63">
        <v>25</v>
      </c>
      <c r="U488" s="61" t="s">
        <v>81</v>
      </c>
      <c r="V488" s="53">
        <f>SUMIF('Avoided Costs 2014-2023'!$A:$A,'2014 Actuals'!U488&amp;ROUNDDOWN('2014 Actuals'!T488,0),'Avoided Costs 2014-2023'!$E:$E)*K488</f>
        <v>229928.36298319776</v>
      </c>
      <c r="W488" s="53">
        <f>SUMIF('Avoided Costs 2014-2023'!$A:$A,'2014 Actuals'!U488&amp;ROUNDDOWN('2014 Actuals'!T488,0),'Avoided Costs 2014-2023'!$K:$K)*O488</f>
        <v>0</v>
      </c>
      <c r="X488" s="53">
        <f>SUMIF('Avoided Costs 2014-2023'!$A:$A,'2014 Actuals'!U488&amp;ROUNDDOWN('2014 Actuals'!T488,0),'Avoided Costs 2014-2023'!$M:$M)*S488</f>
        <v>0</v>
      </c>
      <c r="Y488" s="53">
        <f t="shared" si="186"/>
        <v>229928.36298319776</v>
      </c>
      <c r="Z488" s="55">
        <v>36274</v>
      </c>
      <c r="AA488" s="54">
        <f t="shared" si="187"/>
        <v>29019.200000000001</v>
      </c>
      <c r="AB488" s="54"/>
      <c r="AC488" s="54"/>
      <c r="AD488" s="54"/>
      <c r="AE488" s="54">
        <f t="shared" si="188"/>
        <v>29019.200000000001</v>
      </c>
      <c r="AF488" s="54">
        <f t="shared" si="189"/>
        <v>200909.16298319775</v>
      </c>
      <c r="AG488" s="49">
        <f t="shared" si="190"/>
        <v>1809727.9200000002</v>
      </c>
      <c r="AH488" s="49">
        <f t="shared" si="191"/>
        <v>2262159.9</v>
      </c>
    </row>
    <row r="489" spans="1:34" s="56" customFormat="1">
      <c r="A489" s="62" t="s">
        <v>591</v>
      </c>
      <c r="B489" s="62"/>
      <c r="C489" s="62"/>
      <c r="D489" s="62"/>
      <c r="E489" s="141">
        <v>1</v>
      </c>
      <c r="F489" s="142"/>
      <c r="G489" s="143">
        <v>0.2</v>
      </c>
      <c r="H489" s="143">
        <v>0</v>
      </c>
      <c r="I489" s="49">
        <v>88856</v>
      </c>
      <c r="J489" s="49">
        <f t="shared" si="180"/>
        <v>74372.471999999994</v>
      </c>
      <c r="K489" s="49">
        <f t="shared" si="181"/>
        <v>59497.977599999998</v>
      </c>
      <c r="L489" s="58"/>
      <c r="M489" s="141">
        <v>0</v>
      </c>
      <c r="N489" s="50">
        <f t="shared" si="182"/>
        <v>0</v>
      </c>
      <c r="O489" s="50">
        <f t="shared" si="183"/>
        <v>0</v>
      </c>
      <c r="P489" s="59"/>
      <c r="Q489" s="141">
        <v>0</v>
      </c>
      <c r="R489" s="50">
        <f t="shared" si="184"/>
        <v>0</v>
      </c>
      <c r="S489" s="51">
        <f t="shared" si="185"/>
        <v>0</v>
      </c>
      <c r="T489" s="63">
        <v>25</v>
      </c>
      <c r="U489" s="61" t="s">
        <v>81</v>
      </c>
      <c r="V489" s="53">
        <f>SUMIF('Avoided Costs 2014-2023'!$A:$A,'2014 Actuals'!U489&amp;ROUNDDOWN('2014 Actuals'!T489,0),'Avoided Costs 2014-2023'!$E:$E)*K489</f>
        <v>188982.44922887316</v>
      </c>
      <c r="W489" s="53">
        <f>SUMIF('Avoided Costs 2014-2023'!$A:$A,'2014 Actuals'!U489&amp;ROUNDDOWN('2014 Actuals'!T489,0),'Avoided Costs 2014-2023'!$K:$K)*O489</f>
        <v>0</v>
      </c>
      <c r="X489" s="53">
        <f>SUMIF('Avoided Costs 2014-2023'!$A:$A,'2014 Actuals'!U489&amp;ROUNDDOWN('2014 Actuals'!T489,0),'Avoided Costs 2014-2023'!$M:$M)*S489</f>
        <v>0</v>
      </c>
      <c r="Y489" s="53">
        <f t="shared" si="186"/>
        <v>188982.44922887316</v>
      </c>
      <c r="Z489" s="55">
        <v>20114</v>
      </c>
      <c r="AA489" s="54">
        <f t="shared" si="187"/>
        <v>16091.2</v>
      </c>
      <c r="AB489" s="54"/>
      <c r="AC489" s="54"/>
      <c r="AD489" s="54"/>
      <c r="AE489" s="54">
        <f t="shared" si="188"/>
        <v>16091.2</v>
      </c>
      <c r="AF489" s="54">
        <f t="shared" si="189"/>
        <v>172891.24922887314</v>
      </c>
      <c r="AG489" s="49">
        <f t="shared" si="190"/>
        <v>1487449.44</v>
      </c>
      <c r="AH489" s="49">
        <f t="shared" si="191"/>
        <v>1859311.7999999998</v>
      </c>
    </row>
    <row r="490" spans="1:34" s="56" customFormat="1">
      <c r="A490" s="62" t="s">
        <v>592</v>
      </c>
      <c r="B490" s="62"/>
      <c r="C490" s="62"/>
      <c r="D490" s="62"/>
      <c r="E490" s="141">
        <v>1</v>
      </c>
      <c r="F490" s="142"/>
      <c r="G490" s="143">
        <v>0.2</v>
      </c>
      <c r="H490" s="143">
        <v>0</v>
      </c>
      <c r="I490" s="49">
        <v>37522</v>
      </c>
      <c r="J490" s="49">
        <f t="shared" si="180"/>
        <v>31405.913999999997</v>
      </c>
      <c r="K490" s="49">
        <f t="shared" si="181"/>
        <v>25124.731199999998</v>
      </c>
      <c r="L490" s="58"/>
      <c r="M490" s="141">
        <v>29212</v>
      </c>
      <c r="N490" s="50">
        <f t="shared" si="182"/>
        <v>29212</v>
      </c>
      <c r="O490" s="50">
        <f t="shared" si="183"/>
        <v>23369.600000000002</v>
      </c>
      <c r="P490" s="59"/>
      <c r="Q490" s="141">
        <v>0</v>
      </c>
      <c r="R490" s="50">
        <f t="shared" si="184"/>
        <v>0</v>
      </c>
      <c r="S490" s="51">
        <f t="shared" si="185"/>
        <v>0</v>
      </c>
      <c r="T490" s="63">
        <v>15</v>
      </c>
      <c r="U490" s="61" t="s">
        <v>81</v>
      </c>
      <c r="V490" s="53">
        <f>SUMIF('Avoided Costs 2014-2023'!$A:$A,'2014 Actuals'!U490&amp;ROUNDDOWN('2014 Actuals'!T490,0),'Avoided Costs 2014-2023'!$E:$E)*K490</f>
        <v>58160.534634485091</v>
      </c>
      <c r="W490" s="53">
        <f>SUMIF('Avoided Costs 2014-2023'!$A:$A,'2014 Actuals'!U490&amp;ROUNDDOWN('2014 Actuals'!T490,0),'Avoided Costs 2014-2023'!$K:$K)*O490</f>
        <v>27634.093084741224</v>
      </c>
      <c r="X490" s="53">
        <f>SUMIF('Avoided Costs 2014-2023'!$A:$A,'2014 Actuals'!U490&amp;ROUNDDOWN('2014 Actuals'!T490,0),'Avoided Costs 2014-2023'!$M:$M)*S490</f>
        <v>0</v>
      </c>
      <c r="Y490" s="53">
        <f t="shared" si="186"/>
        <v>85794.627719226322</v>
      </c>
      <c r="Z490" s="55">
        <v>18732</v>
      </c>
      <c r="AA490" s="54">
        <f t="shared" si="187"/>
        <v>14985.6</v>
      </c>
      <c r="AB490" s="54"/>
      <c r="AC490" s="54"/>
      <c r="AD490" s="54"/>
      <c r="AE490" s="54">
        <f t="shared" si="188"/>
        <v>14985.6</v>
      </c>
      <c r="AF490" s="54">
        <f t="shared" si="189"/>
        <v>70809.027719226317</v>
      </c>
      <c r="AG490" s="49">
        <f t="shared" si="190"/>
        <v>376870.96799999999</v>
      </c>
      <c r="AH490" s="49">
        <f t="shared" si="191"/>
        <v>471088.70999999996</v>
      </c>
    </row>
    <row r="491" spans="1:34" s="56" customFormat="1">
      <c r="A491" s="62" t="s">
        <v>593</v>
      </c>
      <c r="B491" s="62"/>
      <c r="C491" s="62"/>
      <c r="D491" s="62"/>
      <c r="E491" s="141">
        <v>1</v>
      </c>
      <c r="F491" s="142"/>
      <c r="G491" s="143">
        <v>0.2</v>
      </c>
      <c r="H491" s="143">
        <v>0</v>
      </c>
      <c r="I491" s="49">
        <v>73499</v>
      </c>
      <c r="J491" s="49">
        <f t="shared" si="180"/>
        <v>61518.663</v>
      </c>
      <c r="K491" s="49">
        <f t="shared" si="181"/>
        <v>49214.930400000005</v>
      </c>
      <c r="L491" s="58"/>
      <c r="M491" s="141">
        <v>74164</v>
      </c>
      <c r="N491" s="50">
        <f t="shared" si="182"/>
        <v>74164</v>
      </c>
      <c r="O491" s="50">
        <f t="shared" si="183"/>
        <v>59331.200000000004</v>
      </c>
      <c r="P491" s="59"/>
      <c r="Q491" s="141">
        <v>0</v>
      </c>
      <c r="R491" s="50">
        <f t="shared" si="184"/>
        <v>0</v>
      </c>
      <c r="S491" s="51">
        <f t="shared" si="185"/>
        <v>0</v>
      </c>
      <c r="T491" s="63">
        <v>15</v>
      </c>
      <c r="U491" s="61" t="s">
        <v>81</v>
      </c>
      <c r="V491" s="53">
        <f>SUMIF('Avoided Costs 2014-2023'!$A:$A,'2014 Actuals'!U491&amp;ROUNDDOWN('2014 Actuals'!T491,0),'Avoided Costs 2014-2023'!$E:$E)*K491</f>
        <v>113926.26019668517</v>
      </c>
      <c r="W491" s="53">
        <f>SUMIF('Avoided Costs 2014-2023'!$A:$A,'2014 Actuals'!U491&amp;ROUNDDOWN('2014 Actuals'!T491,0),'Avoided Costs 2014-2023'!$K:$K)*O491</f>
        <v>70157.978896917295</v>
      </c>
      <c r="X491" s="53">
        <f>SUMIF('Avoided Costs 2014-2023'!$A:$A,'2014 Actuals'!U491&amp;ROUNDDOWN('2014 Actuals'!T491,0),'Avoided Costs 2014-2023'!$M:$M)*S491</f>
        <v>0</v>
      </c>
      <c r="Y491" s="53">
        <f t="shared" si="186"/>
        <v>184084.23909360246</v>
      </c>
      <c r="Z491" s="55">
        <v>14090</v>
      </c>
      <c r="AA491" s="54">
        <f t="shared" si="187"/>
        <v>11272</v>
      </c>
      <c r="AB491" s="54"/>
      <c r="AC491" s="54"/>
      <c r="AD491" s="54"/>
      <c r="AE491" s="54">
        <f t="shared" si="188"/>
        <v>11272</v>
      </c>
      <c r="AF491" s="54">
        <f t="shared" si="189"/>
        <v>172812.23909360246</v>
      </c>
      <c r="AG491" s="49">
        <f t="shared" si="190"/>
        <v>738223.95600000012</v>
      </c>
      <c r="AH491" s="49">
        <f t="shared" si="191"/>
        <v>922779.94500000007</v>
      </c>
    </row>
    <row r="492" spans="1:34" s="56" customFormat="1">
      <c r="A492" s="62" t="s">
        <v>594</v>
      </c>
      <c r="B492" s="62"/>
      <c r="C492" s="62"/>
      <c r="D492" s="62"/>
      <c r="E492" s="141">
        <v>1</v>
      </c>
      <c r="F492" s="142"/>
      <c r="G492" s="143">
        <v>0.2</v>
      </c>
      <c r="H492" s="143">
        <v>0</v>
      </c>
      <c r="I492" s="49">
        <v>5676</v>
      </c>
      <c r="J492" s="49">
        <f t="shared" si="180"/>
        <v>4750.8119999999999</v>
      </c>
      <c r="K492" s="49">
        <f t="shared" si="181"/>
        <v>3800.6496000000002</v>
      </c>
      <c r="L492" s="58"/>
      <c r="M492" s="141">
        <v>0</v>
      </c>
      <c r="N492" s="50">
        <f t="shared" si="182"/>
        <v>0</v>
      </c>
      <c r="O492" s="50">
        <f t="shared" si="183"/>
        <v>0</v>
      </c>
      <c r="P492" s="59"/>
      <c r="Q492" s="141">
        <v>0</v>
      </c>
      <c r="R492" s="50">
        <f t="shared" si="184"/>
        <v>0</v>
      </c>
      <c r="S492" s="51">
        <f t="shared" si="185"/>
        <v>0</v>
      </c>
      <c r="T492" s="63">
        <v>25</v>
      </c>
      <c r="U492" s="61" t="s">
        <v>94</v>
      </c>
      <c r="V492" s="53">
        <f>SUMIF('Avoided Costs 2014-2023'!$A:$A,'2014 Actuals'!U492&amp;ROUNDDOWN('2014 Actuals'!T492,0),'Avoided Costs 2014-2023'!$E:$E)*K492</f>
        <v>11309.77177565306</v>
      </c>
      <c r="W492" s="53">
        <f>SUMIF('Avoided Costs 2014-2023'!$A:$A,'2014 Actuals'!U492&amp;ROUNDDOWN('2014 Actuals'!T492,0),'Avoided Costs 2014-2023'!$K:$K)*O492</f>
        <v>0</v>
      </c>
      <c r="X492" s="53">
        <f>SUMIF('Avoided Costs 2014-2023'!$A:$A,'2014 Actuals'!U492&amp;ROUNDDOWN('2014 Actuals'!T492,0),'Avoided Costs 2014-2023'!$M:$M)*S492</f>
        <v>0</v>
      </c>
      <c r="Y492" s="53">
        <f t="shared" si="186"/>
        <v>11309.77177565306</v>
      </c>
      <c r="Z492" s="55">
        <v>15040</v>
      </c>
      <c r="AA492" s="54">
        <f t="shared" si="187"/>
        <v>12032</v>
      </c>
      <c r="AB492" s="54"/>
      <c r="AC492" s="54"/>
      <c r="AD492" s="54"/>
      <c r="AE492" s="54">
        <f t="shared" si="188"/>
        <v>12032</v>
      </c>
      <c r="AF492" s="54">
        <f t="shared" si="189"/>
        <v>-722.2282243469399</v>
      </c>
      <c r="AG492" s="49">
        <f t="shared" si="190"/>
        <v>95016.24</v>
      </c>
      <c r="AH492" s="49">
        <f t="shared" si="191"/>
        <v>118770.3</v>
      </c>
    </row>
    <row r="493" spans="1:34" s="56" customFormat="1">
      <c r="A493" s="62" t="s">
        <v>595</v>
      </c>
      <c r="B493" s="62"/>
      <c r="C493" s="62"/>
      <c r="D493" s="62"/>
      <c r="E493" s="141">
        <v>1</v>
      </c>
      <c r="F493" s="142"/>
      <c r="G493" s="143">
        <v>0.2</v>
      </c>
      <c r="H493" s="143">
        <v>0</v>
      </c>
      <c r="I493" s="49">
        <v>50440</v>
      </c>
      <c r="J493" s="49">
        <f t="shared" si="180"/>
        <v>42218.28</v>
      </c>
      <c r="K493" s="49">
        <f t="shared" si="181"/>
        <v>33774.624000000003</v>
      </c>
      <c r="L493" s="58"/>
      <c r="M493" s="141">
        <v>0</v>
      </c>
      <c r="N493" s="50">
        <f t="shared" si="182"/>
        <v>0</v>
      </c>
      <c r="O493" s="50">
        <f t="shared" si="183"/>
        <v>0</v>
      </c>
      <c r="P493" s="59"/>
      <c r="Q493" s="141">
        <v>0</v>
      </c>
      <c r="R493" s="50">
        <f t="shared" si="184"/>
        <v>0</v>
      </c>
      <c r="S493" s="51">
        <f t="shared" si="185"/>
        <v>0</v>
      </c>
      <c r="T493" s="63">
        <v>25</v>
      </c>
      <c r="U493" s="61" t="s">
        <v>81</v>
      </c>
      <c r="V493" s="53">
        <f>SUMIF('Avoided Costs 2014-2023'!$A:$A,'2014 Actuals'!U493&amp;ROUNDDOWN('2014 Actuals'!T493,0),'Avoided Costs 2014-2023'!$E:$E)*K493</f>
        <v>107277.78359485419</v>
      </c>
      <c r="W493" s="53">
        <f>SUMIF('Avoided Costs 2014-2023'!$A:$A,'2014 Actuals'!U493&amp;ROUNDDOWN('2014 Actuals'!T493,0),'Avoided Costs 2014-2023'!$K:$K)*O493</f>
        <v>0</v>
      </c>
      <c r="X493" s="53">
        <f>SUMIF('Avoided Costs 2014-2023'!$A:$A,'2014 Actuals'!U493&amp;ROUNDDOWN('2014 Actuals'!T493,0),'Avoided Costs 2014-2023'!$M:$M)*S493</f>
        <v>0</v>
      </c>
      <c r="Y493" s="53">
        <f t="shared" si="186"/>
        <v>107277.78359485419</v>
      </c>
      <c r="Z493" s="55">
        <v>23901</v>
      </c>
      <c r="AA493" s="54">
        <f t="shared" si="187"/>
        <v>19120.8</v>
      </c>
      <c r="AB493" s="54"/>
      <c r="AC493" s="54"/>
      <c r="AD493" s="54"/>
      <c r="AE493" s="54">
        <f t="shared" si="188"/>
        <v>19120.8</v>
      </c>
      <c r="AF493" s="54">
        <f t="shared" si="189"/>
        <v>88156.983594854188</v>
      </c>
      <c r="AG493" s="49">
        <f t="shared" si="190"/>
        <v>844365.60000000009</v>
      </c>
      <c r="AH493" s="49">
        <f t="shared" si="191"/>
        <v>1055457</v>
      </c>
    </row>
    <row r="494" spans="1:34" s="56" customFormat="1">
      <c r="A494" s="62" t="s">
        <v>596</v>
      </c>
      <c r="B494" s="62"/>
      <c r="C494" s="62"/>
      <c r="D494" s="62"/>
      <c r="E494" s="141">
        <v>1</v>
      </c>
      <c r="F494" s="142"/>
      <c r="G494" s="143">
        <v>0.2</v>
      </c>
      <c r="H494" s="143">
        <v>0</v>
      </c>
      <c r="I494" s="49">
        <v>22438</v>
      </c>
      <c r="J494" s="49">
        <f t="shared" si="180"/>
        <v>18780.606</v>
      </c>
      <c r="K494" s="49">
        <f t="shared" si="181"/>
        <v>15024.4848</v>
      </c>
      <c r="L494" s="58"/>
      <c r="M494" s="141">
        <v>0</v>
      </c>
      <c r="N494" s="50">
        <f t="shared" si="182"/>
        <v>0</v>
      </c>
      <c r="O494" s="50">
        <f t="shared" si="183"/>
        <v>0</v>
      </c>
      <c r="P494" s="59"/>
      <c r="Q494" s="141">
        <v>0</v>
      </c>
      <c r="R494" s="50">
        <f t="shared" si="184"/>
        <v>0</v>
      </c>
      <c r="S494" s="51">
        <f t="shared" si="185"/>
        <v>0</v>
      </c>
      <c r="T494" s="63">
        <v>25</v>
      </c>
      <c r="U494" s="61" t="s">
        <v>81</v>
      </c>
      <c r="V494" s="53">
        <f>SUMIF('Avoided Costs 2014-2023'!$A:$A,'2014 Actuals'!U494&amp;ROUNDDOWN('2014 Actuals'!T494,0),'Avoided Costs 2014-2023'!$E:$E)*K494</f>
        <v>47722.024351731525</v>
      </c>
      <c r="W494" s="53">
        <f>SUMIF('Avoided Costs 2014-2023'!$A:$A,'2014 Actuals'!U494&amp;ROUNDDOWN('2014 Actuals'!T494,0),'Avoided Costs 2014-2023'!$K:$K)*O494</f>
        <v>0</v>
      </c>
      <c r="X494" s="53">
        <f>SUMIF('Avoided Costs 2014-2023'!$A:$A,'2014 Actuals'!U494&amp;ROUNDDOWN('2014 Actuals'!T494,0),'Avoided Costs 2014-2023'!$M:$M)*S494</f>
        <v>0</v>
      </c>
      <c r="Y494" s="53">
        <f t="shared" si="186"/>
        <v>47722.024351731525</v>
      </c>
      <c r="Z494" s="55">
        <v>10774</v>
      </c>
      <c r="AA494" s="54">
        <f t="shared" si="187"/>
        <v>8619.2000000000007</v>
      </c>
      <c r="AB494" s="54"/>
      <c r="AC494" s="54"/>
      <c r="AD494" s="54"/>
      <c r="AE494" s="54">
        <f t="shared" si="188"/>
        <v>8619.2000000000007</v>
      </c>
      <c r="AF494" s="54">
        <f t="shared" si="189"/>
        <v>39102.824351731528</v>
      </c>
      <c r="AG494" s="49">
        <f t="shared" si="190"/>
        <v>375612.12</v>
      </c>
      <c r="AH494" s="49">
        <f t="shared" si="191"/>
        <v>469515.15</v>
      </c>
    </row>
    <row r="495" spans="1:34" s="56" customFormat="1">
      <c r="A495" s="136" t="s">
        <v>597</v>
      </c>
      <c r="B495" s="136"/>
      <c r="C495" s="136"/>
      <c r="D495" s="136"/>
      <c r="E495" s="137">
        <v>1</v>
      </c>
      <c r="F495" s="138"/>
      <c r="G495" s="139">
        <v>0.2</v>
      </c>
      <c r="H495" s="139">
        <v>0</v>
      </c>
      <c r="I495" s="49">
        <v>22222</v>
      </c>
      <c r="J495" s="49">
        <f t="shared" si="180"/>
        <v>18599.813999999998</v>
      </c>
      <c r="K495" s="49">
        <f t="shared" si="181"/>
        <v>14879.851199999999</v>
      </c>
      <c r="L495" s="138"/>
      <c r="M495" s="137">
        <v>0</v>
      </c>
      <c r="N495" s="50">
        <f t="shared" si="182"/>
        <v>0</v>
      </c>
      <c r="O495" s="50">
        <f t="shared" si="183"/>
        <v>0</v>
      </c>
      <c r="P495" s="140"/>
      <c r="Q495" s="137">
        <v>0</v>
      </c>
      <c r="R495" s="50">
        <f t="shared" si="184"/>
        <v>0</v>
      </c>
      <c r="S495" s="51">
        <f t="shared" si="185"/>
        <v>0</v>
      </c>
      <c r="T495" s="63">
        <v>25</v>
      </c>
      <c r="U495" s="52" t="s">
        <v>81</v>
      </c>
      <c r="V495" s="53">
        <f>SUMIF('Avoided Costs 2014-2023'!$A:$A,'2014 Actuals'!U495&amp;ROUNDDOWN('2014 Actuals'!T495,0),'Avoided Costs 2014-2023'!$E:$E)*K495</f>
        <v>47262.627023093759</v>
      </c>
      <c r="W495" s="53">
        <f>SUMIF('Avoided Costs 2014-2023'!$A:$A,'2014 Actuals'!U495&amp;ROUNDDOWN('2014 Actuals'!T495,0),'Avoided Costs 2014-2023'!$K:$K)*O495</f>
        <v>0</v>
      </c>
      <c r="X495" s="53">
        <f>SUMIF('Avoided Costs 2014-2023'!$A:$A,'2014 Actuals'!U495&amp;ROUNDDOWN('2014 Actuals'!T495,0),'Avoided Costs 2014-2023'!$M:$M)*S495</f>
        <v>0</v>
      </c>
      <c r="Y495" s="53">
        <f t="shared" si="186"/>
        <v>47262.627023093759</v>
      </c>
      <c r="Z495" s="55">
        <v>25052</v>
      </c>
      <c r="AA495" s="54">
        <f t="shared" si="187"/>
        <v>20041.600000000002</v>
      </c>
      <c r="AB495" s="54"/>
      <c r="AC495" s="54"/>
      <c r="AD495" s="54"/>
      <c r="AE495" s="54">
        <f t="shared" si="188"/>
        <v>20041.600000000002</v>
      </c>
      <c r="AF495" s="54">
        <f t="shared" si="189"/>
        <v>27221.027023093757</v>
      </c>
      <c r="AG495" s="49">
        <f t="shared" si="190"/>
        <v>371996.27999999997</v>
      </c>
      <c r="AH495" s="49">
        <f t="shared" si="191"/>
        <v>464995.35</v>
      </c>
    </row>
    <row r="496" spans="1:34" s="56" customFormat="1">
      <c r="A496" s="62" t="s">
        <v>598</v>
      </c>
      <c r="B496" s="62"/>
      <c r="C496" s="62"/>
      <c r="D496" s="62"/>
      <c r="E496" s="141">
        <v>0</v>
      </c>
      <c r="F496" s="142"/>
      <c r="G496" s="143">
        <v>0.2</v>
      </c>
      <c r="H496" s="143">
        <v>0</v>
      </c>
      <c r="I496" s="49">
        <v>39497</v>
      </c>
      <c r="J496" s="49">
        <f t="shared" si="180"/>
        <v>33058.989000000001</v>
      </c>
      <c r="K496" s="49">
        <f t="shared" si="181"/>
        <v>26447.191200000001</v>
      </c>
      <c r="L496" s="58"/>
      <c r="M496" s="141">
        <v>0</v>
      </c>
      <c r="N496" s="50">
        <f t="shared" si="182"/>
        <v>0</v>
      </c>
      <c r="O496" s="50">
        <f t="shared" si="183"/>
        <v>0</v>
      </c>
      <c r="P496" s="59"/>
      <c r="Q496" s="141">
        <v>0</v>
      </c>
      <c r="R496" s="50">
        <f t="shared" si="184"/>
        <v>0</v>
      </c>
      <c r="S496" s="51">
        <f t="shared" si="185"/>
        <v>0</v>
      </c>
      <c r="T496" s="63">
        <v>25</v>
      </c>
      <c r="U496" s="61" t="s">
        <v>94</v>
      </c>
      <c r="V496" s="53">
        <f>SUMIF('Avoided Costs 2014-2023'!$A:$A,'2014 Actuals'!U496&amp;ROUNDDOWN('2014 Actuals'!T496,0),'Avoided Costs 2014-2023'!$E:$E)*K496</f>
        <v>78700.150779240474</v>
      </c>
      <c r="W496" s="53">
        <f>SUMIF('Avoided Costs 2014-2023'!$A:$A,'2014 Actuals'!U496&amp;ROUNDDOWN('2014 Actuals'!T496,0),'Avoided Costs 2014-2023'!$K:$K)*O496</f>
        <v>0</v>
      </c>
      <c r="X496" s="53">
        <f>SUMIF('Avoided Costs 2014-2023'!$A:$A,'2014 Actuals'!U496&amp;ROUNDDOWN('2014 Actuals'!T496,0),'Avoided Costs 2014-2023'!$M:$M)*S496</f>
        <v>0</v>
      </c>
      <c r="Y496" s="53">
        <f t="shared" si="186"/>
        <v>78700.150779240474</v>
      </c>
      <c r="Z496" s="55">
        <v>1786</v>
      </c>
      <c r="AA496" s="54">
        <f t="shared" si="187"/>
        <v>1428.8000000000002</v>
      </c>
      <c r="AB496" s="54"/>
      <c r="AC496" s="54"/>
      <c r="AD496" s="54"/>
      <c r="AE496" s="54">
        <f t="shared" si="188"/>
        <v>1428.8000000000002</v>
      </c>
      <c r="AF496" s="54">
        <f t="shared" si="189"/>
        <v>77271.350779240471</v>
      </c>
      <c r="AG496" s="49">
        <f t="shared" si="190"/>
        <v>661179.78</v>
      </c>
      <c r="AH496" s="49">
        <f t="shared" si="191"/>
        <v>826474.72500000009</v>
      </c>
    </row>
    <row r="497" spans="1:34" s="56" customFormat="1">
      <c r="A497" s="62" t="s">
        <v>599</v>
      </c>
      <c r="B497" s="62"/>
      <c r="C497" s="62"/>
      <c r="D497" s="62"/>
      <c r="E497" s="141">
        <v>1</v>
      </c>
      <c r="F497" s="142"/>
      <c r="G497" s="143">
        <v>0.2</v>
      </c>
      <c r="H497" s="143">
        <v>0</v>
      </c>
      <c r="I497" s="49">
        <v>58968</v>
      </c>
      <c r="J497" s="49">
        <f t="shared" si="180"/>
        <v>49356.216</v>
      </c>
      <c r="K497" s="49">
        <f t="shared" si="181"/>
        <v>39484.972800000003</v>
      </c>
      <c r="L497" s="58"/>
      <c r="M497" s="141">
        <v>60620</v>
      </c>
      <c r="N497" s="50">
        <f t="shared" si="182"/>
        <v>60620</v>
      </c>
      <c r="O497" s="50">
        <f t="shared" si="183"/>
        <v>48496</v>
      </c>
      <c r="P497" s="59"/>
      <c r="Q497" s="141">
        <v>0</v>
      </c>
      <c r="R497" s="50">
        <f t="shared" si="184"/>
        <v>0</v>
      </c>
      <c r="S497" s="51">
        <f t="shared" si="185"/>
        <v>0</v>
      </c>
      <c r="T497" s="63">
        <v>15</v>
      </c>
      <c r="U497" s="61" t="s">
        <v>81</v>
      </c>
      <c r="V497" s="53">
        <f>SUMIF('Avoided Costs 2014-2023'!$A:$A,'2014 Actuals'!U497&amp;ROUNDDOWN('2014 Actuals'!T497,0),'Avoided Costs 2014-2023'!$E:$E)*K497</f>
        <v>91402.654611329825</v>
      </c>
      <c r="W497" s="53">
        <f>SUMIF('Avoided Costs 2014-2023'!$A:$A,'2014 Actuals'!U497&amp;ROUNDDOWN('2014 Actuals'!T497,0),'Avoided Costs 2014-2023'!$K:$K)*O497</f>
        <v>57345.567670717952</v>
      </c>
      <c r="X497" s="53">
        <f>SUMIF('Avoided Costs 2014-2023'!$A:$A,'2014 Actuals'!U497&amp;ROUNDDOWN('2014 Actuals'!T497,0),'Avoided Costs 2014-2023'!$M:$M)*S497</f>
        <v>0</v>
      </c>
      <c r="Y497" s="53">
        <f t="shared" si="186"/>
        <v>148748.22228204779</v>
      </c>
      <c r="Z497" s="55">
        <v>20000</v>
      </c>
      <c r="AA497" s="54">
        <f t="shared" si="187"/>
        <v>16000</v>
      </c>
      <c r="AB497" s="54"/>
      <c r="AC497" s="54"/>
      <c r="AD497" s="54"/>
      <c r="AE497" s="54">
        <f t="shared" si="188"/>
        <v>16000</v>
      </c>
      <c r="AF497" s="54">
        <f t="shared" si="189"/>
        <v>132748.22228204779</v>
      </c>
      <c r="AG497" s="49">
        <f t="shared" si="190"/>
        <v>592274.59200000006</v>
      </c>
      <c r="AH497" s="49">
        <f t="shared" si="191"/>
        <v>740343.24</v>
      </c>
    </row>
    <row r="498" spans="1:34" s="56" customFormat="1">
      <c r="A498" s="62" t="s">
        <v>600</v>
      </c>
      <c r="B498" s="62"/>
      <c r="C498" s="62"/>
      <c r="D498" s="62"/>
      <c r="E498" s="141">
        <v>0</v>
      </c>
      <c r="F498" s="142"/>
      <c r="G498" s="143">
        <v>0.2</v>
      </c>
      <c r="H498" s="143">
        <v>0</v>
      </c>
      <c r="I498" s="49">
        <v>12638</v>
      </c>
      <c r="J498" s="49">
        <f t="shared" si="180"/>
        <v>10578.005999999999</v>
      </c>
      <c r="K498" s="49">
        <f t="shared" si="181"/>
        <v>8462.4048000000003</v>
      </c>
      <c r="L498" s="58"/>
      <c r="M498" s="141">
        <v>0</v>
      </c>
      <c r="N498" s="50">
        <f t="shared" si="182"/>
        <v>0</v>
      </c>
      <c r="O498" s="50">
        <f t="shared" si="183"/>
        <v>0</v>
      </c>
      <c r="P498" s="59"/>
      <c r="Q498" s="141">
        <v>0</v>
      </c>
      <c r="R498" s="50">
        <f t="shared" si="184"/>
        <v>0</v>
      </c>
      <c r="S498" s="51">
        <f t="shared" si="185"/>
        <v>0</v>
      </c>
      <c r="T498" s="63">
        <v>25</v>
      </c>
      <c r="U498" s="61" t="s">
        <v>81</v>
      </c>
      <c r="V498" s="53">
        <f>SUMIF('Avoided Costs 2014-2023'!$A:$A,'2014 Actuals'!U498&amp;ROUNDDOWN('2014 Actuals'!T498,0),'Avoided Costs 2014-2023'!$E:$E)*K498</f>
        <v>26878.997404277699</v>
      </c>
      <c r="W498" s="53">
        <f>SUMIF('Avoided Costs 2014-2023'!$A:$A,'2014 Actuals'!U498&amp;ROUNDDOWN('2014 Actuals'!T498,0),'Avoided Costs 2014-2023'!$K:$K)*O498</f>
        <v>0</v>
      </c>
      <c r="X498" s="53">
        <f>SUMIF('Avoided Costs 2014-2023'!$A:$A,'2014 Actuals'!U498&amp;ROUNDDOWN('2014 Actuals'!T498,0),'Avoided Costs 2014-2023'!$M:$M)*S498</f>
        <v>0</v>
      </c>
      <c r="Y498" s="53">
        <f t="shared" si="186"/>
        <v>26878.997404277699</v>
      </c>
      <c r="Z498" s="55">
        <v>31184</v>
      </c>
      <c r="AA498" s="54">
        <f t="shared" si="187"/>
        <v>24947.200000000001</v>
      </c>
      <c r="AB498" s="54"/>
      <c r="AC498" s="54"/>
      <c r="AD498" s="54"/>
      <c r="AE498" s="54">
        <f t="shared" si="188"/>
        <v>24947.200000000001</v>
      </c>
      <c r="AF498" s="54">
        <f t="shared" si="189"/>
        <v>1931.7974042776987</v>
      </c>
      <c r="AG498" s="49">
        <f t="shared" si="190"/>
        <v>211560.12</v>
      </c>
      <c r="AH498" s="49">
        <f t="shared" si="191"/>
        <v>264450.14999999997</v>
      </c>
    </row>
    <row r="499" spans="1:34" s="56" customFormat="1">
      <c r="A499" s="62" t="s">
        <v>601</v>
      </c>
      <c r="B499" s="62"/>
      <c r="C499" s="62"/>
      <c r="D499" s="62"/>
      <c r="E499" s="141">
        <v>1</v>
      </c>
      <c r="F499" s="142"/>
      <c r="G499" s="143">
        <v>0.2</v>
      </c>
      <c r="H499" s="143">
        <v>0</v>
      </c>
      <c r="I499" s="49">
        <v>12978</v>
      </c>
      <c r="J499" s="49">
        <f t="shared" si="180"/>
        <v>10862.585999999999</v>
      </c>
      <c r="K499" s="49">
        <f t="shared" si="181"/>
        <v>8690.0687999999991</v>
      </c>
      <c r="L499" s="58"/>
      <c r="M499" s="141">
        <v>0</v>
      </c>
      <c r="N499" s="50">
        <f t="shared" si="182"/>
        <v>0</v>
      </c>
      <c r="O499" s="50">
        <f t="shared" si="183"/>
        <v>0</v>
      </c>
      <c r="P499" s="59"/>
      <c r="Q499" s="141">
        <v>0</v>
      </c>
      <c r="R499" s="50">
        <f t="shared" si="184"/>
        <v>0</v>
      </c>
      <c r="S499" s="51">
        <f t="shared" si="185"/>
        <v>0</v>
      </c>
      <c r="T499" s="63">
        <v>25</v>
      </c>
      <c r="U499" s="61" t="s">
        <v>94</v>
      </c>
      <c r="V499" s="53">
        <f>SUMIF('Avoided Costs 2014-2023'!$A:$A,'2014 Actuals'!U499&amp;ROUNDDOWN('2014 Actuals'!T499,0),'Avoided Costs 2014-2023'!$E:$E)*K499</f>
        <v>25859.446459553452</v>
      </c>
      <c r="W499" s="53">
        <f>SUMIF('Avoided Costs 2014-2023'!$A:$A,'2014 Actuals'!U499&amp;ROUNDDOWN('2014 Actuals'!T499,0),'Avoided Costs 2014-2023'!$K:$K)*O499</f>
        <v>0</v>
      </c>
      <c r="X499" s="53">
        <f>SUMIF('Avoided Costs 2014-2023'!$A:$A,'2014 Actuals'!U499&amp;ROUNDDOWN('2014 Actuals'!T499,0),'Avoided Costs 2014-2023'!$M:$M)*S499</f>
        <v>0</v>
      </c>
      <c r="Y499" s="53">
        <f t="shared" si="186"/>
        <v>25859.446459553452</v>
      </c>
      <c r="Z499" s="55">
        <v>17012</v>
      </c>
      <c r="AA499" s="54">
        <f t="shared" si="187"/>
        <v>13609.6</v>
      </c>
      <c r="AB499" s="54"/>
      <c r="AC499" s="54"/>
      <c r="AD499" s="54"/>
      <c r="AE499" s="54">
        <f t="shared" si="188"/>
        <v>13609.6</v>
      </c>
      <c r="AF499" s="54">
        <f t="shared" si="189"/>
        <v>12249.846459553451</v>
      </c>
      <c r="AG499" s="49">
        <f t="shared" si="190"/>
        <v>217251.71999999997</v>
      </c>
      <c r="AH499" s="49">
        <f t="shared" si="191"/>
        <v>271564.64999999997</v>
      </c>
    </row>
    <row r="500" spans="1:34" s="56" customFormat="1">
      <c r="A500" s="62" t="s">
        <v>602</v>
      </c>
      <c r="B500" s="62"/>
      <c r="C500" s="62"/>
      <c r="D500" s="62"/>
      <c r="E500" s="141">
        <v>0</v>
      </c>
      <c r="F500" s="142"/>
      <c r="G500" s="143">
        <v>0.2</v>
      </c>
      <c r="H500" s="143">
        <v>0</v>
      </c>
      <c r="I500" s="49">
        <v>40312</v>
      </c>
      <c r="J500" s="49">
        <f t="shared" si="180"/>
        <v>33741.144</v>
      </c>
      <c r="K500" s="49">
        <f t="shared" si="181"/>
        <v>26992.915200000003</v>
      </c>
      <c r="L500" s="58"/>
      <c r="M500" s="141">
        <v>0</v>
      </c>
      <c r="N500" s="50">
        <f t="shared" si="182"/>
        <v>0</v>
      </c>
      <c r="O500" s="50">
        <f t="shared" si="183"/>
        <v>0</v>
      </c>
      <c r="P500" s="59"/>
      <c r="Q500" s="141">
        <v>0</v>
      </c>
      <c r="R500" s="50">
        <f t="shared" si="184"/>
        <v>0</v>
      </c>
      <c r="S500" s="51">
        <f t="shared" si="185"/>
        <v>0</v>
      </c>
      <c r="T500" s="63">
        <v>18.634</v>
      </c>
      <c r="U500" s="61" t="s">
        <v>94</v>
      </c>
      <c r="V500" s="53">
        <f>SUMIF('Avoided Costs 2014-2023'!$A:$A,'2014 Actuals'!U500&amp;ROUNDDOWN('2014 Actuals'!T500,0),'Avoided Costs 2014-2023'!$E:$E)*K500</f>
        <v>66183.805235325068</v>
      </c>
      <c r="W500" s="53">
        <f>SUMIF('Avoided Costs 2014-2023'!$A:$A,'2014 Actuals'!U500&amp;ROUNDDOWN('2014 Actuals'!T500,0),'Avoided Costs 2014-2023'!$K:$K)*O500</f>
        <v>0</v>
      </c>
      <c r="X500" s="53">
        <f>SUMIF('Avoided Costs 2014-2023'!$A:$A,'2014 Actuals'!U500&amp;ROUNDDOWN('2014 Actuals'!T500,0),'Avoided Costs 2014-2023'!$M:$M)*S500</f>
        <v>0</v>
      </c>
      <c r="Y500" s="53">
        <f t="shared" si="186"/>
        <v>66183.805235325068</v>
      </c>
      <c r="Z500" s="55">
        <v>27695.5</v>
      </c>
      <c r="AA500" s="54">
        <f t="shared" si="187"/>
        <v>22156.400000000001</v>
      </c>
      <c r="AB500" s="54"/>
      <c r="AC500" s="54"/>
      <c r="AD500" s="54"/>
      <c r="AE500" s="54">
        <f t="shared" si="188"/>
        <v>22156.400000000001</v>
      </c>
      <c r="AF500" s="54">
        <f t="shared" si="189"/>
        <v>44027.405235325066</v>
      </c>
      <c r="AG500" s="49">
        <f t="shared" si="190"/>
        <v>502985.98183680006</v>
      </c>
      <c r="AH500" s="49">
        <f t="shared" si="191"/>
        <v>628732.477296</v>
      </c>
    </row>
    <row r="501" spans="1:34" s="56" customFormat="1">
      <c r="A501" s="62" t="s">
        <v>603</v>
      </c>
      <c r="B501" s="62"/>
      <c r="C501" s="62"/>
      <c r="D501" s="62"/>
      <c r="E501" s="141">
        <v>1</v>
      </c>
      <c r="F501" s="142"/>
      <c r="G501" s="143">
        <v>0.2</v>
      </c>
      <c r="H501" s="143">
        <v>0</v>
      </c>
      <c r="I501" s="49">
        <v>84249</v>
      </c>
      <c r="J501" s="49">
        <f t="shared" si="180"/>
        <v>70516.413</v>
      </c>
      <c r="K501" s="49">
        <f t="shared" si="181"/>
        <v>56413.130400000002</v>
      </c>
      <c r="L501" s="58"/>
      <c r="M501" s="141">
        <v>0</v>
      </c>
      <c r="N501" s="50">
        <f t="shared" si="182"/>
        <v>0</v>
      </c>
      <c r="O501" s="50">
        <f t="shared" si="183"/>
        <v>0</v>
      </c>
      <c r="P501" s="59"/>
      <c r="Q501" s="141">
        <v>0</v>
      </c>
      <c r="R501" s="50">
        <f t="shared" si="184"/>
        <v>0</v>
      </c>
      <c r="S501" s="51">
        <f t="shared" si="185"/>
        <v>0</v>
      </c>
      <c r="T501" s="63">
        <v>18.991</v>
      </c>
      <c r="U501" s="61" t="s">
        <v>81</v>
      </c>
      <c r="V501" s="53">
        <f>SUMIF('Avoided Costs 2014-2023'!$A:$A,'2014 Actuals'!U501&amp;ROUNDDOWN('2014 Actuals'!T501,0),'Avoided Costs 2014-2023'!$E:$E)*K501</f>
        <v>147677.17649604831</v>
      </c>
      <c r="W501" s="53">
        <f>SUMIF('Avoided Costs 2014-2023'!$A:$A,'2014 Actuals'!U501&amp;ROUNDDOWN('2014 Actuals'!T501,0),'Avoided Costs 2014-2023'!$K:$K)*O501</f>
        <v>0</v>
      </c>
      <c r="X501" s="53">
        <f>SUMIF('Avoided Costs 2014-2023'!$A:$A,'2014 Actuals'!U501&amp;ROUNDDOWN('2014 Actuals'!T501,0),'Avoided Costs 2014-2023'!$M:$M)*S501</f>
        <v>0</v>
      </c>
      <c r="Y501" s="53">
        <f t="shared" si="186"/>
        <v>147677.17649604831</v>
      </c>
      <c r="Z501" s="55">
        <v>52999.5</v>
      </c>
      <c r="AA501" s="54">
        <f t="shared" si="187"/>
        <v>42399.600000000006</v>
      </c>
      <c r="AB501" s="54"/>
      <c r="AC501" s="54"/>
      <c r="AD501" s="54"/>
      <c r="AE501" s="54">
        <f t="shared" si="188"/>
        <v>42399.600000000006</v>
      </c>
      <c r="AF501" s="54">
        <f t="shared" si="189"/>
        <v>105277.57649604831</v>
      </c>
      <c r="AG501" s="49">
        <f t="shared" si="190"/>
        <v>1071341.7594264001</v>
      </c>
      <c r="AH501" s="49">
        <f t="shared" si="191"/>
        <v>1339177.1992830001</v>
      </c>
    </row>
    <row r="502" spans="1:34" s="56" customFormat="1">
      <c r="A502" s="62" t="s">
        <v>604</v>
      </c>
      <c r="B502" s="62"/>
      <c r="C502" s="62"/>
      <c r="D502" s="62"/>
      <c r="E502" s="141">
        <v>0</v>
      </c>
      <c r="F502" s="142"/>
      <c r="G502" s="143">
        <v>0.2</v>
      </c>
      <c r="H502" s="143">
        <v>0</v>
      </c>
      <c r="I502" s="49">
        <v>4493</v>
      </c>
      <c r="J502" s="49">
        <f t="shared" si="180"/>
        <v>3760.6409999999996</v>
      </c>
      <c r="K502" s="49">
        <f t="shared" si="181"/>
        <v>3008.5128</v>
      </c>
      <c r="L502" s="58"/>
      <c r="M502" s="141">
        <v>0</v>
      </c>
      <c r="N502" s="50">
        <f t="shared" si="182"/>
        <v>0</v>
      </c>
      <c r="O502" s="50">
        <f t="shared" si="183"/>
        <v>0</v>
      </c>
      <c r="P502" s="59"/>
      <c r="Q502" s="141">
        <v>0</v>
      </c>
      <c r="R502" s="50">
        <f t="shared" si="184"/>
        <v>0</v>
      </c>
      <c r="S502" s="51">
        <f t="shared" si="185"/>
        <v>0</v>
      </c>
      <c r="T502" s="63">
        <v>25</v>
      </c>
      <c r="U502" s="61" t="s">
        <v>94</v>
      </c>
      <c r="V502" s="53">
        <f>SUMIF('Avoided Costs 2014-2023'!$A:$A,'2014 Actuals'!U502&amp;ROUNDDOWN('2014 Actuals'!T502,0),'Avoided Costs 2014-2023'!$E:$E)*K502</f>
        <v>8952.5730422849192</v>
      </c>
      <c r="W502" s="53">
        <f>SUMIF('Avoided Costs 2014-2023'!$A:$A,'2014 Actuals'!U502&amp;ROUNDDOWN('2014 Actuals'!T502,0),'Avoided Costs 2014-2023'!$K:$K)*O502</f>
        <v>0</v>
      </c>
      <c r="X502" s="53">
        <f>SUMIF('Avoided Costs 2014-2023'!$A:$A,'2014 Actuals'!U502&amp;ROUNDDOWN('2014 Actuals'!T502,0),'Avoided Costs 2014-2023'!$M:$M)*S502</f>
        <v>0</v>
      </c>
      <c r="Y502" s="53">
        <f t="shared" si="186"/>
        <v>8952.5730422849192</v>
      </c>
      <c r="Z502" s="55">
        <v>17210</v>
      </c>
      <c r="AA502" s="54">
        <f t="shared" si="187"/>
        <v>13768</v>
      </c>
      <c r="AB502" s="54"/>
      <c r="AC502" s="54"/>
      <c r="AD502" s="54"/>
      <c r="AE502" s="54">
        <f t="shared" si="188"/>
        <v>13768</v>
      </c>
      <c r="AF502" s="54">
        <f t="shared" si="189"/>
        <v>-4815.4269577150808</v>
      </c>
      <c r="AG502" s="49">
        <f t="shared" si="190"/>
        <v>75212.819999999992</v>
      </c>
      <c r="AH502" s="49">
        <f t="shared" si="191"/>
        <v>94016.024999999994</v>
      </c>
    </row>
    <row r="503" spans="1:34" s="56" customFormat="1">
      <c r="A503" s="62" t="s">
        <v>605</v>
      </c>
      <c r="B503" s="62"/>
      <c r="C503" s="62"/>
      <c r="D503" s="62"/>
      <c r="E503" s="141">
        <v>1</v>
      </c>
      <c r="F503" s="142"/>
      <c r="G503" s="143">
        <v>0.2</v>
      </c>
      <c r="H503" s="143">
        <v>0</v>
      </c>
      <c r="I503" s="49">
        <v>25084</v>
      </c>
      <c r="J503" s="49">
        <f t="shared" si="180"/>
        <v>20995.308000000001</v>
      </c>
      <c r="K503" s="49">
        <f t="shared" si="181"/>
        <v>16796.2464</v>
      </c>
      <c r="L503" s="58"/>
      <c r="M503" s="141">
        <v>0</v>
      </c>
      <c r="N503" s="50">
        <f t="shared" si="182"/>
        <v>0</v>
      </c>
      <c r="O503" s="50">
        <f t="shared" si="183"/>
        <v>0</v>
      </c>
      <c r="P503" s="59"/>
      <c r="Q503" s="141">
        <v>0</v>
      </c>
      <c r="R503" s="50">
        <f t="shared" si="184"/>
        <v>0</v>
      </c>
      <c r="S503" s="51">
        <f t="shared" si="185"/>
        <v>0</v>
      </c>
      <c r="T503" s="63">
        <v>25</v>
      </c>
      <c r="U503" s="61" t="s">
        <v>81</v>
      </c>
      <c r="V503" s="53">
        <f>SUMIF('Avoided Costs 2014-2023'!$A:$A,'2014 Actuals'!U503&amp;ROUNDDOWN('2014 Actuals'!T503,0),'Avoided Costs 2014-2023'!$E:$E)*K503</f>
        <v>53349.641627544057</v>
      </c>
      <c r="W503" s="53">
        <f>SUMIF('Avoided Costs 2014-2023'!$A:$A,'2014 Actuals'!U503&amp;ROUNDDOWN('2014 Actuals'!T503,0),'Avoided Costs 2014-2023'!$K:$K)*O503</f>
        <v>0</v>
      </c>
      <c r="X503" s="53">
        <f>SUMIF('Avoided Costs 2014-2023'!$A:$A,'2014 Actuals'!U503&amp;ROUNDDOWN('2014 Actuals'!T503,0),'Avoided Costs 2014-2023'!$M:$M)*S503</f>
        <v>0</v>
      </c>
      <c r="Y503" s="53">
        <f t="shared" si="186"/>
        <v>53349.641627544057</v>
      </c>
      <c r="Z503" s="55">
        <v>23432</v>
      </c>
      <c r="AA503" s="54">
        <f t="shared" si="187"/>
        <v>18745.600000000002</v>
      </c>
      <c r="AB503" s="54"/>
      <c r="AC503" s="54"/>
      <c r="AD503" s="54"/>
      <c r="AE503" s="54">
        <f t="shared" si="188"/>
        <v>18745.600000000002</v>
      </c>
      <c r="AF503" s="54">
        <f t="shared" si="189"/>
        <v>34604.041627544051</v>
      </c>
      <c r="AG503" s="49">
        <f t="shared" si="190"/>
        <v>419906.16</v>
      </c>
      <c r="AH503" s="49">
        <f t="shared" si="191"/>
        <v>524882.70000000007</v>
      </c>
    </row>
    <row r="504" spans="1:34" s="56" customFormat="1">
      <c r="A504" s="62" t="s">
        <v>606</v>
      </c>
      <c r="B504" s="62"/>
      <c r="C504" s="62"/>
      <c r="D504" s="62"/>
      <c r="E504" s="141">
        <v>1</v>
      </c>
      <c r="F504" s="142"/>
      <c r="G504" s="143">
        <v>0.2</v>
      </c>
      <c r="H504" s="143">
        <v>0</v>
      </c>
      <c r="I504" s="49">
        <v>95463</v>
      </c>
      <c r="J504" s="49">
        <f t="shared" si="180"/>
        <v>79902.531000000003</v>
      </c>
      <c r="K504" s="49">
        <f t="shared" si="181"/>
        <v>63922.024800000007</v>
      </c>
      <c r="L504" s="58"/>
      <c r="M504" s="141">
        <v>0</v>
      </c>
      <c r="N504" s="50">
        <f t="shared" si="182"/>
        <v>0</v>
      </c>
      <c r="O504" s="50">
        <f t="shared" si="183"/>
        <v>0</v>
      </c>
      <c r="P504" s="59"/>
      <c r="Q504" s="141">
        <v>0</v>
      </c>
      <c r="R504" s="50">
        <f t="shared" si="184"/>
        <v>0</v>
      </c>
      <c r="S504" s="51">
        <f t="shared" si="185"/>
        <v>0</v>
      </c>
      <c r="T504" s="63">
        <v>25</v>
      </c>
      <c r="U504" s="61" t="s">
        <v>81</v>
      </c>
      <c r="V504" s="53">
        <f>SUMIF('Avoided Costs 2014-2023'!$A:$A,'2014 Actuals'!U504&amp;ROUNDDOWN('2014 Actuals'!T504,0),'Avoided Costs 2014-2023'!$E:$E)*K504</f>
        <v>203034.47770252905</v>
      </c>
      <c r="W504" s="53">
        <f>SUMIF('Avoided Costs 2014-2023'!$A:$A,'2014 Actuals'!U504&amp;ROUNDDOWN('2014 Actuals'!T504,0),'Avoided Costs 2014-2023'!$K:$K)*O504</f>
        <v>0</v>
      </c>
      <c r="X504" s="53">
        <f>SUMIF('Avoided Costs 2014-2023'!$A:$A,'2014 Actuals'!U504&amp;ROUNDDOWN('2014 Actuals'!T504,0),'Avoided Costs 2014-2023'!$M:$M)*S504</f>
        <v>0</v>
      </c>
      <c r="Y504" s="53">
        <f t="shared" si="186"/>
        <v>203034.47770252905</v>
      </c>
      <c r="Z504" s="55">
        <v>18859</v>
      </c>
      <c r="AA504" s="54">
        <f t="shared" si="187"/>
        <v>15087.2</v>
      </c>
      <c r="AB504" s="54"/>
      <c r="AC504" s="54"/>
      <c r="AD504" s="54"/>
      <c r="AE504" s="54">
        <f t="shared" si="188"/>
        <v>15087.2</v>
      </c>
      <c r="AF504" s="54">
        <f t="shared" si="189"/>
        <v>187947.27770252904</v>
      </c>
      <c r="AG504" s="49">
        <f t="shared" si="190"/>
        <v>1598050.62</v>
      </c>
      <c r="AH504" s="49">
        <f t="shared" si="191"/>
        <v>1997563.2750000001</v>
      </c>
    </row>
    <row r="505" spans="1:34" s="56" customFormat="1">
      <c r="A505" s="62" t="s">
        <v>607</v>
      </c>
      <c r="B505" s="62"/>
      <c r="C505" s="62"/>
      <c r="D505" s="62"/>
      <c r="E505" s="141">
        <v>1</v>
      </c>
      <c r="F505" s="142"/>
      <c r="G505" s="143">
        <v>0.2</v>
      </c>
      <c r="H505" s="143">
        <v>0</v>
      </c>
      <c r="I505" s="49">
        <v>32318</v>
      </c>
      <c r="J505" s="49">
        <f t="shared" si="180"/>
        <v>27050.165999999997</v>
      </c>
      <c r="K505" s="49">
        <f t="shared" si="181"/>
        <v>21640.132799999999</v>
      </c>
      <c r="L505" s="58"/>
      <c r="M505" s="141">
        <v>0</v>
      </c>
      <c r="N505" s="50">
        <f t="shared" si="182"/>
        <v>0</v>
      </c>
      <c r="O505" s="50">
        <f t="shared" si="183"/>
        <v>0</v>
      </c>
      <c r="P505" s="59"/>
      <c r="Q505" s="141">
        <v>0</v>
      </c>
      <c r="R505" s="50">
        <f t="shared" si="184"/>
        <v>0</v>
      </c>
      <c r="S505" s="51">
        <f t="shared" si="185"/>
        <v>0</v>
      </c>
      <c r="T505" s="63">
        <v>25</v>
      </c>
      <c r="U505" s="61" t="s">
        <v>81</v>
      </c>
      <c r="V505" s="53">
        <f>SUMIF('Avoided Costs 2014-2023'!$A:$A,'2014 Actuals'!U505&amp;ROUNDDOWN('2014 Actuals'!T505,0),'Avoided Costs 2014-2023'!$E:$E)*K505</f>
        <v>68735.198457940074</v>
      </c>
      <c r="W505" s="53">
        <f>SUMIF('Avoided Costs 2014-2023'!$A:$A,'2014 Actuals'!U505&amp;ROUNDDOWN('2014 Actuals'!T505,0),'Avoided Costs 2014-2023'!$K:$K)*O505</f>
        <v>0</v>
      </c>
      <c r="X505" s="53">
        <f>SUMIF('Avoided Costs 2014-2023'!$A:$A,'2014 Actuals'!U505&amp;ROUNDDOWN('2014 Actuals'!T505,0),'Avoided Costs 2014-2023'!$M:$M)*S505</f>
        <v>0</v>
      </c>
      <c r="Y505" s="53">
        <f t="shared" si="186"/>
        <v>68735.198457940074</v>
      </c>
      <c r="Z505" s="55">
        <v>5343</v>
      </c>
      <c r="AA505" s="54">
        <f t="shared" si="187"/>
        <v>4274.4000000000005</v>
      </c>
      <c r="AB505" s="54"/>
      <c r="AC505" s="54"/>
      <c r="AD505" s="54"/>
      <c r="AE505" s="54">
        <f t="shared" si="188"/>
        <v>4274.4000000000005</v>
      </c>
      <c r="AF505" s="54">
        <f t="shared" si="189"/>
        <v>64460.798457940073</v>
      </c>
      <c r="AG505" s="49">
        <f t="shared" si="190"/>
        <v>541003.31999999995</v>
      </c>
      <c r="AH505" s="49">
        <f t="shared" si="191"/>
        <v>676254.14999999991</v>
      </c>
    </row>
    <row r="506" spans="1:34" s="56" customFormat="1">
      <c r="A506" s="62" t="s">
        <v>608</v>
      </c>
      <c r="B506" s="62"/>
      <c r="C506" s="62"/>
      <c r="D506" s="62"/>
      <c r="E506" s="141">
        <v>1</v>
      </c>
      <c r="F506" s="142"/>
      <c r="G506" s="143">
        <v>0.2</v>
      </c>
      <c r="H506" s="143">
        <v>0</v>
      </c>
      <c r="I506" s="49">
        <v>22788</v>
      </c>
      <c r="J506" s="49">
        <f t="shared" si="180"/>
        <v>19073.556</v>
      </c>
      <c r="K506" s="49">
        <f t="shared" si="181"/>
        <v>15258.844800000001</v>
      </c>
      <c r="L506" s="58"/>
      <c r="M506" s="141">
        <v>0</v>
      </c>
      <c r="N506" s="50">
        <f t="shared" si="182"/>
        <v>0</v>
      </c>
      <c r="O506" s="50">
        <f t="shared" si="183"/>
        <v>0</v>
      </c>
      <c r="P506" s="59"/>
      <c r="Q506" s="141">
        <v>0</v>
      </c>
      <c r="R506" s="50">
        <f t="shared" si="184"/>
        <v>0</v>
      </c>
      <c r="S506" s="51">
        <f t="shared" si="185"/>
        <v>0</v>
      </c>
      <c r="T506" s="63">
        <v>15</v>
      </c>
      <c r="U506" s="61" t="s">
        <v>81</v>
      </c>
      <c r="V506" s="53">
        <f>SUMIF('Avoided Costs 2014-2023'!$A:$A,'2014 Actuals'!U506&amp;ROUNDDOWN('2014 Actuals'!T506,0),'Avoided Costs 2014-2023'!$E:$E)*K506</f>
        <v>35322.271287528558</v>
      </c>
      <c r="W506" s="53">
        <f>SUMIF('Avoided Costs 2014-2023'!$A:$A,'2014 Actuals'!U506&amp;ROUNDDOWN('2014 Actuals'!T506,0),'Avoided Costs 2014-2023'!$K:$K)*O506</f>
        <v>0</v>
      </c>
      <c r="X506" s="53">
        <f>SUMIF('Avoided Costs 2014-2023'!$A:$A,'2014 Actuals'!U506&amp;ROUNDDOWN('2014 Actuals'!T506,0),'Avoided Costs 2014-2023'!$M:$M)*S506</f>
        <v>0</v>
      </c>
      <c r="Y506" s="53">
        <f t="shared" si="186"/>
        <v>35322.271287528558</v>
      </c>
      <c r="Z506" s="55">
        <v>21140</v>
      </c>
      <c r="AA506" s="54">
        <f t="shared" si="187"/>
        <v>16912</v>
      </c>
      <c r="AB506" s="54"/>
      <c r="AC506" s="54"/>
      <c r="AD506" s="54"/>
      <c r="AE506" s="54">
        <f t="shared" si="188"/>
        <v>16912</v>
      </c>
      <c r="AF506" s="54">
        <f t="shared" si="189"/>
        <v>18410.271287528558</v>
      </c>
      <c r="AG506" s="49">
        <f t="shared" si="190"/>
        <v>228882.67200000002</v>
      </c>
      <c r="AH506" s="49">
        <f t="shared" si="191"/>
        <v>286103.34000000003</v>
      </c>
    </row>
    <row r="507" spans="1:34" s="56" customFormat="1">
      <c r="A507" s="62" t="s">
        <v>609</v>
      </c>
      <c r="B507" s="62"/>
      <c r="C507" s="62"/>
      <c r="D507" s="62"/>
      <c r="E507" s="141">
        <v>1</v>
      </c>
      <c r="F507" s="142"/>
      <c r="G507" s="143">
        <v>0.2</v>
      </c>
      <c r="H507" s="143">
        <v>0</v>
      </c>
      <c r="I507" s="49">
        <v>34174</v>
      </c>
      <c r="J507" s="49">
        <f t="shared" si="180"/>
        <v>28603.637999999999</v>
      </c>
      <c r="K507" s="49">
        <f t="shared" si="181"/>
        <v>22882.910400000001</v>
      </c>
      <c r="L507" s="58"/>
      <c r="M507" s="141">
        <v>0</v>
      </c>
      <c r="N507" s="50">
        <f t="shared" si="182"/>
        <v>0</v>
      </c>
      <c r="O507" s="50">
        <f t="shared" si="183"/>
        <v>0</v>
      </c>
      <c r="P507" s="59"/>
      <c r="Q507" s="141">
        <v>0</v>
      </c>
      <c r="R507" s="50">
        <f t="shared" si="184"/>
        <v>0</v>
      </c>
      <c r="S507" s="51">
        <f t="shared" si="185"/>
        <v>0</v>
      </c>
      <c r="T507" s="63">
        <v>25</v>
      </c>
      <c r="U507" s="61" t="s">
        <v>81</v>
      </c>
      <c r="V507" s="53">
        <f>SUMIF('Avoided Costs 2014-2023'!$A:$A,'2014 Actuals'!U507&amp;ROUNDDOWN('2014 Actuals'!T507,0),'Avoided Costs 2014-2023'!$E:$E)*K507</f>
        <v>72682.61254104969</v>
      </c>
      <c r="W507" s="53">
        <f>SUMIF('Avoided Costs 2014-2023'!$A:$A,'2014 Actuals'!U507&amp;ROUNDDOWN('2014 Actuals'!T507,0),'Avoided Costs 2014-2023'!$K:$K)*O507</f>
        <v>0</v>
      </c>
      <c r="X507" s="53">
        <f>SUMIF('Avoided Costs 2014-2023'!$A:$A,'2014 Actuals'!U507&amp;ROUNDDOWN('2014 Actuals'!T507,0),'Avoided Costs 2014-2023'!$M:$M)*S507</f>
        <v>0</v>
      </c>
      <c r="Y507" s="53">
        <f t="shared" si="186"/>
        <v>72682.61254104969</v>
      </c>
      <c r="Z507" s="55">
        <v>6337</v>
      </c>
      <c r="AA507" s="54">
        <f t="shared" si="187"/>
        <v>5069.6000000000004</v>
      </c>
      <c r="AB507" s="54"/>
      <c r="AC507" s="54"/>
      <c r="AD507" s="54"/>
      <c r="AE507" s="54">
        <f t="shared" si="188"/>
        <v>5069.6000000000004</v>
      </c>
      <c r="AF507" s="54">
        <f t="shared" si="189"/>
        <v>67613.012541049684</v>
      </c>
      <c r="AG507" s="49">
        <f t="shared" si="190"/>
        <v>572072.76</v>
      </c>
      <c r="AH507" s="49">
        <f t="shared" si="191"/>
        <v>715090.95</v>
      </c>
    </row>
    <row r="508" spans="1:34" s="56" customFormat="1">
      <c r="A508" s="62" t="s">
        <v>610</v>
      </c>
      <c r="B508" s="62"/>
      <c r="C508" s="62"/>
      <c r="D508" s="62"/>
      <c r="E508" s="141">
        <v>1</v>
      </c>
      <c r="F508" s="142"/>
      <c r="G508" s="143">
        <v>0.2</v>
      </c>
      <c r="H508" s="143">
        <v>0</v>
      </c>
      <c r="I508" s="49">
        <v>33967</v>
      </c>
      <c r="J508" s="49">
        <f t="shared" si="180"/>
        <v>28430.378999999997</v>
      </c>
      <c r="K508" s="49">
        <f t="shared" si="181"/>
        <v>22744.303199999998</v>
      </c>
      <c r="L508" s="58"/>
      <c r="M508" s="141">
        <v>0</v>
      </c>
      <c r="N508" s="50">
        <f t="shared" si="182"/>
        <v>0</v>
      </c>
      <c r="O508" s="50">
        <f t="shared" si="183"/>
        <v>0</v>
      </c>
      <c r="P508" s="59"/>
      <c r="Q508" s="141">
        <v>0</v>
      </c>
      <c r="R508" s="50">
        <f t="shared" si="184"/>
        <v>0</v>
      </c>
      <c r="S508" s="51">
        <f t="shared" si="185"/>
        <v>0</v>
      </c>
      <c r="T508" s="63">
        <v>25</v>
      </c>
      <c r="U508" s="61" t="s">
        <v>81</v>
      </c>
      <c r="V508" s="53">
        <f>SUMIF('Avoided Costs 2014-2023'!$A:$A,'2014 Actuals'!U508&amp;ROUNDDOWN('2014 Actuals'!T508,0),'Avoided Costs 2014-2023'!$E:$E)*K508</f>
        <v>72242.356767771838</v>
      </c>
      <c r="W508" s="53">
        <f>SUMIF('Avoided Costs 2014-2023'!$A:$A,'2014 Actuals'!U508&amp;ROUNDDOWN('2014 Actuals'!T508,0),'Avoided Costs 2014-2023'!$K:$K)*O508</f>
        <v>0</v>
      </c>
      <c r="X508" s="53">
        <f>SUMIF('Avoided Costs 2014-2023'!$A:$A,'2014 Actuals'!U508&amp;ROUNDDOWN('2014 Actuals'!T508,0),'Avoided Costs 2014-2023'!$M:$M)*S508</f>
        <v>0</v>
      </c>
      <c r="Y508" s="53">
        <f t="shared" si="186"/>
        <v>72242.356767771838</v>
      </c>
      <c r="Z508" s="55">
        <v>7955</v>
      </c>
      <c r="AA508" s="54">
        <f t="shared" si="187"/>
        <v>6364</v>
      </c>
      <c r="AB508" s="54"/>
      <c r="AC508" s="54"/>
      <c r="AD508" s="54"/>
      <c r="AE508" s="54">
        <f t="shared" si="188"/>
        <v>6364</v>
      </c>
      <c r="AF508" s="54">
        <f t="shared" si="189"/>
        <v>65878.356767771838</v>
      </c>
      <c r="AG508" s="49">
        <f t="shared" si="190"/>
        <v>568607.57999999996</v>
      </c>
      <c r="AH508" s="49">
        <f t="shared" si="191"/>
        <v>710759.47499999998</v>
      </c>
    </row>
    <row r="509" spans="1:34" s="56" customFormat="1">
      <c r="A509" s="62" t="s">
        <v>611</v>
      </c>
      <c r="B509" s="62"/>
      <c r="C509" s="62"/>
      <c r="D509" s="62"/>
      <c r="E509" s="141">
        <v>1</v>
      </c>
      <c r="F509" s="142"/>
      <c r="G509" s="143">
        <v>0.2</v>
      </c>
      <c r="H509" s="143">
        <v>0</v>
      </c>
      <c r="I509" s="49">
        <v>32601</v>
      </c>
      <c r="J509" s="49">
        <f t="shared" si="180"/>
        <v>27287.037</v>
      </c>
      <c r="K509" s="49">
        <f t="shared" si="181"/>
        <v>21829.6296</v>
      </c>
      <c r="L509" s="58"/>
      <c r="M509" s="141">
        <v>0</v>
      </c>
      <c r="N509" s="50">
        <f t="shared" si="182"/>
        <v>0</v>
      </c>
      <c r="O509" s="50">
        <f t="shared" si="183"/>
        <v>0</v>
      </c>
      <c r="P509" s="59"/>
      <c r="Q509" s="141">
        <v>0</v>
      </c>
      <c r="R509" s="50">
        <f t="shared" si="184"/>
        <v>0</v>
      </c>
      <c r="S509" s="51">
        <f t="shared" si="185"/>
        <v>0</v>
      </c>
      <c r="T509" s="63">
        <v>15</v>
      </c>
      <c r="U509" s="61" t="s">
        <v>81</v>
      </c>
      <c r="V509" s="53">
        <f>SUMIF('Avoided Costs 2014-2023'!$A:$A,'2014 Actuals'!U509&amp;ROUNDDOWN('2014 Actuals'!T509,0),'Avoided Costs 2014-2023'!$E:$E)*K509</f>
        <v>50532.796482566191</v>
      </c>
      <c r="W509" s="53">
        <f>SUMIF('Avoided Costs 2014-2023'!$A:$A,'2014 Actuals'!U509&amp;ROUNDDOWN('2014 Actuals'!T509,0),'Avoided Costs 2014-2023'!$K:$K)*O509</f>
        <v>0</v>
      </c>
      <c r="X509" s="53">
        <f>SUMIF('Avoided Costs 2014-2023'!$A:$A,'2014 Actuals'!U509&amp;ROUNDDOWN('2014 Actuals'!T509,0),'Avoided Costs 2014-2023'!$M:$M)*S509</f>
        <v>0</v>
      </c>
      <c r="Y509" s="53">
        <f t="shared" si="186"/>
        <v>50532.796482566191</v>
      </c>
      <c r="Z509" s="55">
        <v>40747</v>
      </c>
      <c r="AA509" s="54">
        <f t="shared" si="187"/>
        <v>32597.600000000002</v>
      </c>
      <c r="AB509" s="54"/>
      <c r="AC509" s="54"/>
      <c r="AD509" s="54"/>
      <c r="AE509" s="54">
        <f t="shared" si="188"/>
        <v>32597.600000000002</v>
      </c>
      <c r="AF509" s="54">
        <f t="shared" si="189"/>
        <v>17935.196482566189</v>
      </c>
      <c r="AG509" s="49">
        <f t="shared" si="190"/>
        <v>327444.44400000002</v>
      </c>
      <c r="AH509" s="49">
        <f t="shared" si="191"/>
        <v>409305.55499999999</v>
      </c>
    </row>
    <row r="510" spans="1:34" s="56" customFormat="1">
      <c r="A510" s="62" t="s">
        <v>612</v>
      </c>
      <c r="B510" s="62"/>
      <c r="C510" s="62"/>
      <c r="D510" s="62"/>
      <c r="E510" s="141">
        <v>1</v>
      </c>
      <c r="F510" s="142"/>
      <c r="G510" s="143">
        <v>0.2</v>
      </c>
      <c r="H510" s="143">
        <v>0</v>
      </c>
      <c r="I510" s="49">
        <v>27479</v>
      </c>
      <c r="J510" s="49">
        <f t="shared" si="180"/>
        <v>22999.922999999999</v>
      </c>
      <c r="K510" s="49">
        <f t="shared" si="181"/>
        <v>18399.938399999999</v>
      </c>
      <c r="L510" s="58"/>
      <c r="M510" s="141">
        <v>0</v>
      </c>
      <c r="N510" s="50">
        <f t="shared" si="182"/>
        <v>0</v>
      </c>
      <c r="O510" s="50">
        <f t="shared" si="183"/>
        <v>0</v>
      </c>
      <c r="P510" s="59"/>
      <c r="Q510" s="141">
        <v>0</v>
      </c>
      <c r="R510" s="50">
        <f t="shared" si="184"/>
        <v>0</v>
      </c>
      <c r="S510" s="51">
        <f t="shared" si="185"/>
        <v>0</v>
      </c>
      <c r="T510" s="63">
        <v>15</v>
      </c>
      <c r="U510" s="61" t="s">
        <v>81</v>
      </c>
      <c r="V510" s="53">
        <f>SUMIF('Avoided Costs 2014-2023'!$A:$A,'2014 Actuals'!U510&amp;ROUNDDOWN('2014 Actuals'!T510,0),'Avoided Costs 2014-2023'!$E:$E)*K510</f>
        <v>42593.500645515058</v>
      </c>
      <c r="W510" s="53">
        <f>SUMIF('Avoided Costs 2014-2023'!$A:$A,'2014 Actuals'!U510&amp;ROUNDDOWN('2014 Actuals'!T510,0),'Avoided Costs 2014-2023'!$K:$K)*O510</f>
        <v>0</v>
      </c>
      <c r="X510" s="53">
        <f>SUMIF('Avoided Costs 2014-2023'!$A:$A,'2014 Actuals'!U510&amp;ROUNDDOWN('2014 Actuals'!T510,0),'Avoided Costs 2014-2023'!$M:$M)*S510</f>
        <v>0</v>
      </c>
      <c r="Y510" s="53">
        <f t="shared" si="186"/>
        <v>42593.500645515058</v>
      </c>
      <c r="Z510" s="55">
        <v>26079</v>
      </c>
      <c r="AA510" s="54">
        <f t="shared" si="187"/>
        <v>20863.2</v>
      </c>
      <c r="AB510" s="54"/>
      <c r="AC510" s="54"/>
      <c r="AD510" s="54"/>
      <c r="AE510" s="54">
        <f t="shared" si="188"/>
        <v>20863.2</v>
      </c>
      <c r="AF510" s="54">
        <f t="shared" si="189"/>
        <v>21730.300645515057</v>
      </c>
      <c r="AG510" s="49">
        <f t="shared" si="190"/>
        <v>275999.076</v>
      </c>
      <c r="AH510" s="49">
        <f t="shared" si="191"/>
        <v>344998.84499999997</v>
      </c>
    </row>
    <row r="511" spans="1:34" s="56" customFormat="1">
      <c r="A511" s="62" t="s">
        <v>613</v>
      </c>
      <c r="B511" s="62"/>
      <c r="C511" s="62"/>
      <c r="D511" s="62"/>
      <c r="E511" s="141">
        <v>1</v>
      </c>
      <c r="F511" s="142"/>
      <c r="G511" s="143">
        <v>0.2</v>
      </c>
      <c r="H511" s="143">
        <v>0</v>
      </c>
      <c r="I511" s="49">
        <v>14937</v>
      </c>
      <c r="J511" s="49">
        <f t="shared" si="180"/>
        <v>12502.269</v>
      </c>
      <c r="K511" s="49">
        <f t="shared" si="181"/>
        <v>10001.815200000001</v>
      </c>
      <c r="L511" s="58"/>
      <c r="M511" s="141">
        <v>0</v>
      </c>
      <c r="N511" s="50">
        <f t="shared" si="182"/>
        <v>0</v>
      </c>
      <c r="O511" s="50">
        <f t="shared" si="183"/>
        <v>0</v>
      </c>
      <c r="P511" s="59"/>
      <c r="Q511" s="141">
        <v>0</v>
      </c>
      <c r="R511" s="50">
        <f t="shared" si="184"/>
        <v>0</v>
      </c>
      <c r="S511" s="51">
        <f t="shared" si="185"/>
        <v>0</v>
      </c>
      <c r="T511" s="63">
        <v>15</v>
      </c>
      <c r="U511" s="61" t="s">
        <v>81</v>
      </c>
      <c r="V511" s="53">
        <f>SUMIF('Avoided Costs 2014-2023'!$A:$A,'2014 Actuals'!U511&amp;ROUNDDOWN('2014 Actuals'!T511,0),'Avoided Costs 2014-2023'!$E:$E)*K511</f>
        <v>23152.921108557752</v>
      </c>
      <c r="W511" s="53">
        <f>SUMIF('Avoided Costs 2014-2023'!$A:$A,'2014 Actuals'!U511&amp;ROUNDDOWN('2014 Actuals'!T511,0),'Avoided Costs 2014-2023'!$K:$K)*O511</f>
        <v>0</v>
      </c>
      <c r="X511" s="53">
        <f>SUMIF('Avoided Costs 2014-2023'!$A:$A,'2014 Actuals'!U511&amp;ROUNDDOWN('2014 Actuals'!T511,0),'Avoided Costs 2014-2023'!$M:$M)*S511</f>
        <v>0</v>
      </c>
      <c r="Y511" s="53">
        <f t="shared" si="186"/>
        <v>23152.921108557752</v>
      </c>
      <c r="Z511" s="55">
        <v>7688</v>
      </c>
      <c r="AA511" s="54">
        <f t="shared" si="187"/>
        <v>6150.4000000000005</v>
      </c>
      <c r="AB511" s="54"/>
      <c r="AC511" s="54"/>
      <c r="AD511" s="54"/>
      <c r="AE511" s="54">
        <f t="shared" si="188"/>
        <v>6150.4000000000005</v>
      </c>
      <c r="AF511" s="54">
        <f t="shared" si="189"/>
        <v>17002.52110855775</v>
      </c>
      <c r="AG511" s="49">
        <f t="shared" si="190"/>
        <v>150027.228</v>
      </c>
      <c r="AH511" s="49">
        <f t="shared" si="191"/>
        <v>187534.035</v>
      </c>
    </row>
    <row r="512" spans="1:34" s="56" customFormat="1">
      <c r="A512" s="62" t="s">
        <v>614</v>
      </c>
      <c r="B512" s="62"/>
      <c r="C512" s="62"/>
      <c r="D512" s="62"/>
      <c r="E512" s="141">
        <v>1</v>
      </c>
      <c r="F512" s="142"/>
      <c r="G512" s="143">
        <v>0.2</v>
      </c>
      <c r="H512" s="143">
        <v>0</v>
      </c>
      <c r="I512" s="49">
        <v>115264</v>
      </c>
      <c r="J512" s="49">
        <f t="shared" si="180"/>
        <v>96475.967999999993</v>
      </c>
      <c r="K512" s="49">
        <f t="shared" si="181"/>
        <v>77180.774399999995</v>
      </c>
      <c r="L512" s="58"/>
      <c r="M512" s="141">
        <v>0</v>
      </c>
      <c r="N512" s="50">
        <f t="shared" si="182"/>
        <v>0</v>
      </c>
      <c r="O512" s="50">
        <f t="shared" si="183"/>
        <v>0</v>
      </c>
      <c r="P512" s="59"/>
      <c r="Q512" s="141">
        <v>0</v>
      </c>
      <c r="R512" s="50">
        <f t="shared" si="184"/>
        <v>0</v>
      </c>
      <c r="S512" s="51">
        <f t="shared" si="185"/>
        <v>0</v>
      </c>
      <c r="T512" s="63">
        <v>25</v>
      </c>
      <c r="U512" s="61" t="s">
        <v>81</v>
      </c>
      <c r="V512" s="53">
        <f>SUMIF('Avoided Costs 2014-2023'!$A:$A,'2014 Actuals'!U512&amp;ROUNDDOWN('2014 Actuals'!T512,0),'Avoided Costs 2014-2023'!$E:$E)*K512</f>
        <v>245148.02633380791</v>
      </c>
      <c r="W512" s="53">
        <f>SUMIF('Avoided Costs 2014-2023'!$A:$A,'2014 Actuals'!U512&amp;ROUNDDOWN('2014 Actuals'!T512,0),'Avoided Costs 2014-2023'!$K:$K)*O512</f>
        <v>0</v>
      </c>
      <c r="X512" s="53">
        <f>SUMIF('Avoided Costs 2014-2023'!$A:$A,'2014 Actuals'!U512&amp;ROUNDDOWN('2014 Actuals'!T512,0),'Avoided Costs 2014-2023'!$M:$M)*S512</f>
        <v>0</v>
      </c>
      <c r="Y512" s="53">
        <f t="shared" si="186"/>
        <v>245148.02633380791</v>
      </c>
      <c r="Z512" s="55">
        <v>98114</v>
      </c>
      <c r="AA512" s="54">
        <f t="shared" si="187"/>
        <v>78491.199999999997</v>
      </c>
      <c r="AB512" s="54"/>
      <c r="AC512" s="54"/>
      <c r="AD512" s="54"/>
      <c r="AE512" s="54">
        <f t="shared" si="188"/>
        <v>78491.199999999997</v>
      </c>
      <c r="AF512" s="54">
        <f t="shared" si="189"/>
        <v>166656.8263338079</v>
      </c>
      <c r="AG512" s="49">
        <f t="shared" si="190"/>
        <v>1929519.3599999999</v>
      </c>
      <c r="AH512" s="49">
        <f t="shared" si="191"/>
        <v>2411899.1999999997</v>
      </c>
    </row>
    <row r="513" spans="1:34" s="56" customFormat="1">
      <c r="A513" s="62" t="s">
        <v>615</v>
      </c>
      <c r="B513" s="62"/>
      <c r="C513" s="62"/>
      <c r="D513" s="62"/>
      <c r="E513" s="141">
        <v>1</v>
      </c>
      <c r="F513" s="142"/>
      <c r="G513" s="143">
        <v>0.2</v>
      </c>
      <c r="H513" s="143">
        <v>0</v>
      </c>
      <c r="I513" s="49">
        <v>80065</v>
      </c>
      <c r="J513" s="49">
        <f t="shared" si="180"/>
        <v>67014.404999999999</v>
      </c>
      <c r="K513" s="49">
        <f t="shared" si="181"/>
        <v>53611.524000000005</v>
      </c>
      <c r="L513" s="58"/>
      <c r="M513" s="141">
        <v>0</v>
      </c>
      <c r="N513" s="50">
        <f t="shared" si="182"/>
        <v>0</v>
      </c>
      <c r="O513" s="50">
        <f t="shared" si="183"/>
        <v>0</v>
      </c>
      <c r="P513" s="59"/>
      <c r="Q513" s="141">
        <v>0</v>
      </c>
      <c r="R513" s="50">
        <f t="shared" si="184"/>
        <v>0</v>
      </c>
      <c r="S513" s="51">
        <f t="shared" si="185"/>
        <v>0</v>
      </c>
      <c r="T513" s="63">
        <v>25</v>
      </c>
      <c r="U513" s="61" t="s">
        <v>81</v>
      </c>
      <c r="V513" s="53">
        <f>SUMIF('Avoided Costs 2014-2023'!$A:$A,'2014 Actuals'!U513&amp;ROUNDDOWN('2014 Actuals'!T513,0),'Avoided Costs 2014-2023'!$E:$E)*K513</f>
        <v>170285.40332121332</v>
      </c>
      <c r="W513" s="53">
        <f>SUMIF('Avoided Costs 2014-2023'!$A:$A,'2014 Actuals'!U513&amp;ROUNDDOWN('2014 Actuals'!T513,0),'Avoided Costs 2014-2023'!$K:$K)*O513</f>
        <v>0</v>
      </c>
      <c r="X513" s="53">
        <f>SUMIF('Avoided Costs 2014-2023'!$A:$A,'2014 Actuals'!U513&amp;ROUNDDOWN('2014 Actuals'!T513,0),'Avoided Costs 2014-2023'!$M:$M)*S513</f>
        <v>0</v>
      </c>
      <c r="Y513" s="53">
        <f t="shared" si="186"/>
        <v>170285.40332121332</v>
      </c>
      <c r="Z513" s="55">
        <v>53687</v>
      </c>
      <c r="AA513" s="54">
        <f t="shared" si="187"/>
        <v>42949.600000000006</v>
      </c>
      <c r="AB513" s="54"/>
      <c r="AC513" s="54"/>
      <c r="AD513" s="54"/>
      <c r="AE513" s="54">
        <f t="shared" si="188"/>
        <v>42949.600000000006</v>
      </c>
      <c r="AF513" s="54">
        <f t="shared" si="189"/>
        <v>127335.80332121332</v>
      </c>
      <c r="AG513" s="49">
        <f t="shared" si="190"/>
        <v>1340288.1000000001</v>
      </c>
      <c r="AH513" s="49">
        <f t="shared" si="191"/>
        <v>1675360.125</v>
      </c>
    </row>
    <row r="514" spans="1:34" s="56" customFormat="1">
      <c r="A514" s="62" t="s">
        <v>616</v>
      </c>
      <c r="B514" s="62"/>
      <c r="C514" s="62"/>
      <c r="D514" s="62"/>
      <c r="E514" s="141">
        <v>0</v>
      </c>
      <c r="F514" s="142"/>
      <c r="G514" s="143">
        <v>0.2</v>
      </c>
      <c r="H514" s="143">
        <v>0</v>
      </c>
      <c r="I514" s="49">
        <v>6108</v>
      </c>
      <c r="J514" s="49">
        <f t="shared" si="180"/>
        <v>5112.3959999999997</v>
      </c>
      <c r="K514" s="49">
        <f t="shared" si="181"/>
        <v>4089.9168</v>
      </c>
      <c r="L514" s="58"/>
      <c r="M514" s="141">
        <v>0</v>
      </c>
      <c r="N514" s="50">
        <f t="shared" si="182"/>
        <v>0</v>
      </c>
      <c r="O514" s="50">
        <f t="shared" si="183"/>
        <v>0</v>
      </c>
      <c r="P514" s="59"/>
      <c r="Q514" s="141">
        <v>0</v>
      </c>
      <c r="R514" s="50">
        <f t="shared" si="184"/>
        <v>0</v>
      </c>
      <c r="S514" s="51">
        <f t="shared" si="185"/>
        <v>0</v>
      </c>
      <c r="T514" s="63">
        <v>15</v>
      </c>
      <c r="U514" s="61" t="s">
        <v>81</v>
      </c>
      <c r="V514" s="53">
        <f>SUMIF('Avoided Costs 2014-2023'!$A:$A,'2014 Actuals'!U514&amp;ROUNDDOWN('2014 Actuals'!T514,0),'Avoided Costs 2014-2023'!$E:$E)*K514</f>
        <v>9467.6335362569953</v>
      </c>
      <c r="W514" s="53">
        <f>SUMIF('Avoided Costs 2014-2023'!$A:$A,'2014 Actuals'!U514&amp;ROUNDDOWN('2014 Actuals'!T514,0),'Avoided Costs 2014-2023'!$K:$K)*O514</f>
        <v>0</v>
      </c>
      <c r="X514" s="53">
        <f>SUMIF('Avoided Costs 2014-2023'!$A:$A,'2014 Actuals'!U514&amp;ROUNDDOWN('2014 Actuals'!T514,0),'Avoided Costs 2014-2023'!$M:$M)*S514</f>
        <v>0</v>
      </c>
      <c r="Y514" s="53">
        <f t="shared" si="186"/>
        <v>9467.6335362569953</v>
      </c>
      <c r="Z514" s="55">
        <v>13000</v>
      </c>
      <c r="AA514" s="54">
        <f t="shared" si="187"/>
        <v>10400</v>
      </c>
      <c r="AB514" s="54"/>
      <c r="AC514" s="54"/>
      <c r="AD514" s="54"/>
      <c r="AE514" s="54">
        <f t="shared" si="188"/>
        <v>10400</v>
      </c>
      <c r="AF514" s="54">
        <f t="shared" si="189"/>
        <v>-932.36646374300472</v>
      </c>
      <c r="AG514" s="49">
        <f t="shared" si="190"/>
        <v>61348.752</v>
      </c>
      <c r="AH514" s="49">
        <f t="shared" si="191"/>
        <v>76685.94</v>
      </c>
    </row>
    <row r="515" spans="1:34" s="56" customFormat="1">
      <c r="A515" s="62" t="s">
        <v>617</v>
      </c>
      <c r="B515" s="62"/>
      <c r="C515" s="62"/>
      <c r="D515" s="62"/>
      <c r="E515" s="141">
        <v>0</v>
      </c>
      <c r="F515" s="142"/>
      <c r="G515" s="143">
        <v>0.2</v>
      </c>
      <c r="H515" s="143">
        <v>0</v>
      </c>
      <c r="I515" s="49">
        <v>688</v>
      </c>
      <c r="J515" s="49">
        <f t="shared" si="180"/>
        <v>575.85599999999999</v>
      </c>
      <c r="K515" s="49">
        <f t="shared" si="181"/>
        <v>460.6848</v>
      </c>
      <c r="L515" s="58"/>
      <c r="M515" s="141">
        <v>0</v>
      </c>
      <c r="N515" s="50">
        <f t="shared" si="182"/>
        <v>0</v>
      </c>
      <c r="O515" s="50">
        <f t="shared" si="183"/>
        <v>0</v>
      </c>
      <c r="P515" s="59"/>
      <c r="Q515" s="141">
        <v>0</v>
      </c>
      <c r="R515" s="50">
        <f t="shared" si="184"/>
        <v>0</v>
      </c>
      <c r="S515" s="51">
        <f t="shared" si="185"/>
        <v>0</v>
      </c>
      <c r="T515" s="63">
        <v>15</v>
      </c>
      <c r="U515" s="61" t="s">
        <v>94</v>
      </c>
      <c r="V515" s="53">
        <f>SUMIF('Avoided Costs 2014-2023'!$A:$A,'2014 Actuals'!U515&amp;ROUNDDOWN('2014 Actuals'!T515,0),'Avoided Costs 2014-2023'!$E:$E)*K515</f>
        <v>998.66364266599885</v>
      </c>
      <c r="W515" s="53">
        <f>SUMIF('Avoided Costs 2014-2023'!$A:$A,'2014 Actuals'!U515&amp;ROUNDDOWN('2014 Actuals'!T515,0),'Avoided Costs 2014-2023'!$K:$K)*O515</f>
        <v>0</v>
      </c>
      <c r="X515" s="53">
        <f>SUMIF('Avoided Costs 2014-2023'!$A:$A,'2014 Actuals'!U515&amp;ROUNDDOWN('2014 Actuals'!T515,0),'Avoided Costs 2014-2023'!$M:$M)*S515</f>
        <v>0</v>
      </c>
      <c r="Y515" s="53">
        <f t="shared" si="186"/>
        <v>998.66364266599885</v>
      </c>
      <c r="Z515" s="55">
        <v>1400</v>
      </c>
      <c r="AA515" s="54">
        <f t="shared" si="187"/>
        <v>1120</v>
      </c>
      <c r="AB515" s="54"/>
      <c r="AC515" s="54"/>
      <c r="AD515" s="54"/>
      <c r="AE515" s="54">
        <f t="shared" si="188"/>
        <v>1120</v>
      </c>
      <c r="AF515" s="54">
        <f t="shared" si="189"/>
        <v>-121.33635733400115</v>
      </c>
      <c r="AG515" s="49">
        <f t="shared" si="190"/>
        <v>6910.2719999999999</v>
      </c>
      <c r="AH515" s="49">
        <f t="shared" si="191"/>
        <v>8637.84</v>
      </c>
    </row>
    <row r="516" spans="1:34" s="56" customFormat="1">
      <c r="A516" s="62" t="s">
        <v>618</v>
      </c>
      <c r="B516" s="62"/>
      <c r="C516" s="62"/>
      <c r="D516" s="62"/>
      <c r="E516" s="141">
        <v>1</v>
      </c>
      <c r="F516" s="142"/>
      <c r="G516" s="143">
        <v>0.2</v>
      </c>
      <c r="H516" s="143">
        <v>0</v>
      </c>
      <c r="I516" s="49">
        <v>8259</v>
      </c>
      <c r="J516" s="49">
        <f t="shared" si="180"/>
        <v>6912.7829999999994</v>
      </c>
      <c r="K516" s="49">
        <f t="shared" si="181"/>
        <v>5530.2263999999996</v>
      </c>
      <c r="L516" s="58"/>
      <c r="M516" s="141">
        <v>0</v>
      </c>
      <c r="N516" s="50">
        <f t="shared" si="182"/>
        <v>0</v>
      </c>
      <c r="O516" s="50">
        <f t="shared" si="183"/>
        <v>0</v>
      </c>
      <c r="P516" s="59"/>
      <c r="Q516" s="141">
        <v>0</v>
      </c>
      <c r="R516" s="50">
        <f t="shared" si="184"/>
        <v>0</v>
      </c>
      <c r="S516" s="51">
        <f t="shared" si="185"/>
        <v>0</v>
      </c>
      <c r="T516" s="63">
        <v>15</v>
      </c>
      <c r="U516" s="61" t="s">
        <v>81</v>
      </c>
      <c r="V516" s="53">
        <f>SUMIF('Avoided Costs 2014-2023'!$A:$A,'2014 Actuals'!U516&amp;ROUNDDOWN('2014 Actuals'!T516,0),'Avoided Costs 2014-2023'!$E:$E)*K516</f>
        <v>12801.765778642193</v>
      </c>
      <c r="W516" s="53">
        <f>SUMIF('Avoided Costs 2014-2023'!$A:$A,'2014 Actuals'!U516&amp;ROUNDDOWN('2014 Actuals'!T516,0),'Avoided Costs 2014-2023'!$K:$K)*O516</f>
        <v>0</v>
      </c>
      <c r="X516" s="53">
        <f>SUMIF('Avoided Costs 2014-2023'!$A:$A,'2014 Actuals'!U516&amp;ROUNDDOWN('2014 Actuals'!T516,0),'Avoided Costs 2014-2023'!$M:$M)*S516</f>
        <v>0</v>
      </c>
      <c r="Y516" s="53">
        <f t="shared" si="186"/>
        <v>12801.765778642193</v>
      </c>
      <c r="Z516" s="55">
        <v>17000</v>
      </c>
      <c r="AA516" s="54">
        <f t="shared" si="187"/>
        <v>13600</v>
      </c>
      <c r="AB516" s="54"/>
      <c r="AC516" s="54"/>
      <c r="AD516" s="54"/>
      <c r="AE516" s="54">
        <f t="shared" si="188"/>
        <v>13600</v>
      </c>
      <c r="AF516" s="54">
        <f t="shared" si="189"/>
        <v>-798.23422135780675</v>
      </c>
      <c r="AG516" s="49">
        <f t="shared" si="190"/>
        <v>82953.395999999993</v>
      </c>
      <c r="AH516" s="49">
        <f t="shared" si="191"/>
        <v>103691.745</v>
      </c>
    </row>
    <row r="517" spans="1:34" s="56" customFormat="1">
      <c r="A517" s="62" t="s">
        <v>619</v>
      </c>
      <c r="B517" s="62"/>
      <c r="C517" s="62"/>
      <c r="D517" s="62"/>
      <c r="E517" s="141">
        <v>0</v>
      </c>
      <c r="F517" s="142"/>
      <c r="G517" s="143">
        <v>0.2</v>
      </c>
      <c r="H517" s="143">
        <v>0</v>
      </c>
      <c r="I517" s="49">
        <v>3366</v>
      </c>
      <c r="J517" s="49">
        <f t="shared" si="180"/>
        <v>2817.3420000000001</v>
      </c>
      <c r="K517" s="49">
        <f t="shared" si="181"/>
        <v>2253.8736000000004</v>
      </c>
      <c r="L517" s="58"/>
      <c r="M517" s="141">
        <v>0</v>
      </c>
      <c r="N517" s="50">
        <f t="shared" si="182"/>
        <v>0</v>
      </c>
      <c r="O517" s="50">
        <f t="shared" si="183"/>
        <v>0</v>
      </c>
      <c r="P517" s="59"/>
      <c r="Q517" s="141">
        <v>0</v>
      </c>
      <c r="R517" s="50">
        <f t="shared" si="184"/>
        <v>0</v>
      </c>
      <c r="S517" s="51">
        <f t="shared" si="185"/>
        <v>0</v>
      </c>
      <c r="T517" s="63">
        <v>25</v>
      </c>
      <c r="U517" s="61" t="s">
        <v>94</v>
      </c>
      <c r="V517" s="53">
        <f>SUMIF('Avoided Costs 2014-2023'!$A:$A,'2014 Actuals'!U517&amp;ROUNDDOWN('2014 Actuals'!T517,0),'Avoided Costs 2014-2023'!$E:$E)*K517</f>
        <v>6706.9576809105365</v>
      </c>
      <c r="W517" s="53">
        <f>SUMIF('Avoided Costs 2014-2023'!$A:$A,'2014 Actuals'!U517&amp;ROUNDDOWN('2014 Actuals'!T517,0),'Avoided Costs 2014-2023'!$K:$K)*O517</f>
        <v>0</v>
      </c>
      <c r="X517" s="53">
        <f>SUMIF('Avoided Costs 2014-2023'!$A:$A,'2014 Actuals'!U517&amp;ROUNDDOWN('2014 Actuals'!T517,0),'Avoided Costs 2014-2023'!$M:$M)*S517</f>
        <v>0</v>
      </c>
      <c r="Y517" s="53">
        <f t="shared" si="186"/>
        <v>6706.9576809105365</v>
      </c>
      <c r="Z517" s="55">
        <v>3617</v>
      </c>
      <c r="AA517" s="54">
        <f t="shared" si="187"/>
        <v>2893.6000000000004</v>
      </c>
      <c r="AB517" s="54"/>
      <c r="AC517" s="54"/>
      <c r="AD517" s="54"/>
      <c r="AE517" s="54">
        <f t="shared" si="188"/>
        <v>2893.6000000000004</v>
      </c>
      <c r="AF517" s="54">
        <f t="shared" si="189"/>
        <v>3813.3576809105361</v>
      </c>
      <c r="AG517" s="49">
        <f t="shared" si="190"/>
        <v>56346.840000000011</v>
      </c>
      <c r="AH517" s="49">
        <f t="shared" si="191"/>
        <v>70433.55</v>
      </c>
    </row>
    <row r="518" spans="1:34" s="56" customFormat="1">
      <c r="A518" s="62" t="s">
        <v>620</v>
      </c>
      <c r="B518" s="62"/>
      <c r="C518" s="62"/>
      <c r="D518" s="62"/>
      <c r="E518" s="141">
        <v>1</v>
      </c>
      <c r="F518" s="142"/>
      <c r="G518" s="143">
        <v>0.2</v>
      </c>
      <c r="H518" s="143">
        <v>0</v>
      </c>
      <c r="I518" s="49">
        <v>14086</v>
      </c>
      <c r="J518" s="49">
        <f t="shared" si="180"/>
        <v>11789.982</v>
      </c>
      <c r="K518" s="49">
        <f t="shared" si="181"/>
        <v>9431.9856</v>
      </c>
      <c r="L518" s="58"/>
      <c r="M518" s="141">
        <v>0</v>
      </c>
      <c r="N518" s="50">
        <f t="shared" si="182"/>
        <v>0</v>
      </c>
      <c r="O518" s="50">
        <f t="shared" si="183"/>
        <v>0</v>
      </c>
      <c r="P518" s="59"/>
      <c r="Q518" s="141">
        <v>0</v>
      </c>
      <c r="R518" s="50">
        <f t="shared" si="184"/>
        <v>0</v>
      </c>
      <c r="S518" s="51">
        <f t="shared" si="185"/>
        <v>0</v>
      </c>
      <c r="T518" s="63">
        <v>25</v>
      </c>
      <c r="U518" s="61" t="s">
        <v>81</v>
      </c>
      <c r="V518" s="53">
        <f>SUMIF('Avoided Costs 2014-2023'!$A:$A,'2014 Actuals'!U518&amp;ROUNDDOWN('2014 Actuals'!T518,0),'Avoided Costs 2014-2023'!$E:$E)*K518</f>
        <v>29958.660977738222</v>
      </c>
      <c r="W518" s="53">
        <f>SUMIF('Avoided Costs 2014-2023'!$A:$A,'2014 Actuals'!U518&amp;ROUNDDOWN('2014 Actuals'!T518,0),'Avoided Costs 2014-2023'!$K:$K)*O518</f>
        <v>0</v>
      </c>
      <c r="X518" s="53">
        <f>SUMIF('Avoided Costs 2014-2023'!$A:$A,'2014 Actuals'!U518&amp;ROUNDDOWN('2014 Actuals'!T518,0),'Avoided Costs 2014-2023'!$M:$M)*S518</f>
        <v>0</v>
      </c>
      <c r="Y518" s="53">
        <f t="shared" si="186"/>
        <v>29958.660977738222</v>
      </c>
      <c r="Z518" s="55">
        <v>4008</v>
      </c>
      <c r="AA518" s="54">
        <f t="shared" si="187"/>
        <v>3206.4</v>
      </c>
      <c r="AB518" s="54"/>
      <c r="AC518" s="54"/>
      <c r="AD518" s="54"/>
      <c r="AE518" s="54">
        <f t="shared" si="188"/>
        <v>3206.4</v>
      </c>
      <c r="AF518" s="54">
        <f t="shared" si="189"/>
        <v>26752.26097773822</v>
      </c>
      <c r="AG518" s="49">
        <f t="shared" si="190"/>
        <v>235799.64</v>
      </c>
      <c r="AH518" s="49">
        <f t="shared" si="191"/>
        <v>294749.55</v>
      </c>
    </row>
    <row r="519" spans="1:34" s="56" customFormat="1">
      <c r="A519" s="62" t="s">
        <v>621</v>
      </c>
      <c r="B519" s="62"/>
      <c r="C519" s="62"/>
      <c r="D519" s="62"/>
      <c r="E519" s="141">
        <v>0</v>
      </c>
      <c r="F519" s="142"/>
      <c r="G519" s="143">
        <v>0.2</v>
      </c>
      <c r="H519" s="143">
        <v>0</v>
      </c>
      <c r="I519" s="49">
        <v>11359</v>
      </c>
      <c r="J519" s="49">
        <f t="shared" si="180"/>
        <v>9507.4830000000002</v>
      </c>
      <c r="K519" s="49">
        <f t="shared" si="181"/>
        <v>7605.9864000000007</v>
      </c>
      <c r="L519" s="58"/>
      <c r="M519" s="141">
        <v>0</v>
      </c>
      <c r="N519" s="50">
        <f t="shared" si="182"/>
        <v>0</v>
      </c>
      <c r="O519" s="50">
        <f t="shared" si="183"/>
        <v>0</v>
      </c>
      <c r="P519" s="59"/>
      <c r="Q519" s="141">
        <v>0</v>
      </c>
      <c r="R519" s="50">
        <f t="shared" si="184"/>
        <v>0</v>
      </c>
      <c r="S519" s="51">
        <f t="shared" si="185"/>
        <v>0</v>
      </c>
      <c r="T519" s="63">
        <v>25</v>
      </c>
      <c r="U519" s="61" t="s">
        <v>94</v>
      </c>
      <c r="V519" s="53">
        <f>SUMIF('Avoided Costs 2014-2023'!$A:$A,'2014 Actuals'!U519&amp;ROUNDDOWN('2014 Actuals'!T519,0),'Avoided Costs 2014-2023'!$E:$E)*K519</f>
        <v>22633.491472805341</v>
      </c>
      <c r="W519" s="53">
        <f>SUMIF('Avoided Costs 2014-2023'!$A:$A,'2014 Actuals'!U519&amp;ROUNDDOWN('2014 Actuals'!T519,0),'Avoided Costs 2014-2023'!$K:$K)*O519</f>
        <v>0</v>
      </c>
      <c r="X519" s="53">
        <f>SUMIF('Avoided Costs 2014-2023'!$A:$A,'2014 Actuals'!U519&amp;ROUNDDOWN('2014 Actuals'!T519,0),'Avoided Costs 2014-2023'!$M:$M)*S519</f>
        <v>0</v>
      </c>
      <c r="Y519" s="53">
        <f t="shared" si="186"/>
        <v>22633.491472805341</v>
      </c>
      <c r="Z519" s="55">
        <v>9594</v>
      </c>
      <c r="AA519" s="54">
        <f t="shared" si="187"/>
        <v>7675.2000000000007</v>
      </c>
      <c r="AB519" s="54"/>
      <c r="AC519" s="54"/>
      <c r="AD519" s="54"/>
      <c r="AE519" s="54">
        <f t="shared" si="188"/>
        <v>7675.2000000000007</v>
      </c>
      <c r="AF519" s="54">
        <f t="shared" si="189"/>
        <v>14958.29147280534</v>
      </c>
      <c r="AG519" s="49">
        <f t="shared" si="190"/>
        <v>190149.66</v>
      </c>
      <c r="AH519" s="49">
        <f t="shared" si="191"/>
        <v>237687.07500000001</v>
      </c>
    </row>
    <row r="520" spans="1:34" s="56" customFormat="1">
      <c r="A520" s="62" t="s">
        <v>622</v>
      </c>
      <c r="B520" s="62"/>
      <c r="C520" s="62"/>
      <c r="D520" s="62"/>
      <c r="E520" s="141">
        <v>1</v>
      </c>
      <c r="F520" s="142"/>
      <c r="G520" s="143">
        <v>0.2</v>
      </c>
      <c r="H520" s="143">
        <v>0</v>
      </c>
      <c r="I520" s="49">
        <v>35307</v>
      </c>
      <c r="J520" s="49">
        <f t="shared" si="180"/>
        <v>29551.958999999999</v>
      </c>
      <c r="K520" s="49">
        <f t="shared" si="181"/>
        <v>23641.567200000001</v>
      </c>
      <c r="L520" s="58"/>
      <c r="M520" s="141">
        <v>0</v>
      </c>
      <c r="N520" s="50">
        <f t="shared" si="182"/>
        <v>0</v>
      </c>
      <c r="O520" s="50">
        <f t="shared" si="183"/>
        <v>0</v>
      </c>
      <c r="P520" s="59"/>
      <c r="Q520" s="141">
        <v>0</v>
      </c>
      <c r="R520" s="50">
        <f t="shared" si="184"/>
        <v>0</v>
      </c>
      <c r="S520" s="51">
        <f t="shared" si="185"/>
        <v>0</v>
      </c>
      <c r="T520" s="63">
        <v>25</v>
      </c>
      <c r="U520" s="61" t="s">
        <v>81</v>
      </c>
      <c r="V520" s="53">
        <f>SUMIF('Avoided Costs 2014-2023'!$A:$A,'2014 Actuals'!U520&amp;ROUNDDOWN('2014 Actuals'!T520,0),'Avoided Costs 2014-2023'!$E:$E)*K520</f>
        <v>75092.321676913489</v>
      </c>
      <c r="W520" s="53">
        <f>SUMIF('Avoided Costs 2014-2023'!$A:$A,'2014 Actuals'!U520&amp;ROUNDDOWN('2014 Actuals'!T520,0),'Avoided Costs 2014-2023'!$K:$K)*O520</f>
        <v>0</v>
      </c>
      <c r="X520" s="53">
        <f>SUMIF('Avoided Costs 2014-2023'!$A:$A,'2014 Actuals'!U520&amp;ROUNDDOWN('2014 Actuals'!T520,0),'Avoided Costs 2014-2023'!$M:$M)*S520</f>
        <v>0</v>
      </c>
      <c r="Y520" s="53">
        <f t="shared" si="186"/>
        <v>75092.321676913489</v>
      </c>
      <c r="Z520" s="55">
        <v>2000</v>
      </c>
      <c r="AA520" s="54">
        <f t="shared" si="187"/>
        <v>1600</v>
      </c>
      <c r="AB520" s="54"/>
      <c r="AC520" s="54"/>
      <c r="AD520" s="54"/>
      <c r="AE520" s="54">
        <f t="shared" si="188"/>
        <v>1600</v>
      </c>
      <c r="AF520" s="54">
        <f t="shared" si="189"/>
        <v>73492.321676913489</v>
      </c>
      <c r="AG520" s="49">
        <f t="shared" si="190"/>
        <v>591039.18000000005</v>
      </c>
      <c r="AH520" s="49">
        <f t="shared" si="191"/>
        <v>738798.97499999998</v>
      </c>
    </row>
    <row r="521" spans="1:34" s="56" customFormat="1">
      <c r="A521" s="136" t="s">
        <v>623</v>
      </c>
      <c r="B521" s="136"/>
      <c r="C521" s="136"/>
      <c r="D521" s="136"/>
      <c r="E521" s="137">
        <v>0</v>
      </c>
      <c r="F521" s="138"/>
      <c r="G521" s="139">
        <v>0.2</v>
      </c>
      <c r="H521" s="139">
        <v>0</v>
      </c>
      <c r="I521" s="49">
        <v>7818</v>
      </c>
      <c r="J521" s="49">
        <f t="shared" si="180"/>
        <v>6543.6660000000002</v>
      </c>
      <c r="K521" s="49">
        <f t="shared" si="181"/>
        <v>5234.9328000000005</v>
      </c>
      <c r="L521" s="138"/>
      <c r="M521" s="137">
        <v>0</v>
      </c>
      <c r="N521" s="50">
        <f t="shared" si="182"/>
        <v>0</v>
      </c>
      <c r="O521" s="50">
        <f t="shared" si="183"/>
        <v>0</v>
      </c>
      <c r="P521" s="140"/>
      <c r="Q521" s="137">
        <v>0</v>
      </c>
      <c r="R521" s="50">
        <f t="shared" si="184"/>
        <v>0</v>
      </c>
      <c r="S521" s="51">
        <f t="shared" si="185"/>
        <v>0</v>
      </c>
      <c r="T521" s="63">
        <v>25</v>
      </c>
      <c r="U521" s="52" t="s">
        <v>94</v>
      </c>
      <c r="V521" s="53">
        <f>SUMIF('Avoided Costs 2014-2023'!$A:$A,'2014 Actuals'!U521&amp;ROUNDDOWN('2014 Actuals'!T521,0),'Avoided Costs 2014-2023'!$E:$E)*K521</f>
        <v>15577.835754414313</v>
      </c>
      <c r="W521" s="53">
        <f>SUMIF('Avoided Costs 2014-2023'!$A:$A,'2014 Actuals'!U521&amp;ROUNDDOWN('2014 Actuals'!T521,0),'Avoided Costs 2014-2023'!$K:$K)*O521</f>
        <v>0</v>
      </c>
      <c r="X521" s="53">
        <f>SUMIF('Avoided Costs 2014-2023'!$A:$A,'2014 Actuals'!U521&amp;ROUNDDOWN('2014 Actuals'!T521,0),'Avoided Costs 2014-2023'!$M:$M)*S521</f>
        <v>0</v>
      </c>
      <c r="Y521" s="53">
        <f t="shared" si="186"/>
        <v>15577.835754414313</v>
      </c>
      <c r="Z521" s="55">
        <v>5781</v>
      </c>
      <c r="AA521" s="54">
        <f t="shared" si="187"/>
        <v>4624.8</v>
      </c>
      <c r="AB521" s="54"/>
      <c r="AC521" s="54"/>
      <c r="AD521" s="54"/>
      <c r="AE521" s="54">
        <f t="shared" si="188"/>
        <v>4624.8</v>
      </c>
      <c r="AF521" s="54">
        <f t="shared" si="189"/>
        <v>10953.035754414312</v>
      </c>
      <c r="AG521" s="49">
        <f t="shared" si="190"/>
        <v>130873.32</v>
      </c>
      <c r="AH521" s="49">
        <f t="shared" si="191"/>
        <v>163591.65</v>
      </c>
    </row>
    <row r="522" spans="1:34" s="56" customFormat="1">
      <c r="A522" s="136" t="s">
        <v>624</v>
      </c>
      <c r="B522" s="136"/>
      <c r="C522" s="136"/>
      <c r="D522" s="136"/>
      <c r="E522" s="137">
        <v>1</v>
      </c>
      <c r="F522" s="138"/>
      <c r="G522" s="139">
        <v>0.2</v>
      </c>
      <c r="H522" s="139">
        <v>0</v>
      </c>
      <c r="I522" s="49">
        <v>8158</v>
      </c>
      <c r="J522" s="49">
        <f t="shared" si="180"/>
        <v>6828.2460000000001</v>
      </c>
      <c r="K522" s="49">
        <f t="shared" si="181"/>
        <v>5462.5968000000003</v>
      </c>
      <c r="L522" s="138"/>
      <c r="M522" s="137">
        <v>0</v>
      </c>
      <c r="N522" s="50">
        <f t="shared" si="182"/>
        <v>0</v>
      </c>
      <c r="O522" s="50">
        <f t="shared" si="183"/>
        <v>0</v>
      </c>
      <c r="P522" s="140"/>
      <c r="Q522" s="137">
        <v>0</v>
      </c>
      <c r="R522" s="50">
        <f t="shared" si="184"/>
        <v>0</v>
      </c>
      <c r="S522" s="51">
        <f t="shared" si="185"/>
        <v>0</v>
      </c>
      <c r="T522" s="63">
        <v>15</v>
      </c>
      <c r="U522" s="52" t="s">
        <v>81</v>
      </c>
      <c r="V522" s="53">
        <f>SUMIF('Avoided Costs 2014-2023'!$A:$A,'2014 Actuals'!U522&amp;ROUNDDOWN('2014 Actuals'!T522,0),'Avoided Costs 2014-2023'!$E:$E)*K522</f>
        <v>12645.211916958835</v>
      </c>
      <c r="W522" s="53">
        <f>SUMIF('Avoided Costs 2014-2023'!$A:$A,'2014 Actuals'!U522&amp;ROUNDDOWN('2014 Actuals'!T522,0),'Avoided Costs 2014-2023'!$K:$K)*O522</f>
        <v>0</v>
      </c>
      <c r="X522" s="53">
        <f>SUMIF('Avoided Costs 2014-2023'!$A:$A,'2014 Actuals'!U522&amp;ROUNDDOWN('2014 Actuals'!T522,0),'Avoided Costs 2014-2023'!$M:$M)*S522</f>
        <v>0</v>
      </c>
      <c r="Y522" s="53">
        <f t="shared" si="186"/>
        <v>12645.211916958835</v>
      </c>
      <c r="Z522" s="55">
        <v>16525</v>
      </c>
      <c r="AA522" s="54">
        <f t="shared" si="187"/>
        <v>13220</v>
      </c>
      <c r="AB522" s="54"/>
      <c r="AC522" s="54"/>
      <c r="AD522" s="54"/>
      <c r="AE522" s="54">
        <f t="shared" si="188"/>
        <v>13220</v>
      </c>
      <c r="AF522" s="54">
        <f t="shared" si="189"/>
        <v>-574.78808304116501</v>
      </c>
      <c r="AG522" s="49">
        <f t="shared" si="190"/>
        <v>81938.952000000005</v>
      </c>
      <c r="AH522" s="49">
        <f t="shared" si="191"/>
        <v>102423.69</v>
      </c>
    </row>
    <row r="523" spans="1:34" s="56" customFormat="1">
      <c r="A523" s="136" t="s">
        <v>625</v>
      </c>
      <c r="B523" s="136"/>
      <c r="C523" s="136"/>
      <c r="D523" s="136"/>
      <c r="E523" s="137">
        <v>0</v>
      </c>
      <c r="F523" s="138"/>
      <c r="G523" s="139">
        <v>0.2</v>
      </c>
      <c r="H523" s="139">
        <v>0</v>
      </c>
      <c r="I523" s="49">
        <v>3591</v>
      </c>
      <c r="J523" s="49">
        <f t="shared" si="180"/>
        <v>3005.6669999999999</v>
      </c>
      <c r="K523" s="49">
        <f t="shared" si="181"/>
        <v>2404.5336000000002</v>
      </c>
      <c r="L523" s="138"/>
      <c r="M523" s="137">
        <v>0</v>
      </c>
      <c r="N523" s="50">
        <f t="shared" si="182"/>
        <v>0</v>
      </c>
      <c r="O523" s="50">
        <f t="shared" si="183"/>
        <v>0</v>
      </c>
      <c r="P523" s="140"/>
      <c r="Q523" s="137">
        <v>0</v>
      </c>
      <c r="R523" s="50">
        <f t="shared" si="184"/>
        <v>0</v>
      </c>
      <c r="S523" s="51">
        <f t="shared" si="185"/>
        <v>0</v>
      </c>
      <c r="T523" s="63">
        <v>25</v>
      </c>
      <c r="U523" s="52" t="s">
        <v>94</v>
      </c>
      <c r="V523" s="53">
        <f>SUMIF('Avoided Costs 2014-2023'!$A:$A,'2014 Actuals'!U523&amp;ROUNDDOWN('2014 Actuals'!T523,0),'Avoided Costs 2014-2023'!$E:$E)*K523</f>
        <v>7155.2837290997431</v>
      </c>
      <c r="W523" s="53">
        <f>SUMIF('Avoided Costs 2014-2023'!$A:$A,'2014 Actuals'!U523&amp;ROUNDDOWN('2014 Actuals'!T523,0),'Avoided Costs 2014-2023'!$K:$K)*O523</f>
        <v>0</v>
      </c>
      <c r="X523" s="53">
        <f>SUMIF('Avoided Costs 2014-2023'!$A:$A,'2014 Actuals'!U523&amp;ROUNDDOWN('2014 Actuals'!T523,0),'Avoided Costs 2014-2023'!$M:$M)*S523</f>
        <v>0</v>
      </c>
      <c r="Y523" s="53">
        <f t="shared" si="186"/>
        <v>7155.2837290997431</v>
      </c>
      <c r="Z523" s="55">
        <v>3512</v>
      </c>
      <c r="AA523" s="54">
        <f t="shared" si="187"/>
        <v>2809.6000000000004</v>
      </c>
      <c r="AB523" s="54"/>
      <c r="AC523" s="54"/>
      <c r="AD523" s="54"/>
      <c r="AE523" s="54">
        <f t="shared" si="188"/>
        <v>2809.6000000000004</v>
      </c>
      <c r="AF523" s="54">
        <f t="shared" si="189"/>
        <v>4345.6837290997428</v>
      </c>
      <c r="AG523" s="49">
        <f t="shared" si="190"/>
        <v>60113.340000000004</v>
      </c>
      <c r="AH523" s="49">
        <f t="shared" si="191"/>
        <v>75141.675000000003</v>
      </c>
    </row>
    <row r="524" spans="1:34" s="56" customFormat="1">
      <c r="A524" s="136" t="s">
        <v>626</v>
      </c>
      <c r="B524" s="136"/>
      <c r="C524" s="136"/>
      <c r="D524" s="136"/>
      <c r="E524" s="137">
        <v>1</v>
      </c>
      <c r="F524" s="138"/>
      <c r="G524" s="139">
        <v>0.2</v>
      </c>
      <c r="H524" s="139">
        <v>0</v>
      </c>
      <c r="I524" s="49">
        <v>18286</v>
      </c>
      <c r="J524" s="49">
        <f t="shared" si="180"/>
        <v>15305.382</v>
      </c>
      <c r="K524" s="49">
        <f t="shared" si="181"/>
        <v>12244.3056</v>
      </c>
      <c r="L524" s="138"/>
      <c r="M524" s="137">
        <v>0</v>
      </c>
      <c r="N524" s="50">
        <f t="shared" si="182"/>
        <v>0</v>
      </c>
      <c r="O524" s="50">
        <f t="shared" si="183"/>
        <v>0</v>
      </c>
      <c r="P524" s="140"/>
      <c r="Q524" s="137">
        <v>0</v>
      </c>
      <c r="R524" s="50">
        <f t="shared" si="184"/>
        <v>0</v>
      </c>
      <c r="S524" s="51">
        <f t="shared" si="185"/>
        <v>0</v>
      </c>
      <c r="T524" s="63">
        <v>25</v>
      </c>
      <c r="U524" s="52" t="s">
        <v>81</v>
      </c>
      <c r="V524" s="53">
        <f>SUMIF('Avoided Costs 2014-2023'!$A:$A,'2014 Actuals'!U524&amp;ROUNDDOWN('2014 Actuals'!T524,0),'Avoided Costs 2014-2023'!$E:$E)*K524</f>
        <v>38891.386812361285</v>
      </c>
      <c r="W524" s="53">
        <f>SUMIF('Avoided Costs 2014-2023'!$A:$A,'2014 Actuals'!U524&amp;ROUNDDOWN('2014 Actuals'!T524,0),'Avoided Costs 2014-2023'!$K:$K)*O524</f>
        <v>0</v>
      </c>
      <c r="X524" s="53">
        <f>SUMIF('Avoided Costs 2014-2023'!$A:$A,'2014 Actuals'!U524&amp;ROUNDDOWN('2014 Actuals'!T524,0),'Avoided Costs 2014-2023'!$M:$M)*S524</f>
        <v>0</v>
      </c>
      <c r="Y524" s="53">
        <f t="shared" si="186"/>
        <v>38891.386812361285</v>
      </c>
      <c r="Z524" s="55">
        <v>4118</v>
      </c>
      <c r="AA524" s="54">
        <f t="shared" si="187"/>
        <v>3294.4</v>
      </c>
      <c r="AB524" s="54"/>
      <c r="AC524" s="54"/>
      <c r="AD524" s="54"/>
      <c r="AE524" s="54">
        <f t="shared" si="188"/>
        <v>3294.4</v>
      </c>
      <c r="AF524" s="54">
        <f t="shared" si="189"/>
        <v>35596.986812361283</v>
      </c>
      <c r="AG524" s="49">
        <f t="shared" si="190"/>
        <v>306107.64</v>
      </c>
      <c r="AH524" s="49">
        <f t="shared" si="191"/>
        <v>382634.55</v>
      </c>
    </row>
    <row r="525" spans="1:34" s="56" customFormat="1">
      <c r="A525" s="62" t="s">
        <v>627</v>
      </c>
      <c r="B525" s="62"/>
      <c r="C525" s="62"/>
      <c r="D525" s="62"/>
      <c r="E525" s="141">
        <v>0</v>
      </c>
      <c r="F525" s="142"/>
      <c r="G525" s="143">
        <v>0.2</v>
      </c>
      <c r="H525" s="143">
        <v>0</v>
      </c>
      <c r="I525" s="49">
        <v>7981</v>
      </c>
      <c r="J525" s="49">
        <f t="shared" si="180"/>
        <v>6680.0969999999998</v>
      </c>
      <c r="K525" s="49">
        <f t="shared" si="181"/>
        <v>5344.0776000000005</v>
      </c>
      <c r="L525" s="58"/>
      <c r="M525" s="141">
        <v>0</v>
      </c>
      <c r="N525" s="50">
        <f t="shared" si="182"/>
        <v>0</v>
      </c>
      <c r="O525" s="50">
        <f t="shared" si="183"/>
        <v>0</v>
      </c>
      <c r="P525" s="59"/>
      <c r="Q525" s="141">
        <v>0</v>
      </c>
      <c r="R525" s="50">
        <f t="shared" si="184"/>
        <v>0</v>
      </c>
      <c r="S525" s="51">
        <f t="shared" si="185"/>
        <v>0</v>
      </c>
      <c r="T525" s="63">
        <v>15</v>
      </c>
      <c r="U525" s="61" t="s">
        <v>81</v>
      </c>
      <c r="V525" s="53">
        <f>SUMIF('Avoided Costs 2014-2023'!$A:$A,'2014 Actuals'!U525&amp;ROUNDDOWN('2014 Actuals'!T525,0),'Avoided Costs 2014-2023'!$E:$E)*K525</f>
        <v>12370.855149454335</v>
      </c>
      <c r="W525" s="53">
        <f>SUMIF('Avoided Costs 2014-2023'!$A:$A,'2014 Actuals'!U525&amp;ROUNDDOWN('2014 Actuals'!T525,0),'Avoided Costs 2014-2023'!$K:$K)*O525</f>
        <v>0</v>
      </c>
      <c r="X525" s="53">
        <f>SUMIF('Avoided Costs 2014-2023'!$A:$A,'2014 Actuals'!U525&amp;ROUNDDOWN('2014 Actuals'!T525,0),'Avoided Costs 2014-2023'!$M:$M)*S525</f>
        <v>0</v>
      </c>
      <c r="Y525" s="53">
        <f t="shared" si="186"/>
        <v>12370.855149454335</v>
      </c>
      <c r="Z525" s="55">
        <v>10038</v>
      </c>
      <c r="AA525" s="54">
        <f t="shared" si="187"/>
        <v>8030.4000000000005</v>
      </c>
      <c r="AB525" s="54"/>
      <c r="AC525" s="54"/>
      <c r="AD525" s="54"/>
      <c r="AE525" s="54">
        <f t="shared" si="188"/>
        <v>8030.4000000000005</v>
      </c>
      <c r="AF525" s="54">
        <f t="shared" si="189"/>
        <v>4340.4551494543348</v>
      </c>
      <c r="AG525" s="49">
        <f t="shared" si="190"/>
        <v>80161.164000000004</v>
      </c>
      <c r="AH525" s="49">
        <f t="shared" si="191"/>
        <v>100201.455</v>
      </c>
    </row>
    <row r="526" spans="1:34" s="56" customFormat="1">
      <c r="A526" s="62" t="s">
        <v>628</v>
      </c>
      <c r="B526" s="62"/>
      <c r="C526" s="62"/>
      <c r="D526" s="62"/>
      <c r="E526" s="141">
        <v>0</v>
      </c>
      <c r="F526" s="142"/>
      <c r="G526" s="143">
        <v>0.2</v>
      </c>
      <c r="H526" s="143">
        <v>0</v>
      </c>
      <c r="I526" s="49">
        <v>5202</v>
      </c>
      <c r="J526" s="49">
        <f t="shared" si="180"/>
        <v>4354.0739999999996</v>
      </c>
      <c r="K526" s="49">
        <f t="shared" si="181"/>
        <v>3483.2592</v>
      </c>
      <c r="L526" s="58"/>
      <c r="M526" s="141">
        <v>0</v>
      </c>
      <c r="N526" s="50">
        <f t="shared" si="182"/>
        <v>0</v>
      </c>
      <c r="O526" s="50">
        <f t="shared" si="183"/>
        <v>0</v>
      </c>
      <c r="P526" s="59"/>
      <c r="Q526" s="141">
        <v>0</v>
      </c>
      <c r="R526" s="50">
        <f t="shared" si="184"/>
        <v>0</v>
      </c>
      <c r="S526" s="51">
        <f t="shared" si="185"/>
        <v>0</v>
      </c>
      <c r="T526" s="63">
        <v>25</v>
      </c>
      <c r="U526" s="61" t="s">
        <v>94</v>
      </c>
      <c r="V526" s="53">
        <f>SUMIF('Avoided Costs 2014-2023'!$A:$A,'2014 Actuals'!U526&amp;ROUNDDOWN('2014 Actuals'!T526,0),'Avoided Costs 2014-2023'!$E:$E)*K526</f>
        <v>10365.298234134465</v>
      </c>
      <c r="W526" s="53">
        <f>SUMIF('Avoided Costs 2014-2023'!$A:$A,'2014 Actuals'!U526&amp;ROUNDDOWN('2014 Actuals'!T526,0),'Avoided Costs 2014-2023'!$K:$K)*O526</f>
        <v>0</v>
      </c>
      <c r="X526" s="53">
        <f>SUMIF('Avoided Costs 2014-2023'!$A:$A,'2014 Actuals'!U526&amp;ROUNDDOWN('2014 Actuals'!T526,0),'Avoided Costs 2014-2023'!$M:$M)*S526</f>
        <v>0</v>
      </c>
      <c r="Y526" s="53">
        <f t="shared" si="186"/>
        <v>10365.298234134465</v>
      </c>
      <c r="Z526" s="55">
        <v>3236</v>
      </c>
      <c r="AA526" s="54">
        <f t="shared" si="187"/>
        <v>2588.8000000000002</v>
      </c>
      <c r="AB526" s="54"/>
      <c r="AC526" s="54"/>
      <c r="AD526" s="54"/>
      <c r="AE526" s="54">
        <f t="shared" si="188"/>
        <v>2588.8000000000002</v>
      </c>
      <c r="AF526" s="54">
        <f t="shared" si="189"/>
        <v>7776.4982341344648</v>
      </c>
      <c r="AG526" s="49">
        <f t="shared" si="190"/>
        <v>87081.48</v>
      </c>
      <c r="AH526" s="49">
        <f t="shared" si="191"/>
        <v>108851.84999999999</v>
      </c>
    </row>
    <row r="527" spans="1:34" s="56" customFormat="1">
      <c r="A527" s="62" t="s">
        <v>629</v>
      </c>
      <c r="B527" s="62"/>
      <c r="C527" s="62"/>
      <c r="D527" s="62"/>
      <c r="E527" s="141">
        <v>1</v>
      </c>
      <c r="F527" s="142"/>
      <c r="G527" s="143">
        <v>0.2</v>
      </c>
      <c r="H527" s="143">
        <v>0</v>
      </c>
      <c r="I527" s="49">
        <v>49751</v>
      </c>
      <c r="J527" s="49">
        <f t="shared" si="180"/>
        <v>41641.587</v>
      </c>
      <c r="K527" s="49">
        <f t="shared" si="181"/>
        <v>33313.2696</v>
      </c>
      <c r="L527" s="58"/>
      <c r="M527" s="141">
        <v>0</v>
      </c>
      <c r="N527" s="50">
        <f t="shared" si="182"/>
        <v>0</v>
      </c>
      <c r="O527" s="50">
        <f t="shared" si="183"/>
        <v>0</v>
      </c>
      <c r="P527" s="59"/>
      <c r="Q527" s="141">
        <v>0</v>
      </c>
      <c r="R527" s="50">
        <f t="shared" si="184"/>
        <v>0</v>
      </c>
      <c r="S527" s="51">
        <f t="shared" si="185"/>
        <v>0</v>
      </c>
      <c r="T527" s="63">
        <v>25</v>
      </c>
      <c r="U527" s="61" t="s">
        <v>81</v>
      </c>
      <c r="V527" s="53">
        <f>SUMIF('Avoided Costs 2014-2023'!$A:$A,'2014 Actuals'!U527&amp;ROUNDDOWN('2014 Actuals'!T527,0),'Avoided Costs 2014-2023'!$E:$E)*K527</f>
        <v>105812.3911900791</v>
      </c>
      <c r="W527" s="53">
        <f>SUMIF('Avoided Costs 2014-2023'!$A:$A,'2014 Actuals'!U527&amp;ROUNDDOWN('2014 Actuals'!T527,0),'Avoided Costs 2014-2023'!$K:$K)*O527</f>
        <v>0</v>
      </c>
      <c r="X527" s="53">
        <f>SUMIF('Avoided Costs 2014-2023'!$A:$A,'2014 Actuals'!U527&amp;ROUNDDOWN('2014 Actuals'!T527,0),'Avoided Costs 2014-2023'!$M:$M)*S527</f>
        <v>0</v>
      </c>
      <c r="Y527" s="53">
        <f t="shared" si="186"/>
        <v>105812.3911900791</v>
      </c>
      <c r="Z527" s="55">
        <v>13051</v>
      </c>
      <c r="AA527" s="54">
        <f t="shared" si="187"/>
        <v>10440.800000000001</v>
      </c>
      <c r="AB527" s="54"/>
      <c r="AC527" s="54"/>
      <c r="AD527" s="54"/>
      <c r="AE527" s="54">
        <f t="shared" si="188"/>
        <v>10440.800000000001</v>
      </c>
      <c r="AF527" s="54">
        <f t="shared" si="189"/>
        <v>95371.591190079096</v>
      </c>
      <c r="AG527" s="49">
        <f t="shared" si="190"/>
        <v>832831.74</v>
      </c>
      <c r="AH527" s="49">
        <f t="shared" si="191"/>
        <v>1041039.675</v>
      </c>
    </row>
    <row r="528" spans="1:34" s="56" customFormat="1">
      <c r="A528" s="62" t="s">
        <v>630</v>
      </c>
      <c r="B528" s="62"/>
      <c r="C528" s="62"/>
      <c r="D528" s="62"/>
      <c r="E528" s="141">
        <v>0</v>
      </c>
      <c r="F528" s="142"/>
      <c r="G528" s="143">
        <v>0.2</v>
      </c>
      <c r="H528" s="143">
        <v>0</v>
      </c>
      <c r="I528" s="49">
        <v>4117</v>
      </c>
      <c r="J528" s="49">
        <f t="shared" si="180"/>
        <v>3445.9290000000001</v>
      </c>
      <c r="K528" s="49">
        <f t="shared" si="181"/>
        <v>2756.7432000000003</v>
      </c>
      <c r="L528" s="58"/>
      <c r="M528" s="141">
        <v>0</v>
      </c>
      <c r="N528" s="50">
        <f t="shared" si="182"/>
        <v>0</v>
      </c>
      <c r="O528" s="50">
        <f t="shared" si="183"/>
        <v>0</v>
      </c>
      <c r="P528" s="59"/>
      <c r="Q528" s="141">
        <v>0</v>
      </c>
      <c r="R528" s="50">
        <f t="shared" si="184"/>
        <v>0</v>
      </c>
      <c r="S528" s="51">
        <f t="shared" si="185"/>
        <v>0</v>
      </c>
      <c r="T528" s="63">
        <v>25</v>
      </c>
      <c r="U528" s="61" t="s">
        <v>94</v>
      </c>
      <c r="V528" s="53">
        <f>SUMIF('Avoided Costs 2014-2023'!$A:$A,'2014 Actuals'!U528&amp;ROUNDDOWN('2014 Actuals'!T528,0),'Avoided Costs 2014-2023'!$E:$E)*K528</f>
        <v>8203.370401755401</v>
      </c>
      <c r="W528" s="53">
        <f>SUMIF('Avoided Costs 2014-2023'!$A:$A,'2014 Actuals'!U528&amp;ROUNDDOWN('2014 Actuals'!T528,0),'Avoided Costs 2014-2023'!$K:$K)*O528</f>
        <v>0</v>
      </c>
      <c r="X528" s="53">
        <f>SUMIF('Avoided Costs 2014-2023'!$A:$A,'2014 Actuals'!U528&amp;ROUNDDOWN('2014 Actuals'!T528,0),'Avoided Costs 2014-2023'!$M:$M)*S528</f>
        <v>0</v>
      </c>
      <c r="Y528" s="53">
        <f t="shared" si="186"/>
        <v>8203.370401755401</v>
      </c>
      <c r="Z528" s="55">
        <v>6508</v>
      </c>
      <c r="AA528" s="54">
        <f t="shared" si="187"/>
        <v>5206.4000000000005</v>
      </c>
      <c r="AB528" s="54"/>
      <c r="AC528" s="54"/>
      <c r="AD528" s="54"/>
      <c r="AE528" s="54">
        <f t="shared" si="188"/>
        <v>5206.4000000000005</v>
      </c>
      <c r="AF528" s="54">
        <f t="shared" si="189"/>
        <v>2996.9704017554004</v>
      </c>
      <c r="AG528" s="49">
        <f t="shared" si="190"/>
        <v>68918.58</v>
      </c>
      <c r="AH528" s="49">
        <f t="shared" si="191"/>
        <v>86148.225000000006</v>
      </c>
    </row>
    <row r="529" spans="1:34" s="56" customFormat="1">
      <c r="A529" s="62" t="s">
        <v>631</v>
      </c>
      <c r="B529" s="62"/>
      <c r="C529" s="62"/>
      <c r="D529" s="62"/>
      <c r="E529" s="141">
        <v>1</v>
      </c>
      <c r="F529" s="142"/>
      <c r="G529" s="143">
        <v>0.2</v>
      </c>
      <c r="H529" s="143">
        <v>0</v>
      </c>
      <c r="I529" s="49">
        <v>27417</v>
      </c>
      <c r="J529" s="49">
        <f t="shared" ref="J529:J592" si="192">+$I$42*I529</f>
        <v>22948.028999999999</v>
      </c>
      <c r="K529" s="49">
        <f t="shared" ref="K529:K592" si="193">J529*(1-G529)</f>
        <v>18358.423200000001</v>
      </c>
      <c r="L529" s="58"/>
      <c r="M529" s="141">
        <v>0</v>
      </c>
      <c r="N529" s="50">
        <f t="shared" ref="N529:N592" si="194">+$M$42*M529</f>
        <v>0</v>
      </c>
      <c r="O529" s="50">
        <f t="shared" ref="O529:O592" si="195">N529*(1-G529)</f>
        <v>0</v>
      </c>
      <c r="P529" s="59"/>
      <c r="Q529" s="141">
        <v>0</v>
      </c>
      <c r="R529" s="50">
        <f t="shared" ref="R529:R592" si="196">+Q529*$Q$42</f>
        <v>0</v>
      </c>
      <c r="S529" s="51">
        <f t="shared" ref="S529:S592" si="197">R529*(1-G529)</f>
        <v>0</v>
      </c>
      <c r="T529" s="63">
        <v>25</v>
      </c>
      <c r="U529" s="61" t="s">
        <v>81</v>
      </c>
      <c r="V529" s="53">
        <f>SUMIF('Avoided Costs 2014-2023'!$A:$A,'2014 Actuals'!U529&amp;ROUNDDOWN('2014 Actuals'!T529,0),'Avoided Costs 2014-2023'!$E:$E)*K529</f>
        <v>58311.558144728726</v>
      </c>
      <c r="W529" s="53">
        <f>SUMIF('Avoided Costs 2014-2023'!$A:$A,'2014 Actuals'!U529&amp;ROUNDDOWN('2014 Actuals'!T529,0),'Avoided Costs 2014-2023'!$K:$K)*O529</f>
        <v>0</v>
      </c>
      <c r="X529" s="53">
        <f>SUMIF('Avoided Costs 2014-2023'!$A:$A,'2014 Actuals'!U529&amp;ROUNDDOWN('2014 Actuals'!T529,0),'Avoided Costs 2014-2023'!$M:$M)*S529</f>
        <v>0</v>
      </c>
      <c r="Y529" s="53">
        <f t="shared" ref="Y529:Y592" si="198">SUM(V529:X529)</f>
        <v>58311.558144728726</v>
      </c>
      <c r="Z529" s="55">
        <v>17784</v>
      </c>
      <c r="AA529" s="54">
        <f t="shared" ref="AA529:AA592" si="199">Z529*(1-G529)</f>
        <v>14227.2</v>
      </c>
      <c r="AB529" s="54"/>
      <c r="AC529" s="54"/>
      <c r="AD529" s="54"/>
      <c r="AE529" s="54">
        <f t="shared" ref="AE529:AE592" si="200">AA529+AC529</f>
        <v>14227.2</v>
      </c>
      <c r="AF529" s="54">
        <f t="shared" ref="AF529:AF592" si="201">Y529-AE529</f>
        <v>44084.358144728729</v>
      </c>
      <c r="AG529" s="49">
        <f t="shared" ref="AG529:AG592" si="202">K529*T529</f>
        <v>458960.58</v>
      </c>
      <c r="AH529" s="49">
        <f t="shared" ref="AH529:AH592" si="203">(J529*T529)</f>
        <v>573700.72499999998</v>
      </c>
    </row>
    <row r="530" spans="1:34" s="56" customFormat="1">
      <c r="A530" s="62" t="s">
        <v>632</v>
      </c>
      <c r="B530" s="62"/>
      <c r="C530" s="62"/>
      <c r="D530" s="62"/>
      <c r="E530" s="141">
        <v>1</v>
      </c>
      <c r="F530" s="142"/>
      <c r="G530" s="143">
        <v>0.2</v>
      </c>
      <c r="H530" s="143">
        <v>0</v>
      </c>
      <c r="I530" s="49">
        <v>45735</v>
      </c>
      <c r="J530" s="49">
        <f t="shared" si="192"/>
        <v>38280.195</v>
      </c>
      <c r="K530" s="49">
        <f t="shared" si="193"/>
        <v>30624.156000000003</v>
      </c>
      <c r="L530" s="58"/>
      <c r="M530" s="141">
        <v>17841</v>
      </c>
      <c r="N530" s="50">
        <f t="shared" si="194"/>
        <v>17841</v>
      </c>
      <c r="O530" s="50">
        <f t="shared" si="195"/>
        <v>14272.800000000001</v>
      </c>
      <c r="P530" s="59"/>
      <c r="Q530" s="141">
        <v>0</v>
      </c>
      <c r="R530" s="50">
        <f t="shared" si="196"/>
        <v>0</v>
      </c>
      <c r="S530" s="51">
        <f t="shared" si="197"/>
        <v>0</v>
      </c>
      <c r="T530" s="63">
        <v>15</v>
      </c>
      <c r="U530" s="61" t="s">
        <v>81</v>
      </c>
      <c r="V530" s="53">
        <f>SUMIF('Avoided Costs 2014-2023'!$A:$A,'2014 Actuals'!U530&amp;ROUNDDOWN('2014 Actuals'!T530,0),'Avoided Costs 2014-2023'!$E:$E)*K530</f>
        <v>70890.998654340816</v>
      </c>
      <c r="W530" s="53">
        <f>SUMIF('Avoided Costs 2014-2023'!$A:$A,'2014 Actuals'!U530&amp;ROUNDDOWN('2014 Actuals'!T530,0),'Avoided Costs 2014-2023'!$K:$K)*O530</f>
        <v>16877.30572110325</v>
      </c>
      <c r="X530" s="53">
        <f>SUMIF('Avoided Costs 2014-2023'!$A:$A,'2014 Actuals'!U530&amp;ROUNDDOWN('2014 Actuals'!T530,0),'Avoided Costs 2014-2023'!$M:$M)*S530</f>
        <v>0</v>
      </c>
      <c r="Y530" s="53">
        <f t="shared" si="198"/>
        <v>87768.304375444073</v>
      </c>
      <c r="Z530" s="55">
        <v>53400</v>
      </c>
      <c r="AA530" s="54">
        <f t="shared" si="199"/>
        <v>42720</v>
      </c>
      <c r="AB530" s="54"/>
      <c r="AC530" s="54"/>
      <c r="AD530" s="54"/>
      <c r="AE530" s="54">
        <f t="shared" si="200"/>
        <v>42720</v>
      </c>
      <c r="AF530" s="54">
        <f t="shared" si="201"/>
        <v>45048.304375444073</v>
      </c>
      <c r="AG530" s="49">
        <f t="shared" si="202"/>
        <v>459362.34</v>
      </c>
      <c r="AH530" s="49">
        <f t="shared" si="203"/>
        <v>574202.92500000005</v>
      </c>
    </row>
    <row r="531" spans="1:34" s="56" customFormat="1">
      <c r="A531" s="62" t="s">
        <v>633</v>
      </c>
      <c r="B531" s="62"/>
      <c r="C531" s="62"/>
      <c r="D531" s="62"/>
      <c r="E531" s="141">
        <v>1</v>
      </c>
      <c r="F531" s="142"/>
      <c r="G531" s="143">
        <v>0.2</v>
      </c>
      <c r="H531" s="143">
        <v>0</v>
      </c>
      <c r="I531" s="49">
        <v>199845</v>
      </c>
      <c r="J531" s="49">
        <f t="shared" si="192"/>
        <v>167270.26499999998</v>
      </c>
      <c r="K531" s="49">
        <f t="shared" si="193"/>
        <v>133816.212</v>
      </c>
      <c r="L531" s="58"/>
      <c r="M531" s="141">
        <v>0</v>
      </c>
      <c r="N531" s="50">
        <f t="shared" si="194"/>
        <v>0</v>
      </c>
      <c r="O531" s="50">
        <f t="shared" si="195"/>
        <v>0</v>
      </c>
      <c r="P531" s="59"/>
      <c r="Q531" s="141">
        <v>0</v>
      </c>
      <c r="R531" s="50">
        <f t="shared" si="196"/>
        <v>0</v>
      </c>
      <c r="S531" s="51">
        <f t="shared" si="197"/>
        <v>0</v>
      </c>
      <c r="T531" s="63">
        <v>25</v>
      </c>
      <c r="U531" s="61" t="s">
        <v>81</v>
      </c>
      <c r="V531" s="53">
        <f>SUMIF('Avoided Costs 2014-2023'!$A:$A,'2014 Actuals'!U531&amp;ROUNDDOWN('2014 Actuals'!T531,0),'Avoided Costs 2014-2023'!$E:$E)*K531</f>
        <v>425038.23676672549</v>
      </c>
      <c r="W531" s="53">
        <f>SUMIF('Avoided Costs 2014-2023'!$A:$A,'2014 Actuals'!U531&amp;ROUNDDOWN('2014 Actuals'!T531,0),'Avoided Costs 2014-2023'!$K:$K)*O531</f>
        <v>0</v>
      </c>
      <c r="X531" s="53">
        <f>SUMIF('Avoided Costs 2014-2023'!$A:$A,'2014 Actuals'!U531&amp;ROUNDDOWN('2014 Actuals'!T531,0),'Avoided Costs 2014-2023'!$M:$M)*S531</f>
        <v>0</v>
      </c>
      <c r="Y531" s="53">
        <f t="shared" si="198"/>
        <v>425038.23676672549</v>
      </c>
      <c r="Z531" s="55">
        <v>31416</v>
      </c>
      <c r="AA531" s="54">
        <f t="shared" si="199"/>
        <v>25132.800000000003</v>
      </c>
      <c r="AB531" s="54"/>
      <c r="AC531" s="54"/>
      <c r="AD531" s="54"/>
      <c r="AE531" s="54">
        <f t="shared" si="200"/>
        <v>25132.800000000003</v>
      </c>
      <c r="AF531" s="54">
        <f t="shared" si="201"/>
        <v>399905.4367667255</v>
      </c>
      <c r="AG531" s="49">
        <f t="shared" si="202"/>
        <v>3345405.3</v>
      </c>
      <c r="AH531" s="49">
        <f t="shared" si="203"/>
        <v>4181756.6249999995</v>
      </c>
    </row>
    <row r="532" spans="1:34" s="56" customFormat="1">
      <c r="A532" s="62" t="s">
        <v>634</v>
      </c>
      <c r="B532" s="62"/>
      <c r="C532" s="62"/>
      <c r="D532" s="62"/>
      <c r="E532" s="141">
        <v>1</v>
      </c>
      <c r="F532" s="142"/>
      <c r="G532" s="143">
        <v>0.2</v>
      </c>
      <c r="H532" s="143">
        <v>0</v>
      </c>
      <c r="I532" s="49">
        <v>66884</v>
      </c>
      <c r="J532" s="49">
        <f t="shared" si="192"/>
        <v>55981.907999999996</v>
      </c>
      <c r="K532" s="49">
        <f t="shared" si="193"/>
        <v>44785.526400000002</v>
      </c>
      <c r="L532" s="58"/>
      <c r="M532" s="141">
        <v>0</v>
      </c>
      <c r="N532" s="50">
        <f t="shared" si="194"/>
        <v>0</v>
      </c>
      <c r="O532" s="50">
        <f t="shared" si="195"/>
        <v>0</v>
      </c>
      <c r="P532" s="59"/>
      <c r="Q532" s="141">
        <v>0</v>
      </c>
      <c r="R532" s="50">
        <f t="shared" si="196"/>
        <v>0</v>
      </c>
      <c r="S532" s="51">
        <f t="shared" si="197"/>
        <v>0</v>
      </c>
      <c r="T532" s="63">
        <v>25</v>
      </c>
      <c r="U532" s="61" t="s">
        <v>81</v>
      </c>
      <c r="V532" s="53">
        <f>SUMIF('Avoided Costs 2014-2023'!$A:$A,'2014 Actuals'!U532&amp;ROUNDDOWN('2014 Actuals'!T532,0),'Avoided Costs 2014-2023'!$E:$E)*K532</f>
        <v>142251.53207688793</v>
      </c>
      <c r="W532" s="53">
        <f>SUMIF('Avoided Costs 2014-2023'!$A:$A,'2014 Actuals'!U532&amp;ROUNDDOWN('2014 Actuals'!T532,0),'Avoided Costs 2014-2023'!$K:$K)*O532</f>
        <v>0</v>
      </c>
      <c r="X532" s="53">
        <f>SUMIF('Avoided Costs 2014-2023'!$A:$A,'2014 Actuals'!U532&amp;ROUNDDOWN('2014 Actuals'!T532,0),'Avoided Costs 2014-2023'!$M:$M)*S532</f>
        <v>0</v>
      </c>
      <c r="Y532" s="53">
        <f t="shared" si="198"/>
        <v>142251.53207688793</v>
      </c>
      <c r="Z532" s="55">
        <v>241430</v>
      </c>
      <c r="AA532" s="54">
        <f t="shared" si="199"/>
        <v>193144</v>
      </c>
      <c r="AB532" s="54"/>
      <c r="AC532" s="54"/>
      <c r="AD532" s="54"/>
      <c r="AE532" s="54">
        <f t="shared" si="200"/>
        <v>193144</v>
      </c>
      <c r="AF532" s="54">
        <f t="shared" si="201"/>
        <v>-50892.467923112068</v>
      </c>
      <c r="AG532" s="49">
        <f t="shared" si="202"/>
        <v>1119638.1600000001</v>
      </c>
      <c r="AH532" s="49">
        <f t="shared" si="203"/>
        <v>1399547.7</v>
      </c>
    </row>
    <row r="533" spans="1:34" s="56" customFormat="1">
      <c r="A533" s="62" t="s">
        <v>635</v>
      </c>
      <c r="B533" s="62"/>
      <c r="C533" s="62"/>
      <c r="D533" s="62"/>
      <c r="E533" s="141">
        <v>0</v>
      </c>
      <c r="F533" s="142"/>
      <c r="G533" s="143">
        <v>0.2</v>
      </c>
      <c r="H533" s="143">
        <v>0</v>
      </c>
      <c r="I533" s="49">
        <v>37399</v>
      </c>
      <c r="J533" s="49">
        <f t="shared" si="192"/>
        <v>31302.963</v>
      </c>
      <c r="K533" s="49">
        <f t="shared" si="193"/>
        <v>25042.3704</v>
      </c>
      <c r="L533" s="58"/>
      <c r="M533" s="141">
        <v>0</v>
      </c>
      <c r="N533" s="50">
        <f t="shared" si="194"/>
        <v>0</v>
      </c>
      <c r="O533" s="50">
        <f t="shared" si="195"/>
        <v>0</v>
      </c>
      <c r="P533" s="59"/>
      <c r="Q533" s="141">
        <v>0</v>
      </c>
      <c r="R533" s="50">
        <f t="shared" si="196"/>
        <v>0</v>
      </c>
      <c r="S533" s="51">
        <f t="shared" si="197"/>
        <v>0</v>
      </c>
      <c r="T533" s="63">
        <v>25</v>
      </c>
      <c r="U533" s="61" t="s">
        <v>81</v>
      </c>
      <c r="V533" s="53">
        <f>SUMIF('Avoided Costs 2014-2023'!$A:$A,'2014 Actuals'!U533&amp;ROUNDDOWN('2014 Actuals'!T533,0),'Avoided Costs 2014-2023'!$E:$E)*K533</f>
        <v>79541.669878349552</v>
      </c>
      <c r="W533" s="53">
        <f>SUMIF('Avoided Costs 2014-2023'!$A:$A,'2014 Actuals'!U533&amp;ROUNDDOWN('2014 Actuals'!T533,0),'Avoided Costs 2014-2023'!$K:$K)*O533</f>
        <v>0</v>
      </c>
      <c r="X533" s="53">
        <f>SUMIF('Avoided Costs 2014-2023'!$A:$A,'2014 Actuals'!U533&amp;ROUNDDOWN('2014 Actuals'!T533,0),'Avoided Costs 2014-2023'!$M:$M)*S533</f>
        <v>0</v>
      </c>
      <c r="Y533" s="53">
        <f t="shared" si="198"/>
        <v>79541.669878349552</v>
      </c>
      <c r="Z533" s="55">
        <v>76607</v>
      </c>
      <c r="AA533" s="54">
        <f t="shared" si="199"/>
        <v>61285.600000000006</v>
      </c>
      <c r="AB533" s="54"/>
      <c r="AC533" s="54"/>
      <c r="AD533" s="54"/>
      <c r="AE533" s="54">
        <f t="shared" si="200"/>
        <v>61285.600000000006</v>
      </c>
      <c r="AF533" s="54">
        <f t="shared" si="201"/>
        <v>18256.069878349546</v>
      </c>
      <c r="AG533" s="49">
        <f t="shared" si="202"/>
        <v>626059.26</v>
      </c>
      <c r="AH533" s="49">
        <f t="shared" si="203"/>
        <v>782574.07499999995</v>
      </c>
    </row>
    <row r="534" spans="1:34" s="56" customFormat="1">
      <c r="A534" s="62" t="s">
        <v>636</v>
      </c>
      <c r="B534" s="62"/>
      <c r="C534" s="62"/>
      <c r="D534" s="62"/>
      <c r="E534" s="141">
        <v>0</v>
      </c>
      <c r="F534" s="142"/>
      <c r="G534" s="143">
        <v>0.2</v>
      </c>
      <c r="H534" s="143">
        <v>0</v>
      </c>
      <c r="I534" s="49">
        <v>27602</v>
      </c>
      <c r="J534" s="49">
        <f t="shared" si="192"/>
        <v>23102.874</v>
      </c>
      <c r="K534" s="49">
        <f t="shared" si="193"/>
        <v>18482.299200000001</v>
      </c>
      <c r="L534" s="58"/>
      <c r="M534" s="141">
        <v>0</v>
      </c>
      <c r="N534" s="50">
        <f t="shared" si="194"/>
        <v>0</v>
      </c>
      <c r="O534" s="50">
        <f t="shared" si="195"/>
        <v>0</v>
      </c>
      <c r="P534" s="59"/>
      <c r="Q534" s="141">
        <v>0</v>
      </c>
      <c r="R534" s="50">
        <f t="shared" si="196"/>
        <v>0</v>
      </c>
      <c r="S534" s="51">
        <f t="shared" si="197"/>
        <v>0</v>
      </c>
      <c r="T534" s="63">
        <v>25</v>
      </c>
      <c r="U534" s="61" t="s">
        <v>94</v>
      </c>
      <c r="V534" s="53">
        <f>SUMIF('Avoided Costs 2014-2023'!$A:$A,'2014 Actuals'!U534&amp;ROUNDDOWN('2014 Actuals'!T534,0),'Avoided Costs 2014-2023'!$E:$E)*K534</f>
        <v>54998.647031637738</v>
      </c>
      <c r="W534" s="53">
        <f>SUMIF('Avoided Costs 2014-2023'!$A:$A,'2014 Actuals'!U534&amp;ROUNDDOWN('2014 Actuals'!T534,0),'Avoided Costs 2014-2023'!$K:$K)*O534</f>
        <v>0</v>
      </c>
      <c r="X534" s="53">
        <f>SUMIF('Avoided Costs 2014-2023'!$A:$A,'2014 Actuals'!U534&amp;ROUNDDOWN('2014 Actuals'!T534,0),'Avoided Costs 2014-2023'!$M:$M)*S534</f>
        <v>0</v>
      </c>
      <c r="Y534" s="53">
        <f t="shared" si="198"/>
        <v>54998.647031637738</v>
      </c>
      <c r="Z534" s="55">
        <v>33282</v>
      </c>
      <c r="AA534" s="54">
        <f t="shared" si="199"/>
        <v>26625.600000000002</v>
      </c>
      <c r="AB534" s="54"/>
      <c r="AC534" s="54"/>
      <c r="AD534" s="54"/>
      <c r="AE534" s="54">
        <f t="shared" si="200"/>
        <v>26625.600000000002</v>
      </c>
      <c r="AF534" s="54">
        <f t="shared" si="201"/>
        <v>28373.047031637736</v>
      </c>
      <c r="AG534" s="49">
        <f t="shared" si="202"/>
        <v>462057.48000000004</v>
      </c>
      <c r="AH534" s="49">
        <f t="shared" si="203"/>
        <v>577571.85</v>
      </c>
    </row>
    <row r="535" spans="1:34" s="56" customFormat="1">
      <c r="A535" s="62" t="s">
        <v>637</v>
      </c>
      <c r="B535" s="62"/>
      <c r="C535" s="62"/>
      <c r="D535" s="62"/>
      <c r="E535" s="141">
        <v>1</v>
      </c>
      <c r="F535" s="142"/>
      <c r="G535" s="143">
        <v>0.2</v>
      </c>
      <c r="H535" s="143">
        <v>0</v>
      </c>
      <c r="I535" s="49">
        <v>41833</v>
      </c>
      <c r="J535" s="49">
        <f t="shared" si="192"/>
        <v>35014.220999999998</v>
      </c>
      <c r="K535" s="49">
        <f t="shared" si="193"/>
        <v>28011.376799999998</v>
      </c>
      <c r="L535" s="58"/>
      <c r="M535" s="141">
        <v>0</v>
      </c>
      <c r="N535" s="50">
        <f t="shared" si="194"/>
        <v>0</v>
      </c>
      <c r="O535" s="50">
        <f t="shared" si="195"/>
        <v>0</v>
      </c>
      <c r="P535" s="59"/>
      <c r="Q535" s="141">
        <v>0</v>
      </c>
      <c r="R535" s="50">
        <f t="shared" si="196"/>
        <v>0</v>
      </c>
      <c r="S535" s="51">
        <f t="shared" si="197"/>
        <v>0</v>
      </c>
      <c r="T535" s="63">
        <v>25</v>
      </c>
      <c r="U535" s="61" t="s">
        <v>81</v>
      </c>
      <c r="V535" s="53">
        <f>SUMIF('Avoided Costs 2014-2023'!$A:$A,'2014 Actuals'!U535&amp;ROUNDDOWN('2014 Actuals'!T535,0),'Avoided Costs 2014-2023'!$E:$E)*K535</f>
        <v>88972.076152330177</v>
      </c>
      <c r="W535" s="53">
        <f>SUMIF('Avoided Costs 2014-2023'!$A:$A,'2014 Actuals'!U535&amp;ROUNDDOWN('2014 Actuals'!T535,0),'Avoided Costs 2014-2023'!$K:$K)*O535</f>
        <v>0</v>
      </c>
      <c r="X535" s="53">
        <f>SUMIF('Avoided Costs 2014-2023'!$A:$A,'2014 Actuals'!U535&amp;ROUNDDOWN('2014 Actuals'!T535,0),'Avoided Costs 2014-2023'!$M:$M)*S535</f>
        <v>0</v>
      </c>
      <c r="Y535" s="53">
        <f t="shared" si="198"/>
        <v>88972.076152330177</v>
      </c>
      <c r="Z535" s="55">
        <v>10872</v>
      </c>
      <c r="AA535" s="54">
        <f t="shared" si="199"/>
        <v>8697.6</v>
      </c>
      <c r="AB535" s="54"/>
      <c r="AC535" s="54"/>
      <c r="AD535" s="54"/>
      <c r="AE535" s="54">
        <f t="shared" si="200"/>
        <v>8697.6</v>
      </c>
      <c r="AF535" s="54">
        <f t="shared" si="201"/>
        <v>80274.476152330171</v>
      </c>
      <c r="AG535" s="49">
        <f t="shared" si="202"/>
        <v>700284.41999999993</v>
      </c>
      <c r="AH535" s="49">
        <f t="shared" si="203"/>
        <v>875355.52499999991</v>
      </c>
    </row>
    <row r="536" spans="1:34" s="56" customFormat="1">
      <c r="A536" s="62" t="s">
        <v>638</v>
      </c>
      <c r="B536" s="62"/>
      <c r="C536" s="62"/>
      <c r="D536" s="62"/>
      <c r="E536" s="141">
        <v>1</v>
      </c>
      <c r="F536" s="142"/>
      <c r="G536" s="143">
        <v>0.2</v>
      </c>
      <c r="H536" s="143">
        <v>0</v>
      </c>
      <c r="I536" s="49">
        <v>37163</v>
      </c>
      <c r="J536" s="49">
        <f t="shared" si="192"/>
        <v>31105.431</v>
      </c>
      <c r="K536" s="49">
        <f t="shared" si="193"/>
        <v>24884.344800000003</v>
      </c>
      <c r="L536" s="58"/>
      <c r="M536" s="141">
        <v>0</v>
      </c>
      <c r="N536" s="50">
        <f t="shared" si="194"/>
        <v>0</v>
      </c>
      <c r="O536" s="50">
        <f t="shared" si="195"/>
        <v>0</v>
      </c>
      <c r="P536" s="59"/>
      <c r="Q536" s="141">
        <v>0</v>
      </c>
      <c r="R536" s="50">
        <f t="shared" si="196"/>
        <v>0</v>
      </c>
      <c r="S536" s="51">
        <f t="shared" si="197"/>
        <v>0</v>
      </c>
      <c r="T536" s="63">
        <v>25</v>
      </c>
      <c r="U536" s="61" t="s">
        <v>81</v>
      </c>
      <c r="V536" s="53">
        <f>SUMIF('Avoided Costs 2014-2023'!$A:$A,'2014 Actuals'!U536&amp;ROUNDDOWN('2014 Actuals'!T536,0),'Avoided Costs 2014-2023'!$E:$E)*K536</f>
        <v>79039.735760023119</v>
      </c>
      <c r="W536" s="53">
        <f>SUMIF('Avoided Costs 2014-2023'!$A:$A,'2014 Actuals'!U536&amp;ROUNDDOWN('2014 Actuals'!T536,0),'Avoided Costs 2014-2023'!$K:$K)*O536</f>
        <v>0</v>
      </c>
      <c r="X536" s="53">
        <f>SUMIF('Avoided Costs 2014-2023'!$A:$A,'2014 Actuals'!U536&amp;ROUNDDOWN('2014 Actuals'!T536,0),'Avoided Costs 2014-2023'!$M:$M)*S536</f>
        <v>0</v>
      </c>
      <c r="Y536" s="53">
        <f t="shared" si="198"/>
        <v>79039.735760023119</v>
      </c>
      <c r="Z536" s="55">
        <v>34114</v>
      </c>
      <c r="AA536" s="54">
        <f t="shared" si="199"/>
        <v>27291.200000000001</v>
      </c>
      <c r="AB536" s="54"/>
      <c r="AC536" s="54"/>
      <c r="AD536" s="54"/>
      <c r="AE536" s="54">
        <f t="shared" si="200"/>
        <v>27291.200000000001</v>
      </c>
      <c r="AF536" s="54">
        <f t="shared" si="201"/>
        <v>51748.535760023122</v>
      </c>
      <c r="AG536" s="49">
        <f t="shared" si="202"/>
        <v>622108.62000000011</v>
      </c>
      <c r="AH536" s="49">
        <f t="shared" si="203"/>
        <v>777635.77500000002</v>
      </c>
    </row>
    <row r="537" spans="1:34" s="56" customFormat="1">
      <c r="A537" s="62" t="s">
        <v>639</v>
      </c>
      <c r="B537" s="62"/>
      <c r="C537" s="62"/>
      <c r="D537" s="62"/>
      <c r="E537" s="141">
        <v>1</v>
      </c>
      <c r="F537" s="142"/>
      <c r="G537" s="143">
        <v>0.2</v>
      </c>
      <c r="H537" s="143">
        <v>0</v>
      </c>
      <c r="I537" s="49">
        <v>10414</v>
      </c>
      <c r="J537" s="49">
        <f t="shared" si="192"/>
        <v>8716.518</v>
      </c>
      <c r="K537" s="49">
        <f t="shared" si="193"/>
        <v>6973.2144000000008</v>
      </c>
      <c r="L537" s="58"/>
      <c r="M537" s="141">
        <v>0</v>
      </c>
      <c r="N537" s="50">
        <f t="shared" si="194"/>
        <v>0</v>
      </c>
      <c r="O537" s="50">
        <f t="shared" si="195"/>
        <v>0</v>
      </c>
      <c r="P537" s="59"/>
      <c r="Q537" s="141">
        <v>0</v>
      </c>
      <c r="R537" s="50">
        <f t="shared" si="196"/>
        <v>0</v>
      </c>
      <c r="S537" s="51">
        <f t="shared" si="197"/>
        <v>0</v>
      </c>
      <c r="T537" s="63">
        <v>25</v>
      </c>
      <c r="U537" s="61" t="s">
        <v>81</v>
      </c>
      <c r="V537" s="53">
        <f>SUMIF('Avoided Costs 2014-2023'!$A:$A,'2014 Actuals'!U537&amp;ROUNDDOWN('2014 Actuals'!T537,0),'Avoided Costs 2014-2023'!$E:$E)*K537</f>
        <v>22148.906390896344</v>
      </c>
      <c r="W537" s="53">
        <f>SUMIF('Avoided Costs 2014-2023'!$A:$A,'2014 Actuals'!U537&amp;ROUNDDOWN('2014 Actuals'!T537,0),'Avoided Costs 2014-2023'!$K:$K)*O537</f>
        <v>0</v>
      </c>
      <c r="X537" s="53">
        <f>SUMIF('Avoided Costs 2014-2023'!$A:$A,'2014 Actuals'!U537&amp;ROUNDDOWN('2014 Actuals'!T537,0),'Avoided Costs 2014-2023'!$M:$M)*S537</f>
        <v>0</v>
      </c>
      <c r="Y537" s="53">
        <f t="shared" si="198"/>
        <v>22148.906390896344</v>
      </c>
      <c r="Z537" s="55">
        <v>12683</v>
      </c>
      <c r="AA537" s="54">
        <f t="shared" si="199"/>
        <v>10146.400000000001</v>
      </c>
      <c r="AB537" s="54"/>
      <c r="AC537" s="54"/>
      <c r="AD537" s="54"/>
      <c r="AE537" s="54">
        <f t="shared" si="200"/>
        <v>10146.400000000001</v>
      </c>
      <c r="AF537" s="54">
        <f t="shared" si="201"/>
        <v>12002.506390896342</v>
      </c>
      <c r="AG537" s="49">
        <f t="shared" si="202"/>
        <v>174330.36000000002</v>
      </c>
      <c r="AH537" s="49">
        <f t="shared" si="203"/>
        <v>217912.95</v>
      </c>
    </row>
    <row r="538" spans="1:34" s="56" customFormat="1">
      <c r="A538" s="62" t="s">
        <v>640</v>
      </c>
      <c r="B538" s="62"/>
      <c r="C538" s="62"/>
      <c r="D538" s="62"/>
      <c r="E538" s="141">
        <v>1</v>
      </c>
      <c r="F538" s="142"/>
      <c r="G538" s="143">
        <v>0.2</v>
      </c>
      <c r="H538" s="143">
        <v>0</v>
      </c>
      <c r="I538" s="49">
        <v>56229</v>
      </c>
      <c r="J538" s="49">
        <f t="shared" si="192"/>
        <v>47063.672999999995</v>
      </c>
      <c r="K538" s="49">
        <f t="shared" si="193"/>
        <v>37650.938399999999</v>
      </c>
      <c r="L538" s="58"/>
      <c r="M538" s="141">
        <v>37822</v>
      </c>
      <c r="N538" s="50">
        <f t="shared" si="194"/>
        <v>37822</v>
      </c>
      <c r="O538" s="50">
        <f t="shared" si="195"/>
        <v>30257.600000000002</v>
      </c>
      <c r="P538" s="59"/>
      <c r="Q538" s="141">
        <v>0</v>
      </c>
      <c r="R538" s="50">
        <f t="shared" si="196"/>
        <v>0</v>
      </c>
      <c r="S538" s="51">
        <f t="shared" si="197"/>
        <v>0</v>
      </c>
      <c r="T538" s="63">
        <v>15</v>
      </c>
      <c r="U538" s="61" t="s">
        <v>81</v>
      </c>
      <c r="V538" s="53">
        <f>SUMIF('Avoided Costs 2014-2023'!$A:$A,'2014 Actuals'!U538&amp;ROUNDDOWN('2014 Actuals'!T538,0),'Avoided Costs 2014-2023'!$E:$E)*K538</f>
        <v>87157.099887065255</v>
      </c>
      <c r="W538" s="53">
        <f>SUMIF('Avoided Costs 2014-2023'!$A:$A,'2014 Actuals'!U538&amp;ROUNDDOWN('2014 Actuals'!T538,0),'Avoided Costs 2014-2023'!$K:$K)*O538</f>
        <v>35779.017823191927</v>
      </c>
      <c r="X538" s="53">
        <f>SUMIF('Avoided Costs 2014-2023'!$A:$A,'2014 Actuals'!U538&amp;ROUNDDOWN('2014 Actuals'!T538,0),'Avoided Costs 2014-2023'!$M:$M)*S538</f>
        <v>0</v>
      </c>
      <c r="Y538" s="53">
        <f t="shared" si="198"/>
        <v>122936.11771025718</v>
      </c>
      <c r="Z538" s="55">
        <v>89500</v>
      </c>
      <c r="AA538" s="54">
        <f t="shared" si="199"/>
        <v>71600</v>
      </c>
      <c r="AB538" s="54"/>
      <c r="AC538" s="54"/>
      <c r="AD538" s="54"/>
      <c r="AE538" s="54">
        <f t="shared" si="200"/>
        <v>71600</v>
      </c>
      <c r="AF538" s="54">
        <f t="shared" si="201"/>
        <v>51336.117710257182</v>
      </c>
      <c r="AG538" s="49">
        <f t="shared" si="202"/>
        <v>564764.076</v>
      </c>
      <c r="AH538" s="49">
        <f t="shared" si="203"/>
        <v>705955.09499999997</v>
      </c>
    </row>
    <row r="539" spans="1:34" s="56" customFormat="1">
      <c r="A539" s="62" t="s">
        <v>641</v>
      </c>
      <c r="B539" s="62"/>
      <c r="C539" s="62"/>
      <c r="D539" s="62"/>
      <c r="E539" s="141">
        <v>1</v>
      </c>
      <c r="F539" s="142"/>
      <c r="G539" s="143">
        <v>0.2</v>
      </c>
      <c r="H539" s="143">
        <v>0</v>
      </c>
      <c r="I539" s="49">
        <v>7349</v>
      </c>
      <c r="J539" s="49">
        <f t="shared" si="192"/>
        <v>6151.1129999999994</v>
      </c>
      <c r="K539" s="49">
        <f t="shared" si="193"/>
        <v>4920.8904000000002</v>
      </c>
      <c r="L539" s="58"/>
      <c r="M539" s="141">
        <v>0</v>
      </c>
      <c r="N539" s="50">
        <f t="shared" si="194"/>
        <v>0</v>
      </c>
      <c r="O539" s="50">
        <f t="shared" si="195"/>
        <v>0</v>
      </c>
      <c r="P539" s="59"/>
      <c r="Q539" s="141">
        <v>0</v>
      </c>
      <c r="R539" s="50">
        <f t="shared" si="196"/>
        <v>0</v>
      </c>
      <c r="S539" s="51">
        <f t="shared" si="197"/>
        <v>0</v>
      </c>
      <c r="T539" s="63">
        <v>25</v>
      </c>
      <c r="U539" s="61" t="s">
        <v>81</v>
      </c>
      <c r="V539" s="53">
        <f>SUMIF('Avoided Costs 2014-2023'!$A:$A,'2014 Actuals'!U539&amp;ROUNDDOWN('2014 Actuals'!T539,0),'Avoided Costs 2014-2023'!$E:$E)*K539</f>
        <v>15630.143371105934</v>
      </c>
      <c r="W539" s="53">
        <f>SUMIF('Avoided Costs 2014-2023'!$A:$A,'2014 Actuals'!U539&amp;ROUNDDOWN('2014 Actuals'!T539,0),'Avoided Costs 2014-2023'!$K:$K)*O539</f>
        <v>0</v>
      </c>
      <c r="X539" s="53">
        <f>SUMIF('Avoided Costs 2014-2023'!$A:$A,'2014 Actuals'!U539&amp;ROUNDDOWN('2014 Actuals'!T539,0),'Avoided Costs 2014-2023'!$M:$M)*S539</f>
        <v>0</v>
      </c>
      <c r="Y539" s="53">
        <f t="shared" si="198"/>
        <v>15630.143371105934</v>
      </c>
      <c r="Z539" s="55">
        <v>38000</v>
      </c>
      <c r="AA539" s="54">
        <f t="shared" si="199"/>
        <v>30400</v>
      </c>
      <c r="AB539" s="54"/>
      <c r="AC539" s="54"/>
      <c r="AD539" s="54"/>
      <c r="AE539" s="54">
        <f t="shared" si="200"/>
        <v>30400</v>
      </c>
      <c r="AF539" s="54">
        <f t="shared" si="201"/>
        <v>-14769.856628894066</v>
      </c>
      <c r="AG539" s="49">
        <f t="shared" si="202"/>
        <v>123022.26000000001</v>
      </c>
      <c r="AH539" s="49">
        <f t="shared" si="203"/>
        <v>153777.82499999998</v>
      </c>
    </row>
    <row r="540" spans="1:34" s="56" customFormat="1">
      <c r="A540" s="62" t="s">
        <v>642</v>
      </c>
      <c r="B540" s="62"/>
      <c r="C540" s="62"/>
      <c r="D540" s="62"/>
      <c r="E540" s="141">
        <v>1</v>
      </c>
      <c r="F540" s="142"/>
      <c r="G540" s="143">
        <v>0.2</v>
      </c>
      <c r="H540" s="143">
        <v>0</v>
      </c>
      <c r="I540" s="49">
        <v>14727</v>
      </c>
      <c r="J540" s="49">
        <f t="shared" si="192"/>
        <v>12326.499</v>
      </c>
      <c r="K540" s="49">
        <f t="shared" si="193"/>
        <v>9861.1992000000009</v>
      </c>
      <c r="L540" s="58"/>
      <c r="M540" s="141">
        <v>0</v>
      </c>
      <c r="N540" s="50">
        <f t="shared" si="194"/>
        <v>0</v>
      </c>
      <c r="O540" s="50">
        <f t="shared" si="195"/>
        <v>0</v>
      </c>
      <c r="P540" s="59"/>
      <c r="Q540" s="141">
        <v>0</v>
      </c>
      <c r="R540" s="50">
        <f t="shared" si="196"/>
        <v>0</v>
      </c>
      <c r="S540" s="51">
        <f t="shared" si="197"/>
        <v>0</v>
      </c>
      <c r="T540" s="63">
        <v>25</v>
      </c>
      <c r="U540" s="61" t="s">
        <v>81</v>
      </c>
      <c r="V540" s="53">
        <f>SUMIF('Avoided Costs 2014-2023'!$A:$A,'2014 Actuals'!U540&amp;ROUNDDOWN('2014 Actuals'!T540,0),'Avoided Costs 2014-2023'!$E:$E)*K540</f>
        <v>31321.965087260458</v>
      </c>
      <c r="W540" s="53">
        <f>SUMIF('Avoided Costs 2014-2023'!$A:$A,'2014 Actuals'!U540&amp;ROUNDDOWN('2014 Actuals'!T540,0),'Avoided Costs 2014-2023'!$K:$K)*O540</f>
        <v>0</v>
      </c>
      <c r="X540" s="53">
        <f>SUMIF('Avoided Costs 2014-2023'!$A:$A,'2014 Actuals'!U540&amp;ROUNDDOWN('2014 Actuals'!T540,0),'Avoided Costs 2014-2023'!$M:$M)*S540</f>
        <v>0</v>
      </c>
      <c r="Y540" s="53">
        <f t="shared" si="198"/>
        <v>31321.965087260458</v>
      </c>
      <c r="Z540" s="55">
        <v>14759</v>
      </c>
      <c r="AA540" s="54">
        <f t="shared" si="199"/>
        <v>11807.2</v>
      </c>
      <c r="AB540" s="54"/>
      <c r="AC540" s="54"/>
      <c r="AD540" s="54"/>
      <c r="AE540" s="54">
        <f t="shared" si="200"/>
        <v>11807.2</v>
      </c>
      <c r="AF540" s="54">
        <f t="shared" si="201"/>
        <v>19514.765087260457</v>
      </c>
      <c r="AG540" s="49">
        <f t="shared" si="202"/>
        <v>246529.98</v>
      </c>
      <c r="AH540" s="49">
        <f t="shared" si="203"/>
        <v>308162.47499999998</v>
      </c>
    </row>
    <row r="541" spans="1:34" s="56" customFormat="1">
      <c r="A541" s="62" t="s">
        <v>643</v>
      </c>
      <c r="B541" s="62"/>
      <c r="C541" s="62"/>
      <c r="D541" s="62"/>
      <c r="E541" s="141">
        <v>1</v>
      </c>
      <c r="F541" s="142"/>
      <c r="G541" s="143">
        <v>0.2</v>
      </c>
      <c r="H541" s="143">
        <v>0</v>
      </c>
      <c r="I541" s="49">
        <v>14354</v>
      </c>
      <c r="J541" s="49">
        <f t="shared" si="192"/>
        <v>12014.297999999999</v>
      </c>
      <c r="K541" s="49">
        <f t="shared" si="193"/>
        <v>9611.4383999999991</v>
      </c>
      <c r="L541" s="58"/>
      <c r="M541" s="141">
        <v>0</v>
      </c>
      <c r="N541" s="50">
        <f t="shared" si="194"/>
        <v>0</v>
      </c>
      <c r="O541" s="50">
        <f t="shared" si="195"/>
        <v>0</v>
      </c>
      <c r="P541" s="59"/>
      <c r="Q541" s="141">
        <v>0</v>
      </c>
      <c r="R541" s="50">
        <f t="shared" si="196"/>
        <v>0</v>
      </c>
      <c r="S541" s="51">
        <f t="shared" si="197"/>
        <v>0</v>
      </c>
      <c r="T541" s="63">
        <v>15</v>
      </c>
      <c r="U541" s="61" t="s">
        <v>81</v>
      </c>
      <c r="V541" s="53">
        <f>SUMIF('Avoided Costs 2014-2023'!$A:$A,'2014 Actuals'!U541&amp;ROUNDDOWN('2014 Actuals'!T541,0),'Avoided Costs 2014-2023'!$E:$E)*K541</f>
        <v>22249.248817850836</v>
      </c>
      <c r="W541" s="53">
        <f>SUMIF('Avoided Costs 2014-2023'!$A:$A,'2014 Actuals'!U541&amp;ROUNDDOWN('2014 Actuals'!T541,0),'Avoided Costs 2014-2023'!$K:$K)*O541</f>
        <v>0</v>
      </c>
      <c r="X541" s="53">
        <f>SUMIF('Avoided Costs 2014-2023'!$A:$A,'2014 Actuals'!U541&amp;ROUNDDOWN('2014 Actuals'!T541,0),'Avoided Costs 2014-2023'!$M:$M)*S541</f>
        <v>0</v>
      </c>
      <c r="Y541" s="53">
        <f t="shared" si="198"/>
        <v>22249.248817850836</v>
      </c>
      <c r="Z541" s="55">
        <v>4000</v>
      </c>
      <c r="AA541" s="54">
        <f t="shared" si="199"/>
        <v>3200</v>
      </c>
      <c r="AB541" s="54"/>
      <c r="AC541" s="54"/>
      <c r="AD541" s="54"/>
      <c r="AE541" s="54">
        <f t="shared" si="200"/>
        <v>3200</v>
      </c>
      <c r="AF541" s="54">
        <f t="shared" si="201"/>
        <v>19049.248817850836</v>
      </c>
      <c r="AG541" s="49">
        <f t="shared" si="202"/>
        <v>144171.576</v>
      </c>
      <c r="AH541" s="49">
        <f t="shared" si="203"/>
        <v>180214.46999999997</v>
      </c>
    </row>
    <row r="542" spans="1:34" s="56" customFormat="1">
      <c r="A542" s="62" t="s">
        <v>644</v>
      </c>
      <c r="B542" s="62"/>
      <c r="C542" s="62"/>
      <c r="D542" s="62"/>
      <c r="E542" s="141">
        <v>1</v>
      </c>
      <c r="F542" s="142"/>
      <c r="G542" s="143">
        <v>0.2</v>
      </c>
      <c r="H542" s="143">
        <v>0</v>
      </c>
      <c r="I542" s="49">
        <v>76930</v>
      </c>
      <c r="J542" s="49">
        <f t="shared" si="192"/>
        <v>64390.409999999996</v>
      </c>
      <c r="K542" s="49">
        <f t="shared" si="193"/>
        <v>51512.328000000001</v>
      </c>
      <c r="L542" s="58"/>
      <c r="M542" s="141">
        <v>0</v>
      </c>
      <c r="N542" s="50">
        <f t="shared" si="194"/>
        <v>0</v>
      </c>
      <c r="O542" s="50">
        <f t="shared" si="195"/>
        <v>0</v>
      </c>
      <c r="P542" s="59"/>
      <c r="Q542" s="141">
        <v>0</v>
      </c>
      <c r="R542" s="50">
        <f t="shared" si="196"/>
        <v>0</v>
      </c>
      <c r="S542" s="51">
        <f t="shared" si="197"/>
        <v>0</v>
      </c>
      <c r="T542" s="63">
        <v>25</v>
      </c>
      <c r="U542" s="61" t="s">
        <v>81</v>
      </c>
      <c r="V542" s="53">
        <f>SUMIF('Avoided Costs 2014-2023'!$A:$A,'2014 Actuals'!U542&amp;ROUNDDOWN('2014 Actuals'!T542,0),'Avoided Costs 2014-2023'!$E:$E)*K542</f>
        <v>163617.76153751253</v>
      </c>
      <c r="W542" s="53">
        <f>SUMIF('Avoided Costs 2014-2023'!$A:$A,'2014 Actuals'!U542&amp;ROUNDDOWN('2014 Actuals'!T542,0),'Avoided Costs 2014-2023'!$K:$K)*O542</f>
        <v>0</v>
      </c>
      <c r="X542" s="53">
        <f>SUMIF('Avoided Costs 2014-2023'!$A:$A,'2014 Actuals'!U542&amp;ROUNDDOWN('2014 Actuals'!T542,0),'Avoided Costs 2014-2023'!$M:$M)*S542</f>
        <v>0</v>
      </c>
      <c r="Y542" s="53">
        <f t="shared" si="198"/>
        <v>163617.76153751253</v>
      </c>
      <c r="Z542" s="55">
        <v>19502</v>
      </c>
      <c r="AA542" s="54">
        <f t="shared" si="199"/>
        <v>15601.6</v>
      </c>
      <c r="AB542" s="54"/>
      <c r="AC542" s="54"/>
      <c r="AD542" s="54"/>
      <c r="AE542" s="54">
        <f t="shared" si="200"/>
        <v>15601.6</v>
      </c>
      <c r="AF542" s="54">
        <f t="shared" si="201"/>
        <v>148016.16153751253</v>
      </c>
      <c r="AG542" s="49">
        <f t="shared" si="202"/>
        <v>1287808.2</v>
      </c>
      <c r="AH542" s="49">
        <f t="shared" si="203"/>
        <v>1609760.25</v>
      </c>
    </row>
    <row r="543" spans="1:34" s="56" customFormat="1">
      <c r="A543" s="62" t="s">
        <v>645</v>
      </c>
      <c r="B543" s="62"/>
      <c r="C543" s="62"/>
      <c r="D543" s="62"/>
      <c r="E543" s="141">
        <v>0</v>
      </c>
      <c r="F543" s="142"/>
      <c r="G543" s="143">
        <v>0.2</v>
      </c>
      <c r="H543" s="143">
        <v>0</v>
      </c>
      <c r="I543" s="49">
        <v>12010</v>
      </c>
      <c r="J543" s="49">
        <f t="shared" si="192"/>
        <v>10052.369999999999</v>
      </c>
      <c r="K543" s="49">
        <f t="shared" si="193"/>
        <v>8041.8959999999997</v>
      </c>
      <c r="L543" s="58"/>
      <c r="M543" s="141">
        <v>0</v>
      </c>
      <c r="N543" s="50">
        <f t="shared" si="194"/>
        <v>0</v>
      </c>
      <c r="O543" s="50">
        <f t="shared" si="195"/>
        <v>0</v>
      </c>
      <c r="P543" s="59"/>
      <c r="Q543" s="141">
        <v>0</v>
      </c>
      <c r="R543" s="50">
        <f t="shared" si="196"/>
        <v>0</v>
      </c>
      <c r="S543" s="51">
        <f t="shared" si="197"/>
        <v>0</v>
      </c>
      <c r="T543" s="63">
        <v>37.228999999999999</v>
      </c>
      <c r="U543" s="61" t="s">
        <v>94</v>
      </c>
      <c r="V543" s="53">
        <f>SUMIF('Avoided Costs 2014-2023'!$A:$A,'2014 Actuals'!U543&amp;ROUNDDOWN('2014 Actuals'!T543,0),'Avoided Costs 2014-2023'!$E:$E)*K543</f>
        <v>0</v>
      </c>
      <c r="W543" s="53">
        <f>SUMIF('Avoided Costs 2014-2023'!$A:$A,'2014 Actuals'!U543&amp;ROUNDDOWN('2014 Actuals'!T543,0),'Avoided Costs 2014-2023'!$K:$K)*O543</f>
        <v>0</v>
      </c>
      <c r="X543" s="53">
        <f>SUMIF('Avoided Costs 2014-2023'!$A:$A,'2014 Actuals'!U543&amp;ROUNDDOWN('2014 Actuals'!T543,0),'Avoided Costs 2014-2023'!$M:$M)*S543</f>
        <v>0</v>
      </c>
      <c r="Y543" s="53">
        <f t="shared" si="198"/>
        <v>0</v>
      </c>
      <c r="Z543" s="55">
        <v>11065</v>
      </c>
      <c r="AA543" s="54">
        <f t="shared" si="199"/>
        <v>8852</v>
      </c>
      <c r="AB543" s="54"/>
      <c r="AC543" s="54"/>
      <c r="AD543" s="54"/>
      <c r="AE543" s="54">
        <f t="shared" si="200"/>
        <v>8852</v>
      </c>
      <c r="AF543" s="54">
        <f t="shared" si="201"/>
        <v>-8852</v>
      </c>
      <c r="AG543" s="49">
        <f t="shared" si="202"/>
        <v>299391.74618399999</v>
      </c>
      <c r="AH543" s="49">
        <f t="shared" si="203"/>
        <v>374239.68272999994</v>
      </c>
    </row>
    <row r="544" spans="1:34" s="56" customFormat="1">
      <c r="A544" s="136" t="s">
        <v>646</v>
      </c>
      <c r="B544" s="136"/>
      <c r="C544" s="136"/>
      <c r="D544" s="136"/>
      <c r="E544" s="137">
        <v>1</v>
      </c>
      <c r="F544" s="138"/>
      <c r="G544" s="139">
        <v>0.2</v>
      </c>
      <c r="H544" s="139">
        <v>0</v>
      </c>
      <c r="I544" s="49">
        <v>57440</v>
      </c>
      <c r="J544" s="49">
        <f t="shared" si="192"/>
        <v>48077.279999999999</v>
      </c>
      <c r="K544" s="49">
        <f t="shared" si="193"/>
        <v>38461.824000000001</v>
      </c>
      <c r="L544" s="138"/>
      <c r="M544" s="137">
        <v>0</v>
      </c>
      <c r="N544" s="50">
        <f t="shared" si="194"/>
        <v>0</v>
      </c>
      <c r="O544" s="50">
        <f t="shared" si="195"/>
        <v>0</v>
      </c>
      <c r="P544" s="140"/>
      <c r="Q544" s="137">
        <v>0</v>
      </c>
      <c r="R544" s="50">
        <f t="shared" si="196"/>
        <v>0</v>
      </c>
      <c r="S544" s="51">
        <f t="shared" si="197"/>
        <v>0</v>
      </c>
      <c r="T544" s="63">
        <v>27.148</v>
      </c>
      <c r="U544" s="52" t="s">
        <v>81</v>
      </c>
      <c r="V544" s="53">
        <f>SUMIF('Avoided Costs 2014-2023'!$A:$A,'2014 Actuals'!U544&amp;ROUNDDOWN('2014 Actuals'!T544,0),'Avoided Costs 2014-2023'!$E:$E)*K544</f>
        <v>127092.83931930584</v>
      </c>
      <c r="W544" s="53">
        <f>SUMIF('Avoided Costs 2014-2023'!$A:$A,'2014 Actuals'!U544&amp;ROUNDDOWN('2014 Actuals'!T544,0),'Avoided Costs 2014-2023'!$K:$K)*O544</f>
        <v>0</v>
      </c>
      <c r="X544" s="53">
        <f>SUMIF('Avoided Costs 2014-2023'!$A:$A,'2014 Actuals'!U544&amp;ROUNDDOWN('2014 Actuals'!T544,0),'Avoided Costs 2014-2023'!$M:$M)*S544</f>
        <v>0</v>
      </c>
      <c r="Y544" s="53">
        <f t="shared" si="198"/>
        <v>127092.83931930584</v>
      </c>
      <c r="Z544" s="55">
        <v>12472.49</v>
      </c>
      <c r="AA544" s="54">
        <f t="shared" si="199"/>
        <v>9977.9920000000002</v>
      </c>
      <c r="AB544" s="54"/>
      <c r="AC544" s="54"/>
      <c r="AD544" s="54"/>
      <c r="AE544" s="54">
        <f t="shared" si="200"/>
        <v>9977.9920000000002</v>
      </c>
      <c r="AF544" s="54">
        <f t="shared" si="201"/>
        <v>117114.84731930585</v>
      </c>
      <c r="AG544" s="49">
        <f t="shared" si="202"/>
        <v>1044161.597952</v>
      </c>
      <c r="AH544" s="49">
        <f t="shared" si="203"/>
        <v>1305201.9974400001</v>
      </c>
    </row>
    <row r="545" spans="1:34" s="56" customFormat="1">
      <c r="A545" s="62" t="s">
        <v>647</v>
      </c>
      <c r="B545" s="62"/>
      <c r="C545" s="62"/>
      <c r="D545" s="62"/>
      <c r="E545" s="141">
        <v>1</v>
      </c>
      <c r="F545" s="142"/>
      <c r="G545" s="143">
        <v>0.2</v>
      </c>
      <c r="H545" s="143">
        <v>0</v>
      </c>
      <c r="I545" s="49">
        <v>54334</v>
      </c>
      <c r="J545" s="49">
        <f t="shared" si="192"/>
        <v>45477.557999999997</v>
      </c>
      <c r="K545" s="49">
        <f t="shared" si="193"/>
        <v>36382.046399999999</v>
      </c>
      <c r="L545" s="58"/>
      <c r="M545" s="141">
        <v>0</v>
      </c>
      <c r="N545" s="50">
        <f t="shared" si="194"/>
        <v>0</v>
      </c>
      <c r="O545" s="50">
        <f t="shared" si="195"/>
        <v>0</v>
      </c>
      <c r="P545" s="59"/>
      <c r="Q545" s="141">
        <v>0</v>
      </c>
      <c r="R545" s="50">
        <f t="shared" si="196"/>
        <v>0</v>
      </c>
      <c r="S545" s="51">
        <f t="shared" si="197"/>
        <v>0</v>
      </c>
      <c r="T545" s="63">
        <v>25</v>
      </c>
      <c r="U545" s="61" t="s">
        <v>81</v>
      </c>
      <c r="V545" s="53">
        <f>SUMIF('Avoided Costs 2014-2023'!$A:$A,'2014 Actuals'!U545&amp;ROUNDDOWN('2014 Actuals'!T545,0),'Avoided Costs 2014-2023'!$E:$E)*K545</f>
        <v>115559.69654724041</v>
      </c>
      <c r="W545" s="53">
        <f>SUMIF('Avoided Costs 2014-2023'!$A:$A,'2014 Actuals'!U545&amp;ROUNDDOWN('2014 Actuals'!T545,0),'Avoided Costs 2014-2023'!$K:$K)*O545</f>
        <v>0</v>
      </c>
      <c r="X545" s="53">
        <f>SUMIF('Avoided Costs 2014-2023'!$A:$A,'2014 Actuals'!U545&amp;ROUNDDOWN('2014 Actuals'!T545,0),'Avoided Costs 2014-2023'!$M:$M)*S545</f>
        <v>0</v>
      </c>
      <c r="Y545" s="53">
        <f t="shared" si="198"/>
        <v>115559.69654724041</v>
      </c>
      <c r="Z545" s="55">
        <v>6490</v>
      </c>
      <c r="AA545" s="54">
        <f t="shared" si="199"/>
        <v>5192</v>
      </c>
      <c r="AB545" s="54"/>
      <c r="AC545" s="54"/>
      <c r="AD545" s="54"/>
      <c r="AE545" s="54">
        <f t="shared" si="200"/>
        <v>5192</v>
      </c>
      <c r="AF545" s="54">
        <f t="shared" si="201"/>
        <v>110367.69654724041</v>
      </c>
      <c r="AG545" s="49">
        <f t="shared" si="202"/>
        <v>909551.16</v>
      </c>
      <c r="AH545" s="49">
        <f t="shared" si="203"/>
        <v>1136938.95</v>
      </c>
    </row>
    <row r="546" spans="1:34" s="56" customFormat="1">
      <c r="A546" s="62" t="s">
        <v>648</v>
      </c>
      <c r="B546" s="62"/>
      <c r="C546" s="62"/>
      <c r="D546" s="62"/>
      <c r="E546" s="141">
        <v>1</v>
      </c>
      <c r="F546" s="142"/>
      <c r="G546" s="143">
        <v>0.2</v>
      </c>
      <c r="H546" s="143">
        <v>0</v>
      </c>
      <c r="I546" s="49">
        <v>59186</v>
      </c>
      <c r="J546" s="49">
        <f t="shared" si="192"/>
        <v>49538.682000000001</v>
      </c>
      <c r="K546" s="49">
        <f t="shared" si="193"/>
        <v>39630.945600000006</v>
      </c>
      <c r="L546" s="58"/>
      <c r="M546" s="141">
        <v>0</v>
      </c>
      <c r="N546" s="50">
        <f t="shared" si="194"/>
        <v>0</v>
      </c>
      <c r="O546" s="50">
        <f t="shared" si="195"/>
        <v>0</v>
      </c>
      <c r="P546" s="59"/>
      <c r="Q546" s="141">
        <v>0</v>
      </c>
      <c r="R546" s="50">
        <f t="shared" si="196"/>
        <v>0</v>
      </c>
      <c r="S546" s="51">
        <f t="shared" si="197"/>
        <v>0</v>
      </c>
      <c r="T546" s="63">
        <v>25</v>
      </c>
      <c r="U546" s="61" t="s">
        <v>81</v>
      </c>
      <c r="V546" s="53">
        <f>SUMIF('Avoided Costs 2014-2023'!$A:$A,'2014 Actuals'!U546&amp;ROUNDDOWN('2014 Actuals'!T546,0),'Avoided Costs 2014-2023'!$E:$E)*K546</f>
        <v>125879.12172571452</v>
      </c>
      <c r="W546" s="53">
        <f>SUMIF('Avoided Costs 2014-2023'!$A:$A,'2014 Actuals'!U546&amp;ROUNDDOWN('2014 Actuals'!T546,0),'Avoided Costs 2014-2023'!$K:$K)*O546</f>
        <v>0</v>
      </c>
      <c r="X546" s="53">
        <f>SUMIF('Avoided Costs 2014-2023'!$A:$A,'2014 Actuals'!U546&amp;ROUNDDOWN('2014 Actuals'!T546,0),'Avoided Costs 2014-2023'!$M:$M)*S546</f>
        <v>0</v>
      </c>
      <c r="Y546" s="53">
        <f t="shared" si="198"/>
        <v>125879.12172571452</v>
      </c>
      <c r="Z546" s="55">
        <v>1500</v>
      </c>
      <c r="AA546" s="54">
        <f t="shared" si="199"/>
        <v>1200</v>
      </c>
      <c r="AB546" s="54"/>
      <c r="AC546" s="54"/>
      <c r="AD546" s="54"/>
      <c r="AE546" s="54">
        <f t="shared" si="200"/>
        <v>1200</v>
      </c>
      <c r="AF546" s="54">
        <f t="shared" si="201"/>
        <v>124679.12172571452</v>
      </c>
      <c r="AG546" s="49">
        <f t="shared" si="202"/>
        <v>990773.64000000013</v>
      </c>
      <c r="AH546" s="49">
        <f t="shared" si="203"/>
        <v>1238467.05</v>
      </c>
    </row>
    <row r="547" spans="1:34" s="56" customFormat="1">
      <c r="A547" s="62" t="s">
        <v>649</v>
      </c>
      <c r="B547" s="62"/>
      <c r="C547" s="62"/>
      <c r="D547" s="62"/>
      <c r="E547" s="141">
        <v>1</v>
      </c>
      <c r="F547" s="142"/>
      <c r="G547" s="143">
        <v>0.2</v>
      </c>
      <c r="H547" s="143">
        <v>0</v>
      </c>
      <c r="I547" s="49">
        <v>75336</v>
      </c>
      <c r="J547" s="49">
        <f t="shared" si="192"/>
        <v>63056.231999999996</v>
      </c>
      <c r="K547" s="49">
        <f t="shared" si="193"/>
        <v>50444.9856</v>
      </c>
      <c r="L547" s="58"/>
      <c r="M547" s="141">
        <v>15714</v>
      </c>
      <c r="N547" s="50">
        <f t="shared" si="194"/>
        <v>15714</v>
      </c>
      <c r="O547" s="50">
        <f t="shared" si="195"/>
        <v>12571.2</v>
      </c>
      <c r="P547" s="59"/>
      <c r="Q547" s="141">
        <v>0</v>
      </c>
      <c r="R547" s="50">
        <f t="shared" si="196"/>
        <v>0</v>
      </c>
      <c r="S547" s="51">
        <f t="shared" si="197"/>
        <v>0</v>
      </c>
      <c r="T547" s="63">
        <v>15</v>
      </c>
      <c r="U547" s="61" t="s">
        <v>81</v>
      </c>
      <c r="V547" s="53">
        <f>SUMIF('Avoided Costs 2014-2023'!$A:$A,'2014 Actuals'!U547&amp;ROUNDDOWN('2014 Actuals'!T547,0),'Avoided Costs 2014-2023'!$E:$E)*K547</f>
        <v>116773.6804334409</v>
      </c>
      <c r="W547" s="53">
        <f>SUMIF('Avoided Costs 2014-2023'!$A:$A,'2014 Actuals'!U547&amp;ROUNDDOWN('2014 Actuals'!T547,0),'Avoided Costs 2014-2023'!$K:$K)*O547</f>
        <v>14865.197135890168</v>
      </c>
      <c r="X547" s="53">
        <f>SUMIF('Avoided Costs 2014-2023'!$A:$A,'2014 Actuals'!U547&amp;ROUNDDOWN('2014 Actuals'!T547,0),'Avoided Costs 2014-2023'!$M:$M)*S547</f>
        <v>0</v>
      </c>
      <c r="Y547" s="53">
        <f t="shared" si="198"/>
        <v>131638.87756933106</v>
      </c>
      <c r="Z547" s="55">
        <v>15500</v>
      </c>
      <c r="AA547" s="54">
        <f t="shared" si="199"/>
        <v>12400</v>
      </c>
      <c r="AB547" s="54"/>
      <c r="AC547" s="54"/>
      <c r="AD547" s="54"/>
      <c r="AE547" s="54">
        <f t="shared" si="200"/>
        <v>12400</v>
      </c>
      <c r="AF547" s="54">
        <f t="shared" si="201"/>
        <v>119238.87756933106</v>
      </c>
      <c r="AG547" s="49">
        <f t="shared" si="202"/>
        <v>756674.78399999999</v>
      </c>
      <c r="AH547" s="49">
        <f t="shared" si="203"/>
        <v>945843.48</v>
      </c>
    </row>
    <row r="548" spans="1:34" s="56" customFormat="1">
      <c r="A548" s="62" t="s">
        <v>650</v>
      </c>
      <c r="B548" s="62"/>
      <c r="C548" s="62"/>
      <c r="D548" s="62"/>
      <c r="E548" s="141">
        <v>1</v>
      </c>
      <c r="F548" s="142"/>
      <c r="G548" s="143">
        <v>0.2</v>
      </c>
      <c r="H548" s="143">
        <v>0</v>
      </c>
      <c r="I548" s="49">
        <v>19261</v>
      </c>
      <c r="J548" s="49">
        <f t="shared" si="192"/>
        <v>16121.456999999999</v>
      </c>
      <c r="K548" s="49">
        <f t="shared" si="193"/>
        <v>12897.1656</v>
      </c>
      <c r="L548" s="58"/>
      <c r="M548" s="141">
        <v>0</v>
      </c>
      <c r="N548" s="50">
        <f t="shared" si="194"/>
        <v>0</v>
      </c>
      <c r="O548" s="50">
        <f t="shared" si="195"/>
        <v>0</v>
      </c>
      <c r="P548" s="59"/>
      <c r="Q548" s="141">
        <v>0</v>
      </c>
      <c r="R548" s="50">
        <f t="shared" si="196"/>
        <v>0</v>
      </c>
      <c r="S548" s="51">
        <f t="shared" si="197"/>
        <v>0</v>
      </c>
      <c r="T548" s="63">
        <v>25</v>
      </c>
      <c r="U548" s="61" t="s">
        <v>94</v>
      </c>
      <c r="V548" s="53">
        <f>SUMIF('Avoided Costs 2014-2023'!$A:$A,'2014 Actuals'!U548&amp;ROUNDDOWN('2014 Actuals'!T548,0),'Avoided Costs 2014-2023'!$E:$E)*K548</f>
        <v>38378.702285210289</v>
      </c>
      <c r="W548" s="53">
        <f>SUMIF('Avoided Costs 2014-2023'!$A:$A,'2014 Actuals'!U548&amp;ROUNDDOWN('2014 Actuals'!T548,0),'Avoided Costs 2014-2023'!$K:$K)*O548</f>
        <v>0</v>
      </c>
      <c r="X548" s="53">
        <f>SUMIF('Avoided Costs 2014-2023'!$A:$A,'2014 Actuals'!U548&amp;ROUNDDOWN('2014 Actuals'!T548,0),'Avoided Costs 2014-2023'!$M:$M)*S548</f>
        <v>0</v>
      </c>
      <c r="Y548" s="53">
        <f t="shared" si="198"/>
        <v>38378.702285210289</v>
      </c>
      <c r="Z548" s="55">
        <v>12942</v>
      </c>
      <c r="AA548" s="54">
        <f t="shared" si="199"/>
        <v>10353.6</v>
      </c>
      <c r="AB548" s="54"/>
      <c r="AC548" s="54"/>
      <c r="AD548" s="54"/>
      <c r="AE548" s="54">
        <f t="shared" si="200"/>
        <v>10353.6</v>
      </c>
      <c r="AF548" s="54">
        <f t="shared" si="201"/>
        <v>28025.102285210291</v>
      </c>
      <c r="AG548" s="49">
        <f t="shared" si="202"/>
        <v>322429.14</v>
      </c>
      <c r="AH548" s="49">
        <f t="shared" si="203"/>
        <v>403036.42499999999</v>
      </c>
    </row>
    <row r="549" spans="1:34" s="56" customFormat="1">
      <c r="A549" s="136" t="s">
        <v>651</v>
      </c>
      <c r="B549" s="136"/>
      <c r="C549" s="136"/>
      <c r="D549" s="136"/>
      <c r="E549" s="137">
        <v>1</v>
      </c>
      <c r="F549" s="138"/>
      <c r="G549" s="139">
        <v>0.2</v>
      </c>
      <c r="H549" s="139">
        <v>0</v>
      </c>
      <c r="I549" s="49">
        <v>108437</v>
      </c>
      <c r="J549" s="49">
        <f t="shared" si="192"/>
        <v>90761.769</v>
      </c>
      <c r="K549" s="49">
        <f t="shared" si="193"/>
        <v>72609.415200000003</v>
      </c>
      <c r="L549" s="138"/>
      <c r="M549" s="137">
        <v>134816</v>
      </c>
      <c r="N549" s="50">
        <f t="shared" si="194"/>
        <v>134816</v>
      </c>
      <c r="O549" s="50">
        <f t="shared" si="195"/>
        <v>107852.8</v>
      </c>
      <c r="P549" s="140"/>
      <c r="Q549" s="137">
        <v>0</v>
      </c>
      <c r="R549" s="50">
        <f t="shared" si="196"/>
        <v>0</v>
      </c>
      <c r="S549" s="51">
        <f t="shared" si="197"/>
        <v>0</v>
      </c>
      <c r="T549" s="63">
        <v>15</v>
      </c>
      <c r="U549" s="52" t="s">
        <v>81</v>
      </c>
      <c r="V549" s="53">
        <f>SUMIF('Avoided Costs 2014-2023'!$A:$A,'2014 Actuals'!U549&amp;ROUNDDOWN('2014 Actuals'!T549,0),'Avoided Costs 2014-2023'!$E:$E)*K549</f>
        <v>168081.49603325143</v>
      </c>
      <c r="W549" s="53">
        <f>SUMIF('Avoided Costs 2014-2023'!$A:$A,'2014 Actuals'!U549&amp;ROUNDDOWN('2014 Actuals'!T549,0),'Avoided Costs 2014-2023'!$K:$K)*O549</f>
        <v>127533.81806492101</v>
      </c>
      <c r="X549" s="53">
        <f>SUMIF('Avoided Costs 2014-2023'!$A:$A,'2014 Actuals'!U549&amp;ROUNDDOWN('2014 Actuals'!T549,0),'Avoided Costs 2014-2023'!$M:$M)*S549</f>
        <v>0</v>
      </c>
      <c r="Y549" s="53">
        <f t="shared" si="198"/>
        <v>295615.31409817247</v>
      </c>
      <c r="Z549" s="55">
        <v>13050</v>
      </c>
      <c r="AA549" s="54">
        <f t="shared" si="199"/>
        <v>10440</v>
      </c>
      <c r="AB549" s="54"/>
      <c r="AC549" s="54"/>
      <c r="AD549" s="54"/>
      <c r="AE549" s="54">
        <f t="shared" si="200"/>
        <v>10440</v>
      </c>
      <c r="AF549" s="54">
        <f t="shared" si="201"/>
        <v>285175.31409817247</v>
      </c>
      <c r="AG549" s="49">
        <f t="shared" si="202"/>
        <v>1089141.2280000001</v>
      </c>
      <c r="AH549" s="49">
        <f t="shared" si="203"/>
        <v>1361426.5349999999</v>
      </c>
    </row>
    <row r="550" spans="1:34" s="56" customFormat="1">
      <c r="A550" s="62" t="s">
        <v>652</v>
      </c>
      <c r="B550" s="62"/>
      <c r="C550" s="62"/>
      <c r="D550" s="62"/>
      <c r="E550" s="141">
        <v>1</v>
      </c>
      <c r="F550" s="142"/>
      <c r="G550" s="143">
        <v>0.2</v>
      </c>
      <c r="H550" s="143">
        <v>0</v>
      </c>
      <c r="I550" s="49">
        <v>29665</v>
      </c>
      <c r="J550" s="49">
        <f t="shared" si="192"/>
        <v>24829.605</v>
      </c>
      <c r="K550" s="49">
        <f t="shared" si="193"/>
        <v>19863.684000000001</v>
      </c>
      <c r="L550" s="58"/>
      <c r="M550" s="141">
        <v>0</v>
      </c>
      <c r="N550" s="50">
        <f t="shared" si="194"/>
        <v>0</v>
      </c>
      <c r="O550" s="50">
        <f t="shared" si="195"/>
        <v>0</v>
      </c>
      <c r="P550" s="59"/>
      <c r="Q550" s="141">
        <v>0</v>
      </c>
      <c r="R550" s="50">
        <f t="shared" si="196"/>
        <v>0</v>
      </c>
      <c r="S550" s="51">
        <f t="shared" si="197"/>
        <v>0</v>
      </c>
      <c r="T550" s="63">
        <v>29.428999999999998</v>
      </c>
      <c r="U550" s="61" t="s">
        <v>94</v>
      </c>
      <c r="V550" s="53">
        <f>SUMIF('Avoided Costs 2014-2023'!$A:$A,'2014 Actuals'!U550&amp;ROUNDDOWN('2014 Actuals'!T550,0),'Avoided Costs 2014-2023'!$E:$E)*K550</f>
        <v>63664.990076916751</v>
      </c>
      <c r="W550" s="53">
        <f>SUMIF('Avoided Costs 2014-2023'!$A:$A,'2014 Actuals'!U550&amp;ROUNDDOWN('2014 Actuals'!T550,0),'Avoided Costs 2014-2023'!$K:$K)*O550</f>
        <v>0</v>
      </c>
      <c r="X550" s="53">
        <f>SUMIF('Avoided Costs 2014-2023'!$A:$A,'2014 Actuals'!U550&amp;ROUNDDOWN('2014 Actuals'!T550,0),'Avoided Costs 2014-2023'!$M:$M)*S550</f>
        <v>0</v>
      </c>
      <c r="Y550" s="53">
        <f t="shared" si="198"/>
        <v>63664.990076916751</v>
      </c>
      <c r="Z550" s="55">
        <v>25748</v>
      </c>
      <c r="AA550" s="54">
        <f t="shared" si="199"/>
        <v>20598.400000000001</v>
      </c>
      <c r="AB550" s="54"/>
      <c r="AC550" s="54"/>
      <c r="AD550" s="54"/>
      <c r="AE550" s="54">
        <f t="shared" si="200"/>
        <v>20598.400000000001</v>
      </c>
      <c r="AF550" s="54">
        <f t="shared" si="201"/>
        <v>43066.590076916749</v>
      </c>
      <c r="AG550" s="49">
        <f t="shared" si="202"/>
        <v>584568.35643599997</v>
      </c>
      <c r="AH550" s="49">
        <f t="shared" si="203"/>
        <v>730710.44554499991</v>
      </c>
    </row>
    <row r="551" spans="1:34" s="56" customFormat="1">
      <c r="A551" s="62" t="s">
        <v>653</v>
      </c>
      <c r="B551" s="62"/>
      <c r="C551" s="62"/>
      <c r="D551" s="62"/>
      <c r="E551" s="141">
        <v>1</v>
      </c>
      <c r="F551" s="142"/>
      <c r="G551" s="143">
        <v>0.2</v>
      </c>
      <c r="H551" s="143">
        <v>0</v>
      </c>
      <c r="I551" s="49">
        <v>7243</v>
      </c>
      <c r="J551" s="49">
        <f t="shared" si="192"/>
        <v>6062.3909999999996</v>
      </c>
      <c r="K551" s="49">
        <f t="shared" si="193"/>
        <v>4849.9128000000001</v>
      </c>
      <c r="L551" s="58"/>
      <c r="M551" s="141">
        <v>0</v>
      </c>
      <c r="N551" s="50">
        <f t="shared" si="194"/>
        <v>0</v>
      </c>
      <c r="O551" s="50">
        <f t="shared" si="195"/>
        <v>0</v>
      </c>
      <c r="P551" s="59"/>
      <c r="Q551" s="141">
        <v>0</v>
      </c>
      <c r="R551" s="50">
        <f t="shared" si="196"/>
        <v>0</v>
      </c>
      <c r="S551" s="51">
        <f t="shared" si="197"/>
        <v>0</v>
      </c>
      <c r="T551" s="63">
        <v>25</v>
      </c>
      <c r="U551" s="61" t="s">
        <v>81</v>
      </c>
      <c r="V551" s="53">
        <f>SUMIF('Avoided Costs 2014-2023'!$A:$A,'2014 Actuals'!U551&amp;ROUNDDOWN('2014 Actuals'!T551,0),'Avoided Costs 2014-2023'!$E:$E)*K551</f>
        <v>15404.698385755924</v>
      </c>
      <c r="W551" s="53">
        <f>SUMIF('Avoided Costs 2014-2023'!$A:$A,'2014 Actuals'!U551&amp;ROUNDDOWN('2014 Actuals'!T551,0),'Avoided Costs 2014-2023'!$K:$K)*O551</f>
        <v>0</v>
      </c>
      <c r="X551" s="53">
        <f>SUMIF('Avoided Costs 2014-2023'!$A:$A,'2014 Actuals'!U551&amp;ROUNDDOWN('2014 Actuals'!T551,0),'Avoided Costs 2014-2023'!$M:$M)*S551</f>
        <v>0</v>
      </c>
      <c r="Y551" s="53">
        <f t="shared" si="198"/>
        <v>15404.698385755924</v>
      </c>
      <c r="Z551" s="55">
        <v>8145</v>
      </c>
      <c r="AA551" s="54">
        <f t="shared" si="199"/>
        <v>6516</v>
      </c>
      <c r="AB551" s="54"/>
      <c r="AC551" s="54"/>
      <c r="AD551" s="54"/>
      <c r="AE551" s="54">
        <f t="shared" si="200"/>
        <v>6516</v>
      </c>
      <c r="AF551" s="54">
        <f t="shared" si="201"/>
        <v>8888.6983857559244</v>
      </c>
      <c r="AG551" s="49">
        <f t="shared" si="202"/>
        <v>121247.82</v>
      </c>
      <c r="AH551" s="49">
        <f t="shared" si="203"/>
        <v>151559.77499999999</v>
      </c>
    </row>
    <row r="552" spans="1:34" s="56" customFormat="1">
      <c r="A552" s="62" t="s">
        <v>654</v>
      </c>
      <c r="B552" s="62"/>
      <c r="C552" s="62"/>
      <c r="D552" s="62"/>
      <c r="E552" s="141">
        <v>1</v>
      </c>
      <c r="F552" s="142"/>
      <c r="G552" s="143">
        <v>0.2</v>
      </c>
      <c r="H552" s="143">
        <v>0</v>
      </c>
      <c r="I552" s="49">
        <v>8871</v>
      </c>
      <c r="J552" s="49">
        <f t="shared" si="192"/>
        <v>7425.027</v>
      </c>
      <c r="K552" s="49">
        <f t="shared" si="193"/>
        <v>5940.0216</v>
      </c>
      <c r="L552" s="58"/>
      <c r="M552" s="141">
        <v>0</v>
      </c>
      <c r="N552" s="50">
        <f t="shared" si="194"/>
        <v>0</v>
      </c>
      <c r="O552" s="50">
        <f t="shared" si="195"/>
        <v>0</v>
      </c>
      <c r="P552" s="59"/>
      <c r="Q552" s="141">
        <v>0</v>
      </c>
      <c r="R552" s="50">
        <f t="shared" si="196"/>
        <v>0</v>
      </c>
      <c r="S552" s="51">
        <f t="shared" si="197"/>
        <v>0</v>
      </c>
      <c r="T552" s="63">
        <v>25</v>
      </c>
      <c r="U552" s="61" t="s">
        <v>81</v>
      </c>
      <c r="V552" s="53">
        <f>SUMIF('Avoided Costs 2014-2023'!$A:$A,'2014 Actuals'!U552&amp;ROUNDDOWN('2014 Actuals'!T552,0),'Avoided Costs 2014-2023'!$E:$E)*K552</f>
        <v>18867.19306641458</v>
      </c>
      <c r="W552" s="53">
        <f>SUMIF('Avoided Costs 2014-2023'!$A:$A,'2014 Actuals'!U552&amp;ROUNDDOWN('2014 Actuals'!T552,0),'Avoided Costs 2014-2023'!$K:$K)*O552</f>
        <v>0</v>
      </c>
      <c r="X552" s="53">
        <f>SUMIF('Avoided Costs 2014-2023'!$A:$A,'2014 Actuals'!U552&amp;ROUNDDOWN('2014 Actuals'!T552,0),'Avoided Costs 2014-2023'!$M:$M)*S552</f>
        <v>0</v>
      </c>
      <c r="Y552" s="53">
        <f t="shared" si="198"/>
        <v>18867.19306641458</v>
      </c>
      <c r="Z552" s="55">
        <v>11146</v>
      </c>
      <c r="AA552" s="54">
        <f t="shared" si="199"/>
        <v>8916.8000000000011</v>
      </c>
      <c r="AB552" s="54"/>
      <c r="AC552" s="54"/>
      <c r="AD552" s="54"/>
      <c r="AE552" s="54">
        <f t="shared" si="200"/>
        <v>8916.8000000000011</v>
      </c>
      <c r="AF552" s="54">
        <f t="shared" si="201"/>
        <v>9950.3930664145792</v>
      </c>
      <c r="AG552" s="49">
        <f t="shared" si="202"/>
        <v>148500.54</v>
      </c>
      <c r="AH552" s="49">
        <f t="shared" si="203"/>
        <v>185625.67499999999</v>
      </c>
    </row>
    <row r="553" spans="1:34" s="56" customFormat="1">
      <c r="A553" s="62" t="s">
        <v>655</v>
      </c>
      <c r="B553" s="62"/>
      <c r="C553" s="62"/>
      <c r="D553" s="62"/>
      <c r="E553" s="141">
        <v>1</v>
      </c>
      <c r="F553" s="142"/>
      <c r="G553" s="143">
        <v>0.2</v>
      </c>
      <c r="H553" s="143">
        <v>0</v>
      </c>
      <c r="I553" s="49">
        <v>24541</v>
      </c>
      <c r="J553" s="49">
        <f t="shared" si="192"/>
        <v>20540.816999999999</v>
      </c>
      <c r="K553" s="49">
        <f t="shared" si="193"/>
        <v>16432.653600000001</v>
      </c>
      <c r="L553" s="58"/>
      <c r="M553" s="141">
        <v>0</v>
      </c>
      <c r="N553" s="50">
        <f t="shared" si="194"/>
        <v>0</v>
      </c>
      <c r="O553" s="50">
        <f t="shared" si="195"/>
        <v>0</v>
      </c>
      <c r="P553" s="59"/>
      <c r="Q553" s="141">
        <v>0</v>
      </c>
      <c r="R553" s="50">
        <f t="shared" si="196"/>
        <v>0</v>
      </c>
      <c r="S553" s="51">
        <f t="shared" si="197"/>
        <v>0</v>
      </c>
      <c r="T553" s="63">
        <v>18.965</v>
      </c>
      <c r="U553" s="61" t="s">
        <v>81</v>
      </c>
      <c r="V553" s="53">
        <f>SUMIF('Avoided Costs 2014-2023'!$A:$A,'2014 Actuals'!U553&amp;ROUNDDOWN('2014 Actuals'!T553,0),'Avoided Costs 2014-2023'!$E:$E)*K553</f>
        <v>43017.075435785846</v>
      </c>
      <c r="W553" s="53">
        <f>SUMIF('Avoided Costs 2014-2023'!$A:$A,'2014 Actuals'!U553&amp;ROUNDDOWN('2014 Actuals'!T553,0),'Avoided Costs 2014-2023'!$K:$K)*O553</f>
        <v>0</v>
      </c>
      <c r="X553" s="53">
        <f>SUMIF('Avoided Costs 2014-2023'!$A:$A,'2014 Actuals'!U553&amp;ROUNDDOWN('2014 Actuals'!T553,0),'Avoided Costs 2014-2023'!$M:$M)*S553</f>
        <v>0</v>
      </c>
      <c r="Y553" s="53">
        <f t="shared" si="198"/>
        <v>43017.075435785846</v>
      </c>
      <c r="Z553" s="55">
        <v>6452</v>
      </c>
      <c r="AA553" s="54">
        <f t="shared" si="199"/>
        <v>5161.6000000000004</v>
      </c>
      <c r="AB553" s="54"/>
      <c r="AC553" s="54"/>
      <c r="AD553" s="54"/>
      <c r="AE553" s="54">
        <f t="shared" si="200"/>
        <v>5161.6000000000004</v>
      </c>
      <c r="AF553" s="54">
        <f t="shared" si="201"/>
        <v>37855.475435785847</v>
      </c>
      <c r="AG553" s="49">
        <f t="shared" si="202"/>
        <v>311645.275524</v>
      </c>
      <c r="AH553" s="49">
        <f t="shared" si="203"/>
        <v>389556.59440499998</v>
      </c>
    </row>
    <row r="554" spans="1:34" s="56" customFormat="1">
      <c r="A554" s="62" t="s">
        <v>656</v>
      </c>
      <c r="B554" s="62"/>
      <c r="C554" s="62"/>
      <c r="D554" s="62"/>
      <c r="E554" s="141">
        <v>1</v>
      </c>
      <c r="F554" s="142"/>
      <c r="G554" s="143">
        <v>0.2</v>
      </c>
      <c r="H554" s="143">
        <v>0</v>
      </c>
      <c r="I554" s="49">
        <v>5859</v>
      </c>
      <c r="J554" s="49">
        <f t="shared" si="192"/>
        <v>4903.9830000000002</v>
      </c>
      <c r="K554" s="49">
        <f t="shared" si="193"/>
        <v>3923.1864000000005</v>
      </c>
      <c r="L554" s="58"/>
      <c r="M554" s="141">
        <v>0</v>
      </c>
      <c r="N554" s="50">
        <f t="shared" si="194"/>
        <v>0</v>
      </c>
      <c r="O554" s="50">
        <f t="shared" si="195"/>
        <v>0</v>
      </c>
      <c r="P554" s="59"/>
      <c r="Q554" s="141">
        <v>0</v>
      </c>
      <c r="R554" s="50">
        <f t="shared" si="196"/>
        <v>0</v>
      </c>
      <c r="S554" s="51">
        <f t="shared" si="197"/>
        <v>0</v>
      </c>
      <c r="T554" s="63">
        <v>25</v>
      </c>
      <c r="U554" s="61" t="s">
        <v>81</v>
      </c>
      <c r="V554" s="53">
        <f>SUMIF('Avoided Costs 2014-2023'!$A:$A,'2014 Actuals'!U554&amp;ROUNDDOWN('2014 Actuals'!T554,0),'Avoided Costs 2014-2023'!$E:$E)*K554</f>
        <v>12461.152539299181</v>
      </c>
      <c r="W554" s="53">
        <f>SUMIF('Avoided Costs 2014-2023'!$A:$A,'2014 Actuals'!U554&amp;ROUNDDOWN('2014 Actuals'!T554,0),'Avoided Costs 2014-2023'!$K:$K)*O554</f>
        <v>0</v>
      </c>
      <c r="X554" s="53">
        <f>SUMIF('Avoided Costs 2014-2023'!$A:$A,'2014 Actuals'!U554&amp;ROUNDDOWN('2014 Actuals'!T554,0),'Avoided Costs 2014-2023'!$M:$M)*S554</f>
        <v>0</v>
      </c>
      <c r="Y554" s="53">
        <f t="shared" si="198"/>
        <v>12461.152539299181</v>
      </c>
      <c r="Z554" s="55">
        <v>11662</v>
      </c>
      <c r="AA554" s="54">
        <f t="shared" si="199"/>
        <v>9329.6</v>
      </c>
      <c r="AB554" s="54"/>
      <c r="AC554" s="54"/>
      <c r="AD554" s="54"/>
      <c r="AE554" s="54">
        <f t="shared" si="200"/>
        <v>9329.6</v>
      </c>
      <c r="AF554" s="54">
        <f t="shared" si="201"/>
        <v>3131.5525392991804</v>
      </c>
      <c r="AG554" s="49">
        <f t="shared" si="202"/>
        <v>98079.660000000018</v>
      </c>
      <c r="AH554" s="49">
        <f t="shared" si="203"/>
        <v>122599.57500000001</v>
      </c>
    </row>
    <row r="555" spans="1:34" s="56" customFormat="1">
      <c r="A555" s="62" t="s">
        <v>657</v>
      </c>
      <c r="B555" s="62"/>
      <c r="C555" s="62"/>
      <c r="D555" s="62"/>
      <c r="E555" s="141">
        <v>1</v>
      </c>
      <c r="F555" s="142"/>
      <c r="G555" s="143">
        <v>0.2</v>
      </c>
      <c r="H555" s="143">
        <v>0</v>
      </c>
      <c r="I555" s="49">
        <v>16662</v>
      </c>
      <c r="J555" s="49">
        <f t="shared" si="192"/>
        <v>13946.093999999999</v>
      </c>
      <c r="K555" s="49">
        <f t="shared" si="193"/>
        <v>11156.8752</v>
      </c>
      <c r="L555" s="58"/>
      <c r="M555" s="141">
        <v>0</v>
      </c>
      <c r="N555" s="50">
        <f t="shared" si="194"/>
        <v>0</v>
      </c>
      <c r="O555" s="50">
        <f t="shared" si="195"/>
        <v>0</v>
      </c>
      <c r="P555" s="59"/>
      <c r="Q555" s="141">
        <v>0</v>
      </c>
      <c r="R555" s="50">
        <f t="shared" si="196"/>
        <v>0</v>
      </c>
      <c r="S555" s="51">
        <f t="shared" si="197"/>
        <v>0</v>
      </c>
      <c r="T555" s="63">
        <v>25</v>
      </c>
      <c r="U555" s="61" t="s">
        <v>94</v>
      </c>
      <c r="V555" s="53">
        <f>SUMIF('Avoided Costs 2014-2023'!$A:$A,'2014 Actuals'!U555&amp;ROUNDDOWN('2014 Actuals'!T555,0),'Avoided Costs 2014-2023'!$E:$E)*K555</f>
        <v>33200.038288571406</v>
      </c>
      <c r="W555" s="53">
        <f>SUMIF('Avoided Costs 2014-2023'!$A:$A,'2014 Actuals'!U555&amp;ROUNDDOWN('2014 Actuals'!T555,0),'Avoided Costs 2014-2023'!$K:$K)*O555</f>
        <v>0</v>
      </c>
      <c r="X555" s="53">
        <f>SUMIF('Avoided Costs 2014-2023'!$A:$A,'2014 Actuals'!U555&amp;ROUNDDOWN('2014 Actuals'!T555,0),'Avoided Costs 2014-2023'!$M:$M)*S555</f>
        <v>0</v>
      </c>
      <c r="Y555" s="53">
        <f t="shared" si="198"/>
        <v>33200.038288571406</v>
      </c>
      <c r="Z555" s="55">
        <v>19904</v>
      </c>
      <c r="AA555" s="54">
        <f t="shared" si="199"/>
        <v>15923.2</v>
      </c>
      <c r="AB555" s="54"/>
      <c r="AC555" s="54"/>
      <c r="AD555" s="54"/>
      <c r="AE555" s="54">
        <f t="shared" si="200"/>
        <v>15923.2</v>
      </c>
      <c r="AF555" s="54">
        <f t="shared" si="201"/>
        <v>17276.838288571405</v>
      </c>
      <c r="AG555" s="49">
        <f t="shared" si="202"/>
        <v>278921.88</v>
      </c>
      <c r="AH555" s="49">
        <f t="shared" si="203"/>
        <v>348652.35</v>
      </c>
    </row>
    <row r="556" spans="1:34" s="56" customFormat="1">
      <c r="A556" s="62" t="s">
        <v>658</v>
      </c>
      <c r="B556" s="62"/>
      <c r="C556" s="62"/>
      <c r="D556" s="62"/>
      <c r="E556" s="141">
        <v>0</v>
      </c>
      <c r="F556" s="142"/>
      <c r="G556" s="143">
        <v>0.2</v>
      </c>
      <c r="H556" s="143">
        <v>0</v>
      </c>
      <c r="I556" s="49">
        <v>5121</v>
      </c>
      <c r="J556" s="49">
        <f t="shared" si="192"/>
        <v>4286.277</v>
      </c>
      <c r="K556" s="49">
        <f t="shared" si="193"/>
        <v>3429.0216</v>
      </c>
      <c r="L556" s="58"/>
      <c r="M556" s="141">
        <v>0</v>
      </c>
      <c r="N556" s="50">
        <f t="shared" si="194"/>
        <v>0</v>
      </c>
      <c r="O556" s="50">
        <f t="shared" si="195"/>
        <v>0</v>
      </c>
      <c r="P556" s="59"/>
      <c r="Q556" s="141">
        <v>0</v>
      </c>
      <c r="R556" s="50">
        <f t="shared" si="196"/>
        <v>0</v>
      </c>
      <c r="S556" s="51">
        <f t="shared" si="197"/>
        <v>0</v>
      </c>
      <c r="T556" s="63">
        <v>25</v>
      </c>
      <c r="U556" s="61" t="s">
        <v>94</v>
      </c>
      <c r="V556" s="53">
        <f>SUMIF('Avoided Costs 2014-2023'!$A:$A,'2014 Actuals'!U556&amp;ROUNDDOWN('2014 Actuals'!T556,0),'Avoided Costs 2014-2023'!$E:$E)*K556</f>
        <v>10203.900856786349</v>
      </c>
      <c r="W556" s="53">
        <f>SUMIF('Avoided Costs 2014-2023'!$A:$A,'2014 Actuals'!U556&amp;ROUNDDOWN('2014 Actuals'!T556,0),'Avoided Costs 2014-2023'!$K:$K)*O556</f>
        <v>0</v>
      </c>
      <c r="X556" s="53">
        <f>SUMIF('Avoided Costs 2014-2023'!$A:$A,'2014 Actuals'!U556&amp;ROUNDDOWN('2014 Actuals'!T556,0),'Avoided Costs 2014-2023'!$M:$M)*S556</f>
        <v>0</v>
      </c>
      <c r="Y556" s="53">
        <f t="shared" si="198"/>
        <v>10203.900856786349</v>
      </c>
      <c r="Z556" s="55">
        <v>9262</v>
      </c>
      <c r="AA556" s="54">
        <f t="shared" si="199"/>
        <v>7409.6</v>
      </c>
      <c r="AB556" s="54"/>
      <c r="AC556" s="54"/>
      <c r="AD556" s="54"/>
      <c r="AE556" s="54">
        <f t="shared" si="200"/>
        <v>7409.6</v>
      </c>
      <c r="AF556" s="54">
        <f t="shared" si="201"/>
        <v>2794.300856786349</v>
      </c>
      <c r="AG556" s="49">
        <f t="shared" si="202"/>
        <v>85725.540000000008</v>
      </c>
      <c r="AH556" s="49">
        <f t="shared" si="203"/>
        <v>107156.925</v>
      </c>
    </row>
    <row r="557" spans="1:34" s="56" customFormat="1">
      <c r="A557" s="62" t="s">
        <v>659</v>
      </c>
      <c r="B557" s="62"/>
      <c r="C557" s="62"/>
      <c r="D557" s="62"/>
      <c r="E557" s="141">
        <v>1</v>
      </c>
      <c r="F557" s="142"/>
      <c r="G557" s="143">
        <v>0.2</v>
      </c>
      <c r="H557" s="143">
        <v>0</v>
      </c>
      <c r="I557" s="49">
        <v>22075</v>
      </c>
      <c r="J557" s="49">
        <f t="shared" si="192"/>
        <v>18476.774999999998</v>
      </c>
      <c r="K557" s="49">
        <f t="shared" si="193"/>
        <v>14781.419999999998</v>
      </c>
      <c r="L557" s="58"/>
      <c r="M557" s="141">
        <v>0</v>
      </c>
      <c r="N557" s="50">
        <f t="shared" si="194"/>
        <v>0</v>
      </c>
      <c r="O557" s="50">
        <f t="shared" si="195"/>
        <v>0</v>
      </c>
      <c r="P557" s="59"/>
      <c r="Q557" s="141">
        <v>0</v>
      </c>
      <c r="R557" s="50">
        <f t="shared" si="196"/>
        <v>0</v>
      </c>
      <c r="S557" s="51">
        <f t="shared" si="197"/>
        <v>0</v>
      </c>
      <c r="T557" s="63">
        <v>25</v>
      </c>
      <c r="U557" s="61" t="s">
        <v>81</v>
      </c>
      <c r="V557" s="53">
        <f>SUMIF('Avoided Costs 2014-2023'!$A:$A,'2014 Actuals'!U557&amp;ROUNDDOWN('2014 Actuals'!T557,0),'Avoided Costs 2014-2023'!$E:$E)*K557</f>
        <v>46949.981618881953</v>
      </c>
      <c r="W557" s="53">
        <f>SUMIF('Avoided Costs 2014-2023'!$A:$A,'2014 Actuals'!U557&amp;ROUNDDOWN('2014 Actuals'!T557,0),'Avoided Costs 2014-2023'!$K:$K)*O557</f>
        <v>0</v>
      </c>
      <c r="X557" s="53">
        <f>SUMIF('Avoided Costs 2014-2023'!$A:$A,'2014 Actuals'!U557&amp;ROUNDDOWN('2014 Actuals'!T557,0),'Avoided Costs 2014-2023'!$M:$M)*S557</f>
        <v>0</v>
      </c>
      <c r="Y557" s="53">
        <f t="shared" si="198"/>
        <v>46949.981618881953</v>
      </c>
      <c r="Z557" s="55">
        <v>13528</v>
      </c>
      <c r="AA557" s="54">
        <f t="shared" si="199"/>
        <v>10822.400000000001</v>
      </c>
      <c r="AB557" s="54"/>
      <c r="AC557" s="54"/>
      <c r="AD557" s="54"/>
      <c r="AE557" s="54">
        <f t="shared" si="200"/>
        <v>10822.400000000001</v>
      </c>
      <c r="AF557" s="54">
        <f t="shared" si="201"/>
        <v>36127.581618881952</v>
      </c>
      <c r="AG557" s="49">
        <f t="shared" si="202"/>
        <v>369535.49999999994</v>
      </c>
      <c r="AH557" s="49">
        <f t="shared" si="203"/>
        <v>461919.37499999994</v>
      </c>
    </row>
    <row r="558" spans="1:34" s="56" customFormat="1">
      <c r="A558" s="62" t="s">
        <v>660</v>
      </c>
      <c r="B558" s="62"/>
      <c r="C558" s="62"/>
      <c r="D558" s="62"/>
      <c r="E558" s="141">
        <v>1</v>
      </c>
      <c r="F558" s="142"/>
      <c r="G558" s="143">
        <v>0.2</v>
      </c>
      <c r="H558" s="143">
        <v>0</v>
      </c>
      <c r="I558" s="49">
        <v>32411</v>
      </c>
      <c r="J558" s="49">
        <f t="shared" si="192"/>
        <v>27128.006999999998</v>
      </c>
      <c r="K558" s="49">
        <f t="shared" si="193"/>
        <v>21702.405599999998</v>
      </c>
      <c r="L558" s="58"/>
      <c r="M558" s="141">
        <v>0</v>
      </c>
      <c r="N558" s="50">
        <f t="shared" si="194"/>
        <v>0</v>
      </c>
      <c r="O558" s="50">
        <f t="shared" si="195"/>
        <v>0</v>
      </c>
      <c r="P558" s="59"/>
      <c r="Q558" s="141">
        <v>0</v>
      </c>
      <c r="R558" s="50">
        <f t="shared" si="196"/>
        <v>0</v>
      </c>
      <c r="S558" s="51">
        <f t="shared" si="197"/>
        <v>0</v>
      </c>
      <c r="T558" s="63">
        <v>25</v>
      </c>
      <c r="U558" s="61" t="s">
        <v>81</v>
      </c>
      <c r="V558" s="53">
        <f>SUMIF('Avoided Costs 2014-2023'!$A:$A,'2014 Actuals'!U558&amp;ROUNDDOWN('2014 Actuals'!T558,0),'Avoided Costs 2014-2023'!$E:$E)*K558</f>
        <v>68932.994529992429</v>
      </c>
      <c r="W558" s="53">
        <f>SUMIF('Avoided Costs 2014-2023'!$A:$A,'2014 Actuals'!U558&amp;ROUNDDOWN('2014 Actuals'!T558,0),'Avoided Costs 2014-2023'!$K:$K)*O558</f>
        <v>0</v>
      </c>
      <c r="X558" s="53">
        <f>SUMIF('Avoided Costs 2014-2023'!$A:$A,'2014 Actuals'!U558&amp;ROUNDDOWN('2014 Actuals'!T558,0),'Avoided Costs 2014-2023'!$M:$M)*S558</f>
        <v>0</v>
      </c>
      <c r="Y558" s="53">
        <f t="shared" si="198"/>
        <v>68932.994529992429</v>
      </c>
      <c r="Z558" s="55">
        <v>31364</v>
      </c>
      <c r="AA558" s="54">
        <f t="shared" si="199"/>
        <v>25091.200000000001</v>
      </c>
      <c r="AB558" s="54"/>
      <c r="AC558" s="54"/>
      <c r="AD558" s="54"/>
      <c r="AE558" s="54">
        <f t="shared" si="200"/>
        <v>25091.200000000001</v>
      </c>
      <c r="AF558" s="54">
        <f t="shared" si="201"/>
        <v>43841.794529992432</v>
      </c>
      <c r="AG558" s="49">
        <f t="shared" si="202"/>
        <v>542560.1399999999</v>
      </c>
      <c r="AH558" s="49">
        <f t="shared" si="203"/>
        <v>678200.17499999993</v>
      </c>
    </row>
    <row r="559" spans="1:34" s="56" customFormat="1">
      <c r="A559" s="62" t="s">
        <v>661</v>
      </c>
      <c r="B559" s="62"/>
      <c r="C559" s="62"/>
      <c r="D559" s="62"/>
      <c r="E559" s="141">
        <v>1</v>
      </c>
      <c r="F559" s="142"/>
      <c r="G559" s="143">
        <v>0.2</v>
      </c>
      <c r="H559" s="143">
        <v>0</v>
      </c>
      <c r="I559" s="49">
        <v>5952</v>
      </c>
      <c r="J559" s="49">
        <f t="shared" si="192"/>
        <v>4981.8239999999996</v>
      </c>
      <c r="K559" s="49">
        <f t="shared" si="193"/>
        <v>3985.4591999999998</v>
      </c>
      <c r="L559" s="58"/>
      <c r="M559" s="141">
        <v>0</v>
      </c>
      <c r="N559" s="50">
        <f t="shared" si="194"/>
        <v>0</v>
      </c>
      <c r="O559" s="50">
        <f t="shared" si="195"/>
        <v>0</v>
      </c>
      <c r="P559" s="59"/>
      <c r="Q559" s="141">
        <v>0</v>
      </c>
      <c r="R559" s="50">
        <f t="shared" si="196"/>
        <v>0</v>
      </c>
      <c r="S559" s="51">
        <f t="shared" si="197"/>
        <v>0</v>
      </c>
      <c r="T559" s="63">
        <v>25</v>
      </c>
      <c r="U559" s="61" t="s">
        <v>94</v>
      </c>
      <c r="V559" s="53">
        <f>SUMIF('Avoided Costs 2014-2023'!$A:$A,'2014 Actuals'!U559&amp;ROUNDDOWN('2014 Actuals'!T559,0),'Avoided Costs 2014-2023'!$E:$E)*K559</f>
        <v>11859.718394765154</v>
      </c>
      <c r="W559" s="53">
        <f>SUMIF('Avoided Costs 2014-2023'!$A:$A,'2014 Actuals'!U559&amp;ROUNDDOWN('2014 Actuals'!T559,0),'Avoided Costs 2014-2023'!$K:$K)*O559</f>
        <v>0</v>
      </c>
      <c r="X559" s="53">
        <f>SUMIF('Avoided Costs 2014-2023'!$A:$A,'2014 Actuals'!U559&amp;ROUNDDOWN('2014 Actuals'!T559,0),'Avoided Costs 2014-2023'!$M:$M)*S559</f>
        <v>0</v>
      </c>
      <c r="Y559" s="53">
        <f t="shared" si="198"/>
        <v>11859.718394765154</v>
      </c>
      <c r="Z559" s="55">
        <v>15040</v>
      </c>
      <c r="AA559" s="54">
        <f t="shared" si="199"/>
        <v>12032</v>
      </c>
      <c r="AB559" s="54"/>
      <c r="AC559" s="54"/>
      <c r="AD559" s="54"/>
      <c r="AE559" s="54">
        <f t="shared" si="200"/>
        <v>12032</v>
      </c>
      <c r="AF559" s="54">
        <f t="shared" si="201"/>
        <v>-172.28160523484621</v>
      </c>
      <c r="AG559" s="49">
        <f t="shared" si="202"/>
        <v>99636.479999999996</v>
      </c>
      <c r="AH559" s="49">
        <f t="shared" si="203"/>
        <v>124545.59999999999</v>
      </c>
    </row>
    <row r="560" spans="1:34" s="56" customFormat="1">
      <c r="A560" s="62" t="s">
        <v>662</v>
      </c>
      <c r="B560" s="62"/>
      <c r="C560" s="62"/>
      <c r="D560" s="62"/>
      <c r="E560" s="141">
        <v>1</v>
      </c>
      <c r="F560" s="142"/>
      <c r="G560" s="143">
        <v>0.2</v>
      </c>
      <c r="H560" s="143">
        <v>0</v>
      </c>
      <c r="I560" s="49">
        <v>121810</v>
      </c>
      <c r="J560" s="49">
        <f t="shared" si="192"/>
        <v>101954.97</v>
      </c>
      <c r="K560" s="49">
        <f t="shared" si="193"/>
        <v>81563.97600000001</v>
      </c>
      <c r="L560" s="58"/>
      <c r="M560" s="141">
        <v>0</v>
      </c>
      <c r="N560" s="50">
        <f t="shared" si="194"/>
        <v>0</v>
      </c>
      <c r="O560" s="50">
        <f t="shared" si="195"/>
        <v>0</v>
      </c>
      <c r="P560" s="59"/>
      <c r="Q560" s="141">
        <v>0</v>
      </c>
      <c r="R560" s="50">
        <f t="shared" si="196"/>
        <v>0</v>
      </c>
      <c r="S560" s="51">
        <f t="shared" si="197"/>
        <v>0</v>
      </c>
      <c r="T560" s="63">
        <v>25</v>
      </c>
      <c r="U560" s="61" t="s">
        <v>81</v>
      </c>
      <c r="V560" s="53">
        <f>SUMIF('Avoided Costs 2014-2023'!$A:$A,'2014 Actuals'!U560&amp;ROUNDDOWN('2014 Actuals'!T560,0),'Avoided Costs 2014-2023'!$E:$E)*K560</f>
        <v>259070.31759891333</v>
      </c>
      <c r="W560" s="53">
        <f>SUMIF('Avoided Costs 2014-2023'!$A:$A,'2014 Actuals'!U560&amp;ROUNDDOWN('2014 Actuals'!T560,0),'Avoided Costs 2014-2023'!$K:$K)*O560</f>
        <v>0</v>
      </c>
      <c r="X560" s="53">
        <f>SUMIF('Avoided Costs 2014-2023'!$A:$A,'2014 Actuals'!U560&amp;ROUNDDOWN('2014 Actuals'!T560,0),'Avoided Costs 2014-2023'!$M:$M)*S560</f>
        <v>0</v>
      </c>
      <c r="Y560" s="53">
        <f t="shared" si="198"/>
        <v>259070.31759891333</v>
      </c>
      <c r="Z560" s="55">
        <v>114410</v>
      </c>
      <c r="AA560" s="54">
        <f t="shared" si="199"/>
        <v>91528</v>
      </c>
      <c r="AB560" s="54"/>
      <c r="AC560" s="54"/>
      <c r="AD560" s="54"/>
      <c r="AE560" s="54">
        <f t="shared" si="200"/>
        <v>91528</v>
      </c>
      <c r="AF560" s="54">
        <f t="shared" si="201"/>
        <v>167542.31759891333</v>
      </c>
      <c r="AG560" s="49">
        <f t="shared" si="202"/>
        <v>2039099.4000000001</v>
      </c>
      <c r="AH560" s="49">
        <f t="shared" si="203"/>
        <v>2548874.25</v>
      </c>
    </row>
    <row r="561" spans="1:34" s="56" customFormat="1">
      <c r="A561" s="62" t="s">
        <v>663</v>
      </c>
      <c r="B561" s="62"/>
      <c r="C561" s="62"/>
      <c r="D561" s="62"/>
      <c r="E561" s="141">
        <v>0</v>
      </c>
      <c r="F561" s="142"/>
      <c r="G561" s="143">
        <v>0.2</v>
      </c>
      <c r="H561" s="143">
        <v>0</v>
      </c>
      <c r="I561" s="49">
        <v>67384</v>
      </c>
      <c r="J561" s="49">
        <f t="shared" si="192"/>
        <v>56400.407999999996</v>
      </c>
      <c r="K561" s="49">
        <f t="shared" si="193"/>
        <v>45120.326399999998</v>
      </c>
      <c r="L561" s="58"/>
      <c r="M561" s="141">
        <v>0</v>
      </c>
      <c r="N561" s="50">
        <f t="shared" si="194"/>
        <v>0</v>
      </c>
      <c r="O561" s="50">
        <f t="shared" si="195"/>
        <v>0</v>
      </c>
      <c r="P561" s="59"/>
      <c r="Q561" s="141">
        <v>0</v>
      </c>
      <c r="R561" s="50">
        <f t="shared" si="196"/>
        <v>0</v>
      </c>
      <c r="S561" s="51">
        <f t="shared" si="197"/>
        <v>0</v>
      </c>
      <c r="T561" s="63">
        <v>19.213999999999999</v>
      </c>
      <c r="U561" s="61" t="s">
        <v>94</v>
      </c>
      <c r="V561" s="53">
        <f>SUMIF('Avoided Costs 2014-2023'!$A:$A,'2014 Actuals'!U561&amp;ROUNDDOWN('2014 Actuals'!T561,0),'Avoided Costs 2014-2023'!$E:$E)*K561</f>
        <v>114510.4488541454</v>
      </c>
      <c r="W561" s="53">
        <f>SUMIF('Avoided Costs 2014-2023'!$A:$A,'2014 Actuals'!U561&amp;ROUNDDOWN('2014 Actuals'!T561,0),'Avoided Costs 2014-2023'!$K:$K)*O561</f>
        <v>0</v>
      </c>
      <c r="X561" s="53">
        <f>SUMIF('Avoided Costs 2014-2023'!$A:$A,'2014 Actuals'!U561&amp;ROUNDDOWN('2014 Actuals'!T561,0),'Avoided Costs 2014-2023'!$M:$M)*S561</f>
        <v>0</v>
      </c>
      <c r="Y561" s="53">
        <f t="shared" si="198"/>
        <v>114510.4488541454</v>
      </c>
      <c r="Z561" s="55">
        <v>25971</v>
      </c>
      <c r="AA561" s="54">
        <f t="shared" si="199"/>
        <v>20776.800000000003</v>
      </c>
      <c r="AB561" s="54"/>
      <c r="AC561" s="54"/>
      <c r="AD561" s="54"/>
      <c r="AE561" s="54">
        <f t="shared" si="200"/>
        <v>20776.800000000003</v>
      </c>
      <c r="AF561" s="54">
        <f t="shared" si="201"/>
        <v>93733.648854145402</v>
      </c>
      <c r="AG561" s="49">
        <f t="shared" si="202"/>
        <v>866941.95144959993</v>
      </c>
      <c r="AH561" s="49">
        <f t="shared" si="203"/>
        <v>1083677.4393119998</v>
      </c>
    </row>
    <row r="562" spans="1:34" s="56" customFormat="1">
      <c r="A562" s="62" t="s">
        <v>664</v>
      </c>
      <c r="B562" s="62"/>
      <c r="C562" s="62"/>
      <c r="D562" s="62"/>
      <c r="E562" s="141">
        <v>1</v>
      </c>
      <c r="F562" s="142"/>
      <c r="G562" s="143">
        <v>0.2</v>
      </c>
      <c r="H562" s="143">
        <v>0</v>
      </c>
      <c r="I562" s="49">
        <v>104305</v>
      </c>
      <c r="J562" s="49">
        <f t="shared" si="192"/>
        <v>87303.285000000003</v>
      </c>
      <c r="K562" s="49">
        <f t="shared" si="193"/>
        <v>69842.628000000012</v>
      </c>
      <c r="L562" s="58"/>
      <c r="M562" s="141">
        <v>0</v>
      </c>
      <c r="N562" s="50">
        <f t="shared" si="194"/>
        <v>0</v>
      </c>
      <c r="O562" s="50">
        <f t="shared" si="195"/>
        <v>0</v>
      </c>
      <c r="P562" s="59"/>
      <c r="Q562" s="141">
        <v>0</v>
      </c>
      <c r="R562" s="50">
        <f t="shared" si="196"/>
        <v>0</v>
      </c>
      <c r="S562" s="51">
        <f t="shared" si="197"/>
        <v>0</v>
      </c>
      <c r="T562" s="63">
        <v>19.178000000000001</v>
      </c>
      <c r="U562" s="61" t="s">
        <v>81</v>
      </c>
      <c r="V562" s="53">
        <f>SUMIF('Avoided Costs 2014-2023'!$A:$A,'2014 Actuals'!U562&amp;ROUNDDOWN('2014 Actuals'!T562,0),'Avoided Costs 2014-2023'!$E:$E)*K562</f>
        <v>189236.06678663241</v>
      </c>
      <c r="W562" s="53">
        <f>SUMIF('Avoided Costs 2014-2023'!$A:$A,'2014 Actuals'!U562&amp;ROUNDDOWN('2014 Actuals'!T562,0),'Avoided Costs 2014-2023'!$K:$K)*O562</f>
        <v>0</v>
      </c>
      <c r="X562" s="53">
        <f>SUMIF('Avoided Costs 2014-2023'!$A:$A,'2014 Actuals'!U562&amp;ROUNDDOWN('2014 Actuals'!T562,0),'Avoided Costs 2014-2023'!$M:$M)*S562</f>
        <v>0</v>
      </c>
      <c r="Y562" s="53">
        <f t="shared" si="198"/>
        <v>189236.06678663241</v>
      </c>
      <c r="Z562" s="55">
        <v>42399</v>
      </c>
      <c r="AA562" s="54">
        <f t="shared" si="199"/>
        <v>33919.200000000004</v>
      </c>
      <c r="AB562" s="54"/>
      <c r="AC562" s="54"/>
      <c r="AD562" s="54"/>
      <c r="AE562" s="54">
        <f t="shared" si="200"/>
        <v>33919.200000000004</v>
      </c>
      <c r="AF562" s="54">
        <f t="shared" si="201"/>
        <v>155316.8667866324</v>
      </c>
      <c r="AG562" s="49">
        <f t="shared" si="202"/>
        <v>1339441.9197840004</v>
      </c>
      <c r="AH562" s="49">
        <f t="shared" si="203"/>
        <v>1674302.3997300002</v>
      </c>
    </row>
    <row r="563" spans="1:34" s="56" customFormat="1">
      <c r="A563" s="62" t="s">
        <v>665</v>
      </c>
      <c r="B563" s="62"/>
      <c r="C563" s="62"/>
      <c r="D563" s="62"/>
      <c r="E563" s="141">
        <v>1</v>
      </c>
      <c r="F563" s="142"/>
      <c r="G563" s="143">
        <v>0.2</v>
      </c>
      <c r="H563" s="143">
        <v>0</v>
      </c>
      <c r="I563" s="49">
        <v>4559</v>
      </c>
      <c r="J563" s="49">
        <f t="shared" si="192"/>
        <v>3815.8829999999998</v>
      </c>
      <c r="K563" s="49">
        <f t="shared" si="193"/>
        <v>3052.7064</v>
      </c>
      <c r="L563" s="58"/>
      <c r="M563" s="141">
        <v>0</v>
      </c>
      <c r="N563" s="50">
        <f t="shared" si="194"/>
        <v>0</v>
      </c>
      <c r="O563" s="50">
        <f t="shared" si="195"/>
        <v>0</v>
      </c>
      <c r="P563" s="59"/>
      <c r="Q563" s="141">
        <v>0</v>
      </c>
      <c r="R563" s="50">
        <f t="shared" si="196"/>
        <v>0</v>
      </c>
      <c r="S563" s="51">
        <f t="shared" si="197"/>
        <v>0</v>
      </c>
      <c r="T563" s="63">
        <v>25</v>
      </c>
      <c r="U563" s="61" t="s">
        <v>81</v>
      </c>
      <c r="V563" s="53">
        <f>SUMIF('Avoided Costs 2014-2023'!$A:$A,'2014 Actuals'!U563&amp;ROUNDDOWN('2014 Actuals'!T563,0),'Avoided Costs 2014-2023'!$E:$E)*K563</f>
        <v>9696.2612095348959</v>
      </c>
      <c r="W563" s="53">
        <f>SUMIF('Avoided Costs 2014-2023'!$A:$A,'2014 Actuals'!U563&amp;ROUNDDOWN('2014 Actuals'!T563,0),'Avoided Costs 2014-2023'!$K:$K)*O563</f>
        <v>0</v>
      </c>
      <c r="X563" s="53">
        <f>SUMIF('Avoided Costs 2014-2023'!$A:$A,'2014 Actuals'!U563&amp;ROUNDDOWN('2014 Actuals'!T563,0),'Avoided Costs 2014-2023'!$M:$M)*S563</f>
        <v>0</v>
      </c>
      <c r="Y563" s="53">
        <f t="shared" si="198"/>
        <v>9696.2612095348959</v>
      </c>
      <c r="Z563" s="55">
        <v>3400</v>
      </c>
      <c r="AA563" s="54">
        <f t="shared" si="199"/>
        <v>2720</v>
      </c>
      <c r="AB563" s="54"/>
      <c r="AC563" s="54"/>
      <c r="AD563" s="54"/>
      <c r="AE563" s="54">
        <f t="shared" si="200"/>
        <v>2720</v>
      </c>
      <c r="AF563" s="54">
        <f t="shared" si="201"/>
        <v>6976.2612095348959</v>
      </c>
      <c r="AG563" s="49">
        <f t="shared" si="202"/>
        <v>76317.66</v>
      </c>
      <c r="AH563" s="49">
        <f t="shared" si="203"/>
        <v>95397.074999999997</v>
      </c>
    </row>
    <row r="564" spans="1:34" s="56" customFormat="1">
      <c r="A564" s="62" t="s">
        <v>666</v>
      </c>
      <c r="B564" s="62"/>
      <c r="C564" s="62"/>
      <c r="D564" s="62"/>
      <c r="E564" s="141">
        <v>1</v>
      </c>
      <c r="F564" s="142"/>
      <c r="G564" s="143">
        <v>0.2</v>
      </c>
      <c r="H564" s="143">
        <v>0</v>
      </c>
      <c r="I564" s="49">
        <v>7931</v>
      </c>
      <c r="J564" s="49">
        <f t="shared" si="192"/>
        <v>6638.2469999999994</v>
      </c>
      <c r="K564" s="49">
        <f t="shared" si="193"/>
        <v>5310.5976000000001</v>
      </c>
      <c r="L564" s="58"/>
      <c r="M564" s="141">
        <v>0</v>
      </c>
      <c r="N564" s="50">
        <f t="shared" si="194"/>
        <v>0</v>
      </c>
      <c r="O564" s="50">
        <f t="shared" si="195"/>
        <v>0</v>
      </c>
      <c r="P564" s="59"/>
      <c r="Q564" s="141">
        <v>0</v>
      </c>
      <c r="R564" s="50">
        <f t="shared" si="196"/>
        <v>0</v>
      </c>
      <c r="S564" s="51">
        <f t="shared" si="197"/>
        <v>0</v>
      </c>
      <c r="T564" s="63">
        <v>25</v>
      </c>
      <c r="U564" s="61" t="s">
        <v>81</v>
      </c>
      <c r="V564" s="53">
        <f>SUMIF('Avoided Costs 2014-2023'!$A:$A,'2014 Actuals'!U564&amp;ROUNDDOWN('2014 Actuals'!T564,0),'Avoided Costs 2014-2023'!$E:$E)*K564</f>
        <v>16867.96395104656</v>
      </c>
      <c r="W564" s="53">
        <f>SUMIF('Avoided Costs 2014-2023'!$A:$A,'2014 Actuals'!U564&amp;ROUNDDOWN('2014 Actuals'!T564,0),'Avoided Costs 2014-2023'!$K:$K)*O564</f>
        <v>0</v>
      </c>
      <c r="X564" s="53">
        <f>SUMIF('Avoided Costs 2014-2023'!$A:$A,'2014 Actuals'!U564&amp;ROUNDDOWN('2014 Actuals'!T564,0),'Avoided Costs 2014-2023'!$M:$M)*S564</f>
        <v>0</v>
      </c>
      <c r="Y564" s="53">
        <f t="shared" si="198"/>
        <v>16867.96395104656</v>
      </c>
      <c r="Z564" s="55">
        <v>5148</v>
      </c>
      <c r="AA564" s="54">
        <f t="shared" si="199"/>
        <v>4118.4000000000005</v>
      </c>
      <c r="AB564" s="54"/>
      <c r="AC564" s="54"/>
      <c r="AD564" s="54"/>
      <c r="AE564" s="54">
        <f t="shared" si="200"/>
        <v>4118.4000000000005</v>
      </c>
      <c r="AF564" s="54">
        <f t="shared" si="201"/>
        <v>12749.563951046559</v>
      </c>
      <c r="AG564" s="49">
        <f t="shared" si="202"/>
        <v>132764.94</v>
      </c>
      <c r="AH564" s="49">
        <f t="shared" si="203"/>
        <v>165956.17499999999</v>
      </c>
    </row>
    <row r="565" spans="1:34" s="56" customFormat="1">
      <c r="A565" s="62" t="s">
        <v>667</v>
      </c>
      <c r="B565" s="62"/>
      <c r="C565" s="62"/>
      <c r="D565" s="62"/>
      <c r="E565" s="141">
        <v>1</v>
      </c>
      <c r="F565" s="142"/>
      <c r="G565" s="143">
        <v>0.2</v>
      </c>
      <c r="H565" s="143">
        <v>0</v>
      </c>
      <c r="I565" s="49">
        <v>4186</v>
      </c>
      <c r="J565" s="49">
        <f t="shared" si="192"/>
        <v>3503.6819999999998</v>
      </c>
      <c r="K565" s="49">
        <f t="shared" si="193"/>
        <v>2802.9456</v>
      </c>
      <c r="L565" s="58"/>
      <c r="M565" s="141">
        <v>0</v>
      </c>
      <c r="N565" s="50">
        <f t="shared" si="194"/>
        <v>0</v>
      </c>
      <c r="O565" s="50">
        <f t="shared" si="195"/>
        <v>0</v>
      </c>
      <c r="P565" s="59"/>
      <c r="Q565" s="141">
        <v>0</v>
      </c>
      <c r="R565" s="50">
        <f t="shared" si="196"/>
        <v>0</v>
      </c>
      <c r="S565" s="51">
        <f t="shared" si="197"/>
        <v>0</v>
      </c>
      <c r="T565" s="63">
        <v>25</v>
      </c>
      <c r="U565" s="61" t="s">
        <v>81</v>
      </c>
      <c r="V565" s="53">
        <f>SUMIF('Avoided Costs 2014-2023'!$A:$A,'2014 Actuals'!U565&amp;ROUNDDOWN('2014 Actuals'!T565,0),'Avoided Costs 2014-2023'!$E:$E)*K565</f>
        <v>8902.9500818409906</v>
      </c>
      <c r="W565" s="53">
        <f>SUMIF('Avoided Costs 2014-2023'!$A:$A,'2014 Actuals'!U565&amp;ROUNDDOWN('2014 Actuals'!T565,0),'Avoided Costs 2014-2023'!$K:$K)*O565</f>
        <v>0</v>
      </c>
      <c r="X565" s="53">
        <f>SUMIF('Avoided Costs 2014-2023'!$A:$A,'2014 Actuals'!U565&amp;ROUNDDOWN('2014 Actuals'!T565,0),'Avoided Costs 2014-2023'!$M:$M)*S565</f>
        <v>0</v>
      </c>
      <c r="Y565" s="53">
        <f t="shared" si="198"/>
        <v>8902.9500818409906</v>
      </c>
      <c r="Z565" s="55">
        <v>3400</v>
      </c>
      <c r="AA565" s="54">
        <f t="shared" si="199"/>
        <v>2720</v>
      </c>
      <c r="AB565" s="54"/>
      <c r="AC565" s="54"/>
      <c r="AD565" s="54"/>
      <c r="AE565" s="54">
        <f t="shared" si="200"/>
        <v>2720</v>
      </c>
      <c r="AF565" s="54">
        <f t="shared" si="201"/>
        <v>6182.9500818409906</v>
      </c>
      <c r="AG565" s="49">
        <f t="shared" si="202"/>
        <v>70073.64</v>
      </c>
      <c r="AH565" s="49">
        <f t="shared" si="203"/>
        <v>87592.049999999988</v>
      </c>
    </row>
    <row r="566" spans="1:34" s="56" customFormat="1">
      <c r="A566" s="62" t="s">
        <v>668</v>
      </c>
      <c r="B566" s="62"/>
      <c r="C566" s="62"/>
      <c r="D566" s="62"/>
      <c r="E566" s="141">
        <v>0</v>
      </c>
      <c r="F566" s="142"/>
      <c r="G566" s="143">
        <v>0.2</v>
      </c>
      <c r="H566" s="143">
        <v>0</v>
      </c>
      <c r="I566" s="49">
        <v>3040</v>
      </c>
      <c r="J566" s="49">
        <f t="shared" si="192"/>
        <v>2544.48</v>
      </c>
      <c r="K566" s="49">
        <f t="shared" si="193"/>
        <v>2035.5840000000001</v>
      </c>
      <c r="L566" s="58"/>
      <c r="M566" s="141">
        <v>0</v>
      </c>
      <c r="N566" s="50">
        <f t="shared" si="194"/>
        <v>0</v>
      </c>
      <c r="O566" s="50">
        <f t="shared" si="195"/>
        <v>0</v>
      </c>
      <c r="P566" s="59"/>
      <c r="Q566" s="141">
        <v>0</v>
      </c>
      <c r="R566" s="50">
        <f t="shared" si="196"/>
        <v>0</v>
      </c>
      <c r="S566" s="51">
        <f t="shared" si="197"/>
        <v>0</v>
      </c>
      <c r="T566" s="63">
        <v>15</v>
      </c>
      <c r="U566" s="61" t="s">
        <v>81</v>
      </c>
      <c r="V566" s="53">
        <f>SUMIF('Avoided Costs 2014-2023'!$A:$A,'2014 Actuals'!U566&amp;ROUNDDOWN('2014 Actuals'!T566,0),'Avoided Costs 2014-2023'!$E:$E)*K566</f>
        <v>4712.1162328456558</v>
      </c>
      <c r="W566" s="53">
        <f>SUMIF('Avoided Costs 2014-2023'!$A:$A,'2014 Actuals'!U566&amp;ROUNDDOWN('2014 Actuals'!T566,0),'Avoided Costs 2014-2023'!$K:$K)*O566</f>
        <v>0</v>
      </c>
      <c r="X566" s="53">
        <f>SUMIF('Avoided Costs 2014-2023'!$A:$A,'2014 Actuals'!U566&amp;ROUNDDOWN('2014 Actuals'!T566,0),'Avoided Costs 2014-2023'!$M:$M)*S566</f>
        <v>0</v>
      </c>
      <c r="Y566" s="53">
        <f t="shared" si="198"/>
        <v>4712.1162328456558</v>
      </c>
      <c r="Z566" s="55">
        <v>0</v>
      </c>
      <c r="AA566" s="54">
        <f t="shared" si="199"/>
        <v>0</v>
      </c>
      <c r="AB566" s="54"/>
      <c r="AC566" s="54"/>
      <c r="AD566" s="54"/>
      <c r="AE566" s="54">
        <f t="shared" si="200"/>
        <v>0</v>
      </c>
      <c r="AF566" s="54">
        <f t="shared" si="201"/>
        <v>4712.1162328456558</v>
      </c>
      <c r="AG566" s="49">
        <f t="shared" si="202"/>
        <v>30533.760000000002</v>
      </c>
      <c r="AH566" s="49">
        <f t="shared" si="203"/>
        <v>38167.199999999997</v>
      </c>
    </row>
    <row r="567" spans="1:34" s="56" customFormat="1">
      <c r="A567" s="62" t="s">
        <v>669</v>
      </c>
      <c r="B567" s="62"/>
      <c r="C567" s="62"/>
      <c r="D567" s="62"/>
      <c r="E567" s="141">
        <v>0</v>
      </c>
      <c r="F567" s="142"/>
      <c r="G567" s="143">
        <v>0.2</v>
      </c>
      <c r="H567" s="143">
        <v>0</v>
      </c>
      <c r="I567" s="49">
        <v>1097</v>
      </c>
      <c r="J567" s="49">
        <f t="shared" si="192"/>
        <v>918.18899999999996</v>
      </c>
      <c r="K567" s="49">
        <f t="shared" si="193"/>
        <v>734.55119999999999</v>
      </c>
      <c r="L567" s="58"/>
      <c r="M567" s="141">
        <v>0</v>
      </c>
      <c r="N567" s="50">
        <f t="shared" si="194"/>
        <v>0</v>
      </c>
      <c r="O567" s="50">
        <f t="shared" si="195"/>
        <v>0</v>
      </c>
      <c r="P567" s="59"/>
      <c r="Q567" s="141">
        <v>0</v>
      </c>
      <c r="R567" s="50">
        <f t="shared" si="196"/>
        <v>0</v>
      </c>
      <c r="S567" s="51">
        <f t="shared" si="197"/>
        <v>0</v>
      </c>
      <c r="T567" s="63">
        <v>15</v>
      </c>
      <c r="U567" s="61" t="s">
        <v>94</v>
      </c>
      <c r="V567" s="53">
        <f>SUMIF('Avoided Costs 2014-2023'!$A:$A,'2014 Actuals'!U567&amp;ROUNDDOWN('2014 Actuals'!T567,0),'Avoided Costs 2014-2023'!$E:$E)*K567</f>
        <v>1592.3459534950593</v>
      </c>
      <c r="W567" s="53">
        <f>SUMIF('Avoided Costs 2014-2023'!$A:$A,'2014 Actuals'!U567&amp;ROUNDDOWN('2014 Actuals'!T567,0),'Avoided Costs 2014-2023'!$K:$K)*O567</f>
        <v>0</v>
      </c>
      <c r="X567" s="53">
        <f>SUMIF('Avoided Costs 2014-2023'!$A:$A,'2014 Actuals'!U567&amp;ROUNDDOWN('2014 Actuals'!T567,0),'Avoided Costs 2014-2023'!$M:$M)*S567</f>
        <v>0</v>
      </c>
      <c r="Y567" s="53">
        <f t="shared" si="198"/>
        <v>1592.3459534950593</v>
      </c>
      <c r="Z567" s="55">
        <v>0</v>
      </c>
      <c r="AA567" s="54">
        <f t="shared" si="199"/>
        <v>0</v>
      </c>
      <c r="AB567" s="54"/>
      <c r="AC567" s="54"/>
      <c r="AD567" s="54"/>
      <c r="AE567" s="54">
        <f t="shared" si="200"/>
        <v>0</v>
      </c>
      <c r="AF567" s="54">
        <f t="shared" si="201"/>
        <v>1592.3459534950593</v>
      </c>
      <c r="AG567" s="49">
        <f t="shared" si="202"/>
        <v>11018.268</v>
      </c>
      <c r="AH567" s="49">
        <f t="shared" si="203"/>
        <v>13772.834999999999</v>
      </c>
    </row>
    <row r="568" spans="1:34" s="56" customFormat="1">
      <c r="A568" s="62" t="s">
        <v>670</v>
      </c>
      <c r="B568" s="62"/>
      <c r="C568" s="62"/>
      <c r="D568" s="62"/>
      <c r="E568" s="141">
        <v>1</v>
      </c>
      <c r="F568" s="142"/>
      <c r="G568" s="143">
        <v>0.2</v>
      </c>
      <c r="H568" s="143">
        <v>0</v>
      </c>
      <c r="I568" s="49">
        <v>93479</v>
      </c>
      <c r="J568" s="49">
        <f t="shared" si="192"/>
        <v>78241.922999999995</v>
      </c>
      <c r="K568" s="49">
        <f t="shared" si="193"/>
        <v>62593.538399999998</v>
      </c>
      <c r="L568" s="58"/>
      <c r="M568" s="141">
        <v>75238</v>
      </c>
      <c r="N568" s="50">
        <f t="shared" si="194"/>
        <v>75238</v>
      </c>
      <c r="O568" s="50">
        <f t="shared" si="195"/>
        <v>60190.400000000001</v>
      </c>
      <c r="P568" s="59"/>
      <c r="Q568" s="141">
        <v>0</v>
      </c>
      <c r="R568" s="50">
        <f t="shared" si="196"/>
        <v>0</v>
      </c>
      <c r="S568" s="51">
        <f t="shared" si="197"/>
        <v>0</v>
      </c>
      <c r="T568" s="63">
        <v>15</v>
      </c>
      <c r="U568" s="61" t="s">
        <v>81</v>
      </c>
      <c r="V568" s="53">
        <f>SUMIF('Avoided Costs 2014-2023'!$A:$A,'2014 Actuals'!U568&amp;ROUNDDOWN('2014 Actuals'!T568,0),'Avoided Costs 2014-2023'!$E:$E)*K568</f>
        <v>144896.02412176941</v>
      </c>
      <c r="W568" s="53">
        <f>SUMIF('Avoided Costs 2014-2023'!$A:$A,'2014 Actuals'!U568&amp;ROUNDDOWN('2014 Actuals'!T568,0),'Avoided Costs 2014-2023'!$K:$K)*O568</f>
        <v>71173.966024570735</v>
      </c>
      <c r="X568" s="53">
        <f>SUMIF('Avoided Costs 2014-2023'!$A:$A,'2014 Actuals'!U568&amp;ROUNDDOWN('2014 Actuals'!T568,0),'Avoided Costs 2014-2023'!$M:$M)*S568</f>
        <v>0</v>
      </c>
      <c r="Y568" s="53">
        <f t="shared" si="198"/>
        <v>216069.99014634016</v>
      </c>
      <c r="Z568" s="55">
        <v>39474</v>
      </c>
      <c r="AA568" s="54">
        <f t="shared" si="199"/>
        <v>31579.200000000001</v>
      </c>
      <c r="AB568" s="54"/>
      <c r="AC568" s="54"/>
      <c r="AD568" s="54"/>
      <c r="AE568" s="54">
        <f t="shared" si="200"/>
        <v>31579.200000000001</v>
      </c>
      <c r="AF568" s="54">
        <f t="shared" si="201"/>
        <v>184490.79014634015</v>
      </c>
      <c r="AG568" s="49">
        <f t="shared" si="202"/>
        <v>938903.076</v>
      </c>
      <c r="AH568" s="49">
        <f t="shared" si="203"/>
        <v>1173628.845</v>
      </c>
    </row>
    <row r="569" spans="1:34" s="56" customFormat="1">
      <c r="A569" s="62" t="s">
        <v>671</v>
      </c>
      <c r="B569" s="62"/>
      <c r="C569" s="62"/>
      <c r="D569" s="62"/>
      <c r="E569" s="141">
        <v>1</v>
      </c>
      <c r="F569" s="142"/>
      <c r="G569" s="143">
        <v>0.2</v>
      </c>
      <c r="H569" s="143">
        <v>0</v>
      </c>
      <c r="I569" s="49">
        <v>59433</v>
      </c>
      <c r="J569" s="49">
        <f t="shared" si="192"/>
        <v>49745.420999999995</v>
      </c>
      <c r="K569" s="49">
        <f t="shared" si="193"/>
        <v>39796.336799999997</v>
      </c>
      <c r="L569" s="58"/>
      <c r="M569" s="141">
        <v>0</v>
      </c>
      <c r="N569" s="50">
        <f t="shared" si="194"/>
        <v>0</v>
      </c>
      <c r="O569" s="50">
        <f t="shared" si="195"/>
        <v>0</v>
      </c>
      <c r="P569" s="59"/>
      <c r="Q569" s="141">
        <v>0</v>
      </c>
      <c r="R569" s="50">
        <f t="shared" si="196"/>
        <v>0</v>
      </c>
      <c r="S569" s="51">
        <f t="shared" si="197"/>
        <v>0</v>
      </c>
      <c r="T569" s="63">
        <v>25</v>
      </c>
      <c r="U569" s="61" t="s">
        <v>81</v>
      </c>
      <c r="V569" s="53">
        <f>SUMIF('Avoided Costs 2014-2023'!$A:$A,'2014 Actuals'!U569&amp;ROUNDDOWN('2014 Actuals'!T569,0),'Avoided Costs 2014-2023'!$E:$E)*K569</f>
        <v>126404.4510783697</v>
      </c>
      <c r="W569" s="53">
        <f>SUMIF('Avoided Costs 2014-2023'!$A:$A,'2014 Actuals'!U569&amp;ROUNDDOWN('2014 Actuals'!T569,0),'Avoided Costs 2014-2023'!$K:$K)*O569</f>
        <v>0</v>
      </c>
      <c r="X569" s="53">
        <f>SUMIF('Avoided Costs 2014-2023'!$A:$A,'2014 Actuals'!U569&amp;ROUNDDOWN('2014 Actuals'!T569,0),'Avoided Costs 2014-2023'!$M:$M)*S569</f>
        <v>0</v>
      </c>
      <c r="Y569" s="53">
        <f t="shared" si="198"/>
        <v>126404.4510783697</v>
      </c>
      <c r="Z569" s="55">
        <v>44486</v>
      </c>
      <c r="AA569" s="54">
        <f t="shared" si="199"/>
        <v>35588.800000000003</v>
      </c>
      <c r="AB569" s="54"/>
      <c r="AC569" s="54"/>
      <c r="AD569" s="54"/>
      <c r="AE569" s="54">
        <f t="shared" si="200"/>
        <v>35588.800000000003</v>
      </c>
      <c r="AF569" s="54">
        <f t="shared" si="201"/>
        <v>90815.651078369701</v>
      </c>
      <c r="AG569" s="49">
        <f t="shared" si="202"/>
        <v>994908.41999999993</v>
      </c>
      <c r="AH569" s="49">
        <f t="shared" si="203"/>
        <v>1243635.5249999999</v>
      </c>
    </row>
    <row r="570" spans="1:34" s="56" customFormat="1">
      <c r="A570" s="62" t="s">
        <v>672</v>
      </c>
      <c r="B570" s="62"/>
      <c r="C570" s="62"/>
      <c r="D570" s="62"/>
      <c r="E570" s="141">
        <v>1</v>
      </c>
      <c r="F570" s="142"/>
      <c r="G570" s="143">
        <v>0.2</v>
      </c>
      <c r="H570" s="143">
        <v>0</v>
      </c>
      <c r="I570" s="49">
        <v>24114</v>
      </c>
      <c r="J570" s="49">
        <f t="shared" si="192"/>
        <v>20183.417999999998</v>
      </c>
      <c r="K570" s="49">
        <f t="shared" si="193"/>
        <v>16146.734399999999</v>
      </c>
      <c r="L570" s="58"/>
      <c r="M570" s="141">
        <v>26963</v>
      </c>
      <c r="N570" s="50">
        <f t="shared" si="194"/>
        <v>26963</v>
      </c>
      <c r="O570" s="50">
        <f t="shared" si="195"/>
        <v>21570.400000000001</v>
      </c>
      <c r="P570" s="59"/>
      <c r="Q570" s="141">
        <v>0</v>
      </c>
      <c r="R570" s="50">
        <f t="shared" si="196"/>
        <v>0</v>
      </c>
      <c r="S570" s="51">
        <f t="shared" si="197"/>
        <v>0</v>
      </c>
      <c r="T570" s="63">
        <v>15</v>
      </c>
      <c r="U570" s="61" t="s">
        <v>81</v>
      </c>
      <c r="V570" s="53">
        <f>SUMIF('Avoided Costs 2014-2023'!$A:$A,'2014 Actuals'!U570&amp;ROUNDDOWN('2014 Actuals'!T570,0),'Avoided Costs 2014-2023'!$E:$E)*K570</f>
        <v>37377.621986460574</v>
      </c>
      <c r="W570" s="53">
        <f>SUMIF('Avoided Costs 2014-2023'!$A:$A,'2014 Actuals'!U570&amp;ROUNDDOWN('2014 Actuals'!T570,0),'Avoided Costs 2014-2023'!$K:$K)*O570</f>
        <v>25506.574416126168</v>
      </c>
      <c r="X570" s="53">
        <f>SUMIF('Avoided Costs 2014-2023'!$A:$A,'2014 Actuals'!U570&amp;ROUNDDOWN('2014 Actuals'!T570,0),'Avoided Costs 2014-2023'!$M:$M)*S570</f>
        <v>0</v>
      </c>
      <c r="Y570" s="53">
        <f t="shared" si="198"/>
        <v>62884.196402586742</v>
      </c>
      <c r="Z570" s="55">
        <v>6365</v>
      </c>
      <c r="AA570" s="54">
        <f t="shared" si="199"/>
        <v>5092</v>
      </c>
      <c r="AB570" s="54"/>
      <c r="AC570" s="54"/>
      <c r="AD570" s="54"/>
      <c r="AE570" s="54">
        <f t="shared" si="200"/>
        <v>5092</v>
      </c>
      <c r="AF570" s="54">
        <f t="shared" si="201"/>
        <v>57792.196402586742</v>
      </c>
      <c r="AG570" s="49">
        <f t="shared" si="202"/>
        <v>242201.016</v>
      </c>
      <c r="AH570" s="49">
        <f t="shared" si="203"/>
        <v>302751.26999999996</v>
      </c>
    </row>
    <row r="571" spans="1:34" s="56" customFormat="1">
      <c r="A571" s="62" t="s">
        <v>673</v>
      </c>
      <c r="B571" s="62"/>
      <c r="C571" s="62"/>
      <c r="D571" s="62"/>
      <c r="E571" s="141">
        <v>1</v>
      </c>
      <c r="F571" s="142"/>
      <c r="G571" s="143">
        <v>0.2</v>
      </c>
      <c r="H571" s="143">
        <v>0</v>
      </c>
      <c r="I571" s="49">
        <v>29208</v>
      </c>
      <c r="J571" s="49">
        <f t="shared" si="192"/>
        <v>24447.095999999998</v>
      </c>
      <c r="K571" s="49">
        <f t="shared" si="193"/>
        <v>19557.676799999997</v>
      </c>
      <c r="L571" s="58"/>
      <c r="M571" s="141">
        <v>28258</v>
      </c>
      <c r="N571" s="50">
        <f t="shared" si="194"/>
        <v>28258</v>
      </c>
      <c r="O571" s="50">
        <f t="shared" si="195"/>
        <v>22606.400000000001</v>
      </c>
      <c r="P571" s="59"/>
      <c r="Q571" s="141">
        <v>0</v>
      </c>
      <c r="R571" s="50">
        <f t="shared" si="196"/>
        <v>0</v>
      </c>
      <c r="S571" s="51">
        <f t="shared" si="197"/>
        <v>0</v>
      </c>
      <c r="T571" s="63">
        <v>15</v>
      </c>
      <c r="U571" s="61" t="s">
        <v>81</v>
      </c>
      <c r="V571" s="53">
        <f>SUMIF('Avoided Costs 2014-2023'!$A:$A,'2014 Actuals'!U571&amp;ROUNDDOWN('2014 Actuals'!T571,0),'Avoided Costs 2014-2023'!$E:$E)*K571</f>
        <v>45273.516752946016</v>
      </c>
      <c r="W571" s="53">
        <f>SUMIF('Avoided Costs 2014-2023'!$A:$A,'2014 Actuals'!U571&amp;ROUNDDOWN('2014 Actuals'!T571,0),'Avoided Costs 2014-2023'!$K:$K)*O571</f>
        <v>26731.624071909402</v>
      </c>
      <c r="X571" s="53">
        <f>SUMIF('Avoided Costs 2014-2023'!$A:$A,'2014 Actuals'!U571&amp;ROUNDDOWN('2014 Actuals'!T571,0),'Avoided Costs 2014-2023'!$M:$M)*S571</f>
        <v>0</v>
      </c>
      <c r="Y571" s="53">
        <f t="shared" si="198"/>
        <v>72005.140824855422</v>
      </c>
      <c r="Z571" s="55">
        <v>38369</v>
      </c>
      <c r="AA571" s="54">
        <f t="shared" si="199"/>
        <v>30695.200000000001</v>
      </c>
      <c r="AB571" s="54"/>
      <c r="AC571" s="54"/>
      <c r="AD571" s="54"/>
      <c r="AE571" s="54">
        <f t="shared" si="200"/>
        <v>30695.200000000001</v>
      </c>
      <c r="AF571" s="54">
        <f t="shared" si="201"/>
        <v>41309.940824855425</v>
      </c>
      <c r="AG571" s="49">
        <f t="shared" si="202"/>
        <v>293365.15199999994</v>
      </c>
      <c r="AH571" s="49">
        <f t="shared" si="203"/>
        <v>366706.43999999994</v>
      </c>
    </row>
    <row r="572" spans="1:34" s="56" customFormat="1">
      <c r="A572" s="62" t="s">
        <v>674</v>
      </c>
      <c r="B572" s="62"/>
      <c r="C572" s="62"/>
      <c r="D572" s="62"/>
      <c r="E572" s="141">
        <v>1</v>
      </c>
      <c r="F572" s="142"/>
      <c r="G572" s="143">
        <v>0.2</v>
      </c>
      <c r="H572" s="143">
        <v>0</v>
      </c>
      <c r="I572" s="49">
        <v>10087</v>
      </c>
      <c r="J572" s="49">
        <f t="shared" si="192"/>
        <v>8442.8189999999995</v>
      </c>
      <c r="K572" s="49">
        <f t="shared" si="193"/>
        <v>6754.2551999999996</v>
      </c>
      <c r="L572" s="58"/>
      <c r="M572" s="141">
        <v>0</v>
      </c>
      <c r="N572" s="50">
        <f t="shared" si="194"/>
        <v>0</v>
      </c>
      <c r="O572" s="50">
        <f t="shared" si="195"/>
        <v>0</v>
      </c>
      <c r="P572" s="59"/>
      <c r="Q572" s="141">
        <v>0</v>
      </c>
      <c r="R572" s="50">
        <f t="shared" si="196"/>
        <v>0</v>
      </c>
      <c r="S572" s="51">
        <f t="shared" si="197"/>
        <v>0</v>
      </c>
      <c r="T572" s="63">
        <v>25</v>
      </c>
      <c r="U572" s="61" t="s">
        <v>94</v>
      </c>
      <c r="V572" s="53">
        <f>SUMIF('Avoided Costs 2014-2023'!$A:$A,'2014 Actuals'!U572&amp;ROUNDDOWN('2014 Actuals'!T572,0),'Avoided Costs 2014-2023'!$E:$E)*K572</f>
        <v>20098.954880375688</v>
      </c>
      <c r="W572" s="53">
        <f>SUMIF('Avoided Costs 2014-2023'!$A:$A,'2014 Actuals'!U572&amp;ROUNDDOWN('2014 Actuals'!T572,0),'Avoided Costs 2014-2023'!$K:$K)*O572</f>
        <v>0</v>
      </c>
      <c r="X572" s="53">
        <f>SUMIF('Avoided Costs 2014-2023'!$A:$A,'2014 Actuals'!U572&amp;ROUNDDOWN('2014 Actuals'!T572,0),'Avoided Costs 2014-2023'!$M:$M)*S572</f>
        <v>0</v>
      </c>
      <c r="Y572" s="53">
        <f t="shared" si="198"/>
        <v>20098.954880375688</v>
      </c>
      <c r="Z572" s="55">
        <v>15966</v>
      </c>
      <c r="AA572" s="54">
        <f t="shared" si="199"/>
        <v>12772.800000000001</v>
      </c>
      <c r="AB572" s="54"/>
      <c r="AC572" s="54"/>
      <c r="AD572" s="54"/>
      <c r="AE572" s="54">
        <f t="shared" si="200"/>
        <v>12772.800000000001</v>
      </c>
      <c r="AF572" s="54">
        <f t="shared" si="201"/>
        <v>7326.1548803756868</v>
      </c>
      <c r="AG572" s="49">
        <f t="shared" si="202"/>
        <v>168856.38</v>
      </c>
      <c r="AH572" s="49">
        <f t="shared" si="203"/>
        <v>211070.47499999998</v>
      </c>
    </row>
    <row r="573" spans="1:34" s="56" customFormat="1">
      <c r="A573" s="62" t="s">
        <v>675</v>
      </c>
      <c r="B573" s="62"/>
      <c r="C573" s="62"/>
      <c r="D573" s="62"/>
      <c r="E573" s="141">
        <v>1</v>
      </c>
      <c r="F573" s="142"/>
      <c r="G573" s="143">
        <v>0.2</v>
      </c>
      <c r="H573" s="143">
        <v>0</v>
      </c>
      <c r="I573" s="49">
        <v>94735</v>
      </c>
      <c r="J573" s="49">
        <f t="shared" si="192"/>
        <v>79293.194999999992</v>
      </c>
      <c r="K573" s="49">
        <f t="shared" si="193"/>
        <v>63434.555999999997</v>
      </c>
      <c r="L573" s="58"/>
      <c r="M573" s="141">
        <v>0</v>
      </c>
      <c r="N573" s="50">
        <f t="shared" si="194"/>
        <v>0</v>
      </c>
      <c r="O573" s="50">
        <f t="shared" si="195"/>
        <v>0</v>
      </c>
      <c r="P573" s="59"/>
      <c r="Q573" s="141">
        <v>0</v>
      </c>
      <c r="R573" s="50">
        <f t="shared" si="196"/>
        <v>0</v>
      </c>
      <c r="S573" s="51">
        <f t="shared" si="197"/>
        <v>0</v>
      </c>
      <c r="T573" s="63">
        <v>25</v>
      </c>
      <c r="U573" s="61" t="s">
        <v>81</v>
      </c>
      <c r="V573" s="53">
        <f>SUMIF('Avoided Costs 2014-2023'!$A:$A,'2014 Actuals'!U573&amp;ROUNDDOWN('2014 Actuals'!T573,0),'Avoided Costs 2014-2023'!$E:$E)*K573</f>
        <v>201486.13855786101</v>
      </c>
      <c r="W573" s="53">
        <f>SUMIF('Avoided Costs 2014-2023'!$A:$A,'2014 Actuals'!U573&amp;ROUNDDOWN('2014 Actuals'!T573,0),'Avoided Costs 2014-2023'!$K:$K)*O573</f>
        <v>0</v>
      </c>
      <c r="X573" s="53">
        <f>SUMIF('Avoided Costs 2014-2023'!$A:$A,'2014 Actuals'!U573&amp;ROUNDDOWN('2014 Actuals'!T573,0),'Avoided Costs 2014-2023'!$M:$M)*S573</f>
        <v>0</v>
      </c>
      <c r="Y573" s="53">
        <f t="shared" si="198"/>
        <v>201486.13855786101</v>
      </c>
      <c r="Z573" s="55">
        <v>64903</v>
      </c>
      <c r="AA573" s="54">
        <f t="shared" si="199"/>
        <v>51922.400000000001</v>
      </c>
      <c r="AB573" s="54"/>
      <c r="AC573" s="54"/>
      <c r="AD573" s="54"/>
      <c r="AE573" s="54">
        <f t="shared" si="200"/>
        <v>51922.400000000001</v>
      </c>
      <c r="AF573" s="54">
        <f t="shared" si="201"/>
        <v>149563.73855786101</v>
      </c>
      <c r="AG573" s="49">
        <f t="shared" si="202"/>
        <v>1585863.9</v>
      </c>
      <c r="AH573" s="49">
        <f t="shared" si="203"/>
        <v>1982329.8749999998</v>
      </c>
    </row>
    <row r="574" spans="1:34" s="56" customFormat="1">
      <c r="A574" s="62" t="s">
        <v>676</v>
      </c>
      <c r="B574" s="62"/>
      <c r="C574" s="62"/>
      <c r="D574" s="62"/>
      <c r="E574" s="141">
        <v>1</v>
      </c>
      <c r="F574" s="142"/>
      <c r="G574" s="143">
        <v>0.2</v>
      </c>
      <c r="H574" s="143">
        <v>0</v>
      </c>
      <c r="I574" s="49">
        <v>23327</v>
      </c>
      <c r="J574" s="49">
        <f t="shared" si="192"/>
        <v>19524.699000000001</v>
      </c>
      <c r="K574" s="49">
        <f t="shared" si="193"/>
        <v>15619.7592</v>
      </c>
      <c r="L574" s="58"/>
      <c r="M574" s="141">
        <v>0</v>
      </c>
      <c r="N574" s="50">
        <f t="shared" si="194"/>
        <v>0</v>
      </c>
      <c r="O574" s="50">
        <f t="shared" si="195"/>
        <v>0</v>
      </c>
      <c r="P574" s="59"/>
      <c r="Q574" s="141">
        <v>0</v>
      </c>
      <c r="R574" s="50">
        <f t="shared" si="196"/>
        <v>0</v>
      </c>
      <c r="S574" s="51">
        <f t="shared" si="197"/>
        <v>0</v>
      </c>
      <c r="T574" s="63">
        <v>25</v>
      </c>
      <c r="U574" s="61" t="s">
        <v>81</v>
      </c>
      <c r="V574" s="53">
        <f>SUMIF('Avoided Costs 2014-2023'!$A:$A,'2014 Actuals'!U574&amp;ROUNDDOWN('2014 Actuals'!T574,0),'Avoided Costs 2014-2023'!$E:$E)*K574</f>
        <v>49612.784653393406</v>
      </c>
      <c r="W574" s="53">
        <f>SUMIF('Avoided Costs 2014-2023'!$A:$A,'2014 Actuals'!U574&amp;ROUNDDOWN('2014 Actuals'!T574,0),'Avoided Costs 2014-2023'!$K:$K)*O574</f>
        <v>0</v>
      </c>
      <c r="X574" s="53">
        <f>SUMIF('Avoided Costs 2014-2023'!$A:$A,'2014 Actuals'!U574&amp;ROUNDDOWN('2014 Actuals'!T574,0),'Avoided Costs 2014-2023'!$M:$M)*S574</f>
        <v>0</v>
      </c>
      <c r="Y574" s="53">
        <f t="shared" si="198"/>
        <v>49612.784653393406</v>
      </c>
      <c r="Z574" s="55">
        <v>532</v>
      </c>
      <c r="AA574" s="54">
        <f t="shared" si="199"/>
        <v>425.6</v>
      </c>
      <c r="AB574" s="54"/>
      <c r="AC574" s="54"/>
      <c r="AD574" s="54"/>
      <c r="AE574" s="54">
        <f t="shared" si="200"/>
        <v>425.6</v>
      </c>
      <c r="AF574" s="54">
        <f t="shared" si="201"/>
        <v>49187.184653393408</v>
      </c>
      <c r="AG574" s="49">
        <f t="shared" si="202"/>
        <v>390493.98</v>
      </c>
      <c r="AH574" s="49">
        <f t="shared" si="203"/>
        <v>488117.47500000003</v>
      </c>
    </row>
    <row r="575" spans="1:34" s="56" customFormat="1">
      <c r="A575" s="62" t="s">
        <v>677</v>
      </c>
      <c r="B575" s="62"/>
      <c r="C575" s="62"/>
      <c r="D575" s="62"/>
      <c r="E575" s="141">
        <v>1</v>
      </c>
      <c r="F575" s="142"/>
      <c r="G575" s="143">
        <v>0.2</v>
      </c>
      <c r="H575" s="143">
        <v>0</v>
      </c>
      <c r="I575" s="49">
        <v>47679</v>
      </c>
      <c r="J575" s="49">
        <f t="shared" si="192"/>
        <v>39907.322999999997</v>
      </c>
      <c r="K575" s="49">
        <f t="shared" si="193"/>
        <v>31925.858399999997</v>
      </c>
      <c r="L575" s="58"/>
      <c r="M575" s="141">
        <v>0</v>
      </c>
      <c r="N575" s="50">
        <f t="shared" si="194"/>
        <v>0</v>
      </c>
      <c r="O575" s="50">
        <f t="shared" si="195"/>
        <v>0</v>
      </c>
      <c r="P575" s="59"/>
      <c r="Q575" s="141">
        <v>0</v>
      </c>
      <c r="R575" s="50">
        <f t="shared" si="196"/>
        <v>0</v>
      </c>
      <c r="S575" s="51">
        <f t="shared" si="197"/>
        <v>0</v>
      </c>
      <c r="T575" s="63">
        <v>20.189</v>
      </c>
      <c r="U575" s="61" t="s">
        <v>94</v>
      </c>
      <c r="V575" s="53">
        <f>SUMIF('Avoided Costs 2014-2023'!$A:$A,'2014 Actuals'!U575&amp;ROUNDDOWN('2014 Actuals'!T575,0),'Avoided Costs 2014-2023'!$E:$E)*K575</f>
        <v>83641.508108693422</v>
      </c>
      <c r="W575" s="53">
        <f>SUMIF('Avoided Costs 2014-2023'!$A:$A,'2014 Actuals'!U575&amp;ROUNDDOWN('2014 Actuals'!T575,0),'Avoided Costs 2014-2023'!$K:$K)*O575</f>
        <v>0</v>
      </c>
      <c r="X575" s="53">
        <f>SUMIF('Avoided Costs 2014-2023'!$A:$A,'2014 Actuals'!U575&amp;ROUNDDOWN('2014 Actuals'!T575,0),'Avoided Costs 2014-2023'!$M:$M)*S575</f>
        <v>0</v>
      </c>
      <c r="Y575" s="53">
        <f t="shared" si="198"/>
        <v>83641.508108693422</v>
      </c>
      <c r="Z575" s="55">
        <v>23850</v>
      </c>
      <c r="AA575" s="54">
        <f t="shared" si="199"/>
        <v>19080</v>
      </c>
      <c r="AB575" s="54"/>
      <c r="AC575" s="54"/>
      <c r="AD575" s="54"/>
      <c r="AE575" s="54">
        <f t="shared" si="200"/>
        <v>19080</v>
      </c>
      <c r="AF575" s="54">
        <f t="shared" si="201"/>
        <v>64561.508108693422</v>
      </c>
      <c r="AG575" s="49">
        <f t="shared" si="202"/>
        <v>644551.15523759997</v>
      </c>
      <c r="AH575" s="49">
        <f t="shared" si="203"/>
        <v>805688.94404699991</v>
      </c>
    </row>
    <row r="576" spans="1:34" s="56" customFormat="1">
      <c r="A576" s="62" t="s">
        <v>678</v>
      </c>
      <c r="B576" s="62"/>
      <c r="C576" s="62"/>
      <c r="D576" s="62"/>
      <c r="E576" s="141">
        <v>1</v>
      </c>
      <c r="F576" s="142"/>
      <c r="G576" s="143">
        <v>0.2</v>
      </c>
      <c r="H576" s="143">
        <v>0</v>
      </c>
      <c r="I576" s="49">
        <v>10196</v>
      </c>
      <c r="J576" s="49">
        <f t="shared" si="192"/>
        <v>8534.0519999999997</v>
      </c>
      <c r="K576" s="49">
        <f t="shared" si="193"/>
        <v>6827.2416000000003</v>
      </c>
      <c r="L576" s="58"/>
      <c r="M576" s="141">
        <v>0</v>
      </c>
      <c r="N576" s="50">
        <f t="shared" si="194"/>
        <v>0</v>
      </c>
      <c r="O576" s="50">
        <f t="shared" si="195"/>
        <v>0</v>
      </c>
      <c r="P576" s="59"/>
      <c r="Q576" s="141">
        <v>0</v>
      </c>
      <c r="R576" s="50">
        <f t="shared" si="196"/>
        <v>0</v>
      </c>
      <c r="S576" s="51">
        <f t="shared" si="197"/>
        <v>0</v>
      </c>
      <c r="T576" s="63">
        <v>23.145</v>
      </c>
      <c r="U576" s="61" t="s">
        <v>81</v>
      </c>
      <c r="V576" s="53">
        <f>SUMIF('Avoided Costs 2014-2023'!$A:$A,'2014 Actuals'!U576&amp;ROUNDDOWN('2014 Actuals'!T576,0),'Avoided Costs 2014-2023'!$E:$E)*K576</f>
        <v>20722.799178022593</v>
      </c>
      <c r="W576" s="53">
        <f>SUMIF('Avoided Costs 2014-2023'!$A:$A,'2014 Actuals'!U576&amp;ROUNDDOWN('2014 Actuals'!T576,0),'Avoided Costs 2014-2023'!$K:$K)*O576</f>
        <v>0</v>
      </c>
      <c r="X576" s="53">
        <f>SUMIF('Avoided Costs 2014-2023'!$A:$A,'2014 Actuals'!U576&amp;ROUNDDOWN('2014 Actuals'!T576,0),'Avoided Costs 2014-2023'!$M:$M)*S576</f>
        <v>0</v>
      </c>
      <c r="Y576" s="53">
        <f t="shared" si="198"/>
        <v>20722.799178022593</v>
      </c>
      <c r="Z576" s="55">
        <v>13250</v>
      </c>
      <c r="AA576" s="54">
        <f t="shared" si="199"/>
        <v>10600</v>
      </c>
      <c r="AB576" s="54"/>
      <c r="AC576" s="54"/>
      <c r="AD576" s="54"/>
      <c r="AE576" s="54">
        <f t="shared" si="200"/>
        <v>10600</v>
      </c>
      <c r="AF576" s="54">
        <f t="shared" si="201"/>
        <v>10122.799178022593</v>
      </c>
      <c r="AG576" s="49">
        <f t="shared" si="202"/>
        <v>158016.50683200001</v>
      </c>
      <c r="AH576" s="49">
        <f t="shared" si="203"/>
        <v>197520.63353999998</v>
      </c>
    </row>
    <row r="577" spans="1:34" s="56" customFormat="1">
      <c r="A577" s="62" t="s">
        <v>679</v>
      </c>
      <c r="B577" s="62"/>
      <c r="C577" s="62"/>
      <c r="D577" s="62"/>
      <c r="E577" s="141">
        <v>0</v>
      </c>
      <c r="F577" s="142"/>
      <c r="G577" s="143">
        <v>0.2</v>
      </c>
      <c r="H577" s="143">
        <v>0</v>
      </c>
      <c r="I577" s="49">
        <v>25687</v>
      </c>
      <c r="J577" s="49">
        <f t="shared" si="192"/>
        <v>21500.019</v>
      </c>
      <c r="K577" s="49">
        <f t="shared" si="193"/>
        <v>17200.015200000002</v>
      </c>
      <c r="L577" s="58"/>
      <c r="M577" s="141">
        <v>0</v>
      </c>
      <c r="N577" s="50">
        <f t="shared" si="194"/>
        <v>0</v>
      </c>
      <c r="O577" s="50">
        <f t="shared" si="195"/>
        <v>0</v>
      </c>
      <c r="P577" s="59"/>
      <c r="Q577" s="141">
        <v>0</v>
      </c>
      <c r="R577" s="50">
        <f t="shared" si="196"/>
        <v>0</v>
      </c>
      <c r="S577" s="51">
        <f t="shared" si="197"/>
        <v>0</v>
      </c>
      <c r="T577" s="63">
        <v>17.594000000000001</v>
      </c>
      <c r="U577" s="61" t="s">
        <v>94</v>
      </c>
      <c r="V577" s="53">
        <f>SUMIF('Avoided Costs 2014-2023'!$A:$A,'2014 Actuals'!U577&amp;ROUNDDOWN('2014 Actuals'!T577,0),'Avoided Costs 2014-2023'!$E:$E)*K577</f>
        <v>40621.015749043778</v>
      </c>
      <c r="W577" s="53">
        <f>SUMIF('Avoided Costs 2014-2023'!$A:$A,'2014 Actuals'!U577&amp;ROUNDDOWN('2014 Actuals'!T577,0),'Avoided Costs 2014-2023'!$K:$K)*O577</f>
        <v>0</v>
      </c>
      <c r="X577" s="53">
        <f>SUMIF('Avoided Costs 2014-2023'!$A:$A,'2014 Actuals'!U577&amp;ROUNDDOWN('2014 Actuals'!T577,0),'Avoided Costs 2014-2023'!$M:$M)*S577</f>
        <v>0</v>
      </c>
      <c r="Y577" s="53">
        <f t="shared" si="198"/>
        <v>40621.015749043778</v>
      </c>
      <c r="Z577" s="55">
        <v>22525</v>
      </c>
      <c r="AA577" s="54">
        <f t="shared" si="199"/>
        <v>18020</v>
      </c>
      <c r="AB577" s="54"/>
      <c r="AC577" s="54"/>
      <c r="AD577" s="54"/>
      <c r="AE577" s="54">
        <f t="shared" si="200"/>
        <v>18020</v>
      </c>
      <c r="AF577" s="54">
        <f t="shared" si="201"/>
        <v>22601.015749043778</v>
      </c>
      <c r="AG577" s="49">
        <f t="shared" si="202"/>
        <v>302617.06742880004</v>
      </c>
      <c r="AH577" s="49">
        <f t="shared" si="203"/>
        <v>378271.33428600006</v>
      </c>
    </row>
    <row r="578" spans="1:34" s="56" customFormat="1">
      <c r="A578" s="62" t="s">
        <v>680</v>
      </c>
      <c r="B578" s="62"/>
      <c r="C578" s="62"/>
      <c r="D578" s="62"/>
      <c r="E578" s="141">
        <v>1</v>
      </c>
      <c r="F578" s="142"/>
      <c r="G578" s="143">
        <v>0.2</v>
      </c>
      <c r="H578" s="143">
        <v>0</v>
      </c>
      <c r="I578" s="49">
        <v>88372</v>
      </c>
      <c r="J578" s="49">
        <f t="shared" si="192"/>
        <v>73967.364000000001</v>
      </c>
      <c r="K578" s="49">
        <f t="shared" si="193"/>
        <v>59173.891200000005</v>
      </c>
      <c r="L578" s="58"/>
      <c r="M578" s="141">
        <v>0</v>
      </c>
      <c r="N578" s="50">
        <f t="shared" si="194"/>
        <v>0</v>
      </c>
      <c r="O578" s="50">
        <f t="shared" si="195"/>
        <v>0</v>
      </c>
      <c r="P578" s="59"/>
      <c r="Q578" s="141">
        <v>0</v>
      </c>
      <c r="R578" s="50">
        <f t="shared" si="196"/>
        <v>0</v>
      </c>
      <c r="S578" s="51">
        <f t="shared" si="197"/>
        <v>0</v>
      </c>
      <c r="T578" s="63">
        <v>19.614999999999998</v>
      </c>
      <c r="U578" s="61" t="s">
        <v>81</v>
      </c>
      <c r="V578" s="53">
        <f>SUMIF('Avoided Costs 2014-2023'!$A:$A,'2014 Actuals'!U578&amp;ROUNDDOWN('2014 Actuals'!T578,0),'Avoided Costs 2014-2023'!$E:$E)*K578</f>
        <v>160329.51147182088</v>
      </c>
      <c r="W578" s="53">
        <f>SUMIF('Avoided Costs 2014-2023'!$A:$A,'2014 Actuals'!U578&amp;ROUNDDOWN('2014 Actuals'!T578,0),'Avoided Costs 2014-2023'!$K:$K)*O578</f>
        <v>0</v>
      </c>
      <c r="X578" s="53">
        <f>SUMIF('Avoided Costs 2014-2023'!$A:$A,'2014 Actuals'!U578&amp;ROUNDDOWN('2014 Actuals'!T578,0),'Avoided Costs 2014-2023'!$M:$M)*S578</f>
        <v>0</v>
      </c>
      <c r="Y578" s="53">
        <f t="shared" si="198"/>
        <v>160329.51147182088</v>
      </c>
      <c r="Z578" s="55">
        <v>42400</v>
      </c>
      <c r="AA578" s="54">
        <f t="shared" si="199"/>
        <v>33920</v>
      </c>
      <c r="AB578" s="54"/>
      <c r="AC578" s="54"/>
      <c r="AD578" s="54"/>
      <c r="AE578" s="54">
        <f t="shared" si="200"/>
        <v>33920</v>
      </c>
      <c r="AF578" s="54">
        <f t="shared" si="201"/>
        <v>126409.51147182088</v>
      </c>
      <c r="AG578" s="49">
        <f t="shared" si="202"/>
        <v>1160695.875888</v>
      </c>
      <c r="AH578" s="49">
        <f t="shared" si="203"/>
        <v>1450869.8448599998</v>
      </c>
    </row>
    <row r="579" spans="1:34" s="56" customFormat="1">
      <c r="A579" s="62" t="s">
        <v>681</v>
      </c>
      <c r="B579" s="62"/>
      <c r="C579" s="62"/>
      <c r="D579" s="62"/>
      <c r="E579" s="141">
        <v>1</v>
      </c>
      <c r="F579" s="142"/>
      <c r="G579" s="143">
        <v>0.2</v>
      </c>
      <c r="H579" s="143">
        <v>0</v>
      </c>
      <c r="I579" s="49">
        <v>72994</v>
      </c>
      <c r="J579" s="49">
        <f t="shared" si="192"/>
        <v>61095.977999999996</v>
      </c>
      <c r="K579" s="49">
        <f t="shared" si="193"/>
        <v>48876.782399999996</v>
      </c>
      <c r="L579" s="58"/>
      <c r="M579" s="141">
        <v>0</v>
      </c>
      <c r="N579" s="50">
        <f t="shared" si="194"/>
        <v>0</v>
      </c>
      <c r="O579" s="50">
        <f t="shared" si="195"/>
        <v>0</v>
      </c>
      <c r="P579" s="59"/>
      <c r="Q579" s="141">
        <v>0</v>
      </c>
      <c r="R579" s="50">
        <f t="shared" si="196"/>
        <v>0</v>
      </c>
      <c r="S579" s="51">
        <f t="shared" si="197"/>
        <v>0</v>
      </c>
      <c r="T579" s="63">
        <v>19.245999999999999</v>
      </c>
      <c r="U579" s="61" t="s">
        <v>81</v>
      </c>
      <c r="V579" s="53">
        <f>SUMIF('Avoided Costs 2014-2023'!$A:$A,'2014 Actuals'!U579&amp;ROUNDDOWN('2014 Actuals'!T579,0),'Avoided Costs 2014-2023'!$E:$E)*K579</f>
        <v>132429.86874093709</v>
      </c>
      <c r="W579" s="53">
        <f>SUMIF('Avoided Costs 2014-2023'!$A:$A,'2014 Actuals'!U579&amp;ROUNDDOWN('2014 Actuals'!T579,0),'Avoided Costs 2014-2023'!$K:$K)*O579</f>
        <v>0</v>
      </c>
      <c r="X579" s="53">
        <f>SUMIF('Avoided Costs 2014-2023'!$A:$A,'2014 Actuals'!U579&amp;ROUNDDOWN('2014 Actuals'!T579,0),'Avoided Costs 2014-2023'!$M:$M)*S579</f>
        <v>0</v>
      </c>
      <c r="Y579" s="53">
        <f t="shared" si="198"/>
        <v>132429.86874093709</v>
      </c>
      <c r="Z579" s="55">
        <v>31800</v>
      </c>
      <c r="AA579" s="54">
        <f t="shared" si="199"/>
        <v>25440</v>
      </c>
      <c r="AB579" s="54"/>
      <c r="AC579" s="54"/>
      <c r="AD579" s="54"/>
      <c r="AE579" s="54">
        <f t="shared" si="200"/>
        <v>25440</v>
      </c>
      <c r="AF579" s="54">
        <f t="shared" si="201"/>
        <v>106989.86874093709</v>
      </c>
      <c r="AG579" s="49">
        <f t="shared" si="202"/>
        <v>940682.55407039984</v>
      </c>
      <c r="AH579" s="49">
        <f t="shared" si="203"/>
        <v>1175853.1925879999</v>
      </c>
    </row>
    <row r="580" spans="1:34" s="56" customFormat="1">
      <c r="A580" s="62" t="s">
        <v>682</v>
      </c>
      <c r="B580" s="62"/>
      <c r="C580" s="62"/>
      <c r="D580" s="62"/>
      <c r="E580" s="141">
        <v>1</v>
      </c>
      <c r="F580" s="142"/>
      <c r="G580" s="143">
        <v>0.2</v>
      </c>
      <c r="H580" s="143">
        <v>0</v>
      </c>
      <c r="I580" s="49">
        <v>49696</v>
      </c>
      <c r="J580" s="49">
        <f t="shared" si="192"/>
        <v>41595.551999999996</v>
      </c>
      <c r="K580" s="49">
        <f t="shared" si="193"/>
        <v>33276.441599999998</v>
      </c>
      <c r="L580" s="58"/>
      <c r="M580" s="141">
        <v>0</v>
      </c>
      <c r="N580" s="50">
        <f t="shared" si="194"/>
        <v>0</v>
      </c>
      <c r="O580" s="50">
        <f t="shared" si="195"/>
        <v>0</v>
      </c>
      <c r="P580" s="59"/>
      <c r="Q580" s="141">
        <v>0</v>
      </c>
      <c r="R580" s="50">
        <f t="shared" si="196"/>
        <v>0</v>
      </c>
      <c r="S580" s="51">
        <f t="shared" si="197"/>
        <v>0</v>
      </c>
      <c r="T580" s="63">
        <v>25.684000000000001</v>
      </c>
      <c r="U580" s="61" t="s">
        <v>81</v>
      </c>
      <c r="V580" s="53">
        <f>SUMIF('Avoided Costs 2014-2023'!$A:$A,'2014 Actuals'!U580&amp;ROUNDDOWN('2014 Actuals'!T580,0),'Avoided Costs 2014-2023'!$E:$E)*K580</f>
        <v>105695.41501843522</v>
      </c>
      <c r="W580" s="53">
        <f>SUMIF('Avoided Costs 2014-2023'!$A:$A,'2014 Actuals'!U580&amp;ROUNDDOWN('2014 Actuals'!T580,0),'Avoided Costs 2014-2023'!$K:$K)*O580</f>
        <v>0</v>
      </c>
      <c r="X580" s="53">
        <f>SUMIF('Avoided Costs 2014-2023'!$A:$A,'2014 Actuals'!U580&amp;ROUNDDOWN('2014 Actuals'!T580,0),'Avoided Costs 2014-2023'!$M:$M)*S580</f>
        <v>0</v>
      </c>
      <c r="Y580" s="53">
        <f t="shared" si="198"/>
        <v>105695.41501843522</v>
      </c>
      <c r="Z580" s="55">
        <v>31800</v>
      </c>
      <c r="AA580" s="54">
        <f t="shared" si="199"/>
        <v>25440</v>
      </c>
      <c r="AB580" s="54"/>
      <c r="AC580" s="54"/>
      <c r="AD580" s="54"/>
      <c r="AE580" s="54">
        <f t="shared" si="200"/>
        <v>25440</v>
      </c>
      <c r="AF580" s="54">
        <f t="shared" si="201"/>
        <v>80255.415018435218</v>
      </c>
      <c r="AG580" s="49">
        <f t="shared" si="202"/>
        <v>854672.1260544</v>
      </c>
      <c r="AH580" s="49">
        <f t="shared" si="203"/>
        <v>1068340.157568</v>
      </c>
    </row>
    <row r="581" spans="1:34" s="56" customFormat="1">
      <c r="A581" s="136" t="s">
        <v>683</v>
      </c>
      <c r="B581" s="136"/>
      <c r="C581" s="136"/>
      <c r="D581" s="136"/>
      <c r="E581" s="137">
        <v>0</v>
      </c>
      <c r="F581" s="138"/>
      <c r="G581" s="139">
        <v>0.2</v>
      </c>
      <c r="H581" s="139">
        <v>0</v>
      </c>
      <c r="I581" s="49">
        <v>7808</v>
      </c>
      <c r="J581" s="49">
        <f t="shared" si="192"/>
        <v>6535.2959999999994</v>
      </c>
      <c r="K581" s="49">
        <f t="shared" si="193"/>
        <v>5228.2367999999997</v>
      </c>
      <c r="L581" s="138"/>
      <c r="M581" s="137">
        <v>0</v>
      </c>
      <c r="N581" s="50">
        <f t="shared" si="194"/>
        <v>0</v>
      </c>
      <c r="O581" s="50">
        <f t="shared" si="195"/>
        <v>0</v>
      </c>
      <c r="P581" s="140"/>
      <c r="Q581" s="137">
        <v>0</v>
      </c>
      <c r="R581" s="50">
        <f t="shared" si="196"/>
        <v>0</v>
      </c>
      <c r="S581" s="51">
        <f t="shared" si="197"/>
        <v>0</v>
      </c>
      <c r="T581" s="63">
        <v>15</v>
      </c>
      <c r="U581" s="52" t="s">
        <v>94</v>
      </c>
      <c r="V581" s="53">
        <f>SUMIF('Avoided Costs 2014-2023'!$A:$A,'2014 Actuals'!U581&amp;ROUNDDOWN('2014 Actuals'!T581,0),'Avoided Costs 2014-2023'!$E:$E)*K581</f>
        <v>11333.671107465289</v>
      </c>
      <c r="W581" s="53">
        <f>SUMIF('Avoided Costs 2014-2023'!$A:$A,'2014 Actuals'!U581&amp;ROUNDDOWN('2014 Actuals'!T581,0),'Avoided Costs 2014-2023'!$K:$K)*O581</f>
        <v>0</v>
      </c>
      <c r="X581" s="53">
        <f>SUMIF('Avoided Costs 2014-2023'!$A:$A,'2014 Actuals'!U581&amp;ROUNDDOWN('2014 Actuals'!T581,0),'Avoided Costs 2014-2023'!$M:$M)*S581</f>
        <v>0</v>
      </c>
      <c r="Y581" s="53">
        <f t="shared" si="198"/>
        <v>11333.671107465289</v>
      </c>
      <c r="Z581" s="55">
        <v>0</v>
      </c>
      <c r="AA581" s="54">
        <f t="shared" si="199"/>
        <v>0</v>
      </c>
      <c r="AB581" s="54"/>
      <c r="AC581" s="54"/>
      <c r="AD581" s="54"/>
      <c r="AE581" s="54">
        <f t="shared" si="200"/>
        <v>0</v>
      </c>
      <c r="AF581" s="54">
        <f t="shared" si="201"/>
        <v>11333.671107465289</v>
      </c>
      <c r="AG581" s="49">
        <f t="shared" si="202"/>
        <v>78423.551999999996</v>
      </c>
      <c r="AH581" s="49">
        <f t="shared" si="203"/>
        <v>98029.439999999988</v>
      </c>
    </row>
    <row r="582" spans="1:34" s="56" customFormat="1">
      <c r="A582" s="62" t="s">
        <v>684</v>
      </c>
      <c r="B582" s="62"/>
      <c r="C582" s="62"/>
      <c r="D582" s="62"/>
      <c r="E582" s="141">
        <v>0</v>
      </c>
      <c r="F582" s="142"/>
      <c r="G582" s="143">
        <v>0.2</v>
      </c>
      <c r="H582" s="143">
        <v>0</v>
      </c>
      <c r="I582" s="49">
        <v>659</v>
      </c>
      <c r="J582" s="49">
        <f t="shared" si="192"/>
        <v>551.58299999999997</v>
      </c>
      <c r="K582" s="49">
        <f t="shared" si="193"/>
        <v>441.26639999999998</v>
      </c>
      <c r="L582" s="58"/>
      <c r="M582" s="141">
        <v>0</v>
      </c>
      <c r="N582" s="50">
        <f t="shared" si="194"/>
        <v>0</v>
      </c>
      <c r="O582" s="50">
        <f t="shared" si="195"/>
        <v>0</v>
      </c>
      <c r="P582" s="59"/>
      <c r="Q582" s="141">
        <v>0</v>
      </c>
      <c r="R582" s="50">
        <f t="shared" si="196"/>
        <v>0</v>
      </c>
      <c r="S582" s="51">
        <f t="shared" si="197"/>
        <v>0</v>
      </c>
      <c r="T582" s="63">
        <v>15</v>
      </c>
      <c r="U582" s="61" t="s">
        <v>81</v>
      </c>
      <c r="V582" s="53">
        <f>SUMIF('Avoided Costs 2014-2023'!$A:$A,'2014 Actuals'!U582&amp;ROUNDDOWN('2014 Actuals'!T582,0),'Avoided Costs 2014-2023'!$E:$E)*K582</f>
        <v>1021.4751965280549</v>
      </c>
      <c r="W582" s="53">
        <f>SUMIF('Avoided Costs 2014-2023'!$A:$A,'2014 Actuals'!U582&amp;ROUNDDOWN('2014 Actuals'!T582,0),'Avoided Costs 2014-2023'!$K:$K)*O582</f>
        <v>0</v>
      </c>
      <c r="X582" s="53">
        <f>SUMIF('Avoided Costs 2014-2023'!$A:$A,'2014 Actuals'!U582&amp;ROUNDDOWN('2014 Actuals'!T582,0),'Avoided Costs 2014-2023'!$M:$M)*S582</f>
        <v>0</v>
      </c>
      <c r="Y582" s="53">
        <f t="shared" si="198"/>
        <v>1021.4751965280549</v>
      </c>
      <c r="Z582" s="55">
        <v>0</v>
      </c>
      <c r="AA582" s="54">
        <f t="shared" si="199"/>
        <v>0</v>
      </c>
      <c r="AB582" s="54"/>
      <c r="AC582" s="54"/>
      <c r="AD582" s="54"/>
      <c r="AE582" s="54">
        <f t="shared" si="200"/>
        <v>0</v>
      </c>
      <c r="AF582" s="54">
        <f t="shared" si="201"/>
        <v>1021.4751965280549</v>
      </c>
      <c r="AG582" s="49">
        <f t="shared" si="202"/>
        <v>6618.9959999999992</v>
      </c>
      <c r="AH582" s="49">
        <f t="shared" si="203"/>
        <v>8273.744999999999</v>
      </c>
    </row>
    <row r="583" spans="1:34" s="56" customFormat="1">
      <c r="A583" s="62" t="s">
        <v>685</v>
      </c>
      <c r="B583" s="62"/>
      <c r="C583" s="62"/>
      <c r="D583" s="62"/>
      <c r="E583" s="141">
        <v>1</v>
      </c>
      <c r="F583" s="142"/>
      <c r="G583" s="143">
        <v>0.2</v>
      </c>
      <c r="H583" s="143">
        <v>0</v>
      </c>
      <c r="I583" s="49">
        <v>68915</v>
      </c>
      <c r="J583" s="49">
        <f t="shared" si="192"/>
        <v>57681.854999999996</v>
      </c>
      <c r="K583" s="49">
        <f t="shared" si="193"/>
        <v>46145.483999999997</v>
      </c>
      <c r="L583" s="58"/>
      <c r="M583" s="141">
        <v>89260</v>
      </c>
      <c r="N583" s="50">
        <f t="shared" si="194"/>
        <v>89260</v>
      </c>
      <c r="O583" s="50">
        <f t="shared" si="195"/>
        <v>71408</v>
      </c>
      <c r="P583" s="59"/>
      <c r="Q583" s="141">
        <v>0</v>
      </c>
      <c r="R583" s="50">
        <f t="shared" si="196"/>
        <v>0</v>
      </c>
      <c r="S583" s="51">
        <f t="shared" si="197"/>
        <v>0</v>
      </c>
      <c r="T583" s="63">
        <v>15</v>
      </c>
      <c r="U583" s="61" t="s">
        <v>81</v>
      </c>
      <c r="V583" s="53">
        <f>SUMIF('Avoided Costs 2014-2023'!$A:$A,'2014 Actuals'!U583&amp;ROUNDDOWN('2014 Actuals'!T583,0),'Avoided Costs 2014-2023'!$E:$E)*K583</f>
        <v>106820.88492978892</v>
      </c>
      <c r="W583" s="53">
        <f>SUMIF('Avoided Costs 2014-2023'!$A:$A,'2014 Actuals'!U583&amp;ROUNDDOWN('2014 Actuals'!T583,0),'Avoided Costs 2014-2023'!$K:$K)*O583</f>
        <v>84438.55774147615</v>
      </c>
      <c r="X583" s="53">
        <f>SUMIF('Avoided Costs 2014-2023'!$A:$A,'2014 Actuals'!U583&amp;ROUNDDOWN('2014 Actuals'!T583,0),'Avoided Costs 2014-2023'!$M:$M)*S583</f>
        <v>0</v>
      </c>
      <c r="Y583" s="53">
        <f t="shared" si="198"/>
        <v>191259.44267126507</v>
      </c>
      <c r="Z583" s="55">
        <v>16395</v>
      </c>
      <c r="AA583" s="54">
        <f t="shared" si="199"/>
        <v>13116</v>
      </c>
      <c r="AB583" s="54"/>
      <c r="AC583" s="54"/>
      <c r="AD583" s="54"/>
      <c r="AE583" s="54">
        <f t="shared" si="200"/>
        <v>13116</v>
      </c>
      <c r="AF583" s="54">
        <f t="shared" si="201"/>
        <v>178143.44267126507</v>
      </c>
      <c r="AG583" s="49">
        <f t="shared" si="202"/>
        <v>692182.26</v>
      </c>
      <c r="AH583" s="49">
        <f t="shared" si="203"/>
        <v>865227.82499999995</v>
      </c>
    </row>
    <row r="584" spans="1:34" s="56" customFormat="1">
      <c r="A584" s="62" t="s">
        <v>686</v>
      </c>
      <c r="B584" s="62"/>
      <c r="C584" s="62"/>
      <c r="D584" s="62"/>
      <c r="E584" s="141">
        <v>1</v>
      </c>
      <c r="F584" s="142"/>
      <c r="G584" s="143">
        <v>0.2</v>
      </c>
      <c r="H584" s="143">
        <v>0</v>
      </c>
      <c r="I584" s="49">
        <v>73552</v>
      </c>
      <c r="J584" s="49">
        <f t="shared" si="192"/>
        <v>61563.023999999998</v>
      </c>
      <c r="K584" s="49">
        <f t="shared" si="193"/>
        <v>49250.419200000004</v>
      </c>
      <c r="L584" s="58"/>
      <c r="M584" s="141">
        <v>107327</v>
      </c>
      <c r="N584" s="50">
        <f t="shared" si="194"/>
        <v>107327</v>
      </c>
      <c r="O584" s="50">
        <f t="shared" si="195"/>
        <v>85861.6</v>
      </c>
      <c r="P584" s="59"/>
      <c r="Q584" s="141">
        <v>0</v>
      </c>
      <c r="R584" s="50">
        <f t="shared" si="196"/>
        <v>0</v>
      </c>
      <c r="S584" s="51">
        <f t="shared" si="197"/>
        <v>0</v>
      </c>
      <c r="T584" s="63">
        <v>15</v>
      </c>
      <c r="U584" s="61" t="s">
        <v>81</v>
      </c>
      <c r="V584" s="53">
        <f>SUMIF('Avoided Costs 2014-2023'!$A:$A,'2014 Actuals'!U584&amp;ROUNDDOWN('2014 Actuals'!T584,0),'Avoided Costs 2014-2023'!$E:$E)*K584</f>
        <v>114008.41222311306</v>
      </c>
      <c r="W584" s="53">
        <f>SUMIF('Avoided Costs 2014-2023'!$A:$A,'2014 Actuals'!U584&amp;ROUNDDOWN('2014 Actuals'!T584,0),'Avoided Costs 2014-2023'!$K:$K)*O584</f>
        <v>101529.65591216012</v>
      </c>
      <c r="X584" s="53">
        <f>SUMIF('Avoided Costs 2014-2023'!$A:$A,'2014 Actuals'!U584&amp;ROUNDDOWN('2014 Actuals'!T584,0),'Avoided Costs 2014-2023'!$M:$M)*S584</f>
        <v>0</v>
      </c>
      <c r="Y584" s="53">
        <f t="shared" si="198"/>
        <v>215538.06813527318</v>
      </c>
      <c r="Z584" s="55">
        <v>19700</v>
      </c>
      <c r="AA584" s="54">
        <f t="shared" si="199"/>
        <v>15760</v>
      </c>
      <c r="AB584" s="54"/>
      <c r="AC584" s="54"/>
      <c r="AD584" s="54"/>
      <c r="AE584" s="54">
        <f t="shared" si="200"/>
        <v>15760</v>
      </c>
      <c r="AF584" s="54">
        <f t="shared" si="201"/>
        <v>199778.06813527318</v>
      </c>
      <c r="AG584" s="49">
        <f t="shared" si="202"/>
        <v>738756.28800000006</v>
      </c>
      <c r="AH584" s="49">
        <f t="shared" si="203"/>
        <v>923445.36</v>
      </c>
    </row>
    <row r="585" spans="1:34" s="56" customFormat="1">
      <c r="A585" s="62" t="s">
        <v>687</v>
      </c>
      <c r="B585" s="62"/>
      <c r="C585" s="62"/>
      <c r="D585" s="62"/>
      <c r="E585" s="141">
        <v>1</v>
      </c>
      <c r="F585" s="142"/>
      <c r="G585" s="143">
        <v>0.2</v>
      </c>
      <c r="H585" s="143">
        <v>0</v>
      </c>
      <c r="I585" s="49">
        <v>7177</v>
      </c>
      <c r="J585" s="49">
        <f t="shared" si="192"/>
        <v>6007.1489999999994</v>
      </c>
      <c r="K585" s="49">
        <f t="shared" si="193"/>
        <v>4805.7191999999995</v>
      </c>
      <c r="L585" s="58"/>
      <c r="M585" s="141">
        <v>0</v>
      </c>
      <c r="N585" s="50">
        <f t="shared" si="194"/>
        <v>0</v>
      </c>
      <c r="O585" s="50">
        <f t="shared" si="195"/>
        <v>0</v>
      </c>
      <c r="P585" s="59"/>
      <c r="Q585" s="141">
        <v>0</v>
      </c>
      <c r="R585" s="50">
        <f t="shared" si="196"/>
        <v>0</v>
      </c>
      <c r="S585" s="51">
        <f t="shared" si="197"/>
        <v>0</v>
      </c>
      <c r="T585" s="63">
        <v>25</v>
      </c>
      <c r="U585" s="61" t="s">
        <v>94</v>
      </c>
      <c r="V585" s="53">
        <f>SUMIF('Avoided Costs 2014-2023'!$A:$A,'2014 Actuals'!U585&amp;ROUNDDOWN('2014 Actuals'!T585,0),'Avoided Costs 2014-2023'!$E:$E)*K585</f>
        <v>14300.604657128613</v>
      </c>
      <c r="W585" s="53">
        <f>SUMIF('Avoided Costs 2014-2023'!$A:$A,'2014 Actuals'!U585&amp;ROUNDDOWN('2014 Actuals'!T585,0),'Avoided Costs 2014-2023'!$K:$K)*O585</f>
        <v>0</v>
      </c>
      <c r="X585" s="53">
        <f>SUMIF('Avoided Costs 2014-2023'!$A:$A,'2014 Actuals'!U585&amp;ROUNDDOWN('2014 Actuals'!T585,0),'Avoided Costs 2014-2023'!$M:$M)*S585</f>
        <v>0</v>
      </c>
      <c r="Y585" s="53">
        <f t="shared" si="198"/>
        <v>14300.604657128613</v>
      </c>
      <c r="Z585" s="55">
        <v>19904</v>
      </c>
      <c r="AA585" s="54">
        <f t="shared" si="199"/>
        <v>15923.2</v>
      </c>
      <c r="AB585" s="54"/>
      <c r="AC585" s="54"/>
      <c r="AD585" s="54"/>
      <c r="AE585" s="54">
        <f t="shared" si="200"/>
        <v>15923.2</v>
      </c>
      <c r="AF585" s="54">
        <f t="shared" si="201"/>
        <v>-1622.5953428713874</v>
      </c>
      <c r="AG585" s="49">
        <f t="shared" si="202"/>
        <v>120142.97999999998</v>
      </c>
      <c r="AH585" s="49">
        <f t="shared" si="203"/>
        <v>150178.72499999998</v>
      </c>
    </row>
    <row r="586" spans="1:34" s="56" customFormat="1">
      <c r="A586" s="136" t="s">
        <v>688</v>
      </c>
      <c r="B586" s="136"/>
      <c r="C586" s="136"/>
      <c r="D586" s="136"/>
      <c r="E586" s="137">
        <v>0</v>
      </c>
      <c r="F586" s="138"/>
      <c r="G586" s="139">
        <v>0.2</v>
      </c>
      <c r="H586" s="139">
        <v>0</v>
      </c>
      <c r="I586" s="49">
        <v>2722</v>
      </c>
      <c r="J586" s="49">
        <f t="shared" si="192"/>
        <v>2278.3139999999999</v>
      </c>
      <c r="K586" s="49">
        <f t="shared" si="193"/>
        <v>1822.6512</v>
      </c>
      <c r="L586" s="138"/>
      <c r="M586" s="137">
        <v>0</v>
      </c>
      <c r="N586" s="50">
        <f t="shared" si="194"/>
        <v>0</v>
      </c>
      <c r="O586" s="50">
        <f t="shared" si="195"/>
        <v>0</v>
      </c>
      <c r="P586" s="140"/>
      <c r="Q586" s="137">
        <v>0</v>
      </c>
      <c r="R586" s="50">
        <f t="shared" si="196"/>
        <v>0</v>
      </c>
      <c r="S586" s="51">
        <f t="shared" si="197"/>
        <v>0</v>
      </c>
      <c r="T586" s="63">
        <v>15</v>
      </c>
      <c r="U586" s="52" t="s">
        <v>81</v>
      </c>
      <c r="V586" s="53">
        <f>SUMIF('Avoided Costs 2014-2023'!$A:$A,'2014 Actuals'!U586&amp;ROUNDDOWN('2014 Actuals'!T586,0),'Avoided Costs 2014-2023'!$E:$E)*K586</f>
        <v>4219.2040742782483</v>
      </c>
      <c r="W586" s="53">
        <f>SUMIF('Avoided Costs 2014-2023'!$A:$A,'2014 Actuals'!U586&amp;ROUNDDOWN('2014 Actuals'!T586,0),'Avoided Costs 2014-2023'!$K:$K)*O586</f>
        <v>0</v>
      </c>
      <c r="X586" s="53">
        <f>SUMIF('Avoided Costs 2014-2023'!$A:$A,'2014 Actuals'!U586&amp;ROUNDDOWN('2014 Actuals'!T586,0),'Avoided Costs 2014-2023'!$M:$M)*S586</f>
        <v>0</v>
      </c>
      <c r="Y586" s="53">
        <f t="shared" si="198"/>
        <v>4219.2040742782483</v>
      </c>
      <c r="Z586" s="55">
        <v>29750</v>
      </c>
      <c r="AA586" s="54">
        <f t="shared" si="199"/>
        <v>23800</v>
      </c>
      <c r="AB586" s="54"/>
      <c r="AC586" s="54"/>
      <c r="AD586" s="54"/>
      <c r="AE586" s="54">
        <f t="shared" si="200"/>
        <v>23800</v>
      </c>
      <c r="AF586" s="54">
        <f t="shared" si="201"/>
        <v>-19580.795925721752</v>
      </c>
      <c r="AG586" s="49">
        <f t="shared" si="202"/>
        <v>27339.768</v>
      </c>
      <c r="AH586" s="49">
        <f t="shared" si="203"/>
        <v>34174.71</v>
      </c>
    </row>
    <row r="587" spans="1:34" s="56" customFormat="1">
      <c r="A587" s="62" t="s">
        <v>689</v>
      </c>
      <c r="B587" s="62"/>
      <c r="C587" s="62"/>
      <c r="D587" s="62"/>
      <c r="E587" s="141">
        <v>0</v>
      </c>
      <c r="F587" s="142"/>
      <c r="G587" s="143">
        <v>0.2</v>
      </c>
      <c r="H587" s="143">
        <v>0</v>
      </c>
      <c r="I587" s="49">
        <v>2622</v>
      </c>
      <c r="J587" s="49">
        <f t="shared" si="192"/>
        <v>2194.614</v>
      </c>
      <c r="K587" s="49">
        <f t="shared" si="193"/>
        <v>1755.6912000000002</v>
      </c>
      <c r="L587" s="58"/>
      <c r="M587" s="141">
        <v>0</v>
      </c>
      <c r="N587" s="50">
        <f t="shared" si="194"/>
        <v>0</v>
      </c>
      <c r="O587" s="50">
        <f t="shared" si="195"/>
        <v>0</v>
      </c>
      <c r="P587" s="59"/>
      <c r="Q587" s="141">
        <v>0</v>
      </c>
      <c r="R587" s="50">
        <f t="shared" si="196"/>
        <v>0</v>
      </c>
      <c r="S587" s="51">
        <f t="shared" si="197"/>
        <v>0</v>
      </c>
      <c r="T587" s="63">
        <v>15</v>
      </c>
      <c r="U587" s="61" t="s">
        <v>94</v>
      </c>
      <c r="V587" s="53">
        <f>SUMIF('Avoided Costs 2014-2023'!$A:$A,'2014 Actuals'!U587&amp;ROUNDDOWN('2014 Actuals'!T587,0),'Avoided Costs 2014-2023'!$E:$E)*K587</f>
        <v>3805.9535916718742</v>
      </c>
      <c r="W587" s="53">
        <f>SUMIF('Avoided Costs 2014-2023'!$A:$A,'2014 Actuals'!U587&amp;ROUNDDOWN('2014 Actuals'!T587,0),'Avoided Costs 2014-2023'!$K:$K)*O587</f>
        <v>0</v>
      </c>
      <c r="X587" s="53">
        <f>SUMIF('Avoided Costs 2014-2023'!$A:$A,'2014 Actuals'!U587&amp;ROUNDDOWN('2014 Actuals'!T587,0),'Avoided Costs 2014-2023'!$M:$M)*S587</f>
        <v>0</v>
      </c>
      <c r="Y587" s="53">
        <f t="shared" si="198"/>
        <v>3805.9535916718742</v>
      </c>
      <c r="Z587" s="55">
        <v>10000</v>
      </c>
      <c r="AA587" s="54">
        <f t="shared" si="199"/>
        <v>8000</v>
      </c>
      <c r="AB587" s="54"/>
      <c r="AC587" s="54"/>
      <c r="AD587" s="54"/>
      <c r="AE587" s="54">
        <f t="shared" si="200"/>
        <v>8000</v>
      </c>
      <c r="AF587" s="54">
        <f t="shared" si="201"/>
        <v>-4194.0464083281258</v>
      </c>
      <c r="AG587" s="49">
        <f t="shared" si="202"/>
        <v>26335.368000000002</v>
      </c>
      <c r="AH587" s="49">
        <f t="shared" si="203"/>
        <v>32919.21</v>
      </c>
    </row>
    <row r="588" spans="1:34" s="56" customFormat="1">
      <c r="A588" s="62" t="s">
        <v>690</v>
      </c>
      <c r="B588" s="62"/>
      <c r="C588" s="62"/>
      <c r="D588" s="62"/>
      <c r="E588" s="141">
        <v>1</v>
      </c>
      <c r="F588" s="142"/>
      <c r="G588" s="143">
        <v>0.2</v>
      </c>
      <c r="H588" s="143">
        <v>0</v>
      </c>
      <c r="I588" s="49">
        <v>31163</v>
      </c>
      <c r="J588" s="49">
        <f t="shared" si="192"/>
        <v>26083.431</v>
      </c>
      <c r="K588" s="49">
        <f t="shared" si="193"/>
        <v>20866.7448</v>
      </c>
      <c r="L588" s="58"/>
      <c r="M588" s="141">
        <v>21783</v>
      </c>
      <c r="N588" s="50">
        <f t="shared" si="194"/>
        <v>21783</v>
      </c>
      <c r="O588" s="50">
        <f t="shared" si="195"/>
        <v>17426.400000000001</v>
      </c>
      <c r="P588" s="59"/>
      <c r="Q588" s="141">
        <v>0</v>
      </c>
      <c r="R588" s="50">
        <f t="shared" si="196"/>
        <v>0</v>
      </c>
      <c r="S588" s="51">
        <f t="shared" si="197"/>
        <v>0</v>
      </c>
      <c r="T588" s="63">
        <v>15</v>
      </c>
      <c r="U588" s="61" t="s">
        <v>81</v>
      </c>
      <c r="V588" s="53">
        <f>SUMIF('Avoided Costs 2014-2023'!$A:$A,'2014 Actuals'!U588&amp;ROUNDDOWN('2014 Actuals'!T588,0),'Avoided Costs 2014-2023'!$E:$E)*K588</f>
        <v>48303.84150137144</v>
      </c>
      <c r="W588" s="53">
        <f>SUMIF('Avoided Costs 2014-2023'!$A:$A,'2014 Actuals'!U588&amp;ROUNDDOWN('2014 Actuals'!T588,0),'Avoided Costs 2014-2023'!$K:$K)*O588</f>
        <v>20606.375792993225</v>
      </c>
      <c r="X588" s="53">
        <f>SUMIF('Avoided Costs 2014-2023'!$A:$A,'2014 Actuals'!U588&amp;ROUNDDOWN('2014 Actuals'!T588,0),'Avoided Costs 2014-2023'!$M:$M)*S588</f>
        <v>0</v>
      </c>
      <c r="Y588" s="53">
        <f t="shared" si="198"/>
        <v>68910.217294364673</v>
      </c>
      <c r="Z588" s="55">
        <v>50000</v>
      </c>
      <c r="AA588" s="54">
        <f t="shared" si="199"/>
        <v>40000</v>
      </c>
      <c r="AB588" s="54"/>
      <c r="AC588" s="54"/>
      <c r="AD588" s="54"/>
      <c r="AE588" s="54">
        <f t="shared" si="200"/>
        <v>40000</v>
      </c>
      <c r="AF588" s="54">
        <f t="shared" si="201"/>
        <v>28910.217294364673</v>
      </c>
      <c r="AG588" s="49">
        <f t="shared" si="202"/>
        <v>313001.17200000002</v>
      </c>
      <c r="AH588" s="49">
        <f t="shared" si="203"/>
        <v>391251.46500000003</v>
      </c>
    </row>
    <row r="589" spans="1:34" s="56" customFormat="1">
      <c r="A589" s="62" t="s">
        <v>691</v>
      </c>
      <c r="B589" s="62"/>
      <c r="C589" s="62"/>
      <c r="D589" s="62"/>
      <c r="E589" s="141">
        <v>0</v>
      </c>
      <c r="F589" s="142"/>
      <c r="G589" s="143">
        <v>0.2</v>
      </c>
      <c r="H589" s="143">
        <v>0</v>
      </c>
      <c r="I589" s="49">
        <v>37152</v>
      </c>
      <c r="J589" s="49">
        <f t="shared" si="192"/>
        <v>31096.223999999998</v>
      </c>
      <c r="K589" s="49">
        <f t="shared" si="193"/>
        <v>24876.979200000002</v>
      </c>
      <c r="L589" s="58"/>
      <c r="M589" s="141">
        <v>7296</v>
      </c>
      <c r="N589" s="50">
        <f t="shared" si="194"/>
        <v>7296</v>
      </c>
      <c r="O589" s="50">
        <f t="shared" si="195"/>
        <v>5836.8</v>
      </c>
      <c r="P589" s="59"/>
      <c r="Q589" s="141">
        <v>0</v>
      </c>
      <c r="R589" s="50">
        <f t="shared" si="196"/>
        <v>0</v>
      </c>
      <c r="S589" s="51">
        <f t="shared" si="197"/>
        <v>0</v>
      </c>
      <c r="T589" s="63">
        <v>15</v>
      </c>
      <c r="U589" s="61" t="s">
        <v>81</v>
      </c>
      <c r="V589" s="53">
        <f>SUMIF('Avoided Costs 2014-2023'!$A:$A,'2014 Actuals'!U589&amp;ROUNDDOWN('2014 Actuals'!T589,0),'Avoided Costs 2014-2023'!$E:$E)*K589</f>
        <v>57587.02048772428</v>
      </c>
      <c r="W589" s="53">
        <f>SUMIF('Avoided Costs 2014-2023'!$A:$A,'2014 Actuals'!U589&amp;ROUNDDOWN('2014 Actuals'!T589,0),'Avoided Costs 2014-2023'!$K:$K)*O589</f>
        <v>6901.9013811540453</v>
      </c>
      <c r="X589" s="53">
        <f>SUMIF('Avoided Costs 2014-2023'!$A:$A,'2014 Actuals'!U589&amp;ROUNDDOWN('2014 Actuals'!T589,0),'Avoided Costs 2014-2023'!$M:$M)*S589</f>
        <v>0</v>
      </c>
      <c r="Y589" s="53">
        <f t="shared" si="198"/>
        <v>64488.921868878322</v>
      </c>
      <c r="Z589" s="55">
        <v>41600</v>
      </c>
      <c r="AA589" s="54">
        <f t="shared" si="199"/>
        <v>33280</v>
      </c>
      <c r="AB589" s="54"/>
      <c r="AC589" s="54"/>
      <c r="AD589" s="54"/>
      <c r="AE589" s="54">
        <f t="shared" si="200"/>
        <v>33280</v>
      </c>
      <c r="AF589" s="54">
        <f t="shared" si="201"/>
        <v>31208.921868878322</v>
      </c>
      <c r="AG589" s="49">
        <f t="shared" si="202"/>
        <v>373154.68800000002</v>
      </c>
      <c r="AH589" s="49">
        <f t="shared" si="203"/>
        <v>466443.36</v>
      </c>
    </row>
    <row r="590" spans="1:34" s="56" customFormat="1">
      <c r="A590" s="62" t="s">
        <v>692</v>
      </c>
      <c r="B590" s="62"/>
      <c r="C590" s="62"/>
      <c r="D590" s="62"/>
      <c r="E590" s="141">
        <v>1</v>
      </c>
      <c r="F590" s="142"/>
      <c r="G590" s="143">
        <v>0.2</v>
      </c>
      <c r="H590" s="143">
        <v>0</v>
      </c>
      <c r="I590" s="49">
        <v>31336</v>
      </c>
      <c r="J590" s="49">
        <f t="shared" si="192"/>
        <v>26228.232</v>
      </c>
      <c r="K590" s="49">
        <f t="shared" si="193"/>
        <v>20982.585600000002</v>
      </c>
      <c r="L590" s="58"/>
      <c r="M590" s="141">
        <v>0</v>
      </c>
      <c r="N590" s="50">
        <f t="shared" si="194"/>
        <v>0</v>
      </c>
      <c r="O590" s="50">
        <f t="shared" si="195"/>
        <v>0</v>
      </c>
      <c r="P590" s="59"/>
      <c r="Q590" s="141">
        <v>0</v>
      </c>
      <c r="R590" s="50">
        <f t="shared" si="196"/>
        <v>0</v>
      </c>
      <c r="S590" s="51">
        <f t="shared" si="197"/>
        <v>0</v>
      </c>
      <c r="T590" s="63">
        <v>25</v>
      </c>
      <c r="U590" s="61" t="s">
        <v>81</v>
      </c>
      <c r="V590" s="53">
        <f>SUMIF('Avoided Costs 2014-2023'!$A:$A,'2014 Actuals'!U590&amp;ROUNDDOWN('2014 Actuals'!T590,0),'Avoided Costs 2014-2023'!$E:$E)*K590</f>
        <v>66646.642084225823</v>
      </c>
      <c r="W590" s="53">
        <f>SUMIF('Avoided Costs 2014-2023'!$A:$A,'2014 Actuals'!U590&amp;ROUNDDOWN('2014 Actuals'!T590,0),'Avoided Costs 2014-2023'!$K:$K)*O590</f>
        <v>0</v>
      </c>
      <c r="X590" s="53">
        <f>SUMIF('Avoided Costs 2014-2023'!$A:$A,'2014 Actuals'!U590&amp;ROUNDDOWN('2014 Actuals'!T590,0),'Avoided Costs 2014-2023'!$M:$M)*S590</f>
        <v>0</v>
      </c>
      <c r="Y590" s="53">
        <f t="shared" si="198"/>
        <v>66646.642084225823</v>
      </c>
      <c r="Z590" s="55">
        <v>30991</v>
      </c>
      <c r="AA590" s="54">
        <f t="shared" si="199"/>
        <v>24792.800000000003</v>
      </c>
      <c r="AB590" s="54"/>
      <c r="AC590" s="54"/>
      <c r="AD590" s="54"/>
      <c r="AE590" s="54">
        <f t="shared" si="200"/>
        <v>24792.800000000003</v>
      </c>
      <c r="AF590" s="54">
        <f t="shared" si="201"/>
        <v>41853.84208422582</v>
      </c>
      <c r="AG590" s="49">
        <f t="shared" si="202"/>
        <v>524564.64</v>
      </c>
      <c r="AH590" s="49">
        <f t="shared" si="203"/>
        <v>655705.80000000005</v>
      </c>
    </row>
    <row r="591" spans="1:34" s="56" customFormat="1">
      <c r="A591" s="62" t="s">
        <v>693</v>
      </c>
      <c r="B591" s="62"/>
      <c r="C591" s="62"/>
      <c r="D591" s="62"/>
      <c r="E591" s="141">
        <v>0</v>
      </c>
      <c r="F591" s="142"/>
      <c r="G591" s="143">
        <v>0.2</v>
      </c>
      <c r="H591" s="143">
        <v>0</v>
      </c>
      <c r="I591" s="49">
        <v>3159</v>
      </c>
      <c r="J591" s="49">
        <f t="shared" si="192"/>
        <v>2644.0830000000001</v>
      </c>
      <c r="K591" s="49">
        <f t="shared" si="193"/>
        <v>2115.2664</v>
      </c>
      <c r="L591" s="58"/>
      <c r="M591" s="141">
        <v>0</v>
      </c>
      <c r="N591" s="50">
        <f t="shared" si="194"/>
        <v>0</v>
      </c>
      <c r="O591" s="50">
        <f t="shared" si="195"/>
        <v>0</v>
      </c>
      <c r="P591" s="59"/>
      <c r="Q591" s="141">
        <v>0</v>
      </c>
      <c r="R591" s="50">
        <f t="shared" si="196"/>
        <v>0</v>
      </c>
      <c r="S591" s="51">
        <f t="shared" si="197"/>
        <v>0</v>
      </c>
      <c r="T591" s="63">
        <v>15</v>
      </c>
      <c r="U591" s="61" t="s">
        <v>81</v>
      </c>
      <c r="V591" s="53">
        <f>SUMIF('Avoided Costs 2014-2023'!$A:$A,'2014 Actuals'!U591&amp;ROUNDDOWN('2014 Actuals'!T591,0),'Avoided Costs 2014-2023'!$E:$E)*K591</f>
        <v>4896.5707827498109</v>
      </c>
      <c r="W591" s="53">
        <f>SUMIF('Avoided Costs 2014-2023'!$A:$A,'2014 Actuals'!U591&amp;ROUNDDOWN('2014 Actuals'!T591,0),'Avoided Costs 2014-2023'!$K:$K)*O591</f>
        <v>0</v>
      </c>
      <c r="X591" s="53">
        <f>SUMIF('Avoided Costs 2014-2023'!$A:$A,'2014 Actuals'!U591&amp;ROUNDDOWN('2014 Actuals'!T591,0),'Avoided Costs 2014-2023'!$M:$M)*S591</f>
        <v>0</v>
      </c>
      <c r="Y591" s="53">
        <f t="shared" si="198"/>
        <v>4896.5707827498109</v>
      </c>
      <c r="Z591" s="55">
        <v>7000</v>
      </c>
      <c r="AA591" s="54">
        <f t="shared" si="199"/>
        <v>5600</v>
      </c>
      <c r="AB591" s="54"/>
      <c r="AC591" s="54"/>
      <c r="AD591" s="54"/>
      <c r="AE591" s="54">
        <f t="shared" si="200"/>
        <v>5600</v>
      </c>
      <c r="AF591" s="54">
        <f t="shared" si="201"/>
        <v>-703.42921725018914</v>
      </c>
      <c r="AG591" s="49">
        <f t="shared" si="202"/>
        <v>31728.995999999999</v>
      </c>
      <c r="AH591" s="49">
        <f t="shared" si="203"/>
        <v>39661.245000000003</v>
      </c>
    </row>
    <row r="592" spans="1:34" s="56" customFormat="1">
      <c r="A592" s="62" t="s">
        <v>694</v>
      </c>
      <c r="B592" s="62"/>
      <c r="C592" s="62"/>
      <c r="D592" s="62"/>
      <c r="E592" s="141">
        <v>0</v>
      </c>
      <c r="F592" s="142"/>
      <c r="G592" s="143">
        <v>0.2</v>
      </c>
      <c r="H592" s="143">
        <v>0</v>
      </c>
      <c r="I592" s="49">
        <v>3833</v>
      </c>
      <c r="J592" s="49">
        <f t="shared" si="192"/>
        <v>3208.221</v>
      </c>
      <c r="K592" s="49">
        <f t="shared" si="193"/>
        <v>2566.5768000000003</v>
      </c>
      <c r="L592" s="58"/>
      <c r="M592" s="141">
        <v>0</v>
      </c>
      <c r="N592" s="50">
        <f t="shared" si="194"/>
        <v>0</v>
      </c>
      <c r="O592" s="50">
        <f t="shared" si="195"/>
        <v>0</v>
      </c>
      <c r="P592" s="59"/>
      <c r="Q592" s="141">
        <v>0</v>
      </c>
      <c r="R592" s="50">
        <f t="shared" si="196"/>
        <v>0</v>
      </c>
      <c r="S592" s="51">
        <f t="shared" si="197"/>
        <v>0</v>
      </c>
      <c r="T592" s="63">
        <v>15</v>
      </c>
      <c r="U592" s="61" t="s">
        <v>94</v>
      </c>
      <c r="V592" s="53">
        <f>SUMIF('Avoided Costs 2014-2023'!$A:$A,'2014 Actuals'!U592&amp;ROUNDDOWN('2014 Actuals'!T592,0),'Avoided Costs 2014-2023'!$E:$E)*K592</f>
        <v>5563.775788283102</v>
      </c>
      <c r="W592" s="53">
        <f>SUMIF('Avoided Costs 2014-2023'!$A:$A,'2014 Actuals'!U592&amp;ROUNDDOWN('2014 Actuals'!T592,0),'Avoided Costs 2014-2023'!$K:$K)*O592</f>
        <v>0</v>
      </c>
      <c r="X592" s="53">
        <f>SUMIF('Avoided Costs 2014-2023'!$A:$A,'2014 Actuals'!U592&amp;ROUNDDOWN('2014 Actuals'!T592,0),'Avoided Costs 2014-2023'!$M:$M)*S592</f>
        <v>0</v>
      </c>
      <c r="Y592" s="53">
        <f t="shared" si="198"/>
        <v>5563.775788283102</v>
      </c>
      <c r="Z592" s="55">
        <v>7863</v>
      </c>
      <c r="AA592" s="54">
        <f t="shared" si="199"/>
        <v>6290.4000000000005</v>
      </c>
      <c r="AB592" s="54"/>
      <c r="AC592" s="54"/>
      <c r="AD592" s="54"/>
      <c r="AE592" s="54">
        <f t="shared" si="200"/>
        <v>6290.4000000000005</v>
      </c>
      <c r="AF592" s="54">
        <f t="shared" si="201"/>
        <v>-726.62421171689857</v>
      </c>
      <c r="AG592" s="49">
        <f t="shared" si="202"/>
        <v>38498.652000000002</v>
      </c>
      <c r="AH592" s="49">
        <f t="shared" si="203"/>
        <v>48123.315000000002</v>
      </c>
    </row>
    <row r="593" spans="1:34" s="56" customFormat="1">
      <c r="A593" s="62" t="s">
        <v>695</v>
      </c>
      <c r="B593" s="62"/>
      <c r="C593" s="62"/>
      <c r="D593" s="62"/>
      <c r="E593" s="141">
        <v>1</v>
      </c>
      <c r="F593" s="142"/>
      <c r="G593" s="143">
        <v>0.2</v>
      </c>
      <c r="H593" s="143">
        <v>0</v>
      </c>
      <c r="I593" s="49">
        <v>47581</v>
      </c>
      <c r="J593" s="49">
        <f t="shared" ref="J593:J656" si="204">+$I$42*I593</f>
        <v>39825.296999999999</v>
      </c>
      <c r="K593" s="49">
        <f t="shared" ref="K593:K656" si="205">J593*(1-G593)</f>
        <v>31860.2376</v>
      </c>
      <c r="L593" s="58"/>
      <c r="M593" s="141">
        <v>13615</v>
      </c>
      <c r="N593" s="50">
        <f t="shared" ref="N593:N656" si="206">+$M$42*M593</f>
        <v>13615</v>
      </c>
      <c r="O593" s="50">
        <f t="shared" ref="O593:O656" si="207">N593*(1-G593)</f>
        <v>10892</v>
      </c>
      <c r="P593" s="59"/>
      <c r="Q593" s="141">
        <v>0</v>
      </c>
      <c r="R593" s="50">
        <f t="shared" ref="R593:R656" si="208">+Q593*$Q$42</f>
        <v>0</v>
      </c>
      <c r="S593" s="51">
        <f t="shared" ref="S593:S656" si="209">R593*(1-G593)</f>
        <v>0</v>
      </c>
      <c r="T593" s="63">
        <v>15</v>
      </c>
      <c r="U593" s="61" t="s">
        <v>81</v>
      </c>
      <c r="V593" s="53">
        <f>SUMIF('Avoided Costs 2014-2023'!$A:$A,'2014 Actuals'!U593&amp;ROUNDDOWN('2014 Actuals'!T593,0),'Avoided Costs 2014-2023'!$E:$E)*K593</f>
        <v>73752.369235206963</v>
      </c>
      <c r="W593" s="53">
        <f>SUMIF('Avoided Costs 2014-2023'!$A:$A,'2014 Actuals'!U593&amp;ROUNDDOWN('2014 Actuals'!T593,0),'Avoided Costs 2014-2023'!$K:$K)*O593</f>
        <v>12879.576110802127</v>
      </c>
      <c r="X593" s="53">
        <f>SUMIF('Avoided Costs 2014-2023'!$A:$A,'2014 Actuals'!U593&amp;ROUNDDOWN('2014 Actuals'!T593,0),'Avoided Costs 2014-2023'!$M:$M)*S593</f>
        <v>0</v>
      </c>
      <c r="Y593" s="53">
        <f t="shared" ref="Y593:Y656" si="210">SUM(V593:X593)</f>
        <v>86631.945346009088</v>
      </c>
      <c r="Z593" s="55">
        <v>20000</v>
      </c>
      <c r="AA593" s="54">
        <f t="shared" ref="AA593:AA656" si="211">Z593*(1-G593)</f>
        <v>16000</v>
      </c>
      <c r="AB593" s="54"/>
      <c r="AC593" s="54"/>
      <c r="AD593" s="54"/>
      <c r="AE593" s="54">
        <f t="shared" ref="AE593:AE656" si="212">AA593+AC593</f>
        <v>16000</v>
      </c>
      <c r="AF593" s="54">
        <f t="shared" ref="AF593:AF656" si="213">Y593-AE593</f>
        <v>70631.945346009088</v>
      </c>
      <c r="AG593" s="49">
        <f t="shared" ref="AG593:AG656" si="214">K593*T593</f>
        <v>477903.56400000001</v>
      </c>
      <c r="AH593" s="49">
        <f t="shared" ref="AH593:AH656" si="215">(J593*T593)</f>
        <v>597379.45499999996</v>
      </c>
    </row>
    <row r="594" spans="1:34" s="56" customFormat="1">
      <c r="A594" s="62" t="s">
        <v>696</v>
      </c>
      <c r="B594" s="62"/>
      <c r="C594" s="62"/>
      <c r="D594" s="62"/>
      <c r="E594" s="141">
        <v>0</v>
      </c>
      <c r="F594" s="142"/>
      <c r="G594" s="143">
        <v>0.2</v>
      </c>
      <c r="H594" s="143">
        <v>0</v>
      </c>
      <c r="I594" s="49">
        <v>34102</v>
      </c>
      <c r="J594" s="49">
        <f t="shared" si="204"/>
        <v>28543.374</v>
      </c>
      <c r="K594" s="49">
        <f t="shared" si="205"/>
        <v>22834.699200000003</v>
      </c>
      <c r="L594" s="58"/>
      <c r="M594" s="141">
        <v>0</v>
      </c>
      <c r="N594" s="50">
        <f t="shared" si="206"/>
        <v>0</v>
      </c>
      <c r="O594" s="50">
        <f t="shared" si="207"/>
        <v>0</v>
      </c>
      <c r="P594" s="59"/>
      <c r="Q594" s="141">
        <v>0</v>
      </c>
      <c r="R594" s="50">
        <f t="shared" si="208"/>
        <v>0</v>
      </c>
      <c r="S594" s="51">
        <f t="shared" si="209"/>
        <v>0</v>
      </c>
      <c r="T594" s="63">
        <v>23.366</v>
      </c>
      <c r="U594" s="61" t="s">
        <v>81</v>
      </c>
      <c r="V594" s="53">
        <f>SUMIF('Avoided Costs 2014-2023'!$A:$A,'2014 Actuals'!U594&amp;ROUNDDOWN('2014 Actuals'!T594,0),'Avoided Costs 2014-2023'!$E:$E)*K594</f>
        <v>69310.40580315089</v>
      </c>
      <c r="W594" s="53">
        <f>SUMIF('Avoided Costs 2014-2023'!$A:$A,'2014 Actuals'!U594&amp;ROUNDDOWN('2014 Actuals'!T594,0),'Avoided Costs 2014-2023'!$K:$K)*O594</f>
        <v>0</v>
      </c>
      <c r="X594" s="53">
        <f>SUMIF('Avoided Costs 2014-2023'!$A:$A,'2014 Actuals'!U594&amp;ROUNDDOWN('2014 Actuals'!T594,0),'Avoided Costs 2014-2023'!$M:$M)*S594</f>
        <v>0</v>
      </c>
      <c r="Y594" s="53">
        <f t="shared" si="210"/>
        <v>69310.40580315089</v>
      </c>
      <c r="Z594" s="55">
        <v>27560</v>
      </c>
      <c r="AA594" s="54">
        <f t="shared" si="211"/>
        <v>22048</v>
      </c>
      <c r="AB594" s="54"/>
      <c r="AC594" s="54"/>
      <c r="AD594" s="54"/>
      <c r="AE594" s="54">
        <f t="shared" si="212"/>
        <v>22048</v>
      </c>
      <c r="AF594" s="54">
        <f t="shared" si="213"/>
        <v>47262.40580315089</v>
      </c>
      <c r="AG594" s="49">
        <f t="shared" si="214"/>
        <v>533555.58150720003</v>
      </c>
      <c r="AH594" s="49">
        <f t="shared" si="215"/>
        <v>666944.476884</v>
      </c>
    </row>
    <row r="595" spans="1:34" s="56" customFormat="1">
      <c r="A595" s="62" t="s">
        <v>697</v>
      </c>
      <c r="B595" s="62"/>
      <c r="C595" s="62"/>
      <c r="D595" s="62"/>
      <c r="E595" s="141">
        <v>1</v>
      </c>
      <c r="F595" s="142"/>
      <c r="G595" s="143">
        <v>0.2</v>
      </c>
      <c r="H595" s="143">
        <v>0</v>
      </c>
      <c r="I595" s="49">
        <v>37434</v>
      </c>
      <c r="J595" s="49">
        <f t="shared" si="204"/>
        <v>31332.257999999998</v>
      </c>
      <c r="K595" s="49">
        <f t="shared" si="205"/>
        <v>25065.806400000001</v>
      </c>
      <c r="L595" s="58"/>
      <c r="M595" s="141">
        <v>0</v>
      </c>
      <c r="N595" s="50">
        <f t="shared" si="206"/>
        <v>0</v>
      </c>
      <c r="O595" s="50">
        <f t="shared" si="207"/>
        <v>0</v>
      </c>
      <c r="P595" s="59"/>
      <c r="Q595" s="141">
        <v>0</v>
      </c>
      <c r="R595" s="50">
        <f t="shared" si="208"/>
        <v>0</v>
      </c>
      <c r="S595" s="51">
        <f t="shared" si="209"/>
        <v>0</v>
      </c>
      <c r="T595" s="63">
        <v>19.87</v>
      </c>
      <c r="U595" s="61" t="s">
        <v>94</v>
      </c>
      <c r="V595" s="53">
        <f>SUMIF('Avoided Costs 2014-2023'!$A:$A,'2014 Actuals'!U595&amp;ROUNDDOWN('2014 Actuals'!T595,0),'Avoided Costs 2014-2023'!$E:$E)*K595</f>
        <v>63614.272563309976</v>
      </c>
      <c r="W595" s="53">
        <f>SUMIF('Avoided Costs 2014-2023'!$A:$A,'2014 Actuals'!U595&amp;ROUNDDOWN('2014 Actuals'!T595,0),'Avoided Costs 2014-2023'!$K:$K)*O595</f>
        <v>0</v>
      </c>
      <c r="X595" s="53">
        <f>SUMIF('Avoided Costs 2014-2023'!$A:$A,'2014 Actuals'!U595&amp;ROUNDDOWN('2014 Actuals'!T595,0),'Avoided Costs 2014-2023'!$M:$M)*S595</f>
        <v>0</v>
      </c>
      <c r="Y595" s="53">
        <f t="shared" si="210"/>
        <v>63614.272563309976</v>
      </c>
      <c r="Z595" s="55">
        <v>29673</v>
      </c>
      <c r="AA595" s="54">
        <f t="shared" si="211"/>
        <v>23738.400000000001</v>
      </c>
      <c r="AB595" s="54"/>
      <c r="AC595" s="54"/>
      <c r="AD595" s="54"/>
      <c r="AE595" s="54">
        <f t="shared" si="212"/>
        <v>23738.400000000001</v>
      </c>
      <c r="AF595" s="54">
        <f t="shared" si="213"/>
        <v>39875.872563309975</v>
      </c>
      <c r="AG595" s="49">
        <f t="shared" si="214"/>
        <v>498057.57316800003</v>
      </c>
      <c r="AH595" s="49">
        <f t="shared" si="215"/>
        <v>622571.96646000003</v>
      </c>
    </row>
    <row r="596" spans="1:34" s="56" customFormat="1">
      <c r="A596" s="62" t="s">
        <v>698</v>
      </c>
      <c r="B596" s="62"/>
      <c r="C596" s="62"/>
      <c r="D596" s="62"/>
      <c r="E596" s="141">
        <v>1</v>
      </c>
      <c r="F596" s="142"/>
      <c r="G596" s="143">
        <v>0.2</v>
      </c>
      <c r="H596" s="143">
        <v>0</v>
      </c>
      <c r="I596" s="49">
        <v>77755</v>
      </c>
      <c r="J596" s="49">
        <f t="shared" si="204"/>
        <v>65080.934999999998</v>
      </c>
      <c r="K596" s="49">
        <f t="shared" si="205"/>
        <v>52064.748</v>
      </c>
      <c r="L596" s="58"/>
      <c r="M596" s="141">
        <v>0</v>
      </c>
      <c r="N596" s="50">
        <f t="shared" si="206"/>
        <v>0</v>
      </c>
      <c r="O596" s="50">
        <f t="shared" si="207"/>
        <v>0</v>
      </c>
      <c r="P596" s="59"/>
      <c r="Q596" s="141">
        <v>0</v>
      </c>
      <c r="R596" s="50">
        <f t="shared" si="208"/>
        <v>0</v>
      </c>
      <c r="S596" s="51">
        <f t="shared" si="209"/>
        <v>0</v>
      </c>
      <c r="T596" s="63">
        <v>21.268000000000001</v>
      </c>
      <c r="U596" s="61" t="s">
        <v>81</v>
      </c>
      <c r="V596" s="53">
        <f>SUMIF('Avoided Costs 2014-2023'!$A:$A,'2014 Actuals'!U596&amp;ROUNDDOWN('2014 Actuals'!T596,0),'Avoided Costs 2014-2023'!$E:$E)*K596</f>
        <v>149955.7475388826</v>
      </c>
      <c r="W596" s="53">
        <f>SUMIF('Avoided Costs 2014-2023'!$A:$A,'2014 Actuals'!U596&amp;ROUNDDOWN('2014 Actuals'!T596,0),'Avoided Costs 2014-2023'!$K:$K)*O596</f>
        <v>0</v>
      </c>
      <c r="X596" s="53">
        <f>SUMIF('Avoided Costs 2014-2023'!$A:$A,'2014 Actuals'!U596&amp;ROUNDDOWN('2014 Actuals'!T596,0),'Avoided Costs 2014-2023'!$M:$M)*S596</f>
        <v>0</v>
      </c>
      <c r="Y596" s="53">
        <f t="shared" si="210"/>
        <v>149955.7475388826</v>
      </c>
      <c r="Z596" s="55">
        <v>45992</v>
      </c>
      <c r="AA596" s="54">
        <f t="shared" si="211"/>
        <v>36793.599999999999</v>
      </c>
      <c r="AB596" s="54"/>
      <c r="AC596" s="54"/>
      <c r="AD596" s="54"/>
      <c r="AE596" s="54">
        <f t="shared" si="212"/>
        <v>36793.599999999999</v>
      </c>
      <c r="AF596" s="54">
        <f t="shared" si="213"/>
        <v>113162.14753888259</v>
      </c>
      <c r="AG596" s="49">
        <f t="shared" si="214"/>
        <v>1107313.0604640001</v>
      </c>
      <c r="AH596" s="49">
        <f t="shared" si="215"/>
        <v>1384141.3255799999</v>
      </c>
    </row>
    <row r="597" spans="1:34" s="56" customFormat="1">
      <c r="A597" s="62" t="s">
        <v>699</v>
      </c>
      <c r="B597" s="62"/>
      <c r="C597" s="62"/>
      <c r="D597" s="62"/>
      <c r="E597" s="141">
        <v>0</v>
      </c>
      <c r="F597" s="142"/>
      <c r="G597" s="143">
        <v>0.2</v>
      </c>
      <c r="H597" s="143">
        <v>0</v>
      </c>
      <c r="I597" s="49">
        <v>42577</v>
      </c>
      <c r="J597" s="49">
        <f t="shared" si="204"/>
        <v>35636.949000000001</v>
      </c>
      <c r="K597" s="49">
        <f t="shared" si="205"/>
        <v>28509.559200000003</v>
      </c>
      <c r="L597" s="58"/>
      <c r="M597" s="141">
        <v>39239</v>
      </c>
      <c r="N597" s="50">
        <f t="shared" si="206"/>
        <v>39239</v>
      </c>
      <c r="O597" s="50">
        <f t="shared" si="207"/>
        <v>31391.200000000001</v>
      </c>
      <c r="P597" s="59"/>
      <c r="Q597" s="141">
        <v>0</v>
      </c>
      <c r="R597" s="50">
        <f t="shared" si="208"/>
        <v>0</v>
      </c>
      <c r="S597" s="51">
        <f t="shared" si="209"/>
        <v>0</v>
      </c>
      <c r="T597" s="63">
        <v>15</v>
      </c>
      <c r="U597" s="61" t="s">
        <v>81</v>
      </c>
      <c r="V597" s="53">
        <f>SUMIF('Avoided Costs 2014-2023'!$A:$A,'2014 Actuals'!U597&amp;ROUNDDOWN('2014 Actuals'!T597,0),'Avoided Costs 2014-2023'!$E:$E)*K597</f>
        <v>65995.977909825495</v>
      </c>
      <c r="W597" s="53">
        <f>SUMIF('Avoided Costs 2014-2023'!$A:$A,'2014 Actuals'!U597&amp;ROUNDDOWN('2014 Actuals'!T597,0),'Avoided Costs 2014-2023'!$K:$K)*O597</f>
        <v>37119.477562377135</v>
      </c>
      <c r="X597" s="53">
        <f>SUMIF('Avoided Costs 2014-2023'!$A:$A,'2014 Actuals'!U597&amp;ROUNDDOWN('2014 Actuals'!T597,0),'Avoided Costs 2014-2023'!$M:$M)*S597</f>
        <v>0</v>
      </c>
      <c r="Y597" s="53">
        <f t="shared" si="210"/>
        <v>103115.45547220262</v>
      </c>
      <c r="Z597" s="55">
        <v>33921</v>
      </c>
      <c r="AA597" s="54">
        <f t="shared" si="211"/>
        <v>27136.800000000003</v>
      </c>
      <c r="AB597" s="54"/>
      <c r="AC597" s="54"/>
      <c r="AD597" s="54"/>
      <c r="AE597" s="54">
        <f t="shared" si="212"/>
        <v>27136.800000000003</v>
      </c>
      <c r="AF597" s="54">
        <f t="shared" si="213"/>
        <v>75978.655472202619</v>
      </c>
      <c r="AG597" s="49">
        <f t="shared" si="214"/>
        <v>427643.38800000004</v>
      </c>
      <c r="AH597" s="49">
        <f t="shared" si="215"/>
        <v>534554.23499999999</v>
      </c>
    </row>
    <row r="598" spans="1:34" s="56" customFormat="1">
      <c r="A598" s="62" t="s">
        <v>700</v>
      </c>
      <c r="B598" s="62"/>
      <c r="C598" s="62"/>
      <c r="D598" s="62"/>
      <c r="E598" s="141">
        <v>1</v>
      </c>
      <c r="F598" s="142"/>
      <c r="G598" s="143">
        <v>0.2</v>
      </c>
      <c r="H598" s="143">
        <v>0</v>
      </c>
      <c r="I598" s="49">
        <v>82861</v>
      </c>
      <c r="J598" s="49">
        <f t="shared" si="204"/>
        <v>69354.656999999992</v>
      </c>
      <c r="K598" s="49">
        <f t="shared" si="205"/>
        <v>55483.725599999998</v>
      </c>
      <c r="L598" s="58"/>
      <c r="M598" s="141">
        <v>0</v>
      </c>
      <c r="N598" s="50">
        <f t="shared" si="206"/>
        <v>0</v>
      </c>
      <c r="O598" s="50">
        <f t="shared" si="207"/>
        <v>0</v>
      </c>
      <c r="P598" s="59"/>
      <c r="Q598" s="141">
        <v>0</v>
      </c>
      <c r="R598" s="50">
        <f t="shared" si="208"/>
        <v>0</v>
      </c>
      <c r="S598" s="51">
        <f t="shared" si="209"/>
        <v>0</v>
      </c>
      <c r="T598" s="63">
        <v>25</v>
      </c>
      <c r="U598" s="61" t="s">
        <v>81</v>
      </c>
      <c r="V598" s="53">
        <f>SUMIF('Avoided Costs 2014-2023'!$A:$A,'2014 Actuals'!U598&amp;ROUNDDOWN('2014 Actuals'!T598,0),'Avoided Costs 2014-2023'!$E:$E)*K598</f>
        <v>176232.04651969095</v>
      </c>
      <c r="W598" s="53">
        <f>SUMIF('Avoided Costs 2014-2023'!$A:$A,'2014 Actuals'!U598&amp;ROUNDDOWN('2014 Actuals'!T598,0),'Avoided Costs 2014-2023'!$K:$K)*O598</f>
        <v>0</v>
      </c>
      <c r="X598" s="53">
        <f>SUMIF('Avoided Costs 2014-2023'!$A:$A,'2014 Actuals'!U598&amp;ROUNDDOWN('2014 Actuals'!T598,0),'Avoided Costs 2014-2023'!$M:$M)*S598</f>
        <v>0</v>
      </c>
      <c r="Y598" s="53">
        <f t="shared" si="210"/>
        <v>176232.04651969095</v>
      </c>
      <c r="Z598" s="55">
        <v>5436</v>
      </c>
      <c r="AA598" s="54">
        <f t="shared" si="211"/>
        <v>4348.8</v>
      </c>
      <c r="AB598" s="54"/>
      <c r="AC598" s="54"/>
      <c r="AD598" s="54"/>
      <c r="AE598" s="54">
        <f t="shared" si="212"/>
        <v>4348.8</v>
      </c>
      <c r="AF598" s="54">
        <f t="shared" si="213"/>
        <v>171883.24651969096</v>
      </c>
      <c r="AG598" s="49">
        <f t="shared" si="214"/>
        <v>1387093.14</v>
      </c>
      <c r="AH598" s="49">
        <f t="shared" si="215"/>
        <v>1733866.4249999998</v>
      </c>
    </row>
    <row r="599" spans="1:34" s="56" customFormat="1">
      <c r="A599" s="62" t="s">
        <v>701</v>
      </c>
      <c r="B599" s="62"/>
      <c r="C599" s="62"/>
      <c r="D599" s="62"/>
      <c r="E599" s="141">
        <v>1</v>
      </c>
      <c r="F599" s="142"/>
      <c r="G599" s="143">
        <v>0.2</v>
      </c>
      <c r="H599" s="143">
        <v>0</v>
      </c>
      <c r="I599" s="49">
        <v>197421</v>
      </c>
      <c r="J599" s="49">
        <f t="shared" si="204"/>
        <v>165241.37700000001</v>
      </c>
      <c r="K599" s="49">
        <f t="shared" si="205"/>
        <v>132193.10160000002</v>
      </c>
      <c r="L599" s="58"/>
      <c r="M599" s="141">
        <v>201922</v>
      </c>
      <c r="N599" s="50">
        <f t="shared" si="206"/>
        <v>201922</v>
      </c>
      <c r="O599" s="50">
        <f t="shared" si="207"/>
        <v>161537.60000000001</v>
      </c>
      <c r="P599" s="59"/>
      <c r="Q599" s="141">
        <v>0</v>
      </c>
      <c r="R599" s="50">
        <f t="shared" si="208"/>
        <v>0</v>
      </c>
      <c r="S599" s="51">
        <f t="shared" si="209"/>
        <v>0</v>
      </c>
      <c r="T599" s="63">
        <v>15</v>
      </c>
      <c r="U599" s="61" t="s">
        <v>81</v>
      </c>
      <c r="V599" s="53">
        <f>SUMIF('Avoided Costs 2014-2023'!$A:$A,'2014 Actuals'!U599&amp;ROUNDDOWN('2014 Actuals'!T599,0),'Avoided Costs 2014-2023'!$E:$E)*K599</f>
        <v>306010.09829099418</v>
      </c>
      <c r="W599" s="53">
        <f>SUMIF('Avoided Costs 2014-2023'!$A:$A,'2014 Actuals'!U599&amp;ROUNDDOWN('2014 Actuals'!T599,0),'Avoided Costs 2014-2023'!$K:$K)*O599</f>
        <v>191015.03984174714</v>
      </c>
      <c r="X599" s="53">
        <f>SUMIF('Avoided Costs 2014-2023'!$A:$A,'2014 Actuals'!U599&amp;ROUNDDOWN('2014 Actuals'!T599,0),'Avoided Costs 2014-2023'!$M:$M)*S599</f>
        <v>0</v>
      </c>
      <c r="Y599" s="53">
        <f t="shared" si="210"/>
        <v>497025.13813274133</v>
      </c>
      <c r="Z599" s="55">
        <v>118840.9</v>
      </c>
      <c r="AA599" s="54">
        <f t="shared" si="211"/>
        <v>95072.72</v>
      </c>
      <c r="AB599" s="54"/>
      <c r="AC599" s="54"/>
      <c r="AD599" s="54"/>
      <c r="AE599" s="54">
        <f t="shared" si="212"/>
        <v>95072.72</v>
      </c>
      <c r="AF599" s="54">
        <f t="shared" si="213"/>
        <v>401952.41813274135</v>
      </c>
      <c r="AG599" s="49">
        <f t="shared" si="214"/>
        <v>1982896.5240000004</v>
      </c>
      <c r="AH599" s="49">
        <f t="shared" si="215"/>
        <v>2478620.6550000003</v>
      </c>
    </row>
    <row r="600" spans="1:34" s="56" customFormat="1">
      <c r="A600" s="62" t="s">
        <v>702</v>
      </c>
      <c r="B600" s="62"/>
      <c r="C600" s="62"/>
      <c r="D600" s="62"/>
      <c r="E600" s="141">
        <v>0</v>
      </c>
      <c r="F600" s="142"/>
      <c r="G600" s="143">
        <v>0.2</v>
      </c>
      <c r="H600" s="143">
        <v>0</v>
      </c>
      <c r="I600" s="49">
        <v>1742</v>
      </c>
      <c r="J600" s="49">
        <f t="shared" si="204"/>
        <v>1458.0539999999999</v>
      </c>
      <c r="K600" s="49">
        <f t="shared" si="205"/>
        <v>1166.4431999999999</v>
      </c>
      <c r="L600" s="58"/>
      <c r="M600" s="141">
        <v>0</v>
      </c>
      <c r="N600" s="50">
        <f t="shared" si="206"/>
        <v>0</v>
      </c>
      <c r="O600" s="50">
        <f t="shared" si="207"/>
        <v>0</v>
      </c>
      <c r="P600" s="59"/>
      <c r="Q600" s="141">
        <v>0</v>
      </c>
      <c r="R600" s="50">
        <f t="shared" si="208"/>
        <v>0</v>
      </c>
      <c r="S600" s="51">
        <f t="shared" si="209"/>
        <v>0</v>
      </c>
      <c r="T600" s="63">
        <v>25</v>
      </c>
      <c r="U600" s="61" t="s">
        <v>81</v>
      </c>
      <c r="V600" s="53">
        <f>SUMIF('Avoided Costs 2014-2023'!$A:$A,'2014 Actuals'!U600&amp;ROUNDDOWN('2014 Actuals'!T600,0),'Avoided Costs 2014-2023'!$E:$E)*K600</f>
        <v>3704.9543818841389</v>
      </c>
      <c r="W600" s="53">
        <f>SUMIF('Avoided Costs 2014-2023'!$A:$A,'2014 Actuals'!U600&amp;ROUNDDOWN('2014 Actuals'!T600,0),'Avoided Costs 2014-2023'!$K:$K)*O600</f>
        <v>0</v>
      </c>
      <c r="X600" s="53">
        <f>SUMIF('Avoided Costs 2014-2023'!$A:$A,'2014 Actuals'!U600&amp;ROUNDDOWN('2014 Actuals'!T600,0),'Avoided Costs 2014-2023'!$M:$M)*S600</f>
        <v>0</v>
      </c>
      <c r="Y600" s="53">
        <f t="shared" si="210"/>
        <v>3704.9543818841389</v>
      </c>
      <c r="Z600" s="55">
        <v>6360</v>
      </c>
      <c r="AA600" s="54">
        <f t="shared" si="211"/>
        <v>5088</v>
      </c>
      <c r="AB600" s="54"/>
      <c r="AC600" s="54"/>
      <c r="AD600" s="54"/>
      <c r="AE600" s="54">
        <f t="shared" si="212"/>
        <v>5088</v>
      </c>
      <c r="AF600" s="54">
        <f t="shared" si="213"/>
        <v>-1383.0456181158611</v>
      </c>
      <c r="AG600" s="49">
        <f t="shared" si="214"/>
        <v>29161.079999999998</v>
      </c>
      <c r="AH600" s="49">
        <f t="shared" si="215"/>
        <v>36451.35</v>
      </c>
    </row>
    <row r="601" spans="1:34" s="56" customFormat="1">
      <c r="A601" s="62" t="s">
        <v>703</v>
      </c>
      <c r="B601" s="62"/>
      <c r="C601" s="62"/>
      <c r="D601" s="62"/>
      <c r="E601" s="141">
        <v>1</v>
      </c>
      <c r="F601" s="142"/>
      <c r="G601" s="143">
        <v>0.2</v>
      </c>
      <c r="H601" s="143">
        <v>0</v>
      </c>
      <c r="I601" s="49">
        <v>8183</v>
      </c>
      <c r="J601" s="49">
        <f t="shared" si="204"/>
        <v>6849.1709999999994</v>
      </c>
      <c r="K601" s="49">
        <f t="shared" si="205"/>
        <v>5479.3368</v>
      </c>
      <c r="L601" s="58"/>
      <c r="M601" s="141">
        <v>21271</v>
      </c>
      <c r="N601" s="50">
        <f t="shared" si="206"/>
        <v>21271</v>
      </c>
      <c r="O601" s="50">
        <f t="shared" si="207"/>
        <v>17016.8</v>
      </c>
      <c r="P601" s="59"/>
      <c r="Q601" s="141">
        <v>0</v>
      </c>
      <c r="R601" s="50">
        <f t="shared" si="208"/>
        <v>0</v>
      </c>
      <c r="S601" s="51">
        <f t="shared" si="209"/>
        <v>0</v>
      </c>
      <c r="T601" s="63">
        <v>15</v>
      </c>
      <c r="U601" s="61" t="s">
        <v>81</v>
      </c>
      <c r="V601" s="53">
        <f>SUMIF('Avoided Costs 2014-2023'!$A:$A,'2014 Actuals'!U601&amp;ROUNDDOWN('2014 Actuals'!T601,0),'Avoided Costs 2014-2023'!$E:$E)*K601</f>
        <v>12683.962872821054</v>
      </c>
      <c r="W601" s="53">
        <f>SUMIF('Avoided Costs 2014-2023'!$A:$A,'2014 Actuals'!U601&amp;ROUNDDOWN('2014 Actuals'!T601,0),'Avoided Costs 2014-2023'!$K:$K)*O601</f>
        <v>20122.031836421007</v>
      </c>
      <c r="X601" s="53">
        <f>SUMIF('Avoided Costs 2014-2023'!$A:$A,'2014 Actuals'!U601&amp;ROUNDDOWN('2014 Actuals'!T601,0),'Avoided Costs 2014-2023'!$M:$M)*S601</f>
        <v>0</v>
      </c>
      <c r="Y601" s="53">
        <f t="shared" si="210"/>
        <v>32805.994709242063</v>
      </c>
      <c r="Z601" s="55">
        <v>7900</v>
      </c>
      <c r="AA601" s="54">
        <f t="shared" si="211"/>
        <v>6320</v>
      </c>
      <c r="AB601" s="54"/>
      <c r="AC601" s="54"/>
      <c r="AD601" s="54"/>
      <c r="AE601" s="54">
        <f t="shared" si="212"/>
        <v>6320</v>
      </c>
      <c r="AF601" s="54">
        <f t="shared" si="213"/>
        <v>26485.994709242063</v>
      </c>
      <c r="AG601" s="49">
        <f t="shared" si="214"/>
        <v>82190.051999999996</v>
      </c>
      <c r="AH601" s="49">
        <f t="shared" si="215"/>
        <v>102737.56499999999</v>
      </c>
    </row>
    <row r="602" spans="1:34" s="56" customFormat="1">
      <c r="A602" s="62" t="s">
        <v>704</v>
      </c>
      <c r="B602" s="62"/>
      <c r="C602" s="62"/>
      <c r="D602" s="62"/>
      <c r="E602" s="141">
        <v>1</v>
      </c>
      <c r="F602" s="142"/>
      <c r="G602" s="143">
        <v>0.2</v>
      </c>
      <c r="H602" s="143">
        <v>0</v>
      </c>
      <c r="I602" s="49">
        <v>87597</v>
      </c>
      <c r="J602" s="49">
        <f t="shared" si="204"/>
        <v>73318.688999999998</v>
      </c>
      <c r="K602" s="49">
        <f t="shared" si="205"/>
        <v>58654.951200000003</v>
      </c>
      <c r="L602" s="58"/>
      <c r="M602" s="141">
        <v>148751</v>
      </c>
      <c r="N602" s="50">
        <f t="shared" si="206"/>
        <v>148751</v>
      </c>
      <c r="O602" s="50">
        <f t="shared" si="207"/>
        <v>119000.8</v>
      </c>
      <c r="P602" s="59"/>
      <c r="Q602" s="141">
        <v>0</v>
      </c>
      <c r="R602" s="50">
        <f t="shared" si="208"/>
        <v>0</v>
      </c>
      <c r="S602" s="51">
        <f t="shared" si="209"/>
        <v>0</v>
      </c>
      <c r="T602" s="63">
        <v>15</v>
      </c>
      <c r="U602" s="61" t="s">
        <v>81</v>
      </c>
      <c r="V602" s="53">
        <f>SUMIF('Avoided Costs 2014-2023'!$A:$A,'2014 Actuals'!U602&amp;ROUNDDOWN('2014 Actuals'!T602,0),'Avoided Costs 2014-2023'!$E:$E)*K602</f>
        <v>135778.69922650687</v>
      </c>
      <c r="W602" s="53">
        <f>SUMIF('Avoided Costs 2014-2023'!$A:$A,'2014 Actuals'!U602&amp;ROUNDDOWN('2014 Actuals'!T602,0),'Avoided Costs 2014-2023'!$K:$K)*O602</f>
        <v>140716.10914858078</v>
      </c>
      <c r="X602" s="53">
        <f>SUMIF('Avoided Costs 2014-2023'!$A:$A,'2014 Actuals'!U602&amp;ROUNDDOWN('2014 Actuals'!T602,0),'Avoided Costs 2014-2023'!$M:$M)*S602</f>
        <v>0</v>
      </c>
      <c r="Y602" s="53">
        <f t="shared" si="210"/>
        <v>276494.80837508768</v>
      </c>
      <c r="Z602" s="55">
        <v>73000</v>
      </c>
      <c r="AA602" s="54">
        <f t="shared" si="211"/>
        <v>58400</v>
      </c>
      <c r="AB602" s="54"/>
      <c r="AC602" s="54"/>
      <c r="AD602" s="54"/>
      <c r="AE602" s="54">
        <f t="shared" si="212"/>
        <v>58400</v>
      </c>
      <c r="AF602" s="54">
        <f t="shared" si="213"/>
        <v>218094.80837508768</v>
      </c>
      <c r="AG602" s="49">
        <f t="shared" si="214"/>
        <v>879824.26800000004</v>
      </c>
      <c r="AH602" s="49">
        <f t="shared" si="215"/>
        <v>1099780.335</v>
      </c>
    </row>
    <row r="603" spans="1:34" s="56" customFormat="1">
      <c r="A603" s="62" t="s">
        <v>705</v>
      </c>
      <c r="B603" s="62"/>
      <c r="C603" s="62"/>
      <c r="D603" s="62"/>
      <c r="E603" s="141">
        <v>0</v>
      </c>
      <c r="F603" s="142"/>
      <c r="G603" s="143">
        <v>0.2</v>
      </c>
      <c r="H603" s="143">
        <v>0</v>
      </c>
      <c r="I603" s="49">
        <v>11502</v>
      </c>
      <c r="J603" s="49">
        <f t="shared" si="204"/>
        <v>9627.1739999999991</v>
      </c>
      <c r="K603" s="49">
        <f t="shared" si="205"/>
        <v>7701.7392</v>
      </c>
      <c r="L603" s="58"/>
      <c r="M603" s="141">
        <v>0</v>
      </c>
      <c r="N603" s="50">
        <f t="shared" si="206"/>
        <v>0</v>
      </c>
      <c r="O603" s="50">
        <f t="shared" si="207"/>
        <v>0</v>
      </c>
      <c r="P603" s="59"/>
      <c r="Q603" s="141">
        <v>0</v>
      </c>
      <c r="R603" s="50">
        <f t="shared" si="208"/>
        <v>0</v>
      </c>
      <c r="S603" s="51">
        <f t="shared" si="209"/>
        <v>0</v>
      </c>
      <c r="T603" s="63">
        <v>15</v>
      </c>
      <c r="U603" s="61" t="s">
        <v>94</v>
      </c>
      <c r="V603" s="53">
        <f>SUMIF('Avoided Costs 2014-2023'!$A:$A,'2014 Actuals'!U603&amp;ROUNDDOWN('2014 Actuals'!T603,0),'Avoided Costs 2014-2023'!$E:$E)*K603</f>
        <v>16695.682002826044</v>
      </c>
      <c r="W603" s="53">
        <f>SUMIF('Avoided Costs 2014-2023'!$A:$A,'2014 Actuals'!U603&amp;ROUNDDOWN('2014 Actuals'!T603,0),'Avoided Costs 2014-2023'!$K:$K)*O603</f>
        <v>0</v>
      </c>
      <c r="X603" s="53">
        <f>SUMIF('Avoided Costs 2014-2023'!$A:$A,'2014 Actuals'!U603&amp;ROUNDDOWN('2014 Actuals'!T603,0),'Avoided Costs 2014-2023'!$M:$M)*S603</f>
        <v>0</v>
      </c>
      <c r="Y603" s="53">
        <f t="shared" si="210"/>
        <v>16695.682002826044</v>
      </c>
      <c r="Z603" s="55">
        <v>15000</v>
      </c>
      <c r="AA603" s="54">
        <f t="shared" si="211"/>
        <v>12000</v>
      </c>
      <c r="AB603" s="54"/>
      <c r="AC603" s="54"/>
      <c r="AD603" s="54"/>
      <c r="AE603" s="54">
        <f t="shared" si="212"/>
        <v>12000</v>
      </c>
      <c r="AF603" s="54">
        <f t="shared" si="213"/>
        <v>4695.6820028260445</v>
      </c>
      <c r="AG603" s="49">
        <f t="shared" si="214"/>
        <v>115526.088</v>
      </c>
      <c r="AH603" s="49">
        <f t="shared" si="215"/>
        <v>144407.60999999999</v>
      </c>
    </row>
    <row r="604" spans="1:34" s="56" customFormat="1">
      <c r="A604" s="62" t="s">
        <v>706</v>
      </c>
      <c r="B604" s="62"/>
      <c r="C604" s="62"/>
      <c r="D604" s="62"/>
      <c r="E604" s="141">
        <v>1</v>
      </c>
      <c r="F604" s="142"/>
      <c r="G604" s="143">
        <v>0.2</v>
      </c>
      <c r="H604" s="143">
        <v>0</v>
      </c>
      <c r="I604" s="49">
        <v>236169</v>
      </c>
      <c r="J604" s="49">
        <f t="shared" si="204"/>
        <v>197673.45299999998</v>
      </c>
      <c r="K604" s="49">
        <f t="shared" si="205"/>
        <v>158138.76240000001</v>
      </c>
      <c r="L604" s="58"/>
      <c r="M604" s="141">
        <v>0</v>
      </c>
      <c r="N604" s="50">
        <f t="shared" si="206"/>
        <v>0</v>
      </c>
      <c r="O604" s="50">
        <f t="shared" si="207"/>
        <v>0</v>
      </c>
      <c r="P604" s="59"/>
      <c r="Q604" s="141">
        <v>0</v>
      </c>
      <c r="R604" s="50">
        <f t="shared" si="208"/>
        <v>0</v>
      </c>
      <c r="S604" s="51">
        <f t="shared" si="209"/>
        <v>0</v>
      </c>
      <c r="T604" s="63">
        <v>24.95</v>
      </c>
      <c r="U604" s="61" t="s">
        <v>81</v>
      </c>
      <c r="V604" s="53">
        <f>SUMIF('Avoided Costs 2014-2023'!$A:$A,'2014 Actuals'!U604&amp;ROUNDDOWN('2014 Actuals'!T604,0),'Avoided Costs 2014-2023'!$E:$E)*K604</f>
        <v>491413.57847317861</v>
      </c>
      <c r="W604" s="53">
        <f>SUMIF('Avoided Costs 2014-2023'!$A:$A,'2014 Actuals'!U604&amp;ROUNDDOWN('2014 Actuals'!T604,0),'Avoided Costs 2014-2023'!$K:$K)*O604</f>
        <v>0</v>
      </c>
      <c r="X604" s="53">
        <f>SUMIF('Avoided Costs 2014-2023'!$A:$A,'2014 Actuals'!U604&amp;ROUNDDOWN('2014 Actuals'!T604,0),'Avoided Costs 2014-2023'!$M:$M)*S604</f>
        <v>0</v>
      </c>
      <c r="Y604" s="53">
        <f t="shared" si="210"/>
        <v>491413.57847317861</v>
      </c>
      <c r="Z604" s="55">
        <v>106000</v>
      </c>
      <c r="AA604" s="54">
        <f t="shared" si="211"/>
        <v>84800</v>
      </c>
      <c r="AB604" s="54"/>
      <c r="AC604" s="54"/>
      <c r="AD604" s="54"/>
      <c r="AE604" s="54">
        <f t="shared" si="212"/>
        <v>84800</v>
      </c>
      <c r="AF604" s="54">
        <f t="shared" si="213"/>
        <v>406613.57847317861</v>
      </c>
      <c r="AG604" s="49">
        <f t="shared" si="214"/>
        <v>3945562.12188</v>
      </c>
      <c r="AH604" s="49">
        <f t="shared" si="215"/>
        <v>4931952.6523499992</v>
      </c>
    </row>
    <row r="605" spans="1:34" s="56" customFormat="1">
      <c r="A605" s="62" t="s">
        <v>707</v>
      </c>
      <c r="B605" s="62"/>
      <c r="C605" s="62"/>
      <c r="D605" s="62"/>
      <c r="E605" s="141">
        <v>1</v>
      </c>
      <c r="F605" s="142"/>
      <c r="G605" s="143">
        <v>0.2</v>
      </c>
      <c r="H605" s="143">
        <v>0</v>
      </c>
      <c r="I605" s="49">
        <v>53053</v>
      </c>
      <c r="J605" s="49">
        <f t="shared" si="204"/>
        <v>44405.360999999997</v>
      </c>
      <c r="K605" s="49">
        <f t="shared" si="205"/>
        <v>35524.288800000002</v>
      </c>
      <c r="L605" s="58"/>
      <c r="M605" s="141">
        <v>17841</v>
      </c>
      <c r="N605" s="50">
        <f t="shared" si="206"/>
        <v>17841</v>
      </c>
      <c r="O605" s="50">
        <f t="shared" si="207"/>
        <v>14272.800000000001</v>
      </c>
      <c r="P605" s="59"/>
      <c r="Q605" s="141">
        <v>0</v>
      </c>
      <c r="R605" s="50">
        <f t="shared" si="208"/>
        <v>0</v>
      </c>
      <c r="S605" s="51">
        <f t="shared" si="209"/>
        <v>0</v>
      </c>
      <c r="T605" s="63">
        <v>15</v>
      </c>
      <c r="U605" s="61" t="s">
        <v>81</v>
      </c>
      <c r="V605" s="53">
        <f>SUMIF('Avoided Costs 2014-2023'!$A:$A,'2014 Actuals'!U605&amp;ROUNDDOWN('2014 Actuals'!T605,0),'Avoided Costs 2014-2023'!$E:$E)*K605</f>
        <v>82234.178454329143</v>
      </c>
      <c r="W605" s="53">
        <f>SUMIF('Avoided Costs 2014-2023'!$A:$A,'2014 Actuals'!U605&amp;ROUNDDOWN('2014 Actuals'!T605,0),'Avoided Costs 2014-2023'!$K:$K)*O605</f>
        <v>16877.30572110325</v>
      </c>
      <c r="X605" s="53">
        <f>SUMIF('Avoided Costs 2014-2023'!$A:$A,'2014 Actuals'!U605&amp;ROUNDDOWN('2014 Actuals'!T605,0),'Avoided Costs 2014-2023'!$M:$M)*S605</f>
        <v>0</v>
      </c>
      <c r="Y605" s="53">
        <f t="shared" si="210"/>
        <v>99111.484175432386</v>
      </c>
      <c r="Z605" s="55">
        <v>7980</v>
      </c>
      <c r="AA605" s="54">
        <f t="shared" si="211"/>
        <v>6384</v>
      </c>
      <c r="AB605" s="54"/>
      <c r="AC605" s="54"/>
      <c r="AD605" s="54"/>
      <c r="AE605" s="54">
        <f t="shared" si="212"/>
        <v>6384</v>
      </c>
      <c r="AF605" s="54">
        <f t="shared" si="213"/>
        <v>92727.484175432386</v>
      </c>
      <c r="AG605" s="49">
        <f t="shared" si="214"/>
        <v>532864.33200000005</v>
      </c>
      <c r="AH605" s="49">
        <f t="shared" si="215"/>
        <v>666080.41499999992</v>
      </c>
    </row>
    <row r="606" spans="1:34" s="56" customFormat="1">
      <c r="A606" s="62" t="s">
        <v>708</v>
      </c>
      <c r="B606" s="62"/>
      <c r="C606" s="62"/>
      <c r="D606" s="62"/>
      <c r="E606" s="141">
        <v>1</v>
      </c>
      <c r="F606" s="142"/>
      <c r="G606" s="143">
        <v>0.2</v>
      </c>
      <c r="H606" s="143">
        <v>0</v>
      </c>
      <c r="I606" s="49">
        <v>26221</v>
      </c>
      <c r="J606" s="49">
        <f t="shared" si="204"/>
        <v>21946.976999999999</v>
      </c>
      <c r="K606" s="49">
        <f t="shared" si="205"/>
        <v>17557.581600000001</v>
      </c>
      <c r="L606" s="58"/>
      <c r="M606" s="141">
        <v>17841</v>
      </c>
      <c r="N606" s="50">
        <f t="shared" si="206"/>
        <v>17841</v>
      </c>
      <c r="O606" s="50">
        <f t="shared" si="207"/>
        <v>14272.800000000001</v>
      </c>
      <c r="P606" s="59"/>
      <c r="Q606" s="141">
        <v>0</v>
      </c>
      <c r="R606" s="50">
        <f t="shared" si="208"/>
        <v>0</v>
      </c>
      <c r="S606" s="51">
        <f t="shared" si="209"/>
        <v>0</v>
      </c>
      <c r="T606" s="63">
        <v>15</v>
      </c>
      <c r="U606" s="61" t="s">
        <v>81</v>
      </c>
      <c r="V606" s="53">
        <f>SUMIF('Avoided Costs 2014-2023'!$A:$A,'2014 Actuals'!U606&amp;ROUNDDOWN('2014 Actuals'!T606,0),'Avoided Costs 2014-2023'!$E:$E)*K606</f>
        <v>40643.55254652827</v>
      </c>
      <c r="W606" s="53">
        <f>SUMIF('Avoided Costs 2014-2023'!$A:$A,'2014 Actuals'!U606&amp;ROUNDDOWN('2014 Actuals'!T606,0),'Avoided Costs 2014-2023'!$K:$K)*O606</f>
        <v>16877.30572110325</v>
      </c>
      <c r="X606" s="53">
        <f>SUMIF('Avoided Costs 2014-2023'!$A:$A,'2014 Actuals'!U606&amp;ROUNDDOWN('2014 Actuals'!T606,0),'Avoided Costs 2014-2023'!$M:$M)*S606</f>
        <v>0</v>
      </c>
      <c r="Y606" s="53">
        <f t="shared" si="210"/>
        <v>57520.85826763152</v>
      </c>
      <c r="Z606" s="55">
        <v>7020</v>
      </c>
      <c r="AA606" s="54">
        <f t="shared" si="211"/>
        <v>5616</v>
      </c>
      <c r="AB606" s="54"/>
      <c r="AC606" s="54"/>
      <c r="AD606" s="54"/>
      <c r="AE606" s="54">
        <f t="shared" si="212"/>
        <v>5616</v>
      </c>
      <c r="AF606" s="54">
        <f t="shared" si="213"/>
        <v>51904.85826763152</v>
      </c>
      <c r="AG606" s="49">
        <f t="shared" si="214"/>
        <v>263363.72400000005</v>
      </c>
      <c r="AH606" s="49">
        <f t="shared" si="215"/>
        <v>329204.65499999997</v>
      </c>
    </row>
    <row r="607" spans="1:34" s="56" customFormat="1">
      <c r="A607" s="62" t="s">
        <v>709</v>
      </c>
      <c r="B607" s="62"/>
      <c r="C607" s="62"/>
      <c r="D607" s="62"/>
      <c r="E607" s="141">
        <v>0</v>
      </c>
      <c r="F607" s="142"/>
      <c r="G607" s="143">
        <v>0.2</v>
      </c>
      <c r="H607" s="143">
        <v>0</v>
      </c>
      <c r="I607" s="49">
        <v>46770</v>
      </c>
      <c r="J607" s="49">
        <f t="shared" si="204"/>
        <v>39146.49</v>
      </c>
      <c r="K607" s="49">
        <f t="shared" si="205"/>
        <v>31317.191999999999</v>
      </c>
      <c r="L607" s="58"/>
      <c r="M607" s="141">
        <v>0</v>
      </c>
      <c r="N607" s="50">
        <f t="shared" si="206"/>
        <v>0</v>
      </c>
      <c r="O607" s="50">
        <f t="shared" si="207"/>
        <v>0</v>
      </c>
      <c r="P607" s="59"/>
      <c r="Q607" s="141">
        <v>0</v>
      </c>
      <c r="R607" s="50">
        <f t="shared" si="208"/>
        <v>0</v>
      </c>
      <c r="S607" s="51">
        <f t="shared" si="209"/>
        <v>0</v>
      </c>
      <c r="T607" s="63">
        <v>15</v>
      </c>
      <c r="U607" s="61" t="s">
        <v>81</v>
      </c>
      <c r="V607" s="53">
        <f>SUMIF('Avoided Costs 2014-2023'!$A:$A,'2014 Actuals'!U607&amp;ROUNDDOWN('2014 Actuals'!T607,0),'Avoided Costs 2014-2023'!$E:$E)*K607</f>
        <v>72495.28822703661</v>
      </c>
      <c r="W607" s="53">
        <f>SUMIF('Avoided Costs 2014-2023'!$A:$A,'2014 Actuals'!U607&amp;ROUNDDOWN('2014 Actuals'!T607,0),'Avoided Costs 2014-2023'!$K:$K)*O607</f>
        <v>0</v>
      </c>
      <c r="X607" s="53">
        <f>SUMIF('Avoided Costs 2014-2023'!$A:$A,'2014 Actuals'!U607&amp;ROUNDDOWN('2014 Actuals'!T607,0),'Avoided Costs 2014-2023'!$M:$M)*S607</f>
        <v>0</v>
      </c>
      <c r="Y607" s="53">
        <f t="shared" si="210"/>
        <v>72495.28822703661</v>
      </c>
      <c r="Z607" s="55">
        <v>4000</v>
      </c>
      <c r="AA607" s="54">
        <f t="shared" si="211"/>
        <v>3200</v>
      </c>
      <c r="AB607" s="54"/>
      <c r="AC607" s="54"/>
      <c r="AD607" s="54"/>
      <c r="AE607" s="54">
        <f t="shared" si="212"/>
        <v>3200</v>
      </c>
      <c r="AF607" s="54">
        <f t="shared" si="213"/>
        <v>69295.28822703661</v>
      </c>
      <c r="AG607" s="49">
        <f t="shared" si="214"/>
        <v>469757.88</v>
      </c>
      <c r="AH607" s="49">
        <f t="shared" si="215"/>
        <v>587197.35</v>
      </c>
    </row>
    <row r="608" spans="1:34" s="56" customFormat="1">
      <c r="A608" s="62" t="s">
        <v>710</v>
      </c>
      <c r="B608" s="62"/>
      <c r="C608" s="62"/>
      <c r="D608" s="62"/>
      <c r="E608" s="141">
        <v>0</v>
      </c>
      <c r="F608" s="142"/>
      <c r="G608" s="143">
        <v>0.2</v>
      </c>
      <c r="H608" s="143">
        <v>0</v>
      </c>
      <c r="I608" s="49">
        <v>4158</v>
      </c>
      <c r="J608" s="49">
        <f t="shared" si="204"/>
        <v>3480.2459999999996</v>
      </c>
      <c r="K608" s="49">
        <f t="shared" si="205"/>
        <v>2784.1967999999997</v>
      </c>
      <c r="L608" s="58"/>
      <c r="M608" s="141">
        <v>0</v>
      </c>
      <c r="N608" s="50">
        <f t="shared" si="206"/>
        <v>0</v>
      </c>
      <c r="O608" s="50">
        <f t="shared" si="207"/>
        <v>0</v>
      </c>
      <c r="P608" s="59"/>
      <c r="Q608" s="141">
        <v>0</v>
      </c>
      <c r="R608" s="50">
        <f t="shared" si="208"/>
        <v>0</v>
      </c>
      <c r="S608" s="51">
        <f t="shared" si="209"/>
        <v>0</v>
      </c>
      <c r="T608" s="63">
        <v>15</v>
      </c>
      <c r="U608" s="61" t="s">
        <v>94</v>
      </c>
      <c r="V608" s="53">
        <f>SUMIF('Avoided Costs 2014-2023'!$A:$A,'2014 Actuals'!U608&amp;ROUNDDOWN('2014 Actuals'!T608,0),'Avoided Costs 2014-2023'!$E:$E)*K608</f>
        <v>6035.528235763406</v>
      </c>
      <c r="W608" s="53">
        <f>SUMIF('Avoided Costs 2014-2023'!$A:$A,'2014 Actuals'!U608&amp;ROUNDDOWN('2014 Actuals'!T608,0),'Avoided Costs 2014-2023'!$K:$K)*O608</f>
        <v>0</v>
      </c>
      <c r="X608" s="53">
        <f>SUMIF('Avoided Costs 2014-2023'!$A:$A,'2014 Actuals'!U608&amp;ROUNDDOWN('2014 Actuals'!T608,0),'Avoided Costs 2014-2023'!$M:$M)*S608</f>
        <v>0</v>
      </c>
      <c r="Y608" s="53">
        <f t="shared" si="210"/>
        <v>6035.528235763406</v>
      </c>
      <c r="Z608" s="55">
        <v>2700</v>
      </c>
      <c r="AA608" s="54">
        <f t="shared" si="211"/>
        <v>2160</v>
      </c>
      <c r="AB608" s="54"/>
      <c r="AC608" s="54"/>
      <c r="AD608" s="54"/>
      <c r="AE608" s="54">
        <f t="shared" si="212"/>
        <v>2160</v>
      </c>
      <c r="AF608" s="54">
        <f t="shared" si="213"/>
        <v>3875.528235763406</v>
      </c>
      <c r="AG608" s="49">
        <f t="shared" si="214"/>
        <v>41762.951999999997</v>
      </c>
      <c r="AH608" s="49">
        <f t="shared" si="215"/>
        <v>52203.689999999995</v>
      </c>
    </row>
    <row r="609" spans="1:34" s="56" customFormat="1">
      <c r="A609" s="62" t="s">
        <v>711</v>
      </c>
      <c r="B609" s="62"/>
      <c r="C609" s="62"/>
      <c r="D609" s="62"/>
      <c r="E609" s="141">
        <v>1</v>
      </c>
      <c r="F609" s="142"/>
      <c r="G609" s="143">
        <v>0.2</v>
      </c>
      <c r="H609" s="143">
        <v>0</v>
      </c>
      <c r="I609" s="49">
        <v>88819</v>
      </c>
      <c r="J609" s="49">
        <f t="shared" si="204"/>
        <v>74341.502999999997</v>
      </c>
      <c r="K609" s="49">
        <f t="shared" si="205"/>
        <v>59473.202400000002</v>
      </c>
      <c r="L609" s="58"/>
      <c r="M609" s="141">
        <v>41295</v>
      </c>
      <c r="N609" s="50">
        <f t="shared" si="206"/>
        <v>41295</v>
      </c>
      <c r="O609" s="50">
        <f t="shared" si="207"/>
        <v>33036</v>
      </c>
      <c r="P609" s="59"/>
      <c r="Q609" s="141">
        <v>0</v>
      </c>
      <c r="R609" s="50">
        <f t="shared" si="208"/>
        <v>0</v>
      </c>
      <c r="S609" s="51">
        <f t="shared" si="209"/>
        <v>0</v>
      </c>
      <c r="T609" s="63">
        <v>15</v>
      </c>
      <c r="U609" s="61" t="s">
        <v>81</v>
      </c>
      <c r="V609" s="53">
        <f>SUMIF('Avoided Costs 2014-2023'!$A:$A,'2014 Actuals'!U609&amp;ROUNDDOWN('2014 Actuals'!T609,0),'Avoided Costs 2014-2023'!$E:$E)*K609</f>
        <v>137672.84594905208</v>
      </c>
      <c r="W609" s="53">
        <f>SUMIF('Avoided Costs 2014-2023'!$A:$A,'2014 Actuals'!U609&amp;ROUNDDOWN('2014 Actuals'!T609,0),'Avoided Costs 2014-2023'!$K:$K)*O609</f>
        <v>39064.421262987431</v>
      </c>
      <c r="X609" s="53">
        <f>SUMIF('Avoided Costs 2014-2023'!$A:$A,'2014 Actuals'!U609&amp;ROUNDDOWN('2014 Actuals'!T609,0),'Avoided Costs 2014-2023'!$M:$M)*S609</f>
        <v>0</v>
      </c>
      <c r="Y609" s="53">
        <f t="shared" si="210"/>
        <v>176737.2672120395</v>
      </c>
      <c r="Z609" s="55">
        <v>4000</v>
      </c>
      <c r="AA609" s="54">
        <f t="shared" si="211"/>
        <v>3200</v>
      </c>
      <c r="AB609" s="54"/>
      <c r="AC609" s="54"/>
      <c r="AD609" s="54"/>
      <c r="AE609" s="54">
        <f t="shared" si="212"/>
        <v>3200</v>
      </c>
      <c r="AF609" s="54">
        <f t="shared" si="213"/>
        <v>173537.2672120395</v>
      </c>
      <c r="AG609" s="49">
        <f t="shared" si="214"/>
        <v>892098.03600000008</v>
      </c>
      <c r="AH609" s="49">
        <f t="shared" si="215"/>
        <v>1115122.5449999999</v>
      </c>
    </row>
    <row r="610" spans="1:34" s="56" customFormat="1">
      <c r="A610" s="136" t="s">
        <v>712</v>
      </c>
      <c r="B610" s="136"/>
      <c r="C610" s="136"/>
      <c r="D610" s="136"/>
      <c r="E610" s="137">
        <v>0</v>
      </c>
      <c r="F610" s="138"/>
      <c r="G610" s="139">
        <v>0.2</v>
      </c>
      <c r="H610" s="139">
        <v>0</v>
      </c>
      <c r="I610" s="49">
        <v>4204</v>
      </c>
      <c r="J610" s="49">
        <f t="shared" si="204"/>
        <v>3518.748</v>
      </c>
      <c r="K610" s="49">
        <f t="shared" si="205"/>
        <v>2814.9984000000004</v>
      </c>
      <c r="L610" s="138"/>
      <c r="M610" s="137">
        <v>0</v>
      </c>
      <c r="N610" s="50">
        <f t="shared" si="206"/>
        <v>0</v>
      </c>
      <c r="O610" s="50">
        <f t="shared" si="207"/>
        <v>0</v>
      </c>
      <c r="P610" s="140"/>
      <c r="Q610" s="137">
        <v>0</v>
      </c>
      <c r="R610" s="50">
        <f t="shared" si="208"/>
        <v>0</v>
      </c>
      <c r="S610" s="51">
        <f t="shared" si="209"/>
        <v>0</v>
      </c>
      <c r="T610" s="63">
        <v>15</v>
      </c>
      <c r="U610" s="52" t="s">
        <v>81</v>
      </c>
      <c r="V610" s="53">
        <f>SUMIF('Avoided Costs 2014-2023'!$A:$A,'2014 Actuals'!U610&amp;ROUNDDOWN('2014 Actuals'!T610,0),'Avoided Costs 2014-2023'!$E:$E)*K610</f>
        <v>6516.3607377905064</v>
      </c>
      <c r="W610" s="53">
        <f>SUMIF('Avoided Costs 2014-2023'!$A:$A,'2014 Actuals'!U610&amp;ROUNDDOWN('2014 Actuals'!T610,0),'Avoided Costs 2014-2023'!$K:$K)*O610</f>
        <v>0</v>
      </c>
      <c r="X610" s="53">
        <f>SUMIF('Avoided Costs 2014-2023'!$A:$A,'2014 Actuals'!U610&amp;ROUNDDOWN('2014 Actuals'!T610,0),'Avoided Costs 2014-2023'!$M:$M)*S610</f>
        <v>0</v>
      </c>
      <c r="Y610" s="53">
        <f t="shared" si="210"/>
        <v>6516.3607377905064</v>
      </c>
      <c r="Z610" s="55">
        <v>7500</v>
      </c>
      <c r="AA610" s="54">
        <f t="shared" si="211"/>
        <v>6000</v>
      </c>
      <c r="AB610" s="54"/>
      <c r="AC610" s="54"/>
      <c r="AD610" s="54"/>
      <c r="AE610" s="54">
        <f t="shared" si="212"/>
        <v>6000</v>
      </c>
      <c r="AF610" s="54">
        <f t="shared" si="213"/>
        <v>516.36073779050639</v>
      </c>
      <c r="AG610" s="49">
        <f t="shared" si="214"/>
        <v>42224.97600000001</v>
      </c>
      <c r="AH610" s="49">
        <f t="shared" si="215"/>
        <v>52781.22</v>
      </c>
    </row>
    <row r="611" spans="1:34" s="56" customFormat="1">
      <c r="A611" s="136" t="s">
        <v>713</v>
      </c>
      <c r="B611" s="136"/>
      <c r="C611" s="136"/>
      <c r="D611" s="136"/>
      <c r="E611" s="137">
        <v>0</v>
      </c>
      <c r="F611" s="138"/>
      <c r="G611" s="139">
        <v>0.2</v>
      </c>
      <c r="H611" s="139">
        <v>0</v>
      </c>
      <c r="I611" s="49">
        <v>2158</v>
      </c>
      <c r="J611" s="49">
        <f t="shared" si="204"/>
        <v>1806.2459999999999</v>
      </c>
      <c r="K611" s="49">
        <f t="shared" si="205"/>
        <v>1444.9967999999999</v>
      </c>
      <c r="L611" s="138"/>
      <c r="M611" s="137">
        <v>0</v>
      </c>
      <c r="N611" s="50">
        <f t="shared" si="206"/>
        <v>0</v>
      </c>
      <c r="O611" s="50">
        <f t="shared" si="207"/>
        <v>0</v>
      </c>
      <c r="P611" s="140"/>
      <c r="Q611" s="137">
        <v>0</v>
      </c>
      <c r="R611" s="50">
        <f t="shared" si="208"/>
        <v>0</v>
      </c>
      <c r="S611" s="51">
        <f t="shared" si="209"/>
        <v>0</v>
      </c>
      <c r="T611" s="63">
        <v>15</v>
      </c>
      <c r="U611" s="52" t="s">
        <v>94</v>
      </c>
      <c r="V611" s="53">
        <f>SUMIF('Avoided Costs 2014-2023'!$A:$A,'2014 Actuals'!U611&amp;ROUNDDOWN('2014 Actuals'!T611,0),'Avoided Costs 2014-2023'!$E:$E)*K611</f>
        <v>3132.4362512692232</v>
      </c>
      <c r="W611" s="53">
        <f>SUMIF('Avoided Costs 2014-2023'!$A:$A,'2014 Actuals'!U611&amp;ROUNDDOWN('2014 Actuals'!T611,0),'Avoided Costs 2014-2023'!$K:$K)*O611</f>
        <v>0</v>
      </c>
      <c r="X611" s="53">
        <f>SUMIF('Avoided Costs 2014-2023'!$A:$A,'2014 Actuals'!U611&amp;ROUNDDOWN('2014 Actuals'!T611,0),'Avoided Costs 2014-2023'!$M:$M)*S611</f>
        <v>0</v>
      </c>
      <c r="Y611" s="53">
        <f t="shared" si="210"/>
        <v>3132.4362512692232</v>
      </c>
      <c r="Z611" s="55">
        <v>7363</v>
      </c>
      <c r="AA611" s="54">
        <f t="shared" si="211"/>
        <v>5890.4000000000005</v>
      </c>
      <c r="AB611" s="54"/>
      <c r="AC611" s="54"/>
      <c r="AD611" s="54"/>
      <c r="AE611" s="54">
        <f t="shared" si="212"/>
        <v>5890.4000000000005</v>
      </c>
      <c r="AF611" s="54">
        <f t="shared" si="213"/>
        <v>-2757.9637487307773</v>
      </c>
      <c r="AG611" s="49">
        <f t="shared" si="214"/>
        <v>21674.951999999997</v>
      </c>
      <c r="AH611" s="49">
        <f t="shared" si="215"/>
        <v>27093.69</v>
      </c>
    </row>
    <row r="612" spans="1:34" s="56" customFormat="1">
      <c r="A612" s="136" t="s">
        <v>714</v>
      </c>
      <c r="B612" s="136"/>
      <c r="C612" s="136"/>
      <c r="D612" s="136"/>
      <c r="E612" s="137">
        <v>1</v>
      </c>
      <c r="F612" s="138"/>
      <c r="G612" s="139">
        <v>0.2</v>
      </c>
      <c r="H612" s="139">
        <v>0</v>
      </c>
      <c r="I612" s="49">
        <v>47581</v>
      </c>
      <c r="J612" s="49">
        <f t="shared" si="204"/>
        <v>39825.296999999999</v>
      </c>
      <c r="K612" s="49">
        <f t="shared" si="205"/>
        <v>31860.2376</v>
      </c>
      <c r="L612" s="138"/>
      <c r="M612" s="137">
        <v>13615</v>
      </c>
      <c r="N612" s="50">
        <f t="shared" si="206"/>
        <v>13615</v>
      </c>
      <c r="O612" s="50">
        <f t="shared" si="207"/>
        <v>10892</v>
      </c>
      <c r="P612" s="140"/>
      <c r="Q612" s="137">
        <v>0</v>
      </c>
      <c r="R612" s="50">
        <f t="shared" si="208"/>
        <v>0</v>
      </c>
      <c r="S612" s="51">
        <f t="shared" si="209"/>
        <v>0</v>
      </c>
      <c r="T612" s="63">
        <v>15</v>
      </c>
      <c r="U612" s="52" t="s">
        <v>81</v>
      </c>
      <c r="V612" s="53">
        <f>SUMIF('Avoided Costs 2014-2023'!$A:$A,'2014 Actuals'!U612&amp;ROUNDDOWN('2014 Actuals'!T612,0),'Avoided Costs 2014-2023'!$E:$E)*K612</f>
        <v>73752.369235206963</v>
      </c>
      <c r="W612" s="53">
        <f>SUMIF('Avoided Costs 2014-2023'!$A:$A,'2014 Actuals'!U612&amp;ROUNDDOWN('2014 Actuals'!T612,0),'Avoided Costs 2014-2023'!$K:$K)*O612</f>
        <v>12879.576110802127</v>
      </c>
      <c r="X612" s="53">
        <f>SUMIF('Avoided Costs 2014-2023'!$A:$A,'2014 Actuals'!U612&amp;ROUNDDOWN('2014 Actuals'!T612,0),'Avoided Costs 2014-2023'!$M:$M)*S612</f>
        <v>0</v>
      </c>
      <c r="Y612" s="53">
        <f t="shared" si="210"/>
        <v>86631.945346009088</v>
      </c>
      <c r="Z612" s="55">
        <v>20000</v>
      </c>
      <c r="AA612" s="54">
        <f t="shared" si="211"/>
        <v>16000</v>
      </c>
      <c r="AB612" s="54"/>
      <c r="AC612" s="54"/>
      <c r="AD612" s="54"/>
      <c r="AE612" s="54">
        <f t="shared" si="212"/>
        <v>16000</v>
      </c>
      <c r="AF612" s="54">
        <f t="shared" si="213"/>
        <v>70631.945346009088</v>
      </c>
      <c r="AG612" s="49">
        <f t="shared" si="214"/>
        <v>477903.56400000001</v>
      </c>
      <c r="AH612" s="49">
        <f t="shared" si="215"/>
        <v>597379.45499999996</v>
      </c>
    </row>
    <row r="613" spans="1:34" s="56" customFormat="1">
      <c r="A613" s="136" t="s">
        <v>715</v>
      </c>
      <c r="B613" s="136"/>
      <c r="C613" s="136"/>
      <c r="D613" s="136"/>
      <c r="E613" s="137">
        <v>1</v>
      </c>
      <c r="F613" s="138"/>
      <c r="G613" s="139">
        <v>0.2</v>
      </c>
      <c r="H613" s="139">
        <v>0</v>
      </c>
      <c r="I613" s="49">
        <v>84507</v>
      </c>
      <c r="J613" s="49">
        <f t="shared" si="204"/>
        <v>70732.358999999997</v>
      </c>
      <c r="K613" s="49">
        <f t="shared" si="205"/>
        <v>56585.887199999997</v>
      </c>
      <c r="L613" s="138"/>
      <c r="M613" s="137">
        <v>131608</v>
      </c>
      <c r="N613" s="50">
        <f t="shared" si="206"/>
        <v>131608</v>
      </c>
      <c r="O613" s="50">
        <f t="shared" si="207"/>
        <v>105286.40000000001</v>
      </c>
      <c r="P613" s="140"/>
      <c r="Q613" s="137">
        <v>0</v>
      </c>
      <c r="R613" s="50">
        <f t="shared" si="208"/>
        <v>0</v>
      </c>
      <c r="S613" s="51">
        <f t="shared" si="209"/>
        <v>0</v>
      </c>
      <c r="T613" s="63">
        <v>15</v>
      </c>
      <c r="U613" s="52" t="s">
        <v>81</v>
      </c>
      <c r="V613" s="53">
        <f>SUMIF('Avoided Costs 2014-2023'!$A:$A,'2014 Actuals'!U613&amp;ROUNDDOWN('2014 Actuals'!T613,0),'Avoided Costs 2014-2023'!$E:$E)*K613</f>
        <v>130989.08108193678</v>
      </c>
      <c r="W613" s="53">
        <f>SUMIF('Avoided Costs 2014-2023'!$A:$A,'2014 Actuals'!U613&amp;ROUNDDOWN('2014 Actuals'!T613,0),'Avoided Costs 2014-2023'!$K:$K)*O613</f>
        <v>124499.10046202324</v>
      </c>
      <c r="X613" s="53">
        <f>SUMIF('Avoided Costs 2014-2023'!$A:$A,'2014 Actuals'!U613&amp;ROUNDDOWN('2014 Actuals'!T613,0),'Avoided Costs 2014-2023'!$M:$M)*S613</f>
        <v>0</v>
      </c>
      <c r="Y613" s="53">
        <f t="shared" si="210"/>
        <v>255488.18154396</v>
      </c>
      <c r="Z613" s="55">
        <v>127400</v>
      </c>
      <c r="AA613" s="54">
        <f t="shared" si="211"/>
        <v>101920</v>
      </c>
      <c r="AB613" s="54"/>
      <c r="AC613" s="54"/>
      <c r="AD613" s="54"/>
      <c r="AE613" s="54">
        <f t="shared" si="212"/>
        <v>101920</v>
      </c>
      <c r="AF613" s="54">
        <f t="shared" si="213"/>
        <v>153568.18154396</v>
      </c>
      <c r="AG613" s="49">
        <f t="shared" si="214"/>
        <v>848788.30799999996</v>
      </c>
      <c r="AH613" s="49">
        <f t="shared" si="215"/>
        <v>1060985.385</v>
      </c>
    </row>
    <row r="614" spans="1:34" s="56" customFormat="1">
      <c r="A614" s="136" t="s">
        <v>716</v>
      </c>
      <c r="B614" s="136"/>
      <c r="C614" s="136"/>
      <c r="D614" s="136"/>
      <c r="E614" s="137">
        <v>0</v>
      </c>
      <c r="F614" s="138"/>
      <c r="G614" s="139">
        <v>0.2</v>
      </c>
      <c r="H614" s="139">
        <v>0</v>
      </c>
      <c r="I614" s="49">
        <v>18747</v>
      </c>
      <c r="J614" s="49">
        <f t="shared" si="204"/>
        <v>15691.239</v>
      </c>
      <c r="K614" s="49">
        <f t="shared" si="205"/>
        <v>12552.9912</v>
      </c>
      <c r="L614" s="138"/>
      <c r="M614" s="137">
        <v>0</v>
      </c>
      <c r="N614" s="50">
        <f t="shared" si="206"/>
        <v>0</v>
      </c>
      <c r="O614" s="50">
        <f t="shared" si="207"/>
        <v>0</v>
      </c>
      <c r="P614" s="140"/>
      <c r="Q614" s="137">
        <v>0</v>
      </c>
      <c r="R614" s="50">
        <f t="shared" si="208"/>
        <v>0</v>
      </c>
      <c r="S614" s="51">
        <f t="shared" si="209"/>
        <v>0</v>
      </c>
      <c r="T614" s="63">
        <v>25</v>
      </c>
      <c r="U614" s="52" t="s">
        <v>94</v>
      </c>
      <c r="V614" s="53">
        <f>SUMIF('Avoided Costs 2014-2023'!$A:$A,'2014 Actuals'!U614&amp;ROUNDDOWN('2014 Actuals'!T614,0),'Avoided Costs 2014-2023'!$E:$E)*K614</f>
        <v>37354.526335124727</v>
      </c>
      <c r="W614" s="53">
        <f>SUMIF('Avoided Costs 2014-2023'!$A:$A,'2014 Actuals'!U614&amp;ROUNDDOWN('2014 Actuals'!T614,0),'Avoided Costs 2014-2023'!$K:$K)*O614</f>
        <v>0</v>
      </c>
      <c r="X614" s="53">
        <f>SUMIF('Avoided Costs 2014-2023'!$A:$A,'2014 Actuals'!U614&amp;ROUNDDOWN('2014 Actuals'!T614,0),'Avoided Costs 2014-2023'!$M:$M)*S614</f>
        <v>0</v>
      </c>
      <c r="Y614" s="53">
        <f t="shared" si="210"/>
        <v>37354.526335124727</v>
      </c>
      <c r="Z614" s="55">
        <v>5622</v>
      </c>
      <c r="AA614" s="54">
        <f t="shared" si="211"/>
        <v>4497.6000000000004</v>
      </c>
      <c r="AB614" s="54"/>
      <c r="AC614" s="54"/>
      <c r="AD614" s="54"/>
      <c r="AE614" s="54">
        <f t="shared" si="212"/>
        <v>4497.6000000000004</v>
      </c>
      <c r="AF614" s="54">
        <f t="shared" si="213"/>
        <v>32856.926335124728</v>
      </c>
      <c r="AG614" s="49">
        <f t="shared" si="214"/>
        <v>313824.78000000003</v>
      </c>
      <c r="AH614" s="49">
        <f t="shared" si="215"/>
        <v>392280.97499999998</v>
      </c>
    </row>
    <row r="615" spans="1:34" s="56" customFormat="1">
      <c r="A615" s="136" t="s">
        <v>717</v>
      </c>
      <c r="B615" s="136"/>
      <c r="C615" s="136"/>
      <c r="D615" s="136"/>
      <c r="E615" s="137">
        <v>0</v>
      </c>
      <c r="F615" s="138"/>
      <c r="G615" s="139">
        <v>0.2</v>
      </c>
      <c r="H615" s="139">
        <v>0</v>
      </c>
      <c r="I615" s="49">
        <v>10112</v>
      </c>
      <c r="J615" s="49">
        <f t="shared" si="204"/>
        <v>8463.7439999999988</v>
      </c>
      <c r="K615" s="49">
        <f t="shared" si="205"/>
        <v>6770.9951999999994</v>
      </c>
      <c r="L615" s="138"/>
      <c r="M615" s="137">
        <v>0</v>
      </c>
      <c r="N615" s="50">
        <f t="shared" si="206"/>
        <v>0</v>
      </c>
      <c r="O615" s="50">
        <f t="shared" si="207"/>
        <v>0</v>
      </c>
      <c r="P615" s="140"/>
      <c r="Q615" s="137">
        <v>0</v>
      </c>
      <c r="R615" s="50">
        <f t="shared" si="208"/>
        <v>0</v>
      </c>
      <c r="S615" s="51">
        <f t="shared" si="209"/>
        <v>0</v>
      </c>
      <c r="T615" s="63">
        <v>15</v>
      </c>
      <c r="U615" s="52" t="s">
        <v>81</v>
      </c>
      <c r="V615" s="53">
        <f>SUMIF('Avoided Costs 2014-2023'!$A:$A,'2014 Actuals'!U615&amp;ROUNDDOWN('2014 Actuals'!T615,0),'Avoided Costs 2014-2023'!$E:$E)*K615</f>
        <v>15673.986627149759</v>
      </c>
      <c r="W615" s="53">
        <f>SUMIF('Avoided Costs 2014-2023'!$A:$A,'2014 Actuals'!U615&amp;ROUNDDOWN('2014 Actuals'!T615,0),'Avoided Costs 2014-2023'!$K:$K)*O615</f>
        <v>0</v>
      </c>
      <c r="X615" s="53">
        <f>SUMIF('Avoided Costs 2014-2023'!$A:$A,'2014 Actuals'!U615&amp;ROUNDDOWN('2014 Actuals'!T615,0),'Avoided Costs 2014-2023'!$M:$M)*S615</f>
        <v>0</v>
      </c>
      <c r="Y615" s="53">
        <f t="shared" si="210"/>
        <v>15673.986627149759</v>
      </c>
      <c r="Z615" s="55">
        <v>0</v>
      </c>
      <c r="AA615" s="54">
        <f t="shared" si="211"/>
        <v>0</v>
      </c>
      <c r="AB615" s="54"/>
      <c r="AC615" s="54"/>
      <c r="AD615" s="54"/>
      <c r="AE615" s="54">
        <f t="shared" si="212"/>
        <v>0</v>
      </c>
      <c r="AF615" s="54">
        <f t="shared" si="213"/>
        <v>15673.986627149759</v>
      </c>
      <c r="AG615" s="49">
        <f t="shared" si="214"/>
        <v>101564.92799999999</v>
      </c>
      <c r="AH615" s="49">
        <f t="shared" si="215"/>
        <v>126956.15999999997</v>
      </c>
    </row>
    <row r="616" spans="1:34" s="56" customFormat="1">
      <c r="A616" s="136" t="s">
        <v>718</v>
      </c>
      <c r="B616" s="136"/>
      <c r="C616" s="136"/>
      <c r="D616" s="136"/>
      <c r="E616" s="137">
        <v>1</v>
      </c>
      <c r="F616" s="138"/>
      <c r="G616" s="139">
        <v>0.2</v>
      </c>
      <c r="H616" s="139">
        <v>0</v>
      </c>
      <c r="I616" s="49">
        <v>63781</v>
      </c>
      <c r="J616" s="49">
        <f t="shared" si="204"/>
        <v>53384.697</v>
      </c>
      <c r="K616" s="49">
        <f t="shared" si="205"/>
        <v>42707.757600000004</v>
      </c>
      <c r="L616" s="138"/>
      <c r="M616" s="137">
        <v>0</v>
      </c>
      <c r="N616" s="50">
        <f t="shared" si="206"/>
        <v>0</v>
      </c>
      <c r="O616" s="50">
        <f t="shared" si="207"/>
        <v>0</v>
      </c>
      <c r="P616" s="140"/>
      <c r="Q616" s="137">
        <v>0</v>
      </c>
      <c r="R616" s="50">
        <f t="shared" si="208"/>
        <v>0</v>
      </c>
      <c r="S616" s="51">
        <f t="shared" si="209"/>
        <v>0</v>
      </c>
      <c r="T616" s="63">
        <v>25</v>
      </c>
      <c r="U616" s="52" t="s">
        <v>81</v>
      </c>
      <c r="V616" s="53">
        <f>SUMIF('Avoided Costs 2014-2023'!$A:$A,'2014 Actuals'!U616&amp;ROUNDDOWN('2014 Actuals'!T616,0),'Avoided Costs 2014-2023'!$E:$E)*K616</f>
        <v>135651.94915668902</v>
      </c>
      <c r="W616" s="53">
        <f>SUMIF('Avoided Costs 2014-2023'!$A:$A,'2014 Actuals'!U616&amp;ROUNDDOWN('2014 Actuals'!T616,0),'Avoided Costs 2014-2023'!$K:$K)*O616</f>
        <v>0</v>
      </c>
      <c r="X616" s="53">
        <f>SUMIF('Avoided Costs 2014-2023'!$A:$A,'2014 Actuals'!U616&amp;ROUNDDOWN('2014 Actuals'!T616,0),'Avoided Costs 2014-2023'!$M:$M)*S616</f>
        <v>0</v>
      </c>
      <c r="Y616" s="53">
        <f t="shared" si="210"/>
        <v>135651.94915668902</v>
      </c>
      <c r="Z616" s="55">
        <v>10872</v>
      </c>
      <c r="AA616" s="54">
        <f t="shared" si="211"/>
        <v>8697.6</v>
      </c>
      <c r="AB616" s="54"/>
      <c r="AC616" s="54"/>
      <c r="AD616" s="54"/>
      <c r="AE616" s="54">
        <f t="shared" si="212"/>
        <v>8697.6</v>
      </c>
      <c r="AF616" s="54">
        <f t="shared" si="213"/>
        <v>126954.34915668902</v>
      </c>
      <c r="AG616" s="49">
        <f t="shared" si="214"/>
        <v>1067693.9400000002</v>
      </c>
      <c r="AH616" s="49">
        <f t="shared" si="215"/>
        <v>1334617.425</v>
      </c>
    </row>
    <row r="617" spans="1:34" s="56" customFormat="1">
      <c r="A617" s="136" t="s">
        <v>719</v>
      </c>
      <c r="B617" s="136"/>
      <c r="C617" s="136"/>
      <c r="D617" s="136"/>
      <c r="E617" s="137">
        <v>1</v>
      </c>
      <c r="F617" s="138"/>
      <c r="G617" s="139">
        <v>0.2</v>
      </c>
      <c r="H617" s="139">
        <v>0</v>
      </c>
      <c r="I617" s="49">
        <v>22413</v>
      </c>
      <c r="J617" s="49">
        <f t="shared" si="204"/>
        <v>18759.681</v>
      </c>
      <c r="K617" s="49">
        <f t="shared" si="205"/>
        <v>15007.7448</v>
      </c>
      <c r="L617" s="138"/>
      <c r="M617" s="137">
        <v>17777</v>
      </c>
      <c r="N617" s="50">
        <f t="shared" si="206"/>
        <v>17777</v>
      </c>
      <c r="O617" s="50">
        <f t="shared" si="207"/>
        <v>14221.6</v>
      </c>
      <c r="P617" s="140"/>
      <c r="Q617" s="137">
        <v>0</v>
      </c>
      <c r="R617" s="50">
        <f t="shared" si="208"/>
        <v>0</v>
      </c>
      <c r="S617" s="51">
        <f t="shared" si="209"/>
        <v>0</v>
      </c>
      <c r="T617" s="63">
        <v>15</v>
      </c>
      <c r="U617" s="52" t="s">
        <v>81</v>
      </c>
      <c r="V617" s="53">
        <f>SUMIF('Avoided Costs 2014-2023'!$A:$A,'2014 Actuals'!U617&amp;ROUNDDOWN('2014 Actuals'!T617,0),'Avoided Costs 2014-2023'!$E:$E)*K617</f>
        <v>34741.006949595292</v>
      </c>
      <c r="W617" s="53">
        <f>SUMIF('Avoided Costs 2014-2023'!$A:$A,'2014 Actuals'!U617&amp;ROUNDDOWN('2014 Actuals'!T617,0),'Avoided Costs 2014-2023'!$K:$K)*O617</f>
        <v>16816.762726531724</v>
      </c>
      <c r="X617" s="53">
        <f>SUMIF('Avoided Costs 2014-2023'!$A:$A,'2014 Actuals'!U617&amp;ROUNDDOWN('2014 Actuals'!T617,0),'Avoided Costs 2014-2023'!$M:$M)*S617</f>
        <v>0</v>
      </c>
      <c r="Y617" s="53">
        <f t="shared" si="210"/>
        <v>51557.76967612702</v>
      </c>
      <c r="Z617" s="55">
        <v>17621</v>
      </c>
      <c r="AA617" s="54">
        <f t="shared" si="211"/>
        <v>14096.800000000001</v>
      </c>
      <c r="AB617" s="54"/>
      <c r="AC617" s="54"/>
      <c r="AD617" s="54"/>
      <c r="AE617" s="54">
        <f t="shared" si="212"/>
        <v>14096.800000000001</v>
      </c>
      <c r="AF617" s="54">
        <f t="shared" si="213"/>
        <v>37460.969676127017</v>
      </c>
      <c r="AG617" s="49">
        <f t="shared" si="214"/>
        <v>225116.17200000002</v>
      </c>
      <c r="AH617" s="49">
        <f t="shared" si="215"/>
        <v>281395.21500000003</v>
      </c>
    </row>
    <row r="618" spans="1:34" s="56" customFormat="1">
      <c r="A618" s="62" t="s">
        <v>720</v>
      </c>
      <c r="B618" s="62"/>
      <c r="C618" s="62"/>
      <c r="D618" s="62"/>
      <c r="E618" s="141">
        <v>0</v>
      </c>
      <c r="F618" s="142"/>
      <c r="G618" s="143">
        <v>0.2</v>
      </c>
      <c r="H618" s="143">
        <v>0</v>
      </c>
      <c r="I618" s="49">
        <v>6811</v>
      </c>
      <c r="J618" s="49">
        <f t="shared" si="204"/>
        <v>5700.8069999999998</v>
      </c>
      <c r="K618" s="49">
        <f t="shared" si="205"/>
        <v>4560.6455999999998</v>
      </c>
      <c r="L618" s="58"/>
      <c r="M618" s="141">
        <v>0</v>
      </c>
      <c r="N618" s="50">
        <f t="shared" si="206"/>
        <v>0</v>
      </c>
      <c r="O618" s="50">
        <f t="shared" si="207"/>
        <v>0</v>
      </c>
      <c r="P618" s="59"/>
      <c r="Q618" s="141">
        <v>0</v>
      </c>
      <c r="R618" s="50">
        <f t="shared" si="208"/>
        <v>0</v>
      </c>
      <c r="S618" s="51">
        <f t="shared" si="209"/>
        <v>0</v>
      </c>
      <c r="T618" s="63">
        <v>15</v>
      </c>
      <c r="U618" s="61" t="s">
        <v>94</v>
      </c>
      <c r="V618" s="53">
        <f>SUMIF('Avoided Costs 2014-2023'!$A:$A,'2014 Actuals'!U618&amp;ROUNDDOWN('2014 Actuals'!T618,0),'Avoided Costs 2014-2023'!$E:$E)*K618</f>
        <v>9886.4797531949389</v>
      </c>
      <c r="W618" s="53">
        <f>SUMIF('Avoided Costs 2014-2023'!$A:$A,'2014 Actuals'!U618&amp;ROUNDDOWN('2014 Actuals'!T618,0),'Avoided Costs 2014-2023'!$K:$K)*O618</f>
        <v>0</v>
      </c>
      <c r="X618" s="53">
        <f>SUMIF('Avoided Costs 2014-2023'!$A:$A,'2014 Actuals'!U618&amp;ROUNDDOWN('2014 Actuals'!T618,0),'Avoided Costs 2014-2023'!$M:$M)*S618</f>
        <v>0</v>
      </c>
      <c r="Y618" s="53">
        <f t="shared" si="210"/>
        <v>9886.4797531949389</v>
      </c>
      <c r="Z618" s="55">
        <v>5091</v>
      </c>
      <c r="AA618" s="54">
        <f t="shared" si="211"/>
        <v>4072.8</v>
      </c>
      <c r="AB618" s="54"/>
      <c r="AC618" s="54"/>
      <c r="AD618" s="54"/>
      <c r="AE618" s="54">
        <f t="shared" si="212"/>
        <v>4072.8</v>
      </c>
      <c r="AF618" s="54">
        <f t="shared" si="213"/>
        <v>5813.6797531949387</v>
      </c>
      <c r="AG618" s="49">
        <f t="shared" si="214"/>
        <v>68409.683999999994</v>
      </c>
      <c r="AH618" s="49">
        <f t="shared" si="215"/>
        <v>85512.104999999996</v>
      </c>
    </row>
    <row r="619" spans="1:34" s="56" customFormat="1">
      <c r="A619" s="62" t="s">
        <v>721</v>
      </c>
      <c r="B619" s="62"/>
      <c r="C619" s="62"/>
      <c r="D619" s="62"/>
      <c r="E619" s="141">
        <v>0</v>
      </c>
      <c r="F619" s="142"/>
      <c r="G619" s="143">
        <v>0.2</v>
      </c>
      <c r="H619" s="143">
        <v>0</v>
      </c>
      <c r="I619" s="49">
        <v>3514</v>
      </c>
      <c r="J619" s="49">
        <f t="shared" si="204"/>
        <v>2941.2179999999998</v>
      </c>
      <c r="K619" s="49">
        <f t="shared" si="205"/>
        <v>2352.9744000000001</v>
      </c>
      <c r="L619" s="58"/>
      <c r="M619" s="141">
        <v>0</v>
      </c>
      <c r="N619" s="50">
        <f t="shared" si="206"/>
        <v>0</v>
      </c>
      <c r="O619" s="50">
        <f t="shared" si="207"/>
        <v>0</v>
      </c>
      <c r="P619" s="59"/>
      <c r="Q619" s="141">
        <v>0</v>
      </c>
      <c r="R619" s="50">
        <f t="shared" si="208"/>
        <v>0</v>
      </c>
      <c r="S619" s="51">
        <f t="shared" si="209"/>
        <v>0</v>
      </c>
      <c r="T619" s="63">
        <v>15</v>
      </c>
      <c r="U619" s="61" t="s">
        <v>81</v>
      </c>
      <c r="V619" s="53">
        <f>SUMIF('Avoided Costs 2014-2023'!$A:$A,'2014 Actuals'!U619&amp;ROUNDDOWN('2014 Actuals'!T619,0),'Avoided Costs 2014-2023'!$E:$E)*K619</f>
        <v>5446.834355993301</v>
      </c>
      <c r="W619" s="53">
        <f>SUMIF('Avoided Costs 2014-2023'!$A:$A,'2014 Actuals'!U619&amp;ROUNDDOWN('2014 Actuals'!T619,0),'Avoided Costs 2014-2023'!$K:$K)*O619</f>
        <v>0</v>
      </c>
      <c r="X619" s="53">
        <f>SUMIF('Avoided Costs 2014-2023'!$A:$A,'2014 Actuals'!U619&amp;ROUNDDOWN('2014 Actuals'!T619,0),'Avoided Costs 2014-2023'!$M:$M)*S619</f>
        <v>0</v>
      </c>
      <c r="Y619" s="53">
        <f t="shared" si="210"/>
        <v>5446.834355993301</v>
      </c>
      <c r="Z619" s="55">
        <v>2627</v>
      </c>
      <c r="AA619" s="54">
        <f t="shared" si="211"/>
        <v>2101.6</v>
      </c>
      <c r="AB619" s="54"/>
      <c r="AC619" s="54"/>
      <c r="AD619" s="54"/>
      <c r="AE619" s="54">
        <f t="shared" si="212"/>
        <v>2101.6</v>
      </c>
      <c r="AF619" s="54">
        <f t="shared" si="213"/>
        <v>3345.2343559933011</v>
      </c>
      <c r="AG619" s="49">
        <f t="shared" si="214"/>
        <v>35294.616000000002</v>
      </c>
      <c r="AH619" s="49">
        <f t="shared" si="215"/>
        <v>44118.27</v>
      </c>
    </row>
    <row r="620" spans="1:34" s="56" customFormat="1">
      <c r="A620" s="62" t="s">
        <v>722</v>
      </c>
      <c r="B620" s="62"/>
      <c r="C620" s="62"/>
      <c r="D620" s="62"/>
      <c r="E620" s="141">
        <v>1</v>
      </c>
      <c r="F620" s="142"/>
      <c r="G620" s="143">
        <v>0.2</v>
      </c>
      <c r="H620" s="143">
        <v>0</v>
      </c>
      <c r="I620" s="49">
        <v>56230</v>
      </c>
      <c r="J620" s="49">
        <f t="shared" si="204"/>
        <v>47064.509999999995</v>
      </c>
      <c r="K620" s="49">
        <f t="shared" si="205"/>
        <v>37651.608</v>
      </c>
      <c r="L620" s="58"/>
      <c r="M620" s="141">
        <v>21941</v>
      </c>
      <c r="N620" s="50">
        <f t="shared" si="206"/>
        <v>21941</v>
      </c>
      <c r="O620" s="50">
        <f t="shared" si="207"/>
        <v>17552.8</v>
      </c>
      <c r="P620" s="59"/>
      <c r="Q620" s="141">
        <v>0</v>
      </c>
      <c r="R620" s="50">
        <f t="shared" si="208"/>
        <v>0</v>
      </c>
      <c r="S620" s="51">
        <f t="shared" si="209"/>
        <v>0</v>
      </c>
      <c r="T620" s="63">
        <v>15</v>
      </c>
      <c r="U620" s="61" t="s">
        <v>81</v>
      </c>
      <c r="V620" s="53">
        <f>SUMIF('Avoided Costs 2014-2023'!$A:$A,'2014 Actuals'!U620&amp;ROUNDDOWN('2014 Actuals'!T620,0),'Avoided Costs 2014-2023'!$E:$E)*K620</f>
        <v>87158.649925299746</v>
      </c>
      <c r="W620" s="53">
        <f>SUMIF('Avoided Costs 2014-2023'!$A:$A,'2014 Actuals'!U620&amp;ROUNDDOWN('2014 Actuals'!T620,0),'Avoided Costs 2014-2023'!$K:$K)*O620</f>
        <v>20755.841310841679</v>
      </c>
      <c r="X620" s="53">
        <f>SUMIF('Avoided Costs 2014-2023'!$A:$A,'2014 Actuals'!U620&amp;ROUNDDOWN('2014 Actuals'!T620,0),'Avoided Costs 2014-2023'!$M:$M)*S620</f>
        <v>0</v>
      </c>
      <c r="Y620" s="53">
        <f t="shared" si="210"/>
        <v>107914.49123614142</v>
      </c>
      <c r="Z620" s="55">
        <v>42032</v>
      </c>
      <c r="AA620" s="54">
        <f t="shared" si="211"/>
        <v>33625.599999999999</v>
      </c>
      <c r="AB620" s="54"/>
      <c r="AC620" s="54"/>
      <c r="AD620" s="54"/>
      <c r="AE620" s="54">
        <f t="shared" si="212"/>
        <v>33625.599999999999</v>
      </c>
      <c r="AF620" s="54">
        <f t="shared" si="213"/>
        <v>74288.891236141411</v>
      </c>
      <c r="AG620" s="49">
        <f t="shared" si="214"/>
        <v>564774.12</v>
      </c>
      <c r="AH620" s="49">
        <f t="shared" si="215"/>
        <v>705967.64999999991</v>
      </c>
    </row>
    <row r="621" spans="1:34" s="56" customFormat="1">
      <c r="A621" s="62" t="s">
        <v>723</v>
      </c>
      <c r="B621" s="62"/>
      <c r="C621" s="62"/>
      <c r="D621" s="62"/>
      <c r="E621" s="141">
        <v>0</v>
      </c>
      <c r="F621" s="142"/>
      <c r="G621" s="143">
        <v>0.2</v>
      </c>
      <c r="H621" s="143">
        <v>0</v>
      </c>
      <c r="I621" s="49">
        <v>31620</v>
      </c>
      <c r="J621" s="49">
        <f t="shared" si="204"/>
        <v>26465.94</v>
      </c>
      <c r="K621" s="49">
        <f t="shared" si="205"/>
        <v>21172.752</v>
      </c>
      <c r="L621" s="58"/>
      <c r="M621" s="141">
        <v>0</v>
      </c>
      <c r="N621" s="50">
        <f t="shared" si="206"/>
        <v>0</v>
      </c>
      <c r="O621" s="50">
        <f t="shared" si="207"/>
        <v>0</v>
      </c>
      <c r="P621" s="59"/>
      <c r="Q621" s="141">
        <v>0</v>
      </c>
      <c r="R621" s="50">
        <f t="shared" si="208"/>
        <v>0</v>
      </c>
      <c r="S621" s="51">
        <f t="shared" si="209"/>
        <v>0</v>
      </c>
      <c r="T621" s="63">
        <v>25</v>
      </c>
      <c r="U621" s="61" t="s">
        <v>94</v>
      </c>
      <c r="V621" s="53">
        <f>SUMIF('Avoided Costs 2014-2023'!$A:$A,'2014 Actuals'!U621&amp;ROUNDDOWN('2014 Actuals'!T621,0),'Avoided Costs 2014-2023'!$E:$E)*K621</f>
        <v>63004.753972189879</v>
      </c>
      <c r="W621" s="53">
        <f>SUMIF('Avoided Costs 2014-2023'!$A:$A,'2014 Actuals'!U621&amp;ROUNDDOWN('2014 Actuals'!T621,0),'Avoided Costs 2014-2023'!$K:$K)*O621</f>
        <v>0</v>
      </c>
      <c r="X621" s="53">
        <f>SUMIF('Avoided Costs 2014-2023'!$A:$A,'2014 Actuals'!U621&amp;ROUNDDOWN('2014 Actuals'!T621,0),'Avoided Costs 2014-2023'!$M:$M)*S621</f>
        <v>0</v>
      </c>
      <c r="Y621" s="53">
        <f t="shared" si="210"/>
        <v>63004.753972189879</v>
      </c>
      <c r="Z621" s="55">
        <v>24866</v>
      </c>
      <c r="AA621" s="54">
        <f t="shared" si="211"/>
        <v>19892.800000000003</v>
      </c>
      <c r="AB621" s="54"/>
      <c r="AC621" s="54"/>
      <c r="AD621" s="54"/>
      <c r="AE621" s="54">
        <f t="shared" si="212"/>
        <v>19892.800000000003</v>
      </c>
      <c r="AF621" s="54">
        <f t="shared" si="213"/>
        <v>43111.953972189876</v>
      </c>
      <c r="AG621" s="49">
        <f t="shared" si="214"/>
        <v>529318.80000000005</v>
      </c>
      <c r="AH621" s="49">
        <f t="shared" si="215"/>
        <v>661648.5</v>
      </c>
    </row>
    <row r="622" spans="1:34" s="56" customFormat="1">
      <c r="A622" s="62" t="s">
        <v>724</v>
      </c>
      <c r="B622" s="62"/>
      <c r="C622" s="62"/>
      <c r="D622" s="62"/>
      <c r="E622" s="141">
        <v>1</v>
      </c>
      <c r="F622" s="142"/>
      <c r="G622" s="143">
        <v>0.2</v>
      </c>
      <c r="H622" s="143">
        <v>0</v>
      </c>
      <c r="I622" s="49">
        <v>141880</v>
      </c>
      <c r="J622" s="49">
        <f t="shared" si="204"/>
        <v>118753.56</v>
      </c>
      <c r="K622" s="49">
        <f t="shared" si="205"/>
        <v>95002.847999999998</v>
      </c>
      <c r="L622" s="58"/>
      <c r="M622" s="141">
        <v>0</v>
      </c>
      <c r="N622" s="50">
        <f t="shared" si="206"/>
        <v>0</v>
      </c>
      <c r="O622" s="50">
        <f t="shared" si="207"/>
        <v>0</v>
      </c>
      <c r="P622" s="59"/>
      <c r="Q622" s="141">
        <v>0</v>
      </c>
      <c r="R622" s="50">
        <f t="shared" si="208"/>
        <v>0</v>
      </c>
      <c r="S622" s="51">
        <f t="shared" si="209"/>
        <v>0</v>
      </c>
      <c r="T622" s="63">
        <v>25</v>
      </c>
      <c r="U622" s="61" t="s">
        <v>81</v>
      </c>
      <c r="V622" s="53">
        <f>SUMIF('Avoided Costs 2014-2023'!$A:$A,'2014 Actuals'!U622&amp;ROUNDDOWN('2014 Actuals'!T622,0),'Avoided Costs 2014-2023'!$E:$E)*K622</f>
        <v>301755.98605150497</v>
      </c>
      <c r="W622" s="53">
        <f>SUMIF('Avoided Costs 2014-2023'!$A:$A,'2014 Actuals'!U622&amp;ROUNDDOWN('2014 Actuals'!T622,0),'Avoided Costs 2014-2023'!$K:$K)*O622</f>
        <v>0</v>
      </c>
      <c r="X622" s="53">
        <f>SUMIF('Avoided Costs 2014-2023'!$A:$A,'2014 Actuals'!U622&amp;ROUNDDOWN('2014 Actuals'!T622,0),'Avoided Costs 2014-2023'!$M:$M)*S622</f>
        <v>0</v>
      </c>
      <c r="Y622" s="53">
        <f t="shared" si="210"/>
        <v>301755.98605150497</v>
      </c>
      <c r="Z622" s="55">
        <v>69489</v>
      </c>
      <c r="AA622" s="54">
        <f t="shared" si="211"/>
        <v>55591.200000000004</v>
      </c>
      <c r="AB622" s="54"/>
      <c r="AC622" s="54"/>
      <c r="AD622" s="54"/>
      <c r="AE622" s="54">
        <f t="shared" si="212"/>
        <v>55591.200000000004</v>
      </c>
      <c r="AF622" s="54">
        <f t="shared" si="213"/>
        <v>246164.78605150495</v>
      </c>
      <c r="AG622" s="49">
        <f t="shared" si="214"/>
        <v>2375071.2000000002</v>
      </c>
      <c r="AH622" s="49">
        <f t="shared" si="215"/>
        <v>2968839</v>
      </c>
    </row>
    <row r="623" spans="1:34" s="56" customFormat="1">
      <c r="A623" s="62" t="s">
        <v>725</v>
      </c>
      <c r="B623" s="62"/>
      <c r="C623" s="62"/>
      <c r="D623" s="62"/>
      <c r="E623" s="141">
        <v>0</v>
      </c>
      <c r="F623" s="142"/>
      <c r="G623" s="143">
        <v>0.2</v>
      </c>
      <c r="H623" s="143">
        <v>0</v>
      </c>
      <c r="I623" s="49">
        <v>3382</v>
      </c>
      <c r="J623" s="49">
        <f t="shared" si="204"/>
        <v>2830.7339999999999</v>
      </c>
      <c r="K623" s="49">
        <f t="shared" si="205"/>
        <v>2264.5871999999999</v>
      </c>
      <c r="L623" s="58"/>
      <c r="M623" s="141">
        <v>0</v>
      </c>
      <c r="N623" s="50">
        <f t="shared" si="206"/>
        <v>0</v>
      </c>
      <c r="O623" s="50">
        <f t="shared" si="207"/>
        <v>0</v>
      </c>
      <c r="P623" s="59"/>
      <c r="Q623" s="141">
        <v>0</v>
      </c>
      <c r="R623" s="50">
        <f t="shared" si="208"/>
        <v>0</v>
      </c>
      <c r="S623" s="51">
        <f t="shared" si="209"/>
        <v>0</v>
      </c>
      <c r="T623" s="63">
        <v>15</v>
      </c>
      <c r="U623" s="61" t="s">
        <v>94</v>
      </c>
      <c r="V623" s="53">
        <f>SUMIF('Avoided Costs 2014-2023'!$A:$A,'2014 Actuals'!U623&amp;ROUNDDOWN('2014 Actuals'!T623,0),'Avoided Costs 2014-2023'!$E:$E)*K623</f>
        <v>4909.128545779663</v>
      </c>
      <c r="W623" s="53">
        <f>SUMIF('Avoided Costs 2014-2023'!$A:$A,'2014 Actuals'!U623&amp;ROUNDDOWN('2014 Actuals'!T623,0),'Avoided Costs 2014-2023'!$K:$K)*O623</f>
        <v>0</v>
      </c>
      <c r="X623" s="53">
        <f>SUMIF('Avoided Costs 2014-2023'!$A:$A,'2014 Actuals'!U623&amp;ROUNDDOWN('2014 Actuals'!T623,0),'Avoided Costs 2014-2023'!$M:$M)*S623</f>
        <v>0</v>
      </c>
      <c r="Y623" s="53">
        <f t="shared" si="210"/>
        <v>4909.128545779663</v>
      </c>
      <c r="Z623" s="55">
        <v>1000</v>
      </c>
      <c r="AA623" s="54">
        <f t="shared" si="211"/>
        <v>800</v>
      </c>
      <c r="AB623" s="54"/>
      <c r="AC623" s="54"/>
      <c r="AD623" s="54"/>
      <c r="AE623" s="54">
        <f t="shared" si="212"/>
        <v>800</v>
      </c>
      <c r="AF623" s="54">
        <f t="shared" si="213"/>
        <v>4109.128545779663</v>
      </c>
      <c r="AG623" s="49">
        <f t="shared" si="214"/>
        <v>33968.807999999997</v>
      </c>
      <c r="AH623" s="49">
        <f t="shared" si="215"/>
        <v>42461.01</v>
      </c>
    </row>
    <row r="624" spans="1:34" s="56" customFormat="1">
      <c r="A624" s="62" t="s">
        <v>726</v>
      </c>
      <c r="B624" s="62"/>
      <c r="C624" s="62"/>
      <c r="D624" s="62"/>
      <c r="E624" s="141">
        <v>1</v>
      </c>
      <c r="F624" s="142"/>
      <c r="G624" s="143">
        <v>0.2</v>
      </c>
      <c r="H624" s="143">
        <v>0</v>
      </c>
      <c r="I624" s="49">
        <v>56985</v>
      </c>
      <c r="J624" s="49">
        <f t="shared" si="204"/>
        <v>47696.445</v>
      </c>
      <c r="K624" s="49">
        <f t="shared" si="205"/>
        <v>38157.156000000003</v>
      </c>
      <c r="L624" s="58"/>
      <c r="M624" s="141">
        <v>0</v>
      </c>
      <c r="N624" s="50">
        <f t="shared" si="206"/>
        <v>0</v>
      </c>
      <c r="O624" s="50">
        <f t="shared" si="207"/>
        <v>0</v>
      </c>
      <c r="P624" s="59"/>
      <c r="Q624" s="141">
        <v>0</v>
      </c>
      <c r="R624" s="50">
        <f t="shared" si="208"/>
        <v>0</v>
      </c>
      <c r="S624" s="51">
        <f t="shared" si="209"/>
        <v>0</v>
      </c>
      <c r="T624" s="63">
        <v>25</v>
      </c>
      <c r="U624" s="61" t="s">
        <v>81</v>
      </c>
      <c r="V624" s="53">
        <f>SUMIF('Avoided Costs 2014-2023'!$A:$A,'2014 Actuals'!U624&amp;ROUNDDOWN('2014 Actuals'!T624,0),'Avoided Costs 2014-2023'!$E:$E)*K624</f>
        <v>121197.94802047513</v>
      </c>
      <c r="W624" s="53">
        <f>SUMIF('Avoided Costs 2014-2023'!$A:$A,'2014 Actuals'!U624&amp;ROUNDDOWN('2014 Actuals'!T624,0),'Avoided Costs 2014-2023'!$K:$K)*O624</f>
        <v>0</v>
      </c>
      <c r="X624" s="53">
        <f>SUMIF('Avoided Costs 2014-2023'!$A:$A,'2014 Actuals'!U624&amp;ROUNDDOWN('2014 Actuals'!T624,0),'Avoided Costs 2014-2023'!$M:$M)*S624</f>
        <v>0</v>
      </c>
      <c r="Y624" s="53">
        <f t="shared" si="210"/>
        <v>121197.94802047513</v>
      </c>
      <c r="Z624" s="55">
        <v>17716</v>
      </c>
      <c r="AA624" s="54">
        <f t="shared" si="211"/>
        <v>14172.800000000001</v>
      </c>
      <c r="AB624" s="54"/>
      <c r="AC624" s="54"/>
      <c r="AD624" s="54"/>
      <c r="AE624" s="54">
        <f t="shared" si="212"/>
        <v>14172.800000000001</v>
      </c>
      <c r="AF624" s="54">
        <f t="shared" si="213"/>
        <v>107025.14802047513</v>
      </c>
      <c r="AG624" s="49">
        <f t="shared" si="214"/>
        <v>953928.9</v>
      </c>
      <c r="AH624" s="49">
        <f t="shared" si="215"/>
        <v>1192411.125</v>
      </c>
    </row>
    <row r="625" spans="1:34" s="56" customFormat="1">
      <c r="A625" s="62" t="s">
        <v>727</v>
      </c>
      <c r="B625" s="62"/>
      <c r="C625" s="62"/>
      <c r="D625" s="62"/>
      <c r="E625" s="141">
        <v>0</v>
      </c>
      <c r="F625" s="142"/>
      <c r="G625" s="143">
        <v>0.2</v>
      </c>
      <c r="H625" s="143">
        <v>0</v>
      </c>
      <c r="I625" s="49">
        <v>1909</v>
      </c>
      <c r="J625" s="49">
        <f t="shared" si="204"/>
        <v>1597.8329999999999</v>
      </c>
      <c r="K625" s="49">
        <f t="shared" si="205"/>
        <v>1278.2664</v>
      </c>
      <c r="L625" s="58"/>
      <c r="M625" s="141">
        <v>0</v>
      </c>
      <c r="N625" s="50">
        <f t="shared" si="206"/>
        <v>0</v>
      </c>
      <c r="O625" s="50">
        <f t="shared" si="207"/>
        <v>0</v>
      </c>
      <c r="P625" s="59"/>
      <c r="Q625" s="141">
        <v>0</v>
      </c>
      <c r="R625" s="50">
        <f t="shared" si="208"/>
        <v>0</v>
      </c>
      <c r="S625" s="51">
        <f t="shared" si="209"/>
        <v>0</v>
      </c>
      <c r="T625" s="63">
        <v>15</v>
      </c>
      <c r="U625" s="61" t="s">
        <v>94</v>
      </c>
      <c r="V625" s="53">
        <f>SUMIF('Avoided Costs 2014-2023'!$A:$A,'2014 Actuals'!U625&amp;ROUNDDOWN('2014 Actuals'!T625,0),'Avoided Costs 2014-2023'!$E:$E)*K625</f>
        <v>2771.0012991996973</v>
      </c>
      <c r="W625" s="53">
        <f>SUMIF('Avoided Costs 2014-2023'!$A:$A,'2014 Actuals'!U625&amp;ROUNDDOWN('2014 Actuals'!T625,0),'Avoided Costs 2014-2023'!$K:$K)*O625</f>
        <v>0</v>
      </c>
      <c r="X625" s="53">
        <f>SUMIF('Avoided Costs 2014-2023'!$A:$A,'2014 Actuals'!U625&amp;ROUNDDOWN('2014 Actuals'!T625,0),'Avoided Costs 2014-2023'!$M:$M)*S625</f>
        <v>0</v>
      </c>
      <c r="Y625" s="53">
        <f t="shared" si="210"/>
        <v>2771.0012991996973</v>
      </c>
      <c r="Z625" s="55">
        <v>3000</v>
      </c>
      <c r="AA625" s="54">
        <f t="shared" si="211"/>
        <v>2400</v>
      </c>
      <c r="AB625" s="54"/>
      <c r="AC625" s="54"/>
      <c r="AD625" s="54"/>
      <c r="AE625" s="54">
        <f t="shared" si="212"/>
        <v>2400</v>
      </c>
      <c r="AF625" s="54">
        <f t="shared" si="213"/>
        <v>371.00129919969731</v>
      </c>
      <c r="AG625" s="49">
        <f t="shared" si="214"/>
        <v>19173.995999999999</v>
      </c>
      <c r="AH625" s="49">
        <f t="shared" si="215"/>
        <v>23967.494999999999</v>
      </c>
    </row>
    <row r="626" spans="1:34" s="56" customFormat="1">
      <c r="A626" s="62" t="s">
        <v>728</v>
      </c>
      <c r="B626" s="62"/>
      <c r="C626" s="62"/>
      <c r="D626" s="62"/>
      <c r="E626" s="141">
        <v>1</v>
      </c>
      <c r="F626" s="142"/>
      <c r="G626" s="143">
        <v>0.2</v>
      </c>
      <c r="H626" s="143">
        <v>0</v>
      </c>
      <c r="I626" s="49">
        <v>3595</v>
      </c>
      <c r="J626" s="49">
        <f t="shared" si="204"/>
        <v>3009.0149999999999</v>
      </c>
      <c r="K626" s="49">
        <f t="shared" si="205"/>
        <v>2407.212</v>
      </c>
      <c r="L626" s="58"/>
      <c r="M626" s="141">
        <v>0</v>
      </c>
      <c r="N626" s="50">
        <f t="shared" si="206"/>
        <v>0</v>
      </c>
      <c r="O626" s="50">
        <f t="shared" si="207"/>
        <v>0</v>
      </c>
      <c r="P626" s="59"/>
      <c r="Q626" s="141">
        <v>0</v>
      </c>
      <c r="R626" s="50">
        <f t="shared" si="208"/>
        <v>0</v>
      </c>
      <c r="S626" s="51">
        <f t="shared" si="209"/>
        <v>0</v>
      </c>
      <c r="T626" s="63">
        <v>15</v>
      </c>
      <c r="U626" s="61" t="s">
        <v>81</v>
      </c>
      <c r="V626" s="53">
        <f>SUMIF('Avoided Costs 2014-2023'!$A:$A,'2014 Actuals'!U626&amp;ROUNDDOWN('2014 Actuals'!T626,0),'Avoided Costs 2014-2023'!$E:$E)*K626</f>
        <v>5572.3874529868854</v>
      </c>
      <c r="W626" s="53">
        <f>SUMIF('Avoided Costs 2014-2023'!$A:$A,'2014 Actuals'!U626&amp;ROUNDDOWN('2014 Actuals'!T626,0),'Avoided Costs 2014-2023'!$K:$K)*O626</f>
        <v>0</v>
      </c>
      <c r="X626" s="53">
        <f>SUMIF('Avoided Costs 2014-2023'!$A:$A,'2014 Actuals'!U626&amp;ROUNDDOWN('2014 Actuals'!T626,0),'Avoided Costs 2014-2023'!$M:$M)*S626</f>
        <v>0</v>
      </c>
      <c r="Y626" s="53">
        <f t="shared" si="210"/>
        <v>5572.3874529868854</v>
      </c>
      <c r="Z626" s="55">
        <v>8000</v>
      </c>
      <c r="AA626" s="54">
        <f t="shared" si="211"/>
        <v>6400</v>
      </c>
      <c r="AB626" s="54"/>
      <c r="AC626" s="54"/>
      <c r="AD626" s="54"/>
      <c r="AE626" s="54">
        <f t="shared" si="212"/>
        <v>6400</v>
      </c>
      <c r="AF626" s="54">
        <f t="shared" si="213"/>
        <v>-827.61254701311464</v>
      </c>
      <c r="AG626" s="49">
        <f t="shared" si="214"/>
        <v>36108.18</v>
      </c>
      <c r="AH626" s="49">
        <f t="shared" si="215"/>
        <v>45135.224999999999</v>
      </c>
    </row>
    <row r="627" spans="1:34" s="56" customFormat="1">
      <c r="A627" s="62" t="s">
        <v>729</v>
      </c>
      <c r="B627" s="62"/>
      <c r="C627" s="62"/>
      <c r="D627" s="62"/>
      <c r="E627" s="141">
        <v>0</v>
      </c>
      <c r="F627" s="142"/>
      <c r="G627" s="143">
        <v>0.2</v>
      </c>
      <c r="H627" s="143">
        <v>0</v>
      </c>
      <c r="I627" s="49">
        <v>460</v>
      </c>
      <c r="J627" s="49">
        <f t="shared" si="204"/>
        <v>385.02</v>
      </c>
      <c r="K627" s="49">
        <f t="shared" si="205"/>
        <v>308.01600000000002</v>
      </c>
      <c r="L627" s="58"/>
      <c r="M627" s="141">
        <v>0</v>
      </c>
      <c r="N627" s="50">
        <f t="shared" si="206"/>
        <v>0</v>
      </c>
      <c r="O627" s="50">
        <f t="shared" si="207"/>
        <v>0</v>
      </c>
      <c r="P627" s="59"/>
      <c r="Q627" s="141">
        <v>0</v>
      </c>
      <c r="R627" s="50">
        <f t="shared" si="208"/>
        <v>0</v>
      </c>
      <c r="S627" s="51">
        <f t="shared" si="209"/>
        <v>0</v>
      </c>
      <c r="T627" s="63">
        <v>15</v>
      </c>
      <c r="U627" s="61" t="s">
        <v>94</v>
      </c>
      <c r="V627" s="53">
        <f>SUMIF('Avoided Costs 2014-2023'!$A:$A,'2014 Actuals'!U627&amp;ROUNDDOWN('2014 Actuals'!T627,0),'Avoided Costs 2014-2023'!$E:$E)*K627</f>
        <v>667.71115643366215</v>
      </c>
      <c r="W627" s="53">
        <f>SUMIF('Avoided Costs 2014-2023'!$A:$A,'2014 Actuals'!U627&amp;ROUNDDOWN('2014 Actuals'!T627,0),'Avoided Costs 2014-2023'!$K:$K)*O627</f>
        <v>0</v>
      </c>
      <c r="X627" s="53">
        <f>SUMIF('Avoided Costs 2014-2023'!$A:$A,'2014 Actuals'!U627&amp;ROUNDDOWN('2014 Actuals'!T627,0),'Avoided Costs 2014-2023'!$M:$M)*S627</f>
        <v>0</v>
      </c>
      <c r="Y627" s="53">
        <f t="shared" si="210"/>
        <v>667.71115643366215</v>
      </c>
      <c r="Z627" s="55">
        <v>800</v>
      </c>
      <c r="AA627" s="54">
        <f t="shared" si="211"/>
        <v>640</v>
      </c>
      <c r="AB627" s="54"/>
      <c r="AC627" s="54"/>
      <c r="AD627" s="54"/>
      <c r="AE627" s="54">
        <f t="shared" si="212"/>
        <v>640</v>
      </c>
      <c r="AF627" s="54">
        <f t="shared" si="213"/>
        <v>27.711156433662154</v>
      </c>
      <c r="AG627" s="49">
        <f t="shared" si="214"/>
        <v>4620.2400000000007</v>
      </c>
      <c r="AH627" s="49">
        <f t="shared" si="215"/>
        <v>5775.2999999999993</v>
      </c>
    </row>
    <row r="628" spans="1:34" s="56" customFormat="1">
      <c r="A628" s="62" t="s">
        <v>730</v>
      </c>
      <c r="B628" s="62"/>
      <c r="C628" s="62"/>
      <c r="D628" s="62"/>
      <c r="E628" s="141">
        <v>1</v>
      </c>
      <c r="F628" s="142"/>
      <c r="G628" s="143">
        <v>0.2</v>
      </c>
      <c r="H628" s="143">
        <v>0</v>
      </c>
      <c r="I628" s="49">
        <v>13687</v>
      </c>
      <c r="J628" s="49">
        <f t="shared" si="204"/>
        <v>11456.019</v>
      </c>
      <c r="K628" s="49">
        <f t="shared" si="205"/>
        <v>9164.8152000000009</v>
      </c>
      <c r="L628" s="58"/>
      <c r="M628" s="141">
        <v>0</v>
      </c>
      <c r="N628" s="50">
        <f t="shared" si="206"/>
        <v>0</v>
      </c>
      <c r="O628" s="50">
        <f t="shared" si="207"/>
        <v>0</v>
      </c>
      <c r="P628" s="59"/>
      <c r="Q628" s="141">
        <v>0</v>
      </c>
      <c r="R628" s="50">
        <f t="shared" si="208"/>
        <v>0</v>
      </c>
      <c r="S628" s="51">
        <f t="shared" si="209"/>
        <v>0</v>
      </c>
      <c r="T628" s="63">
        <v>15</v>
      </c>
      <c r="U628" s="61" t="s">
        <v>81</v>
      </c>
      <c r="V628" s="53">
        <f>SUMIF('Avoided Costs 2014-2023'!$A:$A,'2014 Actuals'!U628&amp;ROUNDDOWN('2014 Actuals'!T628,0),'Avoided Costs 2014-2023'!$E:$E)*K628</f>
        <v>21215.373315446875</v>
      </c>
      <c r="W628" s="53">
        <f>SUMIF('Avoided Costs 2014-2023'!$A:$A,'2014 Actuals'!U628&amp;ROUNDDOWN('2014 Actuals'!T628,0),'Avoided Costs 2014-2023'!$K:$K)*O628</f>
        <v>0</v>
      </c>
      <c r="X628" s="53">
        <f>SUMIF('Avoided Costs 2014-2023'!$A:$A,'2014 Actuals'!U628&amp;ROUNDDOWN('2014 Actuals'!T628,0),'Avoided Costs 2014-2023'!$M:$M)*S628</f>
        <v>0</v>
      </c>
      <c r="Y628" s="53">
        <f t="shared" si="210"/>
        <v>21215.373315446875</v>
      </c>
      <c r="Z628" s="55">
        <v>3400</v>
      </c>
      <c r="AA628" s="54">
        <f t="shared" si="211"/>
        <v>2720</v>
      </c>
      <c r="AB628" s="54"/>
      <c r="AC628" s="54"/>
      <c r="AD628" s="54"/>
      <c r="AE628" s="54">
        <f t="shared" si="212"/>
        <v>2720</v>
      </c>
      <c r="AF628" s="54">
        <f t="shared" si="213"/>
        <v>18495.373315446875</v>
      </c>
      <c r="AG628" s="49">
        <f t="shared" si="214"/>
        <v>137472.228</v>
      </c>
      <c r="AH628" s="49">
        <f t="shared" si="215"/>
        <v>171840.285</v>
      </c>
    </row>
    <row r="629" spans="1:34" s="56" customFormat="1">
      <c r="A629" s="62" t="s">
        <v>731</v>
      </c>
      <c r="B629" s="62"/>
      <c r="C629" s="62"/>
      <c r="D629" s="62"/>
      <c r="E629" s="141">
        <v>0</v>
      </c>
      <c r="F629" s="142"/>
      <c r="G629" s="143">
        <v>0.2</v>
      </c>
      <c r="H629" s="143">
        <v>0</v>
      </c>
      <c r="I629" s="49">
        <v>7516</v>
      </c>
      <c r="J629" s="49">
        <f t="shared" si="204"/>
        <v>6290.8919999999998</v>
      </c>
      <c r="K629" s="49">
        <f t="shared" si="205"/>
        <v>5032.7136</v>
      </c>
      <c r="L629" s="58"/>
      <c r="M629" s="141">
        <v>0</v>
      </c>
      <c r="N629" s="50">
        <f t="shared" si="206"/>
        <v>0</v>
      </c>
      <c r="O629" s="50">
        <f t="shared" si="207"/>
        <v>0</v>
      </c>
      <c r="P629" s="59"/>
      <c r="Q629" s="141">
        <v>0</v>
      </c>
      <c r="R629" s="50">
        <f t="shared" si="208"/>
        <v>0</v>
      </c>
      <c r="S629" s="51">
        <f t="shared" si="209"/>
        <v>0</v>
      </c>
      <c r="T629" s="63">
        <v>15</v>
      </c>
      <c r="U629" s="61" t="s">
        <v>94</v>
      </c>
      <c r="V629" s="53">
        <f>SUMIF('Avoided Costs 2014-2023'!$A:$A,'2014 Actuals'!U629&amp;ROUNDDOWN('2014 Actuals'!T629,0),'Avoided Costs 2014-2023'!$E:$E)*K629</f>
        <v>10909.81967772914</v>
      </c>
      <c r="W629" s="53">
        <f>SUMIF('Avoided Costs 2014-2023'!$A:$A,'2014 Actuals'!U629&amp;ROUNDDOWN('2014 Actuals'!T629,0),'Avoided Costs 2014-2023'!$K:$K)*O629</f>
        <v>0</v>
      </c>
      <c r="X629" s="53">
        <f>SUMIF('Avoided Costs 2014-2023'!$A:$A,'2014 Actuals'!U629&amp;ROUNDDOWN('2014 Actuals'!T629,0),'Avoided Costs 2014-2023'!$M:$M)*S629</f>
        <v>0</v>
      </c>
      <c r="Y629" s="53">
        <f t="shared" si="210"/>
        <v>10909.81967772914</v>
      </c>
      <c r="Z629" s="55">
        <v>1100</v>
      </c>
      <c r="AA629" s="54">
        <f t="shared" si="211"/>
        <v>880</v>
      </c>
      <c r="AB629" s="54"/>
      <c r="AC629" s="54"/>
      <c r="AD629" s="54"/>
      <c r="AE629" s="54">
        <f t="shared" si="212"/>
        <v>880</v>
      </c>
      <c r="AF629" s="54">
        <f t="shared" si="213"/>
        <v>10029.81967772914</v>
      </c>
      <c r="AG629" s="49">
        <f t="shared" si="214"/>
        <v>75490.703999999998</v>
      </c>
      <c r="AH629" s="49">
        <f t="shared" si="215"/>
        <v>94363.38</v>
      </c>
    </row>
    <row r="630" spans="1:34" s="56" customFormat="1">
      <c r="A630" s="62" t="s">
        <v>732</v>
      </c>
      <c r="B630" s="62"/>
      <c r="C630" s="62"/>
      <c r="D630" s="62"/>
      <c r="E630" s="141">
        <v>1</v>
      </c>
      <c r="F630" s="142"/>
      <c r="G630" s="143">
        <v>0.2</v>
      </c>
      <c r="H630" s="143">
        <v>0</v>
      </c>
      <c r="I630" s="49">
        <v>11492</v>
      </c>
      <c r="J630" s="49">
        <f t="shared" si="204"/>
        <v>9618.8040000000001</v>
      </c>
      <c r="K630" s="49">
        <f t="shared" si="205"/>
        <v>7695.0432000000001</v>
      </c>
      <c r="L630" s="58"/>
      <c r="M630" s="141">
        <v>0</v>
      </c>
      <c r="N630" s="50">
        <f t="shared" si="206"/>
        <v>0</v>
      </c>
      <c r="O630" s="50">
        <f t="shared" si="207"/>
        <v>0</v>
      </c>
      <c r="P630" s="59"/>
      <c r="Q630" s="141">
        <v>0</v>
      </c>
      <c r="R630" s="50">
        <f t="shared" si="208"/>
        <v>0</v>
      </c>
      <c r="S630" s="51">
        <f t="shared" si="209"/>
        <v>0</v>
      </c>
      <c r="T630" s="63">
        <v>15</v>
      </c>
      <c r="U630" s="61" t="s">
        <v>81</v>
      </c>
      <c r="V630" s="53">
        <f>SUMIF('Avoided Costs 2014-2023'!$A:$A,'2014 Actuals'!U630&amp;ROUNDDOWN('2014 Actuals'!T630,0),'Avoided Costs 2014-2023'!$E:$E)*K630</f>
        <v>17813.039390744168</v>
      </c>
      <c r="W630" s="53">
        <f>SUMIF('Avoided Costs 2014-2023'!$A:$A,'2014 Actuals'!U630&amp;ROUNDDOWN('2014 Actuals'!T630,0),'Avoided Costs 2014-2023'!$K:$K)*O630</f>
        <v>0</v>
      </c>
      <c r="X630" s="53">
        <f>SUMIF('Avoided Costs 2014-2023'!$A:$A,'2014 Actuals'!U630&amp;ROUNDDOWN('2014 Actuals'!T630,0),'Avoided Costs 2014-2023'!$M:$M)*S630</f>
        <v>0</v>
      </c>
      <c r="Y630" s="53">
        <f t="shared" si="210"/>
        <v>17813.039390744168</v>
      </c>
      <c r="Z630" s="55">
        <v>3000</v>
      </c>
      <c r="AA630" s="54">
        <f t="shared" si="211"/>
        <v>2400</v>
      </c>
      <c r="AB630" s="54"/>
      <c r="AC630" s="54"/>
      <c r="AD630" s="54"/>
      <c r="AE630" s="54">
        <f t="shared" si="212"/>
        <v>2400</v>
      </c>
      <c r="AF630" s="54">
        <f t="shared" si="213"/>
        <v>15413.039390744168</v>
      </c>
      <c r="AG630" s="49">
        <f t="shared" si="214"/>
        <v>115425.648</v>
      </c>
      <c r="AH630" s="49">
        <f t="shared" si="215"/>
        <v>144282.06</v>
      </c>
    </row>
    <row r="631" spans="1:34" s="56" customFormat="1">
      <c r="A631" s="62" t="s">
        <v>733</v>
      </c>
      <c r="B631" s="62"/>
      <c r="C631" s="62"/>
      <c r="D631" s="62"/>
      <c r="E631" s="141">
        <v>0</v>
      </c>
      <c r="F631" s="142"/>
      <c r="G631" s="143">
        <v>0.2</v>
      </c>
      <c r="H631" s="143">
        <v>0</v>
      </c>
      <c r="I631" s="49">
        <v>6860</v>
      </c>
      <c r="J631" s="49">
        <f t="shared" si="204"/>
        <v>5741.82</v>
      </c>
      <c r="K631" s="49">
        <f t="shared" si="205"/>
        <v>4593.4560000000001</v>
      </c>
      <c r="L631" s="58"/>
      <c r="M631" s="141">
        <v>0</v>
      </c>
      <c r="N631" s="50">
        <f t="shared" si="206"/>
        <v>0</v>
      </c>
      <c r="O631" s="50">
        <f t="shared" si="207"/>
        <v>0</v>
      </c>
      <c r="P631" s="59"/>
      <c r="Q631" s="141">
        <v>0</v>
      </c>
      <c r="R631" s="50">
        <f t="shared" si="208"/>
        <v>0</v>
      </c>
      <c r="S631" s="51">
        <f t="shared" si="209"/>
        <v>0</v>
      </c>
      <c r="T631" s="63">
        <v>15</v>
      </c>
      <c r="U631" s="61" t="s">
        <v>94</v>
      </c>
      <c r="V631" s="53">
        <f>SUMIF('Avoided Costs 2014-2023'!$A:$A,'2014 Actuals'!U631&amp;ROUNDDOWN('2014 Actuals'!T631,0),'Avoided Costs 2014-2023'!$E:$E)*K631</f>
        <v>9957.6055068150472</v>
      </c>
      <c r="W631" s="53">
        <f>SUMIF('Avoided Costs 2014-2023'!$A:$A,'2014 Actuals'!U631&amp;ROUNDDOWN('2014 Actuals'!T631,0),'Avoided Costs 2014-2023'!$K:$K)*O631</f>
        <v>0</v>
      </c>
      <c r="X631" s="53">
        <f>SUMIF('Avoided Costs 2014-2023'!$A:$A,'2014 Actuals'!U631&amp;ROUNDDOWN('2014 Actuals'!T631,0),'Avoided Costs 2014-2023'!$M:$M)*S631</f>
        <v>0</v>
      </c>
      <c r="Y631" s="53">
        <f t="shared" si="210"/>
        <v>9957.6055068150472</v>
      </c>
      <c r="Z631" s="55">
        <v>1500</v>
      </c>
      <c r="AA631" s="54">
        <f t="shared" si="211"/>
        <v>1200</v>
      </c>
      <c r="AB631" s="54"/>
      <c r="AC631" s="54"/>
      <c r="AD631" s="54"/>
      <c r="AE631" s="54">
        <f t="shared" si="212"/>
        <v>1200</v>
      </c>
      <c r="AF631" s="54">
        <f t="shared" si="213"/>
        <v>8757.6055068150472</v>
      </c>
      <c r="AG631" s="49">
        <f t="shared" si="214"/>
        <v>68901.84</v>
      </c>
      <c r="AH631" s="49">
        <f t="shared" si="215"/>
        <v>86127.299999999988</v>
      </c>
    </row>
    <row r="632" spans="1:34" s="56" customFormat="1">
      <c r="A632" s="62" t="s">
        <v>734</v>
      </c>
      <c r="B632" s="62"/>
      <c r="C632" s="62"/>
      <c r="D632" s="62"/>
      <c r="E632" s="141">
        <v>1</v>
      </c>
      <c r="F632" s="142"/>
      <c r="G632" s="143">
        <v>0.2</v>
      </c>
      <c r="H632" s="143">
        <v>0</v>
      </c>
      <c r="I632" s="49">
        <v>13586</v>
      </c>
      <c r="J632" s="49">
        <f t="shared" si="204"/>
        <v>11371.482</v>
      </c>
      <c r="K632" s="49">
        <f t="shared" si="205"/>
        <v>9097.1856000000007</v>
      </c>
      <c r="L632" s="58"/>
      <c r="M632" s="141">
        <v>0</v>
      </c>
      <c r="N632" s="50">
        <f t="shared" si="206"/>
        <v>0</v>
      </c>
      <c r="O632" s="50">
        <f t="shared" si="207"/>
        <v>0</v>
      </c>
      <c r="P632" s="59"/>
      <c r="Q632" s="141">
        <v>0</v>
      </c>
      <c r="R632" s="50">
        <f t="shared" si="208"/>
        <v>0</v>
      </c>
      <c r="S632" s="51">
        <f t="shared" si="209"/>
        <v>0</v>
      </c>
      <c r="T632" s="63">
        <v>15</v>
      </c>
      <c r="U632" s="61" t="s">
        <v>81</v>
      </c>
      <c r="V632" s="53">
        <f>SUMIF('Avoided Costs 2014-2023'!$A:$A,'2014 Actuals'!U632&amp;ROUNDDOWN('2014 Actuals'!T632,0),'Avoided Costs 2014-2023'!$E:$E)*K632</f>
        <v>21058.819453763514</v>
      </c>
      <c r="W632" s="53">
        <f>SUMIF('Avoided Costs 2014-2023'!$A:$A,'2014 Actuals'!U632&amp;ROUNDDOWN('2014 Actuals'!T632,0),'Avoided Costs 2014-2023'!$K:$K)*O632</f>
        <v>0</v>
      </c>
      <c r="X632" s="53">
        <f>SUMIF('Avoided Costs 2014-2023'!$A:$A,'2014 Actuals'!U632&amp;ROUNDDOWN('2014 Actuals'!T632,0),'Avoided Costs 2014-2023'!$M:$M)*S632</f>
        <v>0</v>
      </c>
      <c r="Y632" s="53">
        <f t="shared" si="210"/>
        <v>21058.819453763514</v>
      </c>
      <c r="Z632" s="55">
        <v>3600</v>
      </c>
      <c r="AA632" s="54">
        <f t="shared" si="211"/>
        <v>2880</v>
      </c>
      <c r="AB632" s="54"/>
      <c r="AC632" s="54"/>
      <c r="AD632" s="54"/>
      <c r="AE632" s="54">
        <f t="shared" si="212"/>
        <v>2880</v>
      </c>
      <c r="AF632" s="54">
        <f t="shared" si="213"/>
        <v>18178.819453763514</v>
      </c>
      <c r="AG632" s="49">
        <f t="shared" si="214"/>
        <v>136457.78400000001</v>
      </c>
      <c r="AH632" s="49">
        <f t="shared" si="215"/>
        <v>170572.23</v>
      </c>
    </row>
    <row r="633" spans="1:34" s="56" customFormat="1">
      <c r="A633" s="62" t="s">
        <v>735</v>
      </c>
      <c r="B633" s="62"/>
      <c r="C633" s="62"/>
      <c r="D633" s="62"/>
      <c r="E633" s="141">
        <v>0</v>
      </c>
      <c r="F633" s="142"/>
      <c r="G633" s="143">
        <v>0.2</v>
      </c>
      <c r="H633" s="143">
        <v>0</v>
      </c>
      <c r="I633" s="49">
        <v>30772</v>
      </c>
      <c r="J633" s="49">
        <f t="shared" si="204"/>
        <v>25756.164000000001</v>
      </c>
      <c r="K633" s="49">
        <f t="shared" si="205"/>
        <v>20604.931200000003</v>
      </c>
      <c r="L633" s="58"/>
      <c r="M633" s="141">
        <v>0</v>
      </c>
      <c r="N633" s="50">
        <f t="shared" si="206"/>
        <v>0</v>
      </c>
      <c r="O633" s="50">
        <f t="shared" si="207"/>
        <v>0</v>
      </c>
      <c r="P633" s="59"/>
      <c r="Q633" s="141">
        <v>0</v>
      </c>
      <c r="R633" s="50">
        <f t="shared" si="208"/>
        <v>0</v>
      </c>
      <c r="S633" s="51">
        <f t="shared" si="209"/>
        <v>0</v>
      </c>
      <c r="T633" s="63">
        <v>25</v>
      </c>
      <c r="U633" s="61" t="s">
        <v>94</v>
      </c>
      <c r="V633" s="53">
        <f>SUMIF('Avoided Costs 2014-2023'!$A:$A,'2014 Actuals'!U633&amp;ROUNDDOWN('2014 Actuals'!T633,0),'Avoided Costs 2014-2023'!$E:$E)*K633</f>
        <v>61315.062910570123</v>
      </c>
      <c r="W633" s="53">
        <f>SUMIF('Avoided Costs 2014-2023'!$A:$A,'2014 Actuals'!U633&amp;ROUNDDOWN('2014 Actuals'!T633,0),'Avoided Costs 2014-2023'!$K:$K)*O633</f>
        <v>0</v>
      </c>
      <c r="X633" s="53">
        <f>SUMIF('Avoided Costs 2014-2023'!$A:$A,'2014 Actuals'!U633&amp;ROUNDDOWN('2014 Actuals'!T633,0),'Avoided Costs 2014-2023'!$M:$M)*S633</f>
        <v>0</v>
      </c>
      <c r="Y633" s="53">
        <f t="shared" si="210"/>
        <v>61315.062910570123</v>
      </c>
      <c r="Z633" s="55">
        <v>13252</v>
      </c>
      <c r="AA633" s="54">
        <f t="shared" si="211"/>
        <v>10601.6</v>
      </c>
      <c r="AB633" s="54"/>
      <c r="AC633" s="54"/>
      <c r="AD633" s="54"/>
      <c r="AE633" s="54">
        <f t="shared" si="212"/>
        <v>10601.6</v>
      </c>
      <c r="AF633" s="54">
        <f t="shared" si="213"/>
        <v>50713.462910570124</v>
      </c>
      <c r="AG633" s="49">
        <f t="shared" si="214"/>
        <v>515123.28000000009</v>
      </c>
      <c r="AH633" s="49">
        <f t="shared" si="215"/>
        <v>643904.1</v>
      </c>
    </row>
    <row r="634" spans="1:34" s="56" customFormat="1">
      <c r="A634" s="62" t="s">
        <v>736</v>
      </c>
      <c r="B634" s="62"/>
      <c r="C634" s="62"/>
      <c r="D634" s="62"/>
      <c r="E634" s="141">
        <v>1</v>
      </c>
      <c r="F634" s="142"/>
      <c r="G634" s="143">
        <v>0.2</v>
      </c>
      <c r="H634" s="143">
        <v>0</v>
      </c>
      <c r="I634" s="49">
        <v>48761</v>
      </c>
      <c r="J634" s="49">
        <f t="shared" si="204"/>
        <v>40812.956999999995</v>
      </c>
      <c r="K634" s="49">
        <f t="shared" si="205"/>
        <v>32650.365599999997</v>
      </c>
      <c r="L634" s="58"/>
      <c r="M634" s="141">
        <v>0</v>
      </c>
      <c r="N634" s="50">
        <f t="shared" si="206"/>
        <v>0</v>
      </c>
      <c r="O634" s="50">
        <f t="shared" si="207"/>
        <v>0</v>
      </c>
      <c r="P634" s="59"/>
      <c r="Q634" s="141">
        <v>0</v>
      </c>
      <c r="R634" s="50">
        <f t="shared" si="208"/>
        <v>0</v>
      </c>
      <c r="S634" s="51">
        <f t="shared" si="209"/>
        <v>0</v>
      </c>
      <c r="T634" s="63">
        <v>25</v>
      </c>
      <c r="U634" s="61" t="s">
        <v>81</v>
      </c>
      <c r="V634" s="53">
        <f>SUMIF('Avoided Costs 2014-2023'!$A:$A,'2014 Actuals'!U634&amp;ROUNDDOWN('2014 Actuals'!T634,0),'Avoided Costs 2014-2023'!$E:$E)*K634</f>
        <v>103706.82010048938</v>
      </c>
      <c r="W634" s="53">
        <f>SUMIF('Avoided Costs 2014-2023'!$A:$A,'2014 Actuals'!U634&amp;ROUNDDOWN('2014 Actuals'!T634,0),'Avoided Costs 2014-2023'!$K:$K)*O634</f>
        <v>0</v>
      </c>
      <c r="X634" s="53">
        <f>SUMIF('Avoided Costs 2014-2023'!$A:$A,'2014 Actuals'!U634&amp;ROUNDDOWN('2014 Actuals'!T634,0),'Avoided Costs 2014-2023'!$M:$M)*S634</f>
        <v>0</v>
      </c>
      <c r="Y634" s="53">
        <f t="shared" si="210"/>
        <v>103706.82010048938</v>
      </c>
      <c r="Z634" s="55">
        <v>18862</v>
      </c>
      <c r="AA634" s="54">
        <f t="shared" si="211"/>
        <v>15089.6</v>
      </c>
      <c r="AB634" s="54"/>
      <c r="AC634" s="54"/>
      <c r="AD634" s="54"/>
      <c r="AE634" s="54">
        <f t="shared" si="212"/>
        <v>15089.6</v>
      </c>
      <c r="AF634" s="54">
        <f t="shared" si="213"/>
        <v>88617.220100489372</v>
      </c>
      <c r="AG634" s="49">
        <f t="shared" si="214"/>
        <v>816259.1399999999</v>
      </c>
      <c r="AH634" s="49">
        <f t="shared" si="215"/>
        <v>1020323.9249999998</v>
      </c>
    </row>
    <row r="635" spans="1:34" s="56" customFormat="1">
      <c r="A635" s="62" t="s">
        <v>737</v>
      </c>
      <c r="B635" s="62"/>
      <c r="C635" s="62"/>
      <c r="D635" s="62"/>
      <c r="E635" s="141">
        <v>0</v>
      </c>
      <c r="F635" s="142"/>
      <c r="G635" s="143">
        <v>0.2</v>
      </c>
      <c r="H635" s="143">
        <v>0</v>
      </c>
      <c r="I635" s="49">
        <v>5942</v>
      </c>
      <c r="J635" s="49">
        <f t="shared" si="204"/>
        <v>4973.4539999999997</v>
      </c>
      <c r="K635" s="49">
        <f t="shared" si="205"/>
        <v>3978.7631999999999</v>
      </c>
      <c r="L635" s="58"/>
      <c r="M635" s="141">
        <v>0</v>
      </c>
      <c r="N635" s="50">
        <f t="shared" si="206"/>
        <v>0</v>
      </c>
      <c r="O635" s="50">
        <f t="shared" si="207"/>
        <v>0</v>
      </c>
      <c r="P635" s="59"/>
      <c r="Q635" s="141">
        <v>0</v>
      </c>
      <c r="R635" s="50">
        <f t="shared" si="208"/>
        <v>0</v>
      </c>
      <c r="S635" s="51">
        <f t="shared" si="209"/>
        <v>0</v>
      </c>
      <c r="T635" s="63">
        <v>25</v>
      </c>
      <c r="U635" s="61" t="s">
        <v>94</v>
      </c>
      <c r="V635" s="53">
        <f>SUMIF('Avoided Costs 2014-2023'!$A:$A,'2014 Actuals'!U635&amp;ROUNDDOWN('2014 Actuals'!T635,0),'Avoided Costs 2014-2023'!$E:$E)*K635</f>
        <v>11839.792792623412</v>
      </c>
      <c r="W635" s="53">
        <f>SUMIF('Avoided Costs 2014-2023'!$A:$A,'2014 Actuals'!U635&amp;ROUNDDOWN('2014 Actuals'!T635,0),'Avoided Costs 2014-2023'!$K:$K)*O635</f>
        <v>0</v>
      </c>
      <c r="X635" s="53">
        <f>SUMIF('Avoided Costs 2014-2023'!$A:$A,'2014 Actuals'!U635&amp;ROUNDDOWN('2014 Actuals'!T635,0),'Avoided Costs 2014-2023'!$M:$M)*S635</f>
        <v>0</v>
      </c>
      <c r="Y635" s="53">
        <f t="shared" si="210"/>
        <v>11839.792792623412</v>
      </c>
      <c r="Z635" s="55">
        <v>10454</v>
      </c>
      <c r="AA635" s="54">
        <f t="shared" si="211"/>
        <v>8363.2000000000007</v>
      </c>
      <c r="AB635" s="54"/>
      <c r="AC635" s="54"/>
      <c r="AD635" s="54"/>
      <c r="AE635" s="54">
        <f t="shared" si="212"/>
        <v>8363.2000000000007</v>
      </c>
      <c r="AF635" s="54">
        <f t="shared" si="213"/>
        <v>3476.5927926234108</v>
      </c>
      <c r="AG635" s="49">
        <f t="shared" si="214"/>
        <v>99469.08</v>
      </c>
      <c r="AH635" s="49">
        <f t="shared" si="215"/>
        <v>124336.34999999999</v>
      </c>
    </row>
    <row r="636" spans="1:34" s="56" customFormat="1">
      <c r="A636" s="62" t="s">
        <v>738</v>
      </c>
      <c r="B636" s="62"/>
      <c r="C636" s="62"/>
      <c r="D636" s="62"/>
      <c r="E636" s="141">
        <v>1</v>
      </c>
      <c r="F636" s="142"/>
      <c r="G636" s="143">
        <v>0.2</v>
      </c>
      <c r="H636" s="143">
        <v>0</v>
      </c>
      <c r="I636" s="49">
        <v>51572</v>
      </c>
      <c r="J636" s="49">
        <f t="shared" si="204"/>
        <v>43165.763999999996</v>
      </c>
      <c r="K636" s="49">
        <f t="shared" si="205"/>
        <v>34532.611199999999</v>
      </c>
      <c r="L636" s="58"/>
      <c r="M636" s="141">
        <v>0</v>
      </c>
      <c r="N636" s="50">
        <f t="shared" si="206"/>
        <v>0</v>
      </c>
      <c r="O636" s="50">
        <f t="shared" si="207"/>
        <v>0</v>
      </c>
      <c r="P636" s="59"/>
      <c r="Q636" s="141">
        <v>0</v>
      </c>
      <c r="R636" s="50">
        <f t="shared" si="208"/>
        <v>0</v>
      </c>
      <c r="S636" s="51">
        <f t="shared" si="209"/>
        <v>0</v>
      </c>
      <c r="T636" s="63">
        <v>25</v>
      </c>
      <c r="U636" s="61" t="s">
        <v>81</v>
      </c>
      <c r="V636" s="53">
        <f>SUMIF('Avoided Costs 2014-2023'!$A:$A,'2014 Actuals'!U636&amp;ROUNDDOWN('2014 Actuals'!T636,0),'Avoided Costs 2014-2023'!$E:$E)*K636</f>
        <v>109685.36589123354</v>
      </c>
      <c r="W636" s="53">
        <f>SUMIF('Avoided Costs 2014-2023'!$A:$A,'2014 Actuals'!U636&amp;ROUNDDOWN('2014 Actuals'!T636,0),'Avoided Costs 2014-2023'!$K:$K)*O636</f>
        <v>0</v>
      </c>
      <c r="X636" s="53">
        <f>SUMIF('Avoided Costs 2014-2023'!$A:$A,'2014 Actuals'!U636&amp;ROUNDDOWN('2014 Actuals'!T636,0),'Avoided Costs 2014-2023'!$M:$M)*S636</f>
        <v>0</v>
      </c>
      <c r="Y636" s="53">
        <f t="shared" si="210"/>
        <v>109685.36589123354</v>
      </c>
      <c r="Z636" s="55">
        <v>7078</v>
      </c>
      <c r="AA636" s="54">
        <f t="shared" si="211"/>
        <v>5662.4000000000005</v>
      </c>
      <c r="AB636" s="54"/>
      <c r="AC636" s="54"/>
      <c r="AD636" s="54"/>
      <c r="AE636" s="54">
        <f t="shared" si="212"/>
        <v>5662.4000000000005</v>
      </c>
      <c r="AF636" s="54">
        <f t="shared" si="213"/>
        <v>104022.96589123354</v>
      </c>
      <c r="AG636" s="49">
        <f t="shared" si="214"/>
        <v>863315.28</v>
      </c>
      <c r="AH636" s="49">
        <f t="shared" si="215"/>
        <v>1079144.0999999999</v>
      </c>
    </row>
    <row r="637" spans="1:34" s="56" customFormat="1">
      <c r="A637" s="62" t="s">
        <v>739</v>
      </c>
      <c r="B637" s="62"/>
      <c r="C637" s="62"/>
      <c r="D637" s="62"/>
      <c r="E637" s="141">
        <v>1</v>
      </c>
      <c r="F637" s="142"/>
      <c r="G637" s="143">
        <v>0.2</v>
      </c>
      <c r="H637" s="143">
        <v>0</v>
      </c>
      <c r="I637" s="49">
        <v>4135</v>
      </c>
      <c r="J637" s="49">
        <f t="shared" si="204"/>
        <v>3460.9949999999999</v>
      </c>
      <c r="K637" s="49">
        <f t="shared" si="205"/>
        <v>2768.7960000000003</v>
      </c>
      <c r="L637" s="58"/>
      <c r="M637" s="141">
        <v>0</v>
      </c>
      <c r="N637" s="50">
        <f t="shared" si="206"/>
        <v>0</v>
      </c>
      <c r="O637" s="50">
        <f t="shared" si="207"/>
        <v>0</v>
      </c>
      <c r="P637" s="59"/>
      <c r="Q637" s="141">
        <v>0</v>
      </c>
      <c r="R637" s="50">
        <f t="shared" si="208"/>
        <v>0</v>
      </c>
      <c r="S637" s="51">
        <f t="shared" si="209"/>
        <v>0</v>
      </c>
      <c r="T637" s="63">
        <v>25</v>
      </c>
      <c r="U637" s="61" t="s">
        <v>81</v>
      </c>
      <c r="V637" s="53">
        <f>SUMIF('Avoided Costs 2014-2023'!$A:$A,'2014 Actuals'!U637&amp;ROUNDDOWN('2014 Actuals'!T637,0),'Avoided Costs 2014-2023'!$E:$E)*K637</f>
        <v>8794.481268134854</v>
      </c>
      <c r="W637" s="53">
        <f>SUMIF('Avoided Costs 2014-2023'!$A:$A,'2014 Actuals'!U637&amp;ROUNDDOWN('2014 Actuals'!T637,0),'Avoided Costs 2014-2023'!$K:$K)*O637</f>
        <v>0</v>
      </c>
      <c r="X637" s="53">
        <f>SUMIF('Avoided Costs 2014-2023'!$A:$A,'2014 Actuals'!U637&amp;ROUNDDOWN('2014 Actuals'!T637,0),'Avoided Costs 2014-2023'!$M:$M)*S637</f>
        <v>0</v>
      </c>
      <c r="Y637" s="53">
        <f t="shared" si="210"/>
        <v>8794.481268134854</v>
      </c>
      <c r="Z637" s="55">
        <v>41400</v>
      </c>
      <c r="AA637" s="54">
        <f t="shared" si="211"/>
        <v>33120</v>
      </c>
      <c r="AB637" s="54"/>
      <c r="AC637" s="54"/>
      <c r="AD637" s="54"/>
      <c r="AE637" s="54">
        <f t="shared" si="212"/>
        <v>33120</v>
      </c>
      <c r="AF637" s="54">
        <f t="shared" si="213"/>
        <v>-24325.518731865144</v>
      </c>
      <c r="AG637" s="49">
        <f t="shared" si="214"/>
        <v>69219.900000000009</v>
      </c>
      <c r="AH637" s="49">
        <f t="shared" si="215"/>
        <v>86524.875</v>
      </c>
    </row>
    <row r="638" spans="1:34" s="56" customFormat="1">
      <c r="A638" s="136" t="s">
        <v>740</v>
      </c>
      <c r="B638" s="136"/>
      <c r="C638" s="136"/>
      <c r="D638" s="136"/>
      <c r="E638" s="137">
        <v>1</v>
      </c>
      <c r="F638" s="138"/>
      <c r="G638" s="139">
        <v>0.2</v>
      </c>
      <c r="H638" s="139">
        <v>0</v>
      </c>
      <c r="I638" s="49">
        <v>35233</v>
      </c>
      <c r="J638" s="49">
        <f t="shared" si="204"/>
        <v>29490.020999999997</v>
      </c>
      <c r="K638" s="49">
        <f t="shared" si="205"/>
        <v>23592.016799999998</v>
      </c>
      <c r="L638" s="138"/>
      <c r="M638" s="137">
        <v>0</v>
      </c>
      <c r="N638" s="50">
        <f t="shared" si="206"/>
        <v>0</v>
      </c>
      <c r="O638" s="50">
        <f t="shared" si="207"/>
        <v>0</v>
      </c>
      <c r="P638" s="140"/>
      <c r="Q638" s="137">
        <v>0</v>
      </c>
      <c r="R638" s="50">
        <f t="shared" si="208"/>
        <v>0</v>
      </c>
      <c r="S638" s="51">
        <f t="shared" si="209"/>
        <v>0</v>
      </c>
      <c r="T638" s="63">
        <v>13.182</v>
      </c>
      <c r="U638" s="52" t="s">
        <v>81</v>
      </c>
      <c r="V638" s="53">
        <f>SUMIF('Avoided Costs 2014-2023'!$A:$A,'2014 Actuals'!U638&amp;ROUNDDOWN('2014 Actuals'!T638,0),'Avoided Costs 2014-2023'!$E:$E)*K638</f>
        <v>49245.432386020766</v>
      </c>
      <c r="W638" s="53">
        <f>SUMIF('Avoided Costs 2014-2023'!$A:$A,'2014 Actuals'!U638&amp;ROUNDDOWN('2014 Actuals'!T638,0),'Avoided Costs 2014-2023'!$K:$K)*O638</f>
        <v>0</v>
      </c>
      <c r="X638" s="53">
        <f>SUMIF('Avoided Costs 2014-2023'!$A:$A,'2014 Actuals'!U638&amp;ROUNDDOWN('2014 Actuals'!T638,0),'Avoided Costs 2014-2023'!$M:$M)*S638</f>
        <v>0</v>
      </c>
      <c r="Y638" s="53">
        <f t="shared" si="210"/>
        <v>49245.432386020766</v>
      </c>
      <c r="Z638" s="55">
        <v>28072</v>
      </c>
      <c r="AA638" s="54">
        <f t="shared" si="211"/>
        <v>22457.600000000002</v>
      </c>
      <c r="AB638" s="54"/>
      <c r="AC638" s="54"/>
      <c r="AD638" s="54"/>
      <c r="AE638" s="54">
        <f t="shared" si="212"/>
        <v>22457.600000000002</v>
      </c>
      <c r="AF638" s="54">
        <f t="shared" si="213"/>
        <v>26787.832386020764</v>
      </c>
      <c r="AG638" s="49">
        <f t="shared" si="214"/>
        <v>310989.96545759996</v>
      </c>
      <c r="AH638" s="49">
        <f t="shared" si="215"/>
        <v>388737.45682199998</v>
      </c>
    </row>
    <row r="639" spans="1:34" s="56" customFormat="1">
      <c r="A639" s="136" t="s">
        <v>741</v>
      </c>
      <c r="B639" s="136"/>
      <c r="C639" s="136"/>
      <c r="D639" s="136"/>
      <c r="E639" s="137">
        <v>0</v>
      </c>
      <c r="F639" s="138"/>
      <c r="G639" s="139">
        <v>0.2</v>
      </c>
      <c r="H639" s="139">
        <v>0</v>
      </c>
      <c r="I639" s="49">
        <v>43984</v>
      </c>
      <c r="J639" s="49">
        <f t="shared" si="204"/>
        <v>36814.608</v>
      </c>
      <c r="K639" s="49">
        <f t="shared" si="205"/>
        <v>29451.686400000002</v>
      </c>
      <c r="L639" s="138"/>
      <c r="M639" s="137">
        <v>11909</v>
      </c>
      <c r="N639" s="50">
        <f t="shared" si="206"/>
        <v>11909</v>
      </c>
      <c r="O639" s="50">
        <f t="shared" si="207"/>
        <v>9527.2000000000007</v>
      </c>
      <c r="P639" s="140"/>
      <c r="Q639" s="137">
        <v>0</v>
      </c>
      <c r="R639" s="50">
        <f t="shared" si="208"/>
        <v>0</v>
      </c>
      <c r="S639" s="51">
        <f t="shared" si="209"/>
        <v>0</v>
      </c>
      <c r="T639" s="63">
        <v>15</v>
      </c>
      <c r="U639" s="52" t="s">
        <v>81</v>
      </c>
      <c r="V639" s="53">
        <f>SUMIF('Avoided Costs 2014-2023'!$A:$A,'2014 Actuals'!U639&amp;ROUNDDOWN('2014 Actuals'!T639,0),'Avoided Costs 2014-2023'!$E:$E)*K639</f>
        <v>68176.881705751104</v>
      </c>
      <c r="W639" s="53">
        <f>SUMIF('Avoided Costs 2014-2023'!$A:$A,'2014 Actuals'!U639&amp;ROUNDDOWN('2014 Actuals'!T639,0),'Avoided Costs 2014-2023'!$K:$K)*O639</f>
        <v>11265.726911754869</v>
      </c>
      <c r="X639" s="53">
        <f>SUMIF('Avoided Costs 2014-2023'!$A:$A,'2014 Actuals'!U639&amp;ROUNDDOWN('2014 Actuals'!T639,0),'Avoided Costs 2014-2023'!$M:$M)*S639</f>
        <v>0</v>
      </c>
      <c r="Y639" s="53">
        <f t="shared" si="210"/>
        <v>79442.608617505975</v>
      </c>
      <c r="Z639" s="55">
        <v>19425</v>
      </c>
      <c r="AA639" s="54">
        <f t="shared" si="211"/>
        <v>15540</v>
      </c>
      <c r="AB639" s="54"/>
      <c r="AC639" s="54"/>
      <c r="AD639" s="54"/>
      <c r="AE639" s="54">
        <f t="shared" si="212"/>
        <v>15540</v>
      </c>
      <c r="AF639" s="54">
        <f t="shared" si="213"/>
        <v>63902.608617505975</v>
      </c>
      <c r="AG639" s="49">
        <f t="shared" si="214"/>
        <v>441775.29600000003</v>
      </c>
      <c r="AH639" s="49">
        <f t="shared" si="215"/>
        <v>552219.12</v>
      </c>
    </row>
    <row r="640" spans="1:34" s="56" customFormat="1">
      <c r="A640" s="136" t="s">
        <v>742</v>
      </c>
      <c r="B640" s="136"/>
      <c r="C640" s="136"/>
      <c r="D640" s="136"/>
      <c r="E640" s="137">
        <v>1</v>
      </c>
      <c r="F640" s="138"/>
      <c r="G640" s="139">
        <v>0.2</v>
      </c>
      <c r="H640" s="139">
        <v>0</v>
      </c>
      <c r="I640" s="49">
        <v>82553</v>
      </c>
      <c r="J640" s="49">
        <f t="shared" si="204"/>
        <v>69096.861000000004</v>
      </c>
      <c r="K640" s="49">
        <f t="shared" si="205"/>
        <v>55277.488800000006</v>
      </c>
      <c r="L640" s="138"/>
      <c r="M640" s="137">
        <v>0</v>
      </c>
      <c r="N640" s="50">
        <f t="shared" si="206"/>
        <v>0</v>
      </c>
      <c r="O640" s="50">
        <f t="shared" si="207"/>
        <v>0</v>
      </c>
      <c r="P640" s="140"/>
      <c r="Q640" s="137">
        <v>0</v>
      </c>
      <c r="R640" s="50">
        <f t="shared" si="208"/>
        <v>0</v>
      </c>
      <c r="S640" s="51">
        <f t="shared" si="209"/>
        <v>0</v>
      </c>
      <c r="T640" s="63">
        <v>32.332000000000001</v>
      </c>
      <c r="U640" s="52" t="s">
        <v>81</v>
      </c>
      <c r="V640" s="53">
        <f>SUMIF('Avoided Costs 2014-2023'!$A:$A,'2014 Actuals'!U640&amp;ROUNDDOWN('2014 Actuals'!T640,0),'Avoided Costs 2014-2023'!$E:$E)*K640</f>
        <v>0</v>
      </c>
      <c r="W640" s="53">
        <f>SUMIF('Avoided Costs 2014-2023'!$A:$A,'2014 Actuals'!U640&amp;ROUNDDOWN('2014 Actuals'!T640,0),'Avoided Costs 2014-2023'!$K:$K)*O640</f>
        <v>0</v>
      </c>
      <c r="X640" s="53">
        <f>SUMIF('Avoided Costs 2014-2023'!$A:$A,'2014 Actuals'!U640&amp;ROUNDDOWN('2014 Actuals'!T640,0),'Avoided Costs 2014-2023'!$M:$M)*S640</f>
        <v>0</v>
      </c>
      <c r="Y640" s="53">
        <f t="shared" si="210"/>
        <v>0</v>
      </c>
      <c r="Z640" s="55">
        <v>44161.72</v>
      </c>
      <c r="AA640" s="54">
        <f t="shared" si="211"/>
        <v>35329.376000000004</v>
      </c>
      <c r="AB640" s="54"/>
      <c r="AC640" s="54"/>
      <c r="AD640" s="54"/>
      <c r="AE640" s="54">
        <f t="shared" si="212"/>
        <v>35329.376000000004</v>
      </c>
      <c r="AF640" s="54">
        <f t="shared" si="213"/>
        <v>-35329.376000000004</v>
      </c>
      <c r="AG640" s="49">
        <f t="shared" si="214"/>
        <v>1787231.7678816002</v>
      </c>
      <c r="AH640" s="49">
        <f t="shared" si="215"/>
        <v>2234039.7098520002</v>
      </c>
    </row>
    <row r="641" spans="1:34" s="56" customFormat="1">
      <c r="A641" s="62" t="s">
        <v>743</v>
      </c>
      <c r="B641" s="62"/>
      <c r="C641" s="62"/>
      <c r="D641" s="62"/>
      <c r="E641" s="141">
        <v>1</v>
      </c>
      <c r="F641" s="142"/>
      <c r="G641" s="143">
        <v>0.2</v>
      </c>
      <c r="H641" s="143">
        <v>0</v>
      </c>
      <c r="I641" s="49">
        <v>10691</v>
      </c>
      <c r="J641" s="49">
        <f t="shared" si="204"/>
        <v>8948.3670000000002</v>
      </c>
      <c r="K641" s="49">
        <f t="shared" si="205"/>
        <v>7158.6936000000005</v>
      </c>
      <c r="L641" s="58"/>
      <c r="M641" s="141">
        <v>0</v>
      </c>
      <c r="N641" s="50">
        <f t="shared" si="206"/>
        <v>0</v>
      </c>
      <c r="O641" s="50">
        <f t="shared" si="207"/>
        <v>0</v>
      </c>
      <c r="P641" s="59"/>
      <c r="Q641" s="141">
        <v>0</v>
      </c>
      <c r="R641" s="50">
        <f t="shared" si="208"/>
        <v>0</v>
      </c>
      <c r="S641" s="51">
        <f t="shared" si="209"/>
        <v>0</v>
      </c>
      <c r="T641" s="63">
        <v>25</v>
      </c>
      <c r="U641" s="61" t="s">
        <v>94</v>
      </c>
      <c r="V641" s="53">
        <f>SUMIF('Avoided Costs 2014-2023'!$A:$A,'2014 Actuals'!U641&amp;ROUNDDOWN('2014 Actuals'!T641,0),'Avoided Costs 2014-2023'!$E:$E)*K641</f>
        <v>21302.461249736942</v>
      </c>
      <c r="W641" s="53">
        <f>SUMIF('Avoided Costs 2014-2023'!$A:$A,'2014 Actuals'!U641&amp;ROUNDDOWN('2014 Actuals'!T641,0),'Avoided Costs 2014-2023'!$K:$K)*O641</f>
        <v>0</v>
      </c>
      <c r="X641" s="53">
        <f>SUMIF('Avoided Costs 2014-2023'!$A:$A,'2014 Actuals'!U641&amp;ROUNDDOWN('2014 Actuals'!T641,0),'Avoided Costs 2014-2023'!$M:$M)*S641</f>
        <v>0</v>
      </c>
      <c r="Y641" s="53">
        <f t="shared" si="210"/>
        <v>21302.461249736942</v>
      </c>
      <c r="Z641" s="55">
        <v>26984</v>
      </c>
      <c r="AA641" s="54">
        <f t="shared" si="211"/>
        <v>21587.200000000001</v>
      </c>
      <c r="AB641" s="54"/>
      <c r="AC641" s="54"/>
      <c r="AD641" s="54"/>
      <c r="AE641" s="54">
        <f t="shared" si="212"/>
        <v>21587.200000000001</v>
      </c>
      <c r="AF641" s="54">
        <f t="shared" si="213"/>
        <v>-284.73875026305905</v>
      </c>
      <c r="AG641" s="49">
        <f t="shared" si="214"/>
        <v>178967.34000000003</v>
      </c>
      <c r="AH641" s="49">
        <f t="shared" si="215"/>
        <v>223709.17500000002</v>
      </c>
    </row>
    <row r="642" spans="1:34" s="56" customFormat="1">
      <c r="A642" s="62" t="s">
        <v>744</v>
      </c>
      <c r="B642" s="62"/>
      <c r="C642" s="62"/>
      <c r="D642" s="62"/>
      <c r="E642" s="141">
        <v>1</v>
      </c>
      <c r="F642" s="142"/>
      <c r="G642" s="143">
        <v>0.2</v>
      </c>
      <c r="H642" s="143">
        <v>0</v>
      </c>
      <c r="I642" s="49">
        <v>16002</v>
      </c>
      <c r="J642" s="49">
        <f t="shared" si="204"/>
        <v>13393.673999999999</v>
      </c>
      <c r="K642" s="49">
        <f t="shared" si="205"/>
        <v>10714.939200000001</v>
      </c>
      <c r="L642" s="58"/>
      <c r="M642" s="141">
        <v>19475</v>
      </c>
      <c r="N642" s="50">
        <f t="shared" si="206"/>
        <v>19475</v>
      </c>
      <c r="O642" s="50">
        <f t="shared" si="207"/>
        <v>15580</v>
      </c>
      <c r="P642" s="59"/>
      <c r="Q642" s="141">
        <v>0</v>
      </c>
      <c r="R642" s="50">
        <f t="shared" si="208"/>
        <v>0</v>
      </c>
      <c r="S642" s="51">
        <f t="shared" si="209"/>
        <v>0</v>
      </c>
      <c r="T642" s="63">
        <v>15</v>
      </c>
      <c r="U642" s="61" t="s">
        <v>81</v>
      </c>
      <c r="V642" s="53">
        <f>SUMIF('Avoided Costs 2014-2023'!$A:$A,'2014 Actuals'!U642&amp;ROUNDDOWN('2014 Actuals'!T642,0),'Avoided Costs 2014-2023'!$E:$E)*K642</f>
        <v>24803.711828288218</v>
      </c>
      <c r="W642" s="53">
        <f>SUMIF('Avoided Costs 2014-2023'!$A:$A,'2014 Actuals'!U642&amp;ROUNDDOWN('2014 Actuals'!T642,0),'Avoided Costs 2014-2023'!$K:$K)*O642</f>
        <v>18423.044051257541</v>
      </c>
      <c r="X642" s="53">
        <f>SUMIF('Avoided Costs 2014-2023'!$A:$A,'2014 Actuals'!U642&amp;ROUNDDOWN('2014 Actuals'!T642,0),'Avoided Costs 2014-2023'!$M:$M)*S642</f>
        <v>0</v>
      </c>
      <c r="Y642" s="53">
        <f t="shared" si="210"/>
        <v>43226.755879545759</v>
      </c>
      <c r="Z642" s="55">
        <v>7500</v>
      </c>
      <c r="AA642" s="54">
        <f t="shared" si="211"/>
        <v>6000</v>
      </c>
      <c r="AB642" s="54"/>
      <c r="AC642" s="54"/>
      <c r="AD642" s="54"/>
      <c r="AE642" s="54">
        <f t="shared" si="212"/>
        <v>6000</v>
      </c>
      <c r="AF642" s="54">
        <f t="shared" si="213"/>
        <v>37226.755879545759</v>
      </c>
      <c r="AG642" s="49">
        <f t="shared" si="214"/>
        <v>160724.08800000002</v>
      </c>
      <c r="AH642" s="49">
        <f t="shared" si="215"/>
        <v>200905.11</v>
      </c>
    </row>
    <row r="643" spans="1:34" s="56" customFormat="1">
      <c r="A643" s="62" t="s">
        <v>745</v>
      </c>
      <c r="B643" s="62"/>
      <c r="C643" s="62"/>
      <c r="D643" s="62"/>
      <c r="E643" s="141">
        <v>1</v>
      </c>
      <c r="F643" s="142"/>
      <c r="G643" s="143">
        <v>0.2</v>
      </c>
      <c r="H643" s="143">
        <v>0</v>
      </c>
      <c r="I643" s="49">
        <v>46362</v>
      </c>
      <c r="J643" s="49">
        <f t="shared" si="204"/>
        <v>38804.993999999999</v>
      </c>
      <c r="K643" s="49">
        <f t="shared" si="205"/>
        <v>31043.995200000001</v>
      </c>
      <c r="L643" s="58"/>
      <c r="M643" s="141">
        <v>0</v>
      </c>
      <c r="N643" s="50">
        <f t="shared" si="206"/>
        <v>0</v>
      </c>
      <c r="O643" s="50">
        <f t="shared" si="207"/>
        <v>0</v>
      </c>
      <c r="P643" s="59"/>
      <c r="Q643" s="141">
        <v>0</v>
      </c>
      <c r="R643" s="50">
        <f t="shared" si="208"/>
        <v>0</v>
      </c>
      <c r="S643" s="51">
        <f t="shared" si="209"/>
        <v>0</v>
      </c>
      <c r="T643" s="63">
        <v>25</v>
      </c>
      <c r="U643" s="61" t="s">
        <v>81</v>
      </c>
      <c r="V643" s="53">
        <f>SUMIF('Avoided Costs 2014-2023'!$A:$A,'2014 Actuals'!U643&amp;ROUNDDOWN('2014 Actuals'!T643,0),'Avoided Costs 2014-2023'!$E:$E)*K643</f>
        <v>98604.532177332061</v>
      </c>
      <c r="W643" s="53">
        <f>SUMIF('Avoided Costs 2014-2023'!$A:$A,'2014 Actuals'!U643&amp;ROUNDDOWN('2014 Actuals'!T643,0),'Avoided Costs 2014-2023'!$K:$K)*O643</f>
        <v>0</v>
      </c>
      <c r="X643" s="53">
        <f>SUMIF('Avoided Costs 2014-2023'!$A:$A,'2014 Actuals'!U643&amp;ROUNDDOWN('2014 Actuals'!T643,0),'Avoided Costs 2014-2023'!$M:$M)*S643</f>
        <v>0</v>
      </c>
      <c r="Y643" s="53">
        <f t="shared" si="210"/>
        <v>98604.532177332061</v>
      </c>
      <c r="Z643" s="55">
        <v>253</v>
      </c>
      <c r="AA643" s="54">
        <f t="shared" si="211"/>
        <v>202.4</v>
      </c>
      <c r="AB643" s="54"/>
      <c r="AC643" s="54"/>
      <c r="AD643" s="54"/>
      <c r="AE643" s="54">
        <f t="shared" si="212"/>
        <v>202.4</v>
      </c>
      <c r="AF643" s="54">
        <f t="shared" si="213"/>
        <v>98402.132177332067</v>
      </c>
      <c r="AG643" s="49">
        <f t="shared" si="214"/>
        <v>776099.88</v>
      </c>
      <c r="AH643" s="49">
        <f t="shared" si="215"/>
        <v>970124.85</v>
      </c>
    </row>
    <row r="644" spans="1:34" s="56" customFormat="1">
      <c r="A644" s="62" t="s">
        <v>746</v>
      </c>
      <c r="B644" s="62"/>
      <c r="C644" s="62"/>
      <c r="D644" s="62"/>
      <c r="E644" s="141">
        <v>0</v>
      </c>
      <c r="F644" s="142"/>
      <c r="G644" s="143">
        <v>0.2</v>
      </c>
      <c r="H644" s="143">
        <v>0</v>
      </c>
      <c r="I644" s="49">
        <v>21196</v>
      </c>
      <c r="J644" s="49">
        <f t="shared" si="204"/>
        <v>17741.052</v>
      </c>
      <c r="K644" s="49">
        <f t="shared" si="205"/>
        <v>14192.8416</v>
      </c>
      <c r="L644" s="58"/>
      <c r="M644" s="141">
        <v>0</v>
      </c>
      <c r="N644" s="50">
        <f t="shared" si="206"/>
        <v>0</v>
      </c>
      <c r="O644" s="50">
        <f t="shared" si="207"/>
        <v>0</v>
      </c>
      <c r="P644" s="59"/>
      <c r="Q644" s="141">
        <v>0</v>
      </c>
      <c r="R644" s="50">
        <f t="shared" si="208"/>
        <v>0</v>
      </c>
      <c r="S644" s="51">
        <f t="shared" si="209"/>
        <v>0</v>
      </c>
      <c r="T644" s="63">
        <v>25</v>
      </c>
      <c r="U644" s="61" t="s">
        <v>94</v>
      </c>
      <c r="V644" s="53">
        <f>SUMIF('Avoided Costs 2014-2023'!$A:$A,'2014 Actuals'!U644&amp;ROUNDDOWN('2014 Actuals'!T644,0),'Avoided Costs 2014-2023'!$E:$E)*K644</f>
        <v>42234.306299637465</v>
      </c>
      <c r="W644" s="53">
        <f>SUMIF('Avoided Costs 2014-2023'!$A:$A,'2014 Actuals'!U644&amp;ROUNDDOWN('2014 Actuals'!T644,0),'Avoided Costs 2014-2023'!$K:$K)*O644</f>
        <v>0</v>
      </c>
      <c r="X644" s="53">
        <f>SUMIF('Avoided Costs 2014-2023'!$A:$A,'2014 Actuals'!U644&amp;ROUNDDOWN('2014 Actuals'!T644,0),'Avoided Costs 2014-2023'!$M:$M)*S644</f>
        <v>0</v>
      </c>
      <c r="Y644" s="53">
        <f t="shared" si="210"/>
        <v>42234.306299637465</v>
      </c>
      <c r="Z644" s="55">
        <v>29252</v>
      </c>
      <c r="AA644" s="54">
        <f t="shared" si="211"/>
        <v>23401.600000000002</v>
      </c>
      <c r="AB644" s="54"/>
      <c r="AC644" s="54"/>
      <c r="AD644" s="54"/>
      <c r="AE644" s="54">
        <f t="shared" si="212"/>
        <v>23401.600000000002</v>
      </c>
      <c r="AF644" s="54">
        <f t="shared" si="213"/>
        <v>18832.706299637463</v>
      </c>
      <c r="AG644" s="49">
        <f t="shared" si="214"/>
        <v>354821.04</v>
      </c>
      <c r="AH644" s="49">
        <f t="shared" si="215"/>
        <v>443526.3</v>
      </c>
    </row>
    <row r="645" spans="1:34" s="56" customFormat="1">
      <c r="A645" s="62" t="s">
        <v>747</v>
      </c>
      <c r="B645" s="62"/>
      <c r="C645" s="62"/>
      <c r="D645" s="62"/>
      <c r="E645" s="141">
        <v>1</v>
      </c>
      <c r="F645" s="142"/>
      <c r="G645" s="143">
        <v>0.2</v>
      </c>
      <c r="H645" s="143">
        <v>0</v>
      </c>
      <c r="I645" s="49">
        <v>67733</v>
      </c>
      <c r="J645" s="49">
        <f t="shared" si="204"/>
        <v>56692.521000000001</v>
      </c>
      <c r="K645" s="49">
        <f t="shared" si="205"/>
        <v>45354.016800000005</v>
      </c>
      <c r="L645" s="58"/>
      <c r="M645" s="141">
        <v>0</v>
      </c>
      <c r="N645" s="50">
        <f t="shared" si="206"/>
        <v>0</v>
      </c>
      <c r="O645" s="50">
        <f t="shared" si="207"/>
        <v>0</v>
      </c>
      <c r="P645" s="59"/>
      <c r="Q645" s="141">
        <v>0</v>
      </c>
      <c r="R645" s="50">
        <f t="shared" si="208"/>
        <v>0</v>
      </c>
      <c r="S645" s="51">
        <f t="shared" si="209"/>
        <v>0</v>
      </c>
      <c r="T645" s="63">
        <v>25</v>
      </c>
      <c r="U645" s="61" t="s">
        <v>81</v>
      </c>
      <c r="V645" s="53">
        <f>SUMIF('Avoided Costs 2014-2023'!$A:$A,'2014 Actuals'!U645&amp;ROUNDDOWN('2014 Actuals'!T645,0),'Avoided Costs 2014-2023'!$E:$E)*K645</f>
        <v>144057.21879917246</v>
      </c>
      <c r="W645" s="53">
        <f>SUMIF('Avoided Costs 2014-2023'!$A:$A,'2014 Actuals'!U645&amp;ROUNDDOWN('2014 Actuals'!T645,0),'Avoided Costs 2014-2023'!$K:$K)*O645</f>
        <v>0</v>
      </c>
      <c r="X645" s="53">
        <f>SUMIF('Avoided Costs 2014-2023'!$A:$A,'2014 Actuals'!U645&amp;ROUNDDOWN('2014 Actuals'!T645,0),'Avoided Costs 2014-2023'!$M:$M)*S645</f>
        <v>0</v>
      </c>
      <c r="Y645" s="53">
        <f t="shared" si="210"/>
        <v>144057.21879917246</v>
      </c>
      <c r="Z645" s="55">
        <v>38093</v>
      </c>
      <c r="AA645" s="54">
        <f t="shared" si="211"/>
        <v>30474.400000000001</v>
      </c>
      <c r="AB645" s="54"/>
      <c r="AC645" s="54"/>
      <c r="AD645" s="54"/>
      <c r="AE645" s="54">
        <f t="shared" si="212"/>
        <v>30474.400000000001</v>
      </c>
      <c r="AF645" s="54">
        <f t="shared" si="213"/>
        <v>113582.81879917247</v>
      </c>
      <c r="AG645" s="49">
        <f t="shared" si="214"/>
        <v>1133850.4200000002</v>
      </c>
      <c r="AH645" s="49">
        <f t="shared" si="215"/>
        <v>1417313.0249999999</v>
      </c>
    </row>
    <row r="646" spans="1:34" s="56" customFormat="1">
      <c r="A646" s="62" t="s">
        <v>748</v>
      </c>
      <c r="B646" s="62"/>
      <c r="C646" s="62"/>
      <c r="D646" s="62"/>
      <c r="E646" s="141">
        <v>0</v>
      </c>
      <c r="F646" s="142"/>
      <c r="G646" s="143">
        <v>0.2</v>
      </c>
      <c r="H646" s="143">
        <v>0</v>
      </c>
      <c r="I646" s="49">
        <v>2376</v>
      </c>
      <c r="J646" s="49">
        <f t="shared" si="204"/>
        <v>1988.712</v>
      </c>
      <c r="K646" s="49">
        <f t="shared" si="205"/>
        <v>1590.9696000000001</v>
      </c>
      <c r="L646" s="58"/>
      <c r="M646" s="141">
        <v>0</v>
      </c>
      <c r="N646" s="50">
        <f t="shared" si="206"/>
        <v>0</v>
      </c>
      <c r="O646" s="50">
        <f t="shared" si="207"/>
        <v>0</v>
      </c>
      <c r="P646" s="59"/>
      <c r="Q646" s="141">
        <v>0</v>
      </c>
      <c r="R646" s="50">
        <f t="shared" si="208"/>
        <v>0</v>
      </c>
      <c r="S646" s="51">
        <f t="shared" si="209"/>
        <v>0</v>
      </c>
      <c r="T646" s="63">
        <v>25</v>
      </c>
      <c r="U646" s="61" t="s">
        <v>94</v>
      </c>
      <c r="V646" s="53">
        <f>SUMIF('Avoided Costs 2014-2023'!$A:$A,'2014 Actuals'!U646&amp;ROUNDDOWN('2014 Actuals'!T646,0),'Avoided Costs 2014-2023'!$E:$E)*K646</f>
        <v>4734.3230688780259</v>
      </c>
      <c r="W646" s="53">
        <f>SUMIF('Avoided Costs 2014-2023'!$A:$A,'2014 Actuals'!U646&amp;ROUNDDOWN('2014 Actuals'!T646,0),'Avoided Costs 2014-2023'!$K:$K)*O646</f>
        <v>0</v>
      </c>
      <c r="X646" s="53">
        <f>SUMIF('Avoided Costs 2014-2023'!$A:$A,'2014 Actuals'!U646&amp;ROUNDDOWN('2014 Actuals'!T646,0),'Avoided Costs 2014-2023'!$M:$M)*S646</f>
        <v>0</v>
      </c>
      <c r="Y646" s="53">
        <f t="shared" si="210"/>
        <v>4734.3230688780259</v>
      </c>
      <c r="Z646" s="55">
        <v>3628</v>
      </c>
      <c r="AA646" s="54">
        <f t="shared" si="211"/>
        <v>2902.4</v>
      </c>
      <c r="AB646" s="54"/>
      <c r="AC646" s="54"/>
      <c r="AD646" s="54"/>
      <c r="AE646" s="54">
        <f t="shared" si="212"/>
        <v>2902.4</v>
      </c>
      <c r="AF646" s="54">
        <f t="shared" si="213"/>
        <v>1831.9230688780258</v>
      </c>
      <c r="AG646" s="49">
        <f t="shared" si="214"/>
        <v>39774.240000000005</v>
      </c>
      <c r="AH646" s="49">
        <f t="shared" si="215"/>
        <v>49717.8</v>
      </c>
    </row>
    <row r="647" spans="1:34" s="56" customFormat="1">
      <c r="A647" s="62" t="s">
        <v>749</v>
      </c>
      <c r="B647" s="62"/>
      <c r="C647" s="62"/>
      <c r="D647" s="62"/>
      <c r="E647" s="141">
        <v>1</v>
      </c>
      <c r="F647" s="142"/>
      <c r="G647" s="143">
        <v>0.2</v>
      </c>
      <c r="H647" s="143">
        <v>0</v>
      </c>
      <c r="I647" s="49">
        <v>7152</v>
      </c>
      <c r="J647" s="49">
        <f t="shared" si="204"/>
        <v>5986.2240000000002</v>
      </c>
      <c r="K647" s="49">
        <f t="shared" si="205"/>
        <v>4788.9792000000007</v>
      </c>
      <c r="L647" s="58"/>
      <c r="M647" s="141">
        <v>0</v>
      </c>
      <c r="N647" s="50">
        <f t="shared" si="206"/>
        <v>0</v>
      </c>
      <c r="O647" s="50">
        <f t="shared" si="207"/>
        <v>0</v>
      </c>
      <c r="P647" s="59"/>
      <c r="Q647" s="141">
        <v>0</v>
      </c>
      <c r="R647" s="50">
        <f t="shared" si="208"/>
        <v>0</v>
      </c>
      <c r="S647" s="51">
        <f t="shared" si="209"/>
        <v>0</v>
      </c>
      <c r="T647" s="63">
        <v>25</v>
      </c>
      <c r="U647" s="61" t="s">
        <v>81</v>
      </c>
      <c r="V647" s="53">
        <f>SUMIF('Avoided Costs 2014-2023'!$A:$A,'2014 Actuals'!U647&amp;ROUNDDOWN('2014 Actuals'!T647,0),'Avoided Costs 2014-2023'!$E:$E)*K647</f>
        <v>15211.155992672426</v>
      </c>
      <c r="W647" s="53">
        <f>SUMIF('Avoided Costs 2014-2023'!$A:$A,'2014 Actuals'!U647&amp;ROUNDDOWN('2014 Actuals'!T647,0),'Avoided Costs 2014-2023'!$K:$K)*O647</f>
        <v>0</v>
      </c>
      <c r="X647" s="53">
        <f>SUMIF('Avoided Costs 2014-2023'!$A:$A,'2014 Actuals'!U647&amp;ROUNDDOWN('2014 Actuals'!T647,0),'Avoided Costs 2014-2023'!$M:$M)*S647</f>
        <v>0</v>
      </c>
      <c r="Y647" s="53">
        <f t="shared" si="210"/>
        <v>15211.155992672426</v>
      </c>
      <c r="Z647" s="55">
        <v>2486</v>
      </c>
      <c r="AA647" s="54">
        <f t="shared" si="211"/>
        <v>1988.8000000000002</v>
      </c>
      <c r="AB647" s="54"/>
      <c r="AC647" s="54"/>
      <c r="AD647" s="54"/>
      <c r="AE647" s="54">
        <f t="shared" si="212"/>
        <v>1988.8000000000002</v>
      </c>
      <c r="AF647" s="54">
        <f t="shared" si="213"/>
        <v>13222.355992672427</v>
      </c>
      <c r="AG647" s="49">
        <f t="shared" si="214"/>
        <v>119724.48000000001</v>
      </c>
      <c r="AH647" s="49">
        <f t="shared" si="215"/>
        <v>149655.6</v>
      </c>
    </row>
    <row r="648" spans="1:34" s="56" customFormat="1">
      <c r="A648" s="62" t="s">
        <v>750</v>
      </c>
      <c r="B648" s="62"/>
      <c r="C648" s="62"/>
      <c r="D648" s="62"/>
      <c r="E648" s="141">
        <v>1</v>
      </c>
      <c r="F648" s="142"/>
      <c r="G648" s="143">
        <v>0.2</v>
      </c>
      <c r="H648" s="143">
        <v>0</v>
      </c>
      <c r="I648" s="49">
        <v>10047</v>
      </c>
      <c r="J648" s="49">
        <f t="shared" si="204"/>
        <v>8409.3389999999999</v>
      </c>
      <c r="K648" s="49">
        <f t="shared" si="205"/>
        <v>6727.4712</v>
      </c>
      <c r="L648" s="58"/>
      <c r="M648" s="141">
        <v>0</v>
      </c>
      <c r="N648" s="50">
        <f t="shared" si="206"/>
        <v>0</v>
      </c>
      <c r="O648" s="50">
        <f t="shared" si="207"/>
        <v>0</v>
      </c>
      <c r="P648" s="59"/>
      <c r="Q648" s="141">
        <v>0</v>
      </c>
      <c r="R648" s="50">
        <f t="shared" si="208"/>
        <v>0</v>
      </c>
      <c r="S648" s="51">
        <f t="shared" si="209"/>
        <v>0</v>
      </c>
      <c r="T648" s="63">
        <v>25</v>
      </c>
      <c r="U648" s="61" t="s">
        <v>81</v>
      </c>
      <c r="V648" s="53">
        <f>SUMIF('Avoided Costs 2014-2023'!$A:$A,'2014 Actuals'!U648&amp;ROUNDDOWN('2014 Actuals'!T648,0),'Avoided Costs 2014-2023'!$E:$E)*K648</f>
        <v>21368.356300109037</v>
      </c>
      <c r="W648" s="53">
        <f>SUMIF('Avoided Costs 2014-2023'!$A:$A,'2014 Actuals'!U648&amp;ROUNDDOWN('2014 Actuals'!T648,0),'Avoided Costs 2014-2023'!$K:$K)*O648</f>
        <v>0</v>
      </c>
      <c r="X648" s="53">
        <f>SUMIF('Avoided Costs 2014-2023'!$A:$A,'2014 Actuals'!U648&amp;ROUNDDOWN('2014 Actuals'!T648,0),'Avoided Costs 2014-2023'!$M:$M)*S648</f>
        <v>0</v>
      </c>
      <c r="Y648" s="53">
        <f t="shared" si="210"/>
        <v>21368.356300109037</v>
      </c>
      <c r="Z648" s="55">
        <v>4454</v>
      </c>
      <c r="AA648" s="54">
        <f t="shared" si="211"/>
        <v>3563.2000000000003</v>
      </c>
      <c r="AB648" s="54"/>
      <c r="AC648" s="54"/>
      <c r="AD648" s="54"/>
      <c r="AE648" s="54">
        <f t="shared" si="212"/>
        <v>3563.2000000000003</v>
      </c>
      <c r="AF648" s="54">
        <f t="shared" si="213"/>
        <v>17805.156300109036</v>
      </c>
      <c r="AG648" s="49">
        <f t="shared" si="214"/>
        <v>168186.78</v>
      </c>
      <c r="AH648" s="49">
        <f t="shared" si="215"/>
        <v>210233.47500000001</v>
      </c>
    </row>
    <row r="649" spans="1:34" s="56" customFormat="1">
      <c r="A649" s="62" t="s">
        <v>751</v>
      </c>
      <c r="B649" s="62"/>
      <c r="C649" s="62"/>
      <c r="D649" s="62"/>
      <c r="E649" s="141">
        <v>1</v>
      </c>
      <c r="F649" s="142"/>
      <c r="G649" s="143">
        <v>0.2</v>
      </c>
      <c r="H649" s="143">
        <v>0</v>
      </c>
      <c r="I649" s="49">
        <v>30360</v>
      </c>
      <c r="J649" s="49">
        <f t="shared" si="204"/>
        <v>25411.32</v>
      </c>
      <c r="K649" s="49">
        <f t="shared" si="205"/>
        <v>20329.056</v>
      </c>
      <c r="L649" s="58"/>
      <c r="M649" s="141">
        <v>0</v>
      </c>
      <c r="N649" s="50">
        <f t="shared" si="206"/>
        <v>0</v>
      </c>
      <c r="O649" s="50">
        <f t="shared" si="207"/>
        <v>0</v>
      </c>
      <c r="P649" s="59"/>
      <c r="Q649" s="141">
        <v>0</v>
      </c>
      <c r="R649" s="50">
        <f t="shared" si="208"/>
        <v>0</v>
      </c>
      <c r="S649" s="51">
        <f t="shared" si="209"/>
        <v>0</v>
      </c>
      <c r="T649" s="63">
        <v>25</v>
      </c>
      <c r="U649" s="61" t="s">
        <v>81</v>
      </c>
      <c r="V649" s="53">
        <f>SUMIF('Avoided Costs 2014-2023'!$A:$A,'2014 Actuals'!U649&amp;ROUNDDOWN('2014 Actuals'!T649,0),'Avoided Costs 2014-2023'!$E:$E)*K649</f>
        <v>64570.846747418174</v>
      </c>
      <c r="W649" s="53">
        <f>SUMIF('Avoided Costs 2014-2023'!$A:$A,'2014 Actuals'!U649&amp;ROUNDDOWN('2014 Actuals'!T649,0),'Avoided Costs 2014-2023'!$K:$K)*O649</f>
        <v>0</v>
      </c>
      <c r="X649" s="53">
        <f>SUMIF('Avoided Costs 2014-2023'!$A:$A,'2014 Actuals'!U649&amp;ROUNDDOWN('2014 Actuals'!T649,0),'Avoided Costs 2014-2023'!$M:$M)*S649</f>
        <v>0</v>
      </c>
      <c r="Y649" s="53">
        <f t="shared" si="210"/>
        <v>64570.846747418174</v>
      </c>
      <c r="Z649" s="55">
        <v>13667</v>
      </c>
      <c r="AA649" s="54">
        <f t="shared" si="211"/>
        <v>10933.6</v>
      </c>
      <c r="AB649" s="54"/>
      <c r="AC649" s="54"/>
      <c r="AD649" s="54"/>
      <c r="AE649" s="54">
        <f t="shared" si="212"/>
        <v>10933.6</v>
      </c>
      <c r="AF649" s="54">
        <f t="shared" si="213"/>
        <v>53637.246747418176</v>
      </c>
      <c r="AG649" s="49">
        <f t="shared" si="214"/>
        <v>508226.4</v>
      </c>
      <c r="AH649" s="49">
        <f t="shared" si="215"/>
        <v>635283</v>
      </c>
    </row>
    <row r="650" spans="1:34" s="56" customFormat="1">
      <c r="A650" s="62" t="s">
        <v>752</v>
      </c>
      <c r="B650" s="62"/>
      <c r="C650" s="62"/>
      <c r="D650" s="62"/>
      <c r="E650" s="141">
        <v>1</v>
      </c>
      <c r="F650" s="142"/>
      <c r="G650" s="143">
        <v>0.2</v>
      </c>
      <c r="H650" s="143">
        <v>0</v>
      </c>
      <c r="I650" s="49">
        <v>5508</v>
      </c>
      <c r="J650" s="49">
        <f t="shared" si="204"/>
        <v>4610.1959999999999</v>
      </c>
      <c r="K650" s="49">
        <f t="shared" si="205"/>
        <v>3688.1568000000002</v>
      </c>
      <c r="L650" s="58"/>
      <c r="M650" s="141">
        <v>0</v>
      </c>
      <c r="N650" s="50">
        <f t="shared" si="206"/>
        <v>0</v>
      </c>
      <c r="O650" s="50">
        <f t="shared" si="207"/>
        <v>0</v>
      </c>
      <c r="P650" s="59"/>
      <c r="Q650" s="141">
        <v>0</v>
      </c>
      <c r="R650" s="50">
        <f t="shared" si="208"/>
        <v>0</v>
      </c>
      <c r="S650" s="51">
        <f t="shared" si="209"/>
        <v>0</v>
      </c>
      <c r="T650" s="63">
        <v>25</v>
      </c>
      <c r="U650" s="61" t="s">
        <v>81</v>
      </c>
      <c r="V650" s="53">
        <f>SUMIF('Avoided Costs 2014-2023'!$A:$A,'2014 Actuals'!U650&amp;ROUNDDOWN('2014 Actuals'!T650,0),'Avoided Costs 2014-2023'!$E:$E)*K650</f>
        <v>11714.631880262823</v>
      </c>
      <c r="W650" s="53">
        <f>SUMIF('Avoided Costs 2014-2023'!$A:$A,'2014 Actuals'!U650&amp;ROUNDDOWN('2014 Actuals'!T650,0),'Avoided Costs 2014-2023'!$K:$K)*O650</f>
        <v>0</v>
      </c>
      <c r="X650" s="53">
        <f>SUMIF('Avoided Costs 2014-2023'!$A:$A,'2014 Actuals'!U650&amp;ROUNDDOWN('2014 Actuals'!T650,0),'Avoided Costs 2014-2023'!$M:$M)*S650</f>
        <v>0</v>
      </c>
      <c r="Y650" s="53">
        <f t="shared" si="210"/>
        <v>11714.631880262823</v>
      </c>
      <c r="Z650" s="55">
        <v>6893</v>
      </c>
      <c r="AA650" s="54">
        <f t="shared" si="211"/>
        <v>5514.4000000000005</v>
      </c>
      <c r="AB650" s="54"/>
      <c r="AC650" s="54"/>
      <c r="AD650" s="54"/>
      <c r="AE650" s="54">
        <f t="shared" si="212"/>
        <v>5514.4000000000005</v>
      </c>
      <c r="AF650" s="54">
        <f t="shared" si="213"/>
        <v>6200.2318802628224</v>
      </c>
      <c r="AG650" s="49">
        <f t="shared" si="214"/>
        <v>92203.92</v>
      </c>
      <c r="AH650" s="49">
        <f t="shared" si="215"/>
        <v>115254.9</v>
      </c>
    </row>
    <row r="651" spans="1:34" s="56" customFormat="1">
      <c r="A651" s="62" t="s">
        <v>753</v>
      </c>
      <c r="B651" s="62"/>
      <c r="C651" s="62"/>
      <c r="D651" s="62"/>
      <c r="E651" s="141">
        <v>1</v>
      </c>
      <c r="F651" s="142"/>
      <c r="G651" s="143">
        <v>0.2</v>
      </c>
      <c r="H651" s="143">
        <v>0</v>
      </c>
      <c r="I651" s="49">
        <v>36483</v>
      </c>
      <c r="J651" s="49">
        <f t="shared" si="204"/>
        <v>30536.270999999997</v>
      </c>
      <c r="K651" s="49">
        <f t="shared" si="205"/>
        <v>24429.016799999998</v>
      </c>
      <c r="L651" s="58"/>
      <c r="M651" s="141">
        <v>0</v>
      </c>
      <c r="N651" s="50">
        <f t="shared" si="206"/>
        <v>0</v>
      </c>
      <c r="O651" s="50">
        <f t="shared" si="207"/>
        <v>0</v>
      </c>
      <c r="P651" s="59"/>
      <c r="Q651" s="141">
        <v>0</v>
      </c>
      <c r="R651" s="50">
        <f t="shared" si="208"/>
        <v>0</v>
      </c>
      <c r="S651" s="51">
        <f t="shared" si="209"/>
        <v>0</v>
      </c>
      <c r="T651" s="63">
        <v>25</v>
      </c>
      <c r="U651" s="61" t="s">
        <v>81</v>
      </c>
      <c r="V651" s="53">
        <f>SUMIF('Avoided Costs 2014-2023'!$A:$A,'2014 Actuals'!U651&amp;ROUNDDOWN('2014 Actuals'!T651,0),'Avoided Costs 2014-2023'!$E:$E)*K651</f>
        <v>77593.484910607935</v>
      </c>
      <c r="W651" s="53">
        <f>SUMIF('Avoided Costs 2014-2023'!$A:$A,'2014 Actuals'!U651&amp;ROUNDDOWN('2014 Actuals'!T651,0),'Avoided Costs 2014-2023'!$K:$K)*O651</f>
        <v>0</v>
      </c>
      <c r="X651" s="53">
        <f>SUMIF('Avoided Costs 2014-2023'!$A:$A,'2014 Actuals'!U651&amp;ROUNDDOWN('2014 Actuals'!T651,0),'Avoided Costs 2014-2023'!$M:$M)*S651</f>
        <v>0</v>
      </c>
      <c r="Y651" s="53">
        <f t="shared" si="210"/>
        <v>77593.484910607935</v>
      </c>
      <c r="Z651" s="55">
        <v>25634</v>
      </c>
      <c r="AA651" s="54">
        <f t="shared" si="211"/>
        <v>20507.2</v>
      </c>
      <c r="AB651" s="54"/>
      <c r="AC651" s="54"/>
      <c r="AD651" s="54"/>
      <c r="AE651" s="54">
        <f t="shared" si="212"/>
        <v>20507.2</v>
      </c>
      <c r="AF651" s="54">
        <f t="shared" si="213"/>
        <v>57086.284910607937</v>
      </c>
      <c r="AG651" s="49">
        <f t="shared" si="214"/>
        <v>610725.41999999993</v>
      </c>
      <c r="AH651" s="49">
        <f t="shared" si="215"/>
        <v>763406.77499999991</v>
      </c>
    </row>
    <row r="652" spans="1:34" s="56" customFormat="1">
      <c r="A652" s="62" t="s">
        <v>754</v>
      </c>
      <c r="B652" s="62"/>
      <c r="C652" s="62"/>
      <c r="D652" s="62"/>
      <c r="E652" s="141">
        <v>1</v>
      </c>
      <c r="F652" s="142"/>
      <c r="G652" s="143">
        <v>0.2</v>
      </c>
      <c r="H652" s="143">
        <v>0</v>
      </c>
      <c r="I652" s="49">
        <v>17583</v>
      </c>
      <c r="J652" s="49">
        <f t="shared" si="204"/>
        <v>14716.971</v>
      </c>
      <c r="K652" s="49">
        <f t="shared" si="205"/>
        <v>11773.576800000001</v>
      </c>
      <c r="L652" s="58"/>
      <c r="M652" s="141">
        <v>0</v>
      </c>
      <c r="N652" s="50">
        <f t="shared" si="206"/>
        <v>0</v>
      </c>
      <c r="O652" s="50">
        <f t="shared" si="207"/>
        <v>0</v>
      </c>
      <c r="P652" s="59"/>
      <c r="Q652" s="141">
        <v>0</v>
      </c>
      <c r="R652" s="50">
        <f t="shared" si="208"/>
        <v>0</v>
      </c>
      <c r="S652" s="51">
        <f t="shared" si="209"/>
        <v>0</v>
      </c>
      <c r="T652" s="63">
        <v>30.757000000000001</v>
      </c>
      <c r="U652" s="61" t="s">
        <v>94</v>
      </c>
      <c r="V652" s="53">
        <f>SUMIF('Avoided Costs 2014-2023'!$A:$A,'2014 Actuals'!U652&amp;ROUNDDOWN('2014 Actuals'!T652,0),'Avoided Costs 2014-2023'!$E:$E)*K652</f>
        <v>38333.514043577845</v>
      </c>
      <c r="W652" s="53">
        <f>SUMIF('Avoided Costs 2014-2023'!$A:$A,'2014 Actuals'!U652&amp;ROUNDDOWN('2014 Actuals'!T652,0),'Avoided Costs 2014-2023'!$K:$K)*O652</f>
        <v>0</v>
      </c>
      <c r="X652" s="53">
        <f>SUMIF('Avoided Costs 2014-2023'!$A:$A,'2014 Actuals'!U652&amp;ROUNDDOWN('2014 Actuals'!T652,0),'Avoided Costs 2014-2023'!$M:$M)*S652</f>
        <v>0</v>
      </c>
      <c r="Y652" s="53">
        <f t="shared" si="210"/>
        <v>38333.514043577845</v>
      </c>
      <c r="Z652" s="55">
        <v>32633</v>
      </c>
      <c r="AA652" s="54">
        <f t="shared" si="211"/>
        <v>26106.400000000001</v>
      </c>
      <c r="AB652" s="54"/>
      <c r="AC652" s="54"/>
      <c r="AD652" s="54"/>
      <c r="AE652" s="54">
        <f t="shared" si="212"/>
        <v>26106.400000000001</v>
      </c>
      <c r="AF652" s="54">
        <f t="shared" si="213"/>
        <v>12227.114043577843</v>
      </c>
      <c r="AG652" s="49">
        <f t="shared" si="214"/>
        <v>362119.90163760004</v>
      </c>
      <c r="AH652" s="49">
        <f t="shared" si="215"/>
        <v>452649.87704699999</v>
      </c>
    </row>
    <row r="653" spans="1:34" s="56" customFormat="1">
      <c r="A653" s="136" t="s">
        <v>755</v>
      </c>
      <c r="B653" s="136"/>
      <c r="C653" s="136"/>
      <c r="D653" s="136"/>
      <c r="E653" s="137">
        <v>1</v>
      </c>
      <c r="F653" s="138"/>
      <c r="G653" s="139">
        <v>0.2</v>
      </c>
      <c r="H653" s="139">
        <v>0</v>
      </c>
      <c r="I653" s="49">
        <v>25636</v>
      </c>
      <c r="J653" s="49">
        <f t="shared" si="204"/>
        <v>21457.331999999999</v>
      </c>
      <c r="K653" s="49">
        <f t="shared" si="205"/>
        <v>17165.865600000001</v>
      </c>
      <c r="L653" s="138"/>
      <c r="M653" s="137">
        <v>0</v>
      </c>
      <c r="N653" s="50">
        <f t="shared" si="206"/>
        <v>0</v>
      </c>
      <c r="O653" s="50">
        <f t="shared" si="207"/>
        <v>0</v>
      </c>
      <c r="P653" s="140"/>
      <c r="Q653" s="137">
        <v>0</v>
      </c>
      <c r="R653" s="50">
        <f t="shared" si="208"/>
        <v>0</v>
      </c>
      <c r="S653" s="51">
        <f t="shared" si="209"/>
        <v>0</v>
      </c>
      <c r="T653" s="63">
        <v>25</v>
      </c>
      <c r="U653" s="52" t="s">
        <v>81</v>
      </c>
      <c r="V653" s="53">
        <f>SUMIF('Avoided Costs 2014-2023'!$A:$A,'2014 Actuals'!U653&amp;ROUNDDOWN('2014 Actuals'!T653,0),'Avoided Costs 2014-2023'!$E:$E)*K653</f>
        <v>54523.657022951658</v>
      </c>
      <c r="W653" s="53">
        <f>SUMIF('Avoided Costs 2014-2023'!$A:$A,'2014 Actuals'!U653&amp;ROUNDDOWN('2014 Actuals'!T653,0),'Avoided Costs 2014-2023'!$K:$K)*O653</f>
        <v>0</v>
      </c>
      <c r="X653" s="53">
        <f>SUMIF('Avoided Costs 2014-2023'!$A:$A,'2014 Actuals'!U653&amp;ROUNDDOWN('2014 Actuals'!T653,0),'Avoided Costs 2014-2023'!$M:$M)*S653</f>
        <v>0</v>
      </c>
      <c r="Y653" s="53">
        <f t="shared" si="210"/>
        <v>54523.657022951658</v>
      </c>
      <c r="Z653" s="55">
        <v>3662</v>
      </c>
      <c r="AA653" s="54">
        <f t="shared" si="211"/>
        <v>2929.6000000000004</v>
      </c>
      <c r="AB653" s="54"/>
      <c r="AC653" s="54"/>
      <c r="AD653" s="54"/>
      <c r="AE653" s="54">
        <f t="shared" si="212"/>
        <v>2929.6000000000004</v>
      </c>
      <c r="AF653" s="54">
        <f t="shared" si="213"/>
        <v>51594.05702295166</v>
      </c>
      <c r="AG653" s="49">
        <f t="shared" si="214"/>
        <v>429146.64</v>
      </c>
      <c r="AH653" s="49">
        <f t="shared" si="215"/>
        <v>536433.29999999993</v>
      </c>
    </row>
    <row r="654" spans="1:34" s="56" customFormat="1">
      <c r="A654" s="62" t="s">
        <v>756</v>
      </c>
      <c r="B654" s="62"/>
      <c r="C654" s="62"/>
      <c r="D654" s="62"/>
      <c r="E654" s="141">
        <v>0</v>
      </c>
      <c r="F654" s="142"/>
      <c r="G654" s="143">
        <v>0.2</v>
      </c>
      <c r="H654" s="143">
        <v>0</v>
      </c>
      <c r="I654" s="49">
        <v>7972</v>
      </c>
      <c r="J654" s="49">
        <f t="shared" si="204"/>
        <v>6672.5639999999994</v>
      </c>
      <c r="K654" s="49">
        <f t="shared" si="205"/>
        <v>5338.0511999999999</v>
      </c>
      <c r="L654" s="58"/>
      <c r="M654" s="141">
        <v>0</v>
      </c>
      <c r="N654" s="50">
        <f t="shared" si="206"/>
        <v>0</v>
      </c>
      <c r="O654" s="50">
        <f t="shared" si="207"/>
        <v>0</v>
      </c>
      <c r="P654" s="59"/>
      <c r="Q654" s="141">
        <v>0</v>
      </c>
      <c r="R654" s="50">
        <f t="shared" si="208"/>
        <v>0</v>
      </c>
      <c r="S654" s="51">
        <f t="shared" si="209"/>
        <v>0</v>
      </c>
      <c r="T654" s="63">
        <v>25</v>
      </c>
      <c r="U654" s="61" t="s">
        <v>94</v>
      </c>
      <c r="V654" s="53">
        <f>SUMIF('Avoided Costs 2014-2023'!$A:$A,'2014 Actuals'!U654&amp;ROUNDDOWN('2014 Actuals'!T654,0),'Avoided Costs 2014-2023'!$E:$E)*K654</f>
        <v>15884.690027397144</v>
      </c>
      <c r="W654" s="53">
        <f>SUMIF('Avoided Costs 2014-2023'!$A:$A,'2014 Actuals'!U654&amp;ROUNDDOWN('2014 Actuals'!T654,0),'Avoided Costs 2014-2023'!$K:$K)*O654</f>
        <v>0</v>
      </c>
      <c r="X654" s="53">
        <f>SUMIF('Avoided Costs 2014-2023'!$A:$A,'2014 Actuals'!U654&amp;ROUNDDOWN('2014 Actuals'!T654,0),'Avoided Costs 2014-2023'!$M:$M)*S654</f>
        <v>0</v>
      </c>
      <c r="Y654" s="53">
        <f t="shared" si="210"/>
        <v>15884.690027397144</v>
      </c>
      <c r="Z654" s="55">
        <v>10183</v>
      </c>
      <c r="AA654" s="54">
        <f t="shared" si="211"/>
        <v>8146.4000000000005</v>
      </c>
      <c r="AB654" s="54"/>
      <c r="AC654" s="54"/>
      <c r="AD654" s="54"/>
      <c r="AE654" s="54">
        <f t="shared" si="212"/>
        <v>8146.4000000000005</v>
      </c>
      <c r="AF654" s="54">
        <f t="shared" si="213"/>
        <v>7738.2900273971436</v>
      </c>
      <c r="AG654" s="49">
        <f t="shared" si="214"/>
        <v>133451.28</v>
      </c>
      <c r="AH654" s="49">
        <f t="shared" si="215"/>
        <v>166814.09999999998</v>
      </c>
    </row>
    <row r="655" spans="1:34" s="56" customFormat="1">
      <c r="A655" s="62" t="s">
        <v>757</v>
      </c>
      <c r="B655" s="62"/>
      <c r="C655" s="62"/>
      <c r="D655" s="62"/>
      <c r="E655" s="141">
        <v>1</v>
      </c>
      <c r="F655" s="142"/>
      <c r="G655" s="143">
        <v>0.2</v>
      </c>
      <c r="H655" s="143">
        <v>0</v>
      </c>
      <c r="I655" s="49">
        <v>19265</v>
      </c>
      <c r="J655" s="49">
        <f t="shared" si="204"/>
        <v>16124.804999999998</v>
      </c>
      <c r="K655" s="49">
        <f t="shared" si="205"/>
        <v>12899.843999999999</v>
      </c>
      <c r="L655" s="58"/>
      <c r="M655" s="141">
        <v>0</v>
      </c>
      <c r="N655" s="50">
        <f t="shared" si="206"/>
        <v>0</v>
      </c>
      <c r="O655" s="50">
        <f t="shared" si="207"/>
        <v>0</v>
      </c>
      <c r="P655" s="59"/>
      <c r="Q655" s="141">
        <v>0</v>
      </c>
      <c r="R655" s="50">
        <f t="shared" si="208"/>
        <v>0</v>
      </c>
      <c r="S655" s="51">
        <f t="shared" si="209"/>
        <v>0</v>
      </c>
      <c r="T655" s="63">
        <v>25</v>
      </c>
      <c r="U655" s="61" t="s">
        <v>81</v>
      </c>
      <c r="V655" s="53">
        <f>SUMIF('Avoided Costs 2014-2023'!$A:$A,'2014 Actuals'!U655&amp;ROUNDDOWN('2014 Actuals'!T655,0),'Avoided Costs 2014-2023'!$E:$E)*K655</f>
        <v>40973.562667622238</v>
      </c>
      <c r="W655" s="53">
        <f>SUMIF('Avoided Costs 2014-2023'!$A:$A,'2014 Actuals'!U655&amp;ROUNDDOWN('2014 Actuals'!T655,0),'Avoided Costs 2014-2023'!$K:$K)*O655</f>
        <v>0</v>
      </c>
      <c r="X655" s="53">
        <f>SUMIF('Avoided Costs 2014-2023'!$A:$A,'2014 Actuals'!U655&amp;ROUNDDOWN('2014 Actuals'!T655,0),'Avoided Costs 2014-2023'!$M:$M)*S655</f>
        <v>0</v>
      </c>
      <c r="Y655" s="53">
        <f t="shared" si="210"/>
        <v>40973.562667622238</v>
      </c>
      <c r="Z655" s="55">
        <v>30415</v>
      </c>
      <c r="AA655" s="54">
        <f t="shared" si="211"/>
        <v>24332</v>
      </c>
      <c r="AB655" s="54"/>
      <c r="AC655" s="54"/>
      <c r="AD655" s="54"/>
      <c r="AE655" s="54">
        <f t="shared" si="212"/>
        <v>24332</v>
      </c>
      <c r="AF655" s="54">
        <f t="shared" si="213"/>
        <v>16641.562667622238</v>
      </c>
      <c r="AG655" s="49">
        <f t="shared" si="214"/>
        <v>322496.09999999998</v>
      </c>
      <c r="AH655" s="49">
        <f t="shared" si="215"/>
        <v>403120.12499999994</v>
      </c>
    </row>
    <row r="656" spans="1:34" s="56" customFormat="1">
      <c r="A656" s="62" t="s">
        <v>758</v>
      </c>
      <c r="B656" s="62"/>
      <c r="C656" s="62"/>
      <c r="D656" s="62"/>
      <c r="E656" s="141">
        <v>1</v>
      </c>
      <c r="F656" s="142"/>
      <c r="G656" s="143">
        <v>0.2</v>
      </c>
      <c r="H656" s="143">
        <v>0</v>
      </c>
      <c r="I656" s="49">
        <v>13399</v>
      </c>
      <c r="J656" s="49">
        <f t="shared" si="204"/>
        <v>11214.963</v>
      </c>
      <c r="K656" s="49">
        <f t="shared" si="205"/>
        <v>8971.9704000000002</v>
      </c>
      <c r="L656" s="58"/>
      <c r="M656" s="141">
        <v>5837</v>
      </c>
      <c r="N656" s="50">
        <f t="shared" si="206"/>
        <v>5837</v>
      </c>
      <c r="O656" s="50">
        <f t="shared" si="207"/>
        <v>4669.6000000000004</v>
      </c>
      <c r="P656" s="59"/>
      <c r="Q656" s="141">
        <v>0</v>
      </c>
      <c r="R656" s="50">
        <f t="shared" si="208"/>
        <v>0</v>
      </c>
      <c r="S656" s="51">
        <f t="shared" si="209"/>
        <v>0</v>
      </c>
      <c r="T656" s="63">
        <v>15</v>
      </c>
      <c r="U656" s="61" t="s">
        <v>81</v>
      </c>
      <c r="V656" s="53">
        <f>SUMIF('Avoided Costs 2014-2023'!$A:$A,'2014 Actuals'!U656&amp;ROUNDDOWN('2014 Actuals'!T656,0),'Avoided Costs 2014-2023'!$E:$E)*K656</f>
        <v>20768.962303914126</v>
      </c>
      <c r="W656" s="53">
        <f>SUMIF('Avoided Costs 2014-2023'!$A:$A,'2014 Actuals'!U656&amp;ROUNDDOWN('2014 Actuals'!T656,0),'Avoided Costs 2014-2023'!$K:$K)*O656</f>
        <v>5521.7103017812724</v>
      </c>
      <c r="X656" s="53">
        <f>SUMIF('Avoided Costs 2014-2023'!$A:$A,'2014 Actuals'!U656&amp;ROUNDDOWN('2014 Actuals'!T656,0),'Avoided Costs 2014-2023'!$M:$M)*S656</f>
        <v>0</v>
      </c>
      <c r="Y656" s="53">
        <f t="shared" si="210"/>
        <v>26290.672605695399</v>
      </c>
      <c r="Z656" s="55">
        <v>8174</v>
      </c>
      <c r="AA656" s="54">
        <f t="shared" si="211"/>
        <v>6539.2000000000007</v>
      </c>
      <c r="AB656" s="54"/>
      <c r="AC656" s="54"/>
      <c r="AD656" s="54"/>
      <c r="AE656" s="54">
        <f t="shared" si="212"/>
        <v>6539.2000000000007</v>
      </c>
      <c r="AF656" s="54">
        <f t="shared" si="213"/>
        <v>19751.472605695399</v>
      </c>
      <c r="AG656" s="49">
        <f t="shared" si="214"/>
        <v>134579.55600000001</v>
      </c>
      <c r="AH656" s="49">
        <f t="shared" si="215"/>
        <v>168224.44500000001</v>
      </c>
    </row>
    <row r="657" spans="1:34" s="56" customFormat="1">
      <c r="A657" s="62" t="s">
        <v>759</v>
      </c>
      <c r="B657" s="62"/>
      <c r="C657" s="62"/>
      <c r="D657" s="62"/>
      <c r="E657" s="141">
        <v>0</v>
      </c>
      <c r="F657" s="142"/>
      <c r="G657" s="143">
        <v>0.2</v>
      </c>
      <c r="H657" s="143">
        <v>0</v>
      </c>
      <c r="I657" s="49">
        <v>2730</v>
      </c>
      <c r="J657" s="49">
        <f t="shared" ref="J657:J683" si="216">+$I$42*I657</f>
        <v>2285.0099999999998</v>
      </c>
      <c r="K657" s="49">
        <f t="shared" ref="K657:K683" si="217">J657*(1-G657)</f>
        <v>1828.0079999999998</v>
      </c>
      <c r="L657" s="58"/>
      <c r="M657" s="141">
        <v>0</v>
      </c>
      <c r="N657" s="50">
        <f t="shared" ref="N657:N683" si="218">+$M$42*M657</f>
        <v>0</v>
      </c>
      <c r="O657" s="50">
        <f t="shared" ref="O657:O683" si="219">N657*(1-G657)</f>
        <v>0</v>
      </c>
      <c r="P657" s="59"/>
      <c r="Q657" s="141">
        <v>0</v>
      </c>
      <c r="R657" s="50">
        <f t="shared" ref="R657:R683" si="220">+Q657*$Q$42</f>
        <v>0</v>
      </c>
      <c r="S657" s="51">
        <f t="shared" ref="S657:S683" si="221">R657*(1-G657)</f>
        <v>0</v>
      </c>
      <c r="T657" s="63">
        <v>15</v>
      </c>
      <c r="U657" s="61" t="s">
        <v>94</v>
      </c>
      <c r="V657" s="53">
        <f>SUMIF('Avoided Costs 2014-2023'!$A:$A,'2014 Actuals'!U657&amp;ROUNDDOWN('2014 Actuals'!T657,0),'Avoided Costs 2014-2023'!$E:$E)*K657</f>
        <v>3962.7205588345591</v>
      </c>
      <c r="W657" s="53">
        <f>SUMIF('Avoided Costs 2014-2023'!$A:$A,'2014 Actuals'!U657&amp;ROUNDDOWN('2014 Actuals'!T657,0),'Avoided Costs 2014-2023'!$K:$K)*O657</f>
        <v>0</v>
      </c>
      <c r="X657" s="53">
        <f>SUMIF('Avoided Costs 2014-2023'!$A:$A,'2014 Actuals'!U657&amp;ROUNDDOWN('2014 Actuals'!T657,0),'Avoided Costs 2014-2023'!$M:$M)*S657</f>
        <v>0</v>
      </c>
      <c r="Y657" s="53">
        <f t="shared" ref="Y657:Y683" si="222">SUM(V657:X657)</f>
        <v>3962.7205588345591</v>
      </c>
      <c r="Z657" s="55">
        <v>2500</v>
      </c>
      <c r="AA657" s="54">
        <f t="shared" ref="AA657:AA683" si="223">Z657*(1-G657)</f>
        <v>2000</v>
      </c>
      <c r="AB657" s="54"/>
      <c r="AC657" s="54"/>
      <c r="AD657" s="54"/>
      <c r="AE657" s="54">
        <f t="shared" ref="AE657:AE684" si="224">AA657+AC657</f>
        <v>2000</v>
      </c>
      <c r="AF657" s="54">
        <f t="shared" ref="AF657:AF684" si="225">Y657-AE657</f>
        <v>1962.7205588345591</v>
      </c>
      <c r="AG657" s="49">
        <f t="shared" ref="AG657:AG683" si="226">K657*T657</f>
        <v>27420.119999999995</v>
      </c>
      <c r="AH657" s="49">
        <f t="shared" ref="AH657:AH683" si="227">(J657*T657)</f>
        <v>34275.149999999994</v>
      </c>
    </row>
    <row r="658" spans="1:34" s="56" customFormat="1">
      <c r="A658" s="62" t="s">
        <v>760</v>
      </c>
      <c r="B658" s="62"/>
      <c r="C658" s="62"/>
      <c r="D658" s="62"/>
      <c r="E658" s="141">
        <v>1</v>
      </c>
      <c r="F658" s="142"/>
      <c r="G658" s="143">
        <v>0.2</v>
      </c>
      <c r="H658" s="143">
        <v>0</v>
      </c>
      <c r="I658" s="49">
        <v>14093</v>
      </c>
      <c r="J658" s="49">
        <f t="shared" si="216"/>
        <v>11795.841</v>
      </c>
      <c r="K658" s="49">
        <f t="shared" si="217"/>
        <v>9436.6728000000003</v>
      </c>
      <c r="L658" s="58"/>
      <c r="M658" s="141">
        <v>0</v>
      </c>
      <c r="N658" s="50">
        <f t="shared" si="218"/>
        <v>0</v>
      </c>
      <c r="O658" s="50">
        <f t="shared" si="219"/>
        <v>0</v>
      </c>
      <c r="P658" s="59"/>
      <c r="Q658" s="141">
        <v>0</v>
      </c>
      <c r="R658" s="50">
        <f t="shared" si="220"/>
        <v>0</v>
      </c>
      <c r="S658" s="51">
        <f t="shared" si="221"/>
        <v>0</v>
      </c>
      <c r="T658" s="63">
        <v>15</v>
      </c>
      <c r="U658" s="61" t="s">
        <v>81</v>
      </c>
      <c r="V658" s="53">
        <f>SUMIF('Avoided Costs 2014-2023'!$A:$A,'2014 Actuals'!U658&amp;ROUNDDOWN('2014 Actuals'!T658,0),'Avoided Costs 2014-2023'!$E:$E)*K658</f>
        <v>21844.688838649286</v>
      </c>
      <c r="W658" s="53">
        <f>SUMIF('Avoided Costs 2014-2023'!$A:$A,'2014 Actuals'!U658&amp;ROUNDDOWN('2014 Actuals'!T658,0),'Avoided Costs 2014-2023'!$K:$K)*O658</f>
        <v>0</v>
      </c>
      <c r="X658" s="53">
        <f>SUMIF('Avoided Costs 2014-2023'!$A:$A,'2014 Actuals'!U658&amp;ROUNDDOWN('2014 Actuals'!T658,0),'Avoided Costs 2014-2023'!$M:$M)*S658</f>
        <v>0</v>
      </c>
      <c r="Y658" s="53">
        <f t="shared" si="222"/>
        <v>21844.688838649286</v>
      </c>
      <c r="Z658" s="55">
        <v>4295</v>
      </c>
      <c r="AA658" s="54">
        <f t="shared" si="223"/>
        <v>3436</v>
      </c>
      <c r="AB658" s="54"/>
      <c r="AC658" s="54"/>
      <c r="AD658" s="54"/>
      <c r="AE658" s="54">
        <f t="shared" si="224"/>
        <v>3436</v>
      </c>
      <c r="AF658" s="54">
        <f t="shared" si="225"/>
        <v>18408.688838649286</v>
      </c>
      <c r="AG658" s="49">
        <f t="shared" si="226"/>
        <v>141550.092</v>
      </c>
      <c r="AH658" s="49">
        <f t="shared" si="227"/>
        <v>176937.61499999999</v>
      </c>
    </row>
    <row r="659" spans="1:34" s="56" customFormat="1">
      <c r="A659" s="62" t="s">
        <v>761</v>
      </c>
      <c r="B659" s="62"/>
      <c r="C659" s="62"/>
      <c r="D659" s="62"/>
      <c r="E659" s="141">
        <v>1</v>
      </c>
      <c r="F659" s="142"/>
      <c r="G659" s="143">
        <v>0.2</v>
      </c>
      <c r="H659" s="143">
        <v>0</v>
      </c>
      <c r="I659" s="49">
        <v>65734</v>
      </c>
      <c r="J659" s="49">
        <f t="shared" si="216"/>
        <v>55019.358</v>
      </c>
      <c r="K659" s="49">
        <f t="shared" si="217"/>
        <v>44015.486400000002</v>
      </c>
      <c r="L659" s="58"/>
      <c r="M659" s="141">
        <v>0</v>
      </c>
      <c r="N659" s="50">
        <f t="shared" si="218"/>
        <v>0</v>
      </c>
      <c r="O659" s="50">
        <f t="shared" si="219"/>
        <v>0</v>
      </c>
      <c r="P659" s="59"/>
      <c r="Q659" s="141">
        <v>0</v>
      </c>
      <c r="R659" s="50">
        <f t="shared" si="220"/>
        <v>0</v>
      </c>
      <c r="S659" s="51">
        <f t="shared" si="221"/>
        <v>0</v>
      </c>
      <c r="T659" s="63">
        <v>25</v>
      </c>
      <c r="U659" s="61" t="s">
        <v>81</v>
      </c>
      <c r="V659" s="53">
        <f>SUMIF('Avoided Costs 2014-2023'!$A:$A,'2014 Actuals'!U659&amp;ROUNDDOWN('2014 Actuals'!T659,0),'Avoided Costs 2014-2023'!$E:$E)*K659</f>
        <v>139805.66666978874</v>
      </c>
      <c r="W659" s="53">
        <f>SUMIF('Avoided Costs 2014-2023'!$A:$A,'2014 Actuals'!U659&amp;ROUNDDOWN('2014 Actuals'!T659,0),'Avoided Costs 2014-2023'!$K:$K)*O659</f>
        <v>0</v>
      </c>
      <c r="X659" s="53">
        <f>SUMIF('Avoided Costs 2014-2023'!$A:$A,'2014 Actuals'!U659&amp;ROUNDDOWN('2014 Actuals'!T659,0),'Avoided Costs 2014-2023'!$M:$M)*S659</f>
        <v>0</v>
      </c>
      <c r="Y659" s="53">
        <f t="shared" si="222"/>
        <v>139805.66666978874</v>
      </c>
      <c r="Z659" s="55">
        <v>23214</v>
      </c>
      <c r="AA659" s="54">
        <f t="shared" si="223"/>
        <v>18571.2</v>
      </c>
      <c r="AB659" s="54"/>
      <c r="AC659" s="54"/>
      <c r="AD659" s="54"/>
      <c r="AE659" s="54">
        <f t="shared" si="224"/>
        <v>18571.2</v>
      </c>
      <c r="AF659" s="54">
        <f t="shared" si="225"/>
        <v>121234.46666978874</v>
      </c>
      <c r="AG659" s="49">
        <f t="shared" si="226"/>
        <v>1100387.1600000001</v>
      </c>
      <c r="AH659" s="49">
        <f t="shared" si="227"/>
        <v>1375483.95</v>
      </c>
    </row>
    <row r="660" spans="1:34" s="56" customFormat="1">
      <c r="A660" s="62" t="s">
        <v>762</v>
      </c>
      <c r="B660" s="62"/>
      <c r="C660" s="62"/>
      <c r="D660" s="62"/>
      <c r="E660" s="141">
        <v>1</v>
      </c>
      <c r="F660" s="142"/>
      <c r="G660" s="143">
        <v>0.2</v>
      </c>
      <c r="H660" s="143">
        <v>0</v>
      </c>
      <c r="I660" s="49">
        <v>68584</v>
      </c>
      <c r="J660" s="49">
        <f t="shared" si="216"/>
        <v>57404.807999999997</v>
      </c>
      <c r="K660" s="49">
        <f t="shared" si="217"/>
        <v>45923.846400000002</v>
      </c>
      <c r="L660" s="58"/>
      <c r="M660" s="141">
        <v>0</v>
      </c>
      <c r="N660" s="50">
        <f t="shared" si="218"/>
        <v>0</v>
      </c>
      <c r="O660" s="50">
        <f t="shared" si="219"/>
        <v>0</v>
      </c>
      <c r="P660" s="59"/>
      <c r="Q660" s="141">
        <v>0</v>
      </c>
      <c r="R660" s="50">
        <f t="shared" si="220"/>
        <v>0</v>
      </c>
      <c r="S660" s="51">
        <f t="shared" si="221"/>
        <v>0</v>
      </c>
      <c r="T660" s="63">
        <v>25</v>
      </c>
      <c r="U660" s="61" t="s">
        <v>81</v>
      </c>
      <c r="V660" s="53">
        <f>SUMIF('Avoided Costs 2014-2023'!$A:$A,'2014 Actuals'!U660&amp;ROUNDDOWN('2014 Actuals'!T660,0),'Avoided Costs 2014-2023'!$E:$E)*K660</f>
        <v>145867.15920042584</v>
      </c>
      <c r="W660" s="53">
        <f>SUMIF('Avoided Costs 2014-2023'!$A:$A,'2014 Actuals'!U660&amp;ROUNDDOWN('2014 Actuals'!T660,0),'Avoided Costs 2014-2023'!$K:$K)*O660</f>
        <v>0</v>
      </c>
      <c r="X660" s="53">
        <f>SUMIF('Avoided Costs 2014-2023'!$A:$A,'2014 Actuals'!U660&amp;ROUNDDOWN('2014 Actuals'!T660,0),'Avoided Costs 2014-2023'!$M:$M)*S660</f>
        <v>0</v>
      </c>
      <c r="Y660" s="53">
        <f t="shared" si="222"/>
        <v>145867.15920042584</v>
      </c>
      <c r="Z660" s="55">
        <v>23214</v>
      </c>
      <c r="AA660" s="54">
        <f t="shared" si="223"/>
        <v>18571.2</v>
      </c>
      <c r="AB660" s="54"/>
      <c r="AC660" s="54"/>
      <c r="AD660" s="54"/>
      <c r="AE660" s="54">
        <f t="shared" si="224"/>
        <v>18571.2</v>
      </c>
      <c r="AF660" s="54">
        <f t="shared" si="225"/>
        <v>127295.95920042584</v>
      </c>
      <c r="AG660" s="49">
        <f t="shared" si="226"/>
        <v>1148096.1600000001</v>
      </c>
      <c r="AH660" s="49">
        <f t="shared" si="227"/>
        <v>1435120.2</v>
      </c>
    </row>
    <row r="661" spans="1:34" s="56" customFormat="1">
      <c r="A661" s="62" t="s">
        <v>763</v>
      </c>
      <c r="B661" s="62"/>
      <c r="C661" s="62"/>
      <c r="D661" s="62"/>
      <c r="E661" s="141">
        <v>1</v>
      </c>
      <c r="F661" s="142"/>
      <c r="G661" s="143">
        <v>0.2</v>
      </c>
      <c r="H661" s="143">
        <v>0</v>
      </c>
      <c r="I661" s="49">
        <v>3884</v>
      </c>
      <c r="J661" s="49">
        <f t="shared" si="216"/>
        <v>3250.9079999999999</v>
      </c>
      <c r="K661" s="49">
        <f t="shared" si="217"/>
        <v>2600.7264</v>
      </c>
      <c r="L661" s="58"/>
      <c r="M661" s="141">
        <v>0</v>
      </c>
      <c r="N661" s="50">
        <f t="shared" si="218"/>
        <v>0</v>
      </c>
      <c r="O661" s="50">
        <f t="shared" si="219"/>
        <v>0</v>
      </c>
      <c r="P661" s="59"/>
      <c r="Q661" s="141">
        <v>0</v>
      </c>
      <c r="R661" s="50">
        <f t="shared" si="220"/>
        <v>0</v>
      </c>
      <c r="S661" s="51">
        <f t="shared" si="221"/>
        <v>0</v>
      </c>
      <c r="T661" s="63">
        <v>15</v>
      </c>
      <c r="U661" s="61" t="s">
        <v>81</v>
      </c>
      <c r="V661" s="53">
        <f>SUMIF('Avoided Costs 2014-2023'!$A:$A,'2014 Actuals'!U661&amp;ROUNDDOWN('2014 Actuals'!T661,0),'Avoided Costs 2014-2023'!$E:$E)*K661</f>
        <v>6020.348502754121</v>
      </c>
      <c r="W661" s="53">
        <f>SUMIF('Avoided Costs 2014-2023'!$A:$A,'2014 Actuals'!U661&amp;ROUNDDOWN('2014 Actuals'!T661,0),'Avoided Costs 2014-2023'!$K:$K)*O661</f>
        <v>0</v>
      </c>
      <c r="X661" s="53">
        <f>SUMIF('Avoided Costs 2014-2023'!$A:$A,'2014 Actuals'!U661&amp;ROUNDDOWN('2014 Actuals'!T661,0),'Avoided Costs 2014-2023'!$M:$M)*S661</f>
        <v>0</v>
      </c>
      <c r="Y661" s="53">
        <f t="shared" si="222"/>
        <v>6020.348502754121</v>
      </c>
      <c r="Z661" s="55">
        <v>1000</v>
      </c>
      <c r="AA661" s="54">
        <f t="shared" si="223"/>
        <v>800</v>
      </c>
      <c r="AB661" s="54"/>
      <c r="AC661" s="54"/>
      <c r="AD661" s="54"/>
      <c r="AE661" s="54">
        <f t="shared" si="224"/>
        <v>800</v>
      </c>
      <c r="AF661" s="54">
        <f t="shared" si="225"/>
        <v>5220.348502754121</v>
      </c>
      <c r="AG661" s="49">
        <f t="shared" si="226"/>
        <v>39010.896000000001</v>
      </c>
      <c r="AH661" s="49">
        <f t="shared" si="227"/>
        <v>48763.619999999995</v>
      </c>
    </row>
    <row r="662" spans="1:34" s="56" customFormat="1">
      <c r="A662" s="62" t="s">
        <v>764</v>
      </c>
      <c r="B662" s="62"/>
      <c r="C662" s="62"/>
      <c r="D662" s="62"/>
      <c r="E662" s="141">
        <v>1</v>
      </c>
      <c r="F662" s="142"/>
      <c r="G662" s="143">
        <v>0.2</v>
      </c>
      <c r="H662" s="143">
        <v>0</v>
      </c>
      <c r="I662" s="49">
        <v>39445</v>
      </c>
      <c r="J662" s="49">
        <f t="shared" si="216"/>
        <v>33015.464999999997</v>
      </c>
      <c r="K662" s="49">
        <f t="shared" si="217"/>
        <v>26412.371999999999</v>
      </c>
      <c r="L662" s="58"/>
      <c r="M662" s="141">
        <v>0</v>
      </c>
      <c r="N662" s="50">
        <f t="shared" si="218"/>
        <v>0</v>
      </c>
      <c r="O662" s="50">
        <f t="shared" si="219"/>
        <v>0</v>
      </c>
      <c r="P662" s="59"/>
      <c r="Q662" s="141">
        <v>0</v>
      </c>
      <c r="R662" s="50">
        <f t="shared" si="220"/>
        <v>0</v>
      </c>
      <c r="S662" s="51">
        <f t="shared" si="221"/>
        <v>0</v>
      </c>
      <c r="T662" s="63">
        <v>25</v>
      </c>
      <c r="U662" s="61" t="s">
        <v>81</v>
      </c>
      <c r="V662" s="53">
        <f>SUMIF('Avoided Costs 2014-2023'!$A:$A,'2014 Actuals'!U662&amp;ROUNDDOWN('2014 Actuals'!T662,0),'Avoided Costs 2014-2023'!$E:$E)*K662</f>
        <v>83893.183463501642</v>
      </c>
      <c r="W662" s="53">
        <f>SUMIF('Avoided Costs 2014-2023'!$A:$A,'2014 Actuals'!U662&amp;ROUNDDOWN('2014 Actuals'!T662,0),'Avoided Costs 2014-2023'!$K:$K)*O662</f>
        <v>0</v>
      </c>
      <c r="X662" s="53">
        <f>SUMIF('Avoided Costs 2014-2023'!$A:$A,'2014 Actuals'!U662&amp;ROUNDDOWN('2014 Actuals'!T662,0),'Avoided Costs 2014-2023'!$M:$M)*S662</f>
        <v>0</v>
      </c>
      <c r="Y662" s="53">
        <f t="shared" si="222"/>
        <v>83893.183463501642</v>
      </c>
      <c r="Z662" s="55">
        <v>2829</v>
      </c>
      <c r="AA662" s="54">
        <f t="shared" si="223"/>
        <v>2263.2000000000003</v>
      </c>
      <c r="AB662" s="54"/>
      <c r="AC662" s="54"/>
      <c r="AD662" s="54"/>
      <c r="AE662" s="54">
        <f t="shared" si="224"/>
        <v>2263.2000000000003</v>
      </c>
      <c r="AF662" s="54">
        <f t="shared" si="225"/>
        <v>81629.983463501645</v>
      </c>
      <c r="AG662" s="49">
        <f t="shared" si="226"/>
        <v>660309.29999999993</v>
      </c>
      <c r="AH662" s="49">
        <f t="shared" si="227"/>
        <v>825386.62499999988</v>
      </c>
    </row>
    <row r="663" spans="1:34" s="56" customFormat="1">
      <c r="A663" s="62" t="s">
        <v>765</v>
      </c>
      <c r="B663" s="62"/>
      <c r="C663" s="62"/>
      <c r="D663" s="62"/>
      <c r="E663" s="141">
        <v>1</v>
      </c>
      <c r="F663" s="142"/>
      <c r="G663" s="143">
        <v>0.2</v>
      </c>
      <c r="H663" s="143">
        <v>0</v>
      </c>
      <c r="I663" s="49">
        <v>4720</v>
      </c>
      <c r="J663" s="49">
        <f t="shared" si="216"/>
        <v>3950.64</v>
      </c>
      <c r="K663" s="49">
        <f t="shared" si="217"/>
        <v>3160.5120000000002</v>
      </c>
      <c r="L663" s="58"/>
      <c r="M663" s="141">
        <v>0</v>
      </c>
      <c r="N663" s="50">
        <f t="shared" si="218"/>
        <v>0</v>
      </c>
      <c r="O663" s="50">
        <f t="shared" si="219"/>
        <v>0</v>
      </c>
      <c r="P663" s="59"/>
      <c r="Q663" s="141">
        <v>0</v>
      </c>
      <c r="R663" s="50">
        <f t="shared" si="220"/>
        <v>0</v>
      </c>
      <c r="S663" s="51">
        <f t="shared" si="221"/>
        <v>0</v>
      </c>
      <c r="T663" s="63">
        <v>15</v>
      </c>
      <c r="U663" s="61" t="s">
        <v>81</v>
      </c>
      <c r="V663" s="53">
        <f>SUMIF('Avoided Costs 2014-2023'!$A:$A,'2014 Actuals'!U663&amp;ROUNDDOWN('2014 Actuals'!T663,0),'Avoided Costs 2014-2023'!$E:$E)*K663</f>
        <v>7316.1804667866763</v>
      </c>
      <c r="W663" s="53">
        <f>SUMIF('Avoided Costs 2014-2023'!$A:$A,'2014 Actuals'!U663&amp;ROUNDDOWN('2014 Actuals'!T663,0),'Avoided Costs 2014-2023'!$K:$K)*O663</f>
        <v>0</v>
      </c>
      <c r="X663" s="53">
        <f>SUMIF('Avoided Costs 2014-2023'!$A:$A,'2014 Actuals'!U663&amp;ROUNDDOWN('2014 Actuals'!T663,0),'Avoided Costs 2014-2023'!$M:$M)*S663</f>
        <v>0</v>
      </c>
      <c r="Y663" s="53">
        <f t="shared" si="222"/>
        <v>7316.1804667866763</v>
      </c>
      <c r="Z663" s="55">
        <v>1000</v>
      </c>
      <c r="AA663" s="54">
        <f t="shared" si="223"/>
        <v>800</v>
      </c>
      <c r="AB663" s="54"/>
      <c r="AC663" s="54"/>
      <c r="AD663" s="54"/>
      <c r="AE663" s="54">
        <f t="shared" si="224"/>
        <v>800</v>
      </c>
      <c r="AF663" s="54">
        <f t="shared" si="225"/>
        <v>6516.1804667866763</v>
      </c>
      <c r="AG663" s="49">
        <f t="shared" si="226"/>
        <v>47407.68</v>
      </c>
      <c r="AH663" s="49">
        <f t="shared" si="227"/>
        <v>59259.6</v>
      </c>
    </row>
    <row r="664" spans="1:34" s="56" customFormat="1">
      <c r="A664" s="62" t="s">
        <v>766</v>
      </c>
      <c r="B664" s="62"/>
      <c r="C664" s="62"/>
      <c r="D664" s="62"/>
      <c r="E664" s="141">
        <v>1</v>
      </c>
      <c r="F664" s="142"/>
      <c r="G664" s="143">
        <v>0.2</v>
      </c>
      <c r="H664" s="143">
        <v>0</v>
      </c>
      <c r="I664" s="49">
        <v>13280</v>
      </c>
      <c r="J664" s="49">
        <f t="shared" si="216"/>
        <v>11115.359999999999</v>
      </c>
      <c r="K664" s="49">
        <f t="shared" si="217"/>
        <v>8892.2879999999986</v>
      </c>
      <c r="L664" s="58"/>
      <c r="M664" s="141">
        <v>0</v>
      </c>
      <c r="N664" s="50">
        <f t="shared" si="218"/>
        <v>0</v>
      </c>
      <c r="O664" s="50">
        <f t="shared" si="219"/>
        <v>0</v>
      </c>
      <c r="P664" s="59"/>
      <c r="Q664" s="141">
        <v>0</v>
      </c>
      <c r="R664" s="50">
        <f t="shared" si="220"/>
        <v>0</v>
      </c>
      <c r="S664" s="51">
        <f t="shared" si="221"/>
        <v>0</v>
      </c>
      <c r="T664" s="63">
        <v>25</v>
      </c>
      <c r="U664" s="61" t="s">
        <v>81</v>
      </c>
      <c r="V664" s="53">
        <f>SUMIF('Avoided Costs 2014-2023'!$A:$A,'2014 Actuals'!U664&amp;ROUNDDOWN('2014 Actuals'!T664,0),'Avoided Costs 2014-2023'!$E:$E)*K664</f>
        <v>28244.428353284362</v>
      </c>
      <c r="W664" s="53">
        <f>SUMIF('Avoided Costs 2014-2023'!$A:$A,'2014 Actuals'!U664&amp;ROUNDDOWN('2014 Actuals'!T664,0),'Avoided Costs 2014-2023'!$K:$K)*O664</f>
        <v>0</v>
      </c>
      <c r="X664" s="53">
        <f>SUMIF('Avoided Costs 2014-2023'!$A:$A,'2014 Actuals'!U664&amp;ROUNDDOWN('2014 Actuals'!T664,0),'Avoided Costs 2014-2023'!$M:$M)*S664</f>
        <v>0</v>
      </c>
      <c r="Y664" s="53">
        <f t="shared" si="222"/>
        <v>28244.428353284362</v>
      </c>
      <c r="Z664" s="55">
        <v>14738</v>
      </c>
      <c r="AA664" s="54">
        <f t="shared" si="223"/>
        <v>11790.400000000001</v>
      </c>
      <c r="AB664" s="54"/>
      <c r="AC664" s="54"/>
      <c r="AD664" s="54"/>
      <c r="AE664" s="54">
        <f t="shared" si="224"/>
        <v>11790.400000000001</v>
      </c>
      <c r="AF664" s="54">
        <f t="shared" si="225"/>
        <v>16454.02835328436</v>
      </c>
      <c r="AG664" s="49">
        <f t="shared" si="226"/>
        <v>222307.19999999995</v>
      </c>
      <c r="AH664" s="49">
        <f t="shared" si="227"/>
        <v>277883.99999999994</v>
      </c>
    </row>
    <row r="665" spans="1:34" s="56" customFormat="1">
      <c r="A665" s="62" t="s">
        <v>767</v>
      </c>
      <c r="B665" s="62"/>
      <c r="C665" s="62"/>
      <c r="D665" s="62"/>
      <c r="E665" s="141">
        <v>1</v>
      </c>
      <c r="F665" s="142"/>
      <c r="G665" s="143">
        <v>0.2</v>
      </c>
      <c r="H665" s="143">
        <v>0</v>
      </c>
      <c r="I665" s="49">
        <v>31252</v>
      </c>
      <c r="J665" s="49">
        <f t="shared" si="216"/>
        <v>26157.923999999999</v>
      </c>
      <c r="K665" s="49">
        <f t="shared" si="217"/>
        <v>20926.339200000002</v>
      </c>
      <c r="L665" s="58"/>
      <c r="M665" s="141">
        <v>0</v>
      </c>
      <c r="N665" s="50">
        <f t="shared" si="218"/>
        <v>0</v>
      </c>
      <c r="O665" s="50">
        <f t="shared" si="219"/>
        <v>0</v>
      </c>
      <c r="P665" s="59"/>
      <c r="Q665" s="141">
        <v>0</v>
      </c>
      <c r="R665" s="50">
        <f t="shared" si="220"/>
        <v>0</v>
      </c>
      <c r="S665" s="51">
        <f t="shared" si="221"/>
        <v>0</v>
      </c>
      <c r="T665" s="63">
        <v>25</v>
      </c>
      <c r="U665" s="61" t="s">
        <v>81</v>
      </c>
      <c r="V665" s="53">
        <f>SUMIF('Avoided Costs 2014-2023'!$A:$A,'2014 Actuals'!U665&amp;ROUNDDOWN('2014 Actuals'!T665,0),'Avoided Costs 2014-2023'!$E:$E)*K665</f>
        <v>66467.987567533361</v>
      </c>
      <c r="W665" s="53">
        <f>SUMIF('Avoided Costs 2014-2023'!$A:$A,'2014 Actuals'!U665&amp;ROUNDDOWN('2014 Actuals'!T665,0),'Avoided Costs 2014-2023'!$K:$K)*O665</f>
        <v>0</v>
      </c>
      <c r="X665" s="53">
        <f>SUMIF('Avoided Costs 2014-2023'!$A:$A,'2014 Actuals'!U665&amp;ROUNDDOWN('2014 Actuals'!T665,0),'Avoided Costs 2014-2023'!$M:$M)*S665</f>
        <v>0</v>
      </c>
      <c r="Y665" s="53">
        <f t="shared" si="222"/>
        <v>66467.987567533361</v>
      </c>
      <c r="Z665" s="55">
        <v>9595</v>
      </c>
      <c r="AA665" s="54">
        <f t="shared" si="223"/>
        <v>7676</v>
      </c>
      <c r="AB665" s="54"/>
      <c r="AC665" s="54"/>
      <c r="AD665" s="54"/>
      <c r="AE665" s="54">
        <f t="shared" si="224"/>
        <v>7676</v>
      </c>
      <c r="AF665" s="54">
        <f t="shared" si="225"/>
        <v>58791.987567533361</v>
      </c>
      <c r="AG665" s="49">
        <f t="shared" si="226"/>
        <v>523158.48000000004</v>
      </c>
      <c r="AH665" s="49">
        <f t="shared" si="227"/>
        <v>653948.1</v>
      </c>
    </row>
    <row r="666" spans="1:34" s="56" customFormat="1">
      <c r="A666" s="62" t="s">
        <v>768</v>
      </c>
      <c r="B666" s="62"/>
      <c r="C666" s="62"/>
      <c r="D666" s="62"/>
      <c r="E666" s="141">
        <v>1</v>
      </c>
      <c r="F666" s="142"/>
      <c r="G666" s="143">
        <v>0.2</v>
      </c>
      <c r="H666" s="143">
        <v>0</v>
      </c>
      <c r="I666" s="49">
        <v>13399</v>
      </c>
      <c r="J666" s="49">
        <f t="shared" si="216"/>
        <v>11214.963</v>
      </c>
      <c r="K666" s="49">
        <f t="shared" si="217"/>
        <v>8971.9704000000002</v>
      </c>
      <c r="L666" s="58"/>
      <c r="M666" s="141">
        <v>7296</v>
      </c>
      <c r="N666" s="50">
        <f t="shared" si="218"/>
        <v>7296</v>
      </c>
      <c r="O666" s="50">
        <f t="shared" si="219"/>
        <v>5836.8</v>
      </c>
      <c r="P666" s="59"/>
      <c r="Q666" s="141">
        <v>0</v>
      </c>
      <c r="R666" s="50">
        <f t="shared" si="220"/>
        <v>0</v>
      </c>
      <c r="S666" s="51">
        <f t="shared" si="221"/>
        <v>0</v>
      </c>
      <c r="T666" s="63">
        <v>15</v>
      </c>
      <c r="U666" s="61" t="s">
        <v>81</v>
      </c>
      <c r="V666" s="53">
        <f>SUMIF('Avoided Costs 2014-2023'!$A:$A,'2014 Actuals'!U666&amp;ROUNDDOWN('2014 Actuals'!T666,0),'Avoided Costs 2014-2023'!$E:$E)*K666</f>
        <v>20768.962303914126</v>
      </c>
      <c r="W666" s="53">
        <f>SUMIF('Avoided Costs 2014-2023'!$A:$A,'2014 Actuals'!U666&amp;ROUNDDOWN('2014 Actuals'!T666,0),'Avoided Costs 2014-2023'!$K:$K)*O666</f>
        <v>6901.9013811540453</v>
      </c>
      <c r="X666" s="53">
        <f>SUMIF('Avoided Costs 2014-2023'!$A:$A,'2014 Actuals'!U666&amp;ROUNDDOWN('2014 Actuals'!T666,0),'Avoided Costs 2014-2023'!$M:$M)*S666</f>
        <v>0</v>
      </c>
      <c r="Y666" s="53">
        <f t="shared" si="222"/>
        <v>27670.863685068172</v>
      </c>
      <c r="Z666" s="55">
        <v>8174</v>
      </c>
      <c r="AA666" s="54">
        <f t="shared" si="223"/>
        <v>6539.2000000000007</v>
      </c>
      <c r="AB666" s="54"/>
      <c r="AC666" s="54"/>
      <c r="AD666" s="54"/>
      <c r="AE666" s="54">
        <f t="shared" si="224"/>
        <v>6539.2000000000007</v>
      </c>
      <c r="AF666" s="54">
        <f t="shared" si="225"/>
        <v>21131.663685068172</v>
      </c>
      <c r="AG666" s="49">
        <f t="shared" si="226"/>
        <v>134579.55600000001</v>
      </c>
      <c r="AH666" s="49">
        <f t="shared" si="227"/>
        <v>168224.44500000001</v>
      </c>
    </row>
    <row r="667" spans="1:34" s="56" customFormat="1">
      <c r="A667" s="62" t="s">
        <v>769</v>
      </c>
      <c r="B667" s="62"/>
      <c r="C667" s="62"/>
      <c r="D667" s="62"/>
      <c r="E667" s="141">
        <v>1</v>
      </c>
      <c r="F667" s="142"/>
      <c r="G667" s="143">
        <v>0.2</v>
      </c>
      <c r="H667" s="143">
        <v>0</v>
      </c>
      <c r="I667" s="49">
        <v>15228</v>
      </c>
      <c r="J667" s="49">
        <f t="shared" si="216"/>
        <v>12745.835999999999</v>
      </c>
      <c r="K667" s="49">
        <f t="shared" si="217"/>
        <v>10196.668799999999</v>
      </c>
      <c r="L667" s="58"/>
      <c r="M667" s="141">
        <v>0</v>
      </c>
      <c r="N667" s="50">
        <f t="shared" si="218"/>
        <v>0</v>
      </c>
      <c r="O667" s="50">
        <f t="shared" si="219"/>
        <v>0</v>
      </c>
      <c r="P667" s="59"/>
      <c r="Q667" s="141">
        <v>0</v>
      </c>
      <c r="R667" s="50">
        <f t="shared" si="220"/>
        <v>0</v>
      </c>
      <c r="S667" s="51">
        <f t="shared" si="221"/>
        <v>0</v>
      </c>
      <c r="T667" s="63">
        <v>25</v>
      </c>
      <c r="U667" s="61" t="s">
        <v>81</v>
      </c>
      <c r="V667" s="53">
        <f>SUMIF('Avoided Costs 2014-2023'!$A:$A,'2014 Actuals'!U667&amp;ROUNDDOWN('2014 Actuals'!T667,0),'Avoided Costs 2014-2023'!$E:$E)*K667</f>
        <v>32387.511668961921</v>
      </c>
      <c r="W667" s="53">
        <f>SUMIF('Avoided Costs 2014-2023'!$A:$A,'2014 Actuals'!U667&amp;ROUNDDOWN('2014 Actuals'!T667,0),'Avoided Costs 2014-2023'!$K:$K)*O667</f>
        <v>0</v>
      </c>
      <c r="X667" s="53">
        <f>SUMIF('Avoided Costs 2014-2023'!$A:$A,'2014 Actuals'!U667&amp;ROUNDDOWN('2014 Actuals'!T667,0),'Avoided Costs 2014-2023'!$M:$M)*S667</f>
        <v>0</v>
      </c>
      <c r="Y667" s="53">
        <f t="shared" si="222"/>
        <v>32387.511668961921</v>
      </c>
      <c r="Z667" s="55">
        <v>6893</v>
      </c>
      <c r="AA667" s="54">
        <f t="shared" si="223"/>
        <v>5514.4000000000005</v>
      </c>
      <c r="AB667" s="54"/>
      <c r="AC667" s="54"/>
      <c r="AD667" s="54"/>
      <c r="AE667" s="54">
        <f t="shared" si="224"/>
        <v>5514.4000000000005</v>
      </c>
      <c r="AF667" s="54">
        <f t="shared" si="225"/>
        <v>26873.111668961919</v>
      </c>
      <c r="AG667" s="49">
        <f t="shared" si="226"/>
        <v>254916.71999999997</v>
      </c>
      <c r="AH667" s="49">
        <f t="shared" si="227"/>
        <v>318645.89999999997</v>
      </c>
    </row>
    <row r="668" spans="1:34" s="56" customFormat="1">
      <c r="A668" s="62" t="s">
        <v>770</v>
      </c>
      <c r="B668" s="62"/>
      <c r="C668" s="62"/>
      <c r="D668" s="62"/>
      <c r="E668" s="141">
        <v>1</v>
      </c>
      <c r="F668" s="142"/>
      <c r="G668" s="143">
        <v>0.2</v>
      </c>
      <c r="H668" s="143">
        <v>0</v>
      </c>
      <c r="I668" s="49">
        <v>4434</v>
      </c>
      <c r="J668" s="49">
        <f t="shared" si="216"/>
        <v>3711.2579999999998</v>
      </c>
      <c r="K668" s="49">
        <f t="shared" si="217"/>
        <v>2969.0064000000002</v>
      </c>
      <c r="L668" s="58"/>
      <c r="M668" s="141">
        <v>0</v>
      </c>
      <c r="N668" s="50">
        <f t="shared" si="218"/>
        <v>0</v>
      </c>
      <c r="O668" s="50">
        <f t="shared" si="219"/>
        <v>0</v>
      </c>
      <c r="P668" s="59"/>
      <c r="Q668" s="141">
        <v>0</v>
      </c>
      <c r="R668" s="50">
        <f t="shared" si="220"/>
        <v>0</v>
      </c>
      <c r="S668" s="51">
        <f t="shared" si="221"/>
        <v>0</v>
      </c>
      <c r="T668" s="63">
        <v>25</v>
      </c>
      <c r="U668" s="61" t="s">
        <v>81</v>
      </c>
      <c r="V668" s="53">
        <f>SUMIF('Avoided Costs 2014-2023'!$A:$A,'2014 Actuals'!U668&amp;ROUNDDOWN('2014 Actuals'!T668,0),'Avoided Costs 2014-2023'!$E:$E)*K668</f>
        <v>9430.4062739806395</v>
      </c>
      <c r="W668" s="53">
        <f>SUMIF('Avoided Costs 2014-2023'!$A:$A,'2014 Actuals'!U668&amp;ROUNDDOWN('2014 Actuals'!T668,0),'Avoided Costs 2014-2023'!$K:$K)*O668</f>
        <v>0</v>
      </c>
      <c r="X668" s="53">
        <f>SUMIF('Avoided Costs 2014-2023'!$A:$A,'2014 Actuals'!U668&amp;ROUNDDOWN('2014 Actuals'!T668,0),'Avoided Costs 2014-2023'!$M:$M)*S668</f>
        <v>0</v>
      </c>
      <c r="Y668" s="53">
        <f t="shared" si="222"/>
        <v>9430.4062739806395</v>
      </c>
      <c r="Z668" s="55">
        <v>5378</v>
      </c>
      <c r="AA668" s="54">
        <f t="shared" si="223"/>
        <v>4302.4000000000005</v>
      </c>
      <c r="AB668" s="54"/>
      <c r="AC668" s="54"/>
      <c r="AD668" s="54"/>
      <c r="AE668" s="54">
        <f t="shared" si="224"/>
        <v>4302.4000000000005</v>
      </c>
      <c r="AF668" s="54">
        <f t="shared" si="225"/>
        <v>5128.006273980639</v>
      </c>
      <c r="AG668" s="49">
        <f t="shared" si="226"/>
        <v>74225.16</v>
      </c>
      <c r="AH668" s="49">
        <f t="shared" si="227"/>
        <v>92781.45</v>
      </c>
    </row>
    <row r="669" spans="1:34" s="56" customFormat="1">
      <c r="A669" s="62" t="s">
        <v>771</v>
      </c>
      <c r="B669" s="62"/>
      <c r="C669" s="62"/>
      <c r="D669" s="62"/>
      <c r="E669" s="141">
        <v>1</v>
      </c>
      <c r="F669" s="142"/>
      <c r="G669" s="143">
        <v>0.2</v>
      </c>
      <c r="H669" s="143">
        <v>0</v>
      </c>
      <c r="I669" s="49">
        <v>43143</v>
      </c>
      <c r="J669" s="49">
        <f t="shared" si="216"/>
        <v>36110.690999999999</v>
      </c>
      <c r="K669" s="49">
        <f t="shared" si="217"/>
        <v>28888.552800000001</v>
      </c>
      <c r="L669" s="58"/>
      <c r="M669" s="141">
        <v>27013</v>
      </c>
      <c r="N669" s="50">
        <f t="shared" si="218"/>
        <v>27013</v>
      </c>
      <c r="O669" s="50">
        <f t="shared" si="219"/>
        <v>21610.400000000001</v>
      </c>
      <c r="P669" s="59"/>
      <c r="Q669" s="141">
        <v>0</v>
      </c>
      <c r="R669" s="50">
        <f t="shared" si="220"/>
        <v>0</v>
      </c>
      <c r="S669" s="51">
        <f t="shared" si="221"/>
        <v>0</v>
      </c>
      <c r="T669" s="63">
        <v>15</v>
      </c>
      <c r="U669" s="61" t="s">
        <v>81</v>
      </c>
      <c r="V669" s="53">
        <f>SUMIF('Avoided Costs 2014-2023'!$A:$A,'2014 Actuals'!U669&amp;ROUNDDOWN('2014 Actuals'!T669,0),'Avoided Costs 2014-2023'!$E:$E)*K669</f>
        <v>66873.2995505461</v>
      </c>
      <c r="W669" s="53">
        <f>SUMIF('Avoided Costs 2014-2023'!$A:$A,'2014 Actuals'!U669&amp;ROUNDDOWN('2014 Actuals'!T669,0),'Avoided Costs 2014-2023'!$K:$K)*O669</f>
        <v>25553.873630635175</v>
      </c>
      <c r="X669" s="53">
        <f>SUMIF('Avoided Costs 2014-2023'!$A:$A,'2014 Actuals'!U669&amp;ROUNDDOWN('2014 Actuals'!T669,0),'Avoided Costs 2014-2023'!$M:$M)*S669</f>
        <v>0</v>
      </c>
      <c r="Y669" s="53">
        <f t="shared" si="222"/>
        <v>92427.173181181279</v>
      </c>
      <c r="Z669" s="55">
        <v>7980</v>
      </c>
      <c r="AA669" s="54">
        <f t="shared" si="223"/>
        <v>6384</v>
      </c>
      <c r="AB669" s="54"/>
      <c r="AC669" s="54"/>
      <c r="AD669" s="54"/>
      <c r="AE669" s="54">
        <f t="shared" si="224"/>
        <v>6384</v>
      </c>
      <c r="AF669" s="54">
        <f t="shared" si="225"/>
        <v>86043.173181181279</v>
      </c>
      <c r="AG669" s="49">
        <f t="shared" si="226"/>
        <v>433328.29200000002</v>
      </c>
      <c r="AH669" s="49">
        <f t="shared" si="227"/>
        <v>541660.36499999999</v>
      </c>
    </row>
    <row r="670" spans="1:34" s="56" customFormat="1">
      <c r="A670" s="62" t="s">
        <v>772</v>
      </c>
      <c r="B670" s="62"/>
      <c r="C670" s="62"/>
      <c r="D670" s="62"/>
      <c r="E670" s="141">
        <v>1</v>
      </c>
      <c r="F670" s="142"/>
      <c r="G670" s="143">
        <v>0.2</v>
      </c>
      <c r="H670" s="143">
        <v>0</v>
      </c>
      <c r="I670" s="49">
        <v>10711</v>
      </c>
      <c r="J670" s="49">
        <f t="shared" si="216"/>
        <v>8965.107</v>
      </c>
      <c r="K670" s="49">
        <f t="shared" si="217"/>
        <v>7172.0856000000003</v>
      </c>
      <c r="L670" s="58"/>
      <c r="M670" s="141">
        <v>4682</v>
      </c>
      <c r="N670" s="50">
        <f t="shared" si="218"/>
        <v>4682</v>
      </c>
      <c r="O670" s="50">
        <f t="shared" si="219"/>
        <v>3745.6000000000004</v>
      </c>
      <c r="P670" s="59"/>
      <c r="Q670" s="141">
        <v>0</v>
      </c>
      <c r="R670" s="50">
        <f t="shared" si="220"/>
        <v>0</v>
      </c>
      <c r="S670" s="51">
        <f t="shared" si="221"/>
        <v>0</v>
      </c>
      <c r="T670" s="63">
        <v>15</v>
      </c>
      <c r="U670" s="61" t="s">
        <v>81</v>
      </c>
      <c r="V670" s="53">
        <f>SUMIF('Avoided Costs 2014-2023'!$A:$A,'2014 Actuals'!U670&amp;ROUNDDOWN('2014 Actuals'!T670,0),'Avoided Costs 2014-2023'!$E:$E)*K670</f>
        <v>16602.459529608495</v>
      </c>
      <c r="W670" s="53">
        <f>SUMIF('Avoided Costs 2014-2023'!$A:$A,'2014 Actuals'!U670&amp;ROUNDDOWN('2014 Actuals'!T670,0),'Avoided Costs 2014-2023'!$K:$K)*O670</f>
        <v>4429.0984466232512</v>
      </c>
      <c r="X670" s="53">
        <f>SUMIF('Avoided Costs 2014-2023'!$A:$A,'2014 Actuals'!U670&amp;ROUNDDOWN('2014 Actuals'!T670,0),'Avoided Costs 2014-2023'!$M:$M)*S670</f>
        <v>0</v>
      </c>
      <c r="Y670" s="53">
        <f t="shared" si="222"/>
        <v>21031.557976231747</v>
      </c>
      <c r="Z670" s="55">
        <v>37099</v>
      </c>
      <c r="AA670" s="54">
        <f t="shared" si="223"/>
        <v>29679.200000000001</v>
      </c>
      <c r="AB670" s="54"/>
      <c r="AC670" s="54"/>
      <c r="AD670" s="54"/>
      <c r="AE670" s="54">
        <f t="shared" si="224"/>
        <v>29679.200000000001</v>
      </c>
      <c r="AF670" s="54">
        <f t="shared" si="225"/>
        <v>-8647.6420237682541</v>
      </c>
      <c r="AG670" s="49">
        <f t="shared" si="226"/>
        <v>107581.284</v>
      </c>
      <c r="AH670" s="49">
        <f t="shared" si="227"/>
        <v>134476.60500000001</v>
      </c>
    </row>
    <row r="671" spans="1:34" s="56" customFormat="1">
      <c r="A671" s="62" t="s">
        <v>773</v>
      </c>
      <c r="B671" s="62"/>
      <c r="C671" s="62"/>
      <c r="D671" s="62"/>
      <c r="E671" s="141">
        <v>0</v>
      </c>
      <c r="F671" s="142"/>
      <c r="G671" s="143">
        <v>0.2</v>
      </c>
      <c r="H671" s="143">
        <v>0</v>
      </c>
      <c r="I671" s="49">
        <v>35591</v>
      </c>
      <c r="J671" s="49">
        <f t="shared" si="216"/>
        <v>29789.666999999998</v>
      </c>
      <c r="K671" s="49">
        <f t="shared" si="217"/>
        <v>23831.7336</v>
      </c>
      <c r="L671" s="58"/>
      <c r="M671" s="141">
        <v>29952</v>
      </c>
      <c r="N671" s="50">
        <f t="shared" si="218"/>
        <v>29952</v>
      </c>
      <c r="O671" s="50">
        <f t="shared" si="219"/>
        <v>23961.600000000002</v>
      </c>
      <c r="P671" s="59"/>
      <c r="Q671" s="141">
        <v>0</v>
      </c>
      <c r="R671" s="50">
        <f t="shared" si="220"/>
        <v>0</v>
      </c>
      <c r="S671" s="51">
        <f t="shared" si="221"/>
        <v>0</v>
      </c>
      <c r="T671" s="63">
        <v>15</v>
      </c>
      <c r="U671" s="61" t="s">
        <v>81</v>
      </c>
      <c r="V671" s="53">
        <f>SUMIF('Avoided Costs 2014-2023'!$A:$A,'2014 Actuals'!U671&amp;ROUNDDOWN('2014 Actuals'!T671,0),'Avoided Costs 2014-2023'!$E:$E)*K671</f>
        <v>55167.410803687409</v>
      </c>
      <c r="W671" s="53">
        <f>SUMIF('Avoided Costs 2014-2023'!$A:$A,'2014 Actuals'!U671&amp;ROUNDDOWN('2014 Actuals'!T671,0),'Avoided Costs 2014-2023'!$K:$K)*O671</f>
        <v>28334.121459474503</v>
      </c>
      <c r="X671" s="53">
        <f>SUMIF('Avoided Costs 2014-2023'!$A:$A,'2014 Actuals'!U671&amp;ROUNDDOWN('2014 Actuals'!T671,0),'Avoided Costs 2014-2023'!$M:$M)*S671</f>
        <v>0</v>
      </c>
      <c r="Y671" s="53">
        <f t="shared" si="222"/>
        <v>83501.532263161906</v>
      </c>
      <c r="Z671" s="55">
        <v>9500</v>
      </c>
      <c r="AA671" s="54">
        <f t="shared" si="223"/>
        <v>7600</v>
      </c>
      <c r="AB671" s="54"/>
      <c r="AC671" s="54"/>
      <c r="AD671" s="54"/>
      <c r="AE671" s="54">
        <f t="shared" si="224"/>
        <v>7600</v>
      </c>
      <c r="AF671" s="54">
        <f t="shared" si="225"/>
        <v>75901.532263161906</v>
      </c>
      <c r="AG671" s="49">
        <f t="shared" si="226"/>
        <v>357476.00400000002</v>
      </c>
      <c r="AH671" s="49">
        <f t="shared" si="227"/>
        <v>446845.00499999995</v>
      </c>
    </row>
    <row r="672" spans="1:34" s="56" customFormat="1">
      <c r="A672" s="62" t="s">
        <v>774</v>
      </c>
      <c r="B672" s="62"/>
      <c r="C672" s="62"/>
      <c r="D672" s="62"/>
      <c r="E672" s="141">
        <v>1</v>
      </c>
      <c r="F672" s="142"/>
      <c r="G672" s="143">
        <v>0.2</v>
      </c>
      <c r="H672" s="143">
        <v>0</v>
      </c>
      <c r="I672" s="49">
        <v>36254</v>
      </c>
      <c r="J672" s="49">
        <f t="shared" si="216"/>
        <v>30344.597999999998</v>
      </c>
      <c r="K672" s="49">
        <f t="shared" si="217"/>
        <v>24275.678400000001</v>
      </c>
      <c r="L672" s="58"/>
      <c r="M672" s="141">
        <v>0</v>
      </c>
      <c r="N672" s="50">
        <f t="shared" si="218"/>
        <v>0</v>
      </c>
      <c r="O672" s="50">
        <f t="shared" si="219"/>
        <v>0</v>
      </c>
      <c r="P672" s="59"/>
      <c r="Q672" s="141">
        <v>0</v>
      </c>
      <c r="R672" s="50">
        <f t="shared" si="220"/>
        <v>0</v>
      </c>
      <c r="S672" s="51">
        <f t="shared" si="221"/>
        <v>0</v>
      </c>
      <c r="T672" s="63">
        <v>15</v>
      </c>
      <c r="U672" s="61" t="s">
        <v>81</v>
      </c>
      <c r="V672" s="53">
        <f>SUMIF('Avoided Costs 2014-2023'!$A:$A,'2014 Actuals'!U672&amp;ROUNDDOWN('2014 Actuals'!T672,0),'Avoided Costs 2014-2023'!$E:$E)*K672</f>
        <v>56195.086153153425</v>
      </c>
      <c r="W672" s="53">
        <f>SUMIF('Avoided Costs 2014-2023'!$A:$A,'2014 Actuals'!U672&amp;ROUNDDOWN('2014 Actuals'!T672,0),'Avoided Costs 2014-2023'!$K:$K)*O672</f>
        <v>0</v>
      </c>
      <c r="X672" s="53">
        <f>SUMIF('Avoided Costs 2014-2023'!$A:$A,'2014 Actuals'!U672&amp;ROUNDDOWN('2014 Actuals'!T672,0),'Avoided Costs 2014-2023'!$M:$M)*S672</f>
        <v>0</v>
      </c>
      <c r="Y672" s="53">
        <f t="shared" si="222"/>
        <v>56195.086153153425</v>
      </c>
      <c r="Z672" s="55">
        <v>10000</v>
      </c>
      <c r="AA672" s="54">
        <f t="shared" si="223"/>
        <v>8000</v>
      </c>
      <c r="AB672" s="54"/>
      <c r="AC672" s="54"/>
      <c r="AD672" s="54"/>
      <c r="AE672" s="54">
        <f t="shared" si="224"/>
        <v>8000</v>
      </c>
      <c r="AF672" s="54">
        <f t="shared" si="225"/>
        <v>48195.086153153425</v>
      </c>
      <c r="AG672" s="49">
        <f t="shared" si="226"/>
        <v>364135.17600000004</v>
      </c>
      <c r="AH672" s="49">
        <f t="shared" si="227"/>
        <v>455168.97</v>
      </c>
    </row>
    <row r="673" spans="1:34" s="56" customFormat="1">
      <c r="A673" s="62" t="s">
        <v>775</v>
      </c>
      <c r="B673" s="62"/>
      <c r="C673" s="62"/>
      <c r="D673" s="62"/>
      <c r="E673" s="141">
        <v>0</v>
      </c>
      <c r="F673" s="142"/>
      <c r="G673" s="143">
        <v>0.2</v>
      </c>
      <c r="H673" s="143">
        <v>0</v>
      </c>
      <c r="I673" s="49">
        <v>52340</v>
      </c>
      <c r="J673" s="49">
        <f t="shared" si="216"/>
        <v>43808.58</v>
      </c>
      <c r="K673" s="49">
        <f t="shared" si="217"/>
        <v>35046.864000000001</v>
      </c>
      <c r="L673" s="58"/>
      <c r="M673" s="141">
        <v>29952</v>
      </c>
      <c r="N673" s="50">
        <f t="shared" si="218"/>
        <v>29952</v>
      </c>
      <c r="O673" s="50">
        <f t="shared" si="219"/>
        <v>23961.600000000002</v>
      </c>
      <c r="P673" s="59"/>
      <c r="Q673" s="141">
        <v>0</v>
      </c>
      <c r="R673" s="50">
        <f t="shared" si="220"/>
        <v>0</v>
      </c>
      <c r="S673" s="51">
        <f t="shared" si="221"/>
        <v>0</v>
      </c>
      <c r="T673" s="63">
        <v>15</v>
      </c>
      <c r="U673" s="61" t="s">
        <v>81</v>
      </c>
      <c r="V673" s="53">
        <f>SUMIF('Avoided Costs 2014-2023'!$A:$A,'2014 Actuals'!U673&amp;ROUNDDOWN('2014 Actuals'!T673,0),'Avoided Costs 2014-2023'!$E:$E)*K673</f>
        <v>81129.001193138698</v>
      </c>
      <c r="W673" s="53">
        <f>SUMIF('Avoided Costs 2014-2023'!$A:$A,'2014 Actuals'!U673&amp;ROUNDDOWN('2014 Actuals'!T673,0),'Avoided Costs 2014-2023'!$K:$K)*O673</f>
        <v>28334.121459474503</v>
      </c>
      <c r="X673" s="53">
        <f>SUMIF('Avoided Costs 2014-2023'!$A:$A,'2014 Actuals'!U673&amp;ROUNDDOWN('2014 Actuals'!T673,0),'Avoided Costs 2014-2023'!$M:$M)*S673</f>
        <v>0</v>
      </c>
      <c r="Y673" s="53">
        <f t="shared" si="222"/>
        <v>109463.12265261321</v>
      </c>
      <c r="Z673" s="55">
        <v>11750</v>
      </c>
      <c r="AA673" s="54">
        <f t="shared" si="223"/>
        <v>9400</v>
      </c>
      <c r="AB673" s="54"/>
      <c r="AC673" s="54"/>
      <c r="AD673" s="54"/>
      <c r="AE673" s="54">
        <f t="shared" si="224"/>
        <v>9400</v>
      </c>
      <c r="AF673" s="54">
        <f t="shared" si="225"/>
        <v>100063.12265261321</v>
      </c>
      <c r="AG673" s="49">
        <f t="shared" si="226"/>
        <v>525702.96</v>
      </c>
      <c r="AH673" s="49">
        <f t="shared" si="227"/>
        <v>657128.70000000007</v>
      </c>
    </row>
    <row r="674" spans="1:34" s="56" customFormat="1">
      <c r="A674" s="62" t="s">
        <v>776</v>
      </c>
      <c r="B674" s="62"/>
      <c r="C674" s="62"/>
      <c r="D674" s="62"/>
      <c r="E674" s="141">
        <v>1</v>
      </c>
      <c r="F674" s="142"/>
      <c r="G674" s="143">
        <v>0.2</v>
      </c>
      <c r="H674" s="143">
        <v>0</v>
      </c>
      <c r="I674" s="49">
        <v>62364</v>
      </c>
      <c r="J674" s="49">
        <f t="shared" si="216"/>
        <v>52198.667999999998</v>
      </c>
      <c r="K674" s="49">
        <f t="shared" si="217"/>
        <v>41758.934399999998</v>
      </c>
      <c r="L674" s="58"/>
      <c r="M674" s="141">
        <v>0</v>
      </c>
      <c r="N674" s="50">
        <f t="shared" si="218"/>
        <v>0</v>
      </c>
      <c r="O674" s="50">
        <f t="shared" si="219"/>
        <v>0</v>
      </c>
      <c r="P674" s="59"/>
      <c r="Q674" s="141">
        <v>0</v>
      </c>
      <c r="R674" s="50">
        <f t="shared" si="220"/>
        <v>0</v>
      </c>
      <c r="S674" s="51">
        <f t="shared" si="221"/>
        <v>0</v>
      </c>
      <c r="T674" s="63">
        <v>15</v>
      </c>
      <c r="U674" s="61" t="s">
        <v>81</v>
      </c>
      <c r="V674" s="53">
        <f>SUMIF('Avoided Costs 2014-2023'!$A:$A,'2014 Actuals'!U674&amp;ROUNDDOWN('2014 Actuals'!T674,0),'Avoided Costs 2014-2023'!$E:$E)*K674</f>
        <v>96666.584455653443</v>
      </c>
      <c r="W674" s="53">
        <f>SUMIF('Avoided Costs 2014-2023'!$A:$A,'2014 Actuals'!U674&amp;ROUNDDOWN('2014 Actuals'!T674,0),'Avoided Costs 2014-2023'!$K:$K)*O674</f>
        <v>0</v>
      </c>
      <c r="X674" s="53">
        <f>SUMIF('Avoided Costs 2014-2023'!$A:$A,'2014 Actuals'!U674&amp;ROUNDDOWN('2014 Actuals'!T674,0),'Avoided Costs 2014-2023'!$M:$M)*S674</f>
        <v>0</v>
      </c>
      <c r="Y674" s="53">
        <f t="shared" si="222"/>
        <v>96666.584455653443</v>
      </c>
      <c r="Z674" s="55">
        <v>10000</v>
      </c>
      <c r="AA674" s="54">
        <f t="shared" si="223"/>
        <v>8000</v>
      </c>
      <c r="AB674" s="54"/>
      <c r="AC674" s="54"/>
      <c r="AD674" s="54"/>
      <c r="AE674" s="54">
        <f t="shared" si="224"/>
        <v>8000</v>
      </c>
      <c r="AF674" s="54">
        <f t="shared" si="225"/>
        <v>88666.584455653443</v>
      </c>
      <c r="AG674" s="49">
        <f t="shared" si="226"/>
        <v>626384.01599999995</v>
      </c>
      <c r="AH674" s="49">
        <f t="shared" si="227"/>
        <v>782980.02</v>
      </c>
    </row>
    <row r="675" spans="1:34" s="56" customFormat="1">
      <c r="A675" s="62" t="s">
        <v>777</v>
      </c>
      <c r="B675" s="62"/>
      <c r="C675" s="62"/>
      <c r="D675" s="62"/>
      <c r="E675" s="141">
        <v>0</v>
      </c>
      <c r="F675" s="142"/>
      <c r="G675" s="143">
        <v>0.2</v>
      </c>
      <c r="H675" s="143">
        <v>0</v>
      </c>
      <c r="I675" s="49">
        <v>36595</v>
      </c>
      <c r="J675" s="49">
        <f t="shared" si="216"/>
        <v>30630.014999999999</v>
      </c>
      <c r="K675" s="49">
        <f t="shared" si="217"/>
        <v>24504.012000000002</v>
      </c>
      <c r="L675" s="58"/>
      <c r="M675" s="141">
        <v>0</v>
      </c>
      <c r="N675" s="50">
        <f t="shared" si="218"/>
        <v>0</v>
      </c>
      <c r="O675" s="50">
        <f t="shared" si="219"/>
        <v>0</v>
      </c>
      <c r="P675" s="59"/>
      <c r="Q675" s="141">
        <v>0</v>
      </c>
      <c r="R675" s="50">
        <f t="shared" si="220"/>
        <v>0</v>
      </c>
      <c r="S675" s="51">
        <f t="shared" si="221"/>
        <v>0</v>
      </c>
      <c r="T675" s="63">
        <v>15</v>
      </c>
      <c r="U675" s="61" t="s">
        <v>81</v>
      </c>
      <c r="V675" s="53">
        <f>SUMIF('Avoided Costs 2014-2023'!$A:$A,'2014 Actuals'!U675&amp;ROUNDDOWN('2014 Actuals'!T675,0),'Avoided Costs 2014-2023'!$E:$E)*K675</f>
        <v>56723.649191114077</v>
      </c>
      <c r="W675" s="53">
        <f>SUMIF('Avoided Costs 2014-2023'!$A:$A,'2014 Actuals'!U675&amp;ROUNDDOWN('2014 Actuals'!T675,0),'Avoided Costs 2014-2023'!$K:$K)*O675</f>
        <v>0</v>
      </c>
      <c r="X675" s="53">
        <f>SUMIF('Avoided Costs 2014-2023'!$A:$A,'2014 Actuals'!U675&amp;ROUNDDOWN('2014 Actuals'!T675,0),'Avoided Costs 2014-2023'!$M:$M)*S675</f>
        <v>0</v>
      </c>
      <c r="Y675" s="53">
        <f t="shared" si="222"/>
        <v>56723.649191114077</v>
      </c>
      <c r="Z675" s="55">
        <v>10895</v>
      </c>
      <c r="AA675" s="54">
        <f t="shared" si="223"/>
        <v>8716</v>
      </c>
      <c r="AB675" s="54"/>
      <c r="AC675" s="54"/>
      <c r="AD675" s="54"/>
      <c r="AE675" s="54">
        <f t="shared" si="224"/>
        <v>8716</v>
      </c>
      <c r="AF675" s="54">
        <f t="shared" si="225"/>
        <v>48007.649191114077</v>
      </c>
      <c r="AG675" s="49">
        <f t="shared" si="226"/>
        <v>367560.18000000005</v>
      </c>
      <c r="AH675" s="49">
        <f t="shared" si="227"/>
        <v>459450.22499999998</v>
      </c>
    </row>
    <row r="676" spans="1:34" s="56" customFormat="1">
      <c r="A676" s="62" t="s">
        <v>778</v>
      </c>
      <c r="B676" s="62"/>
      <c r="C676" s="62"/>
      <c r="D676" s="62"/>
      <c r="E676" s="141">
        <v>1</v>
      </c>
      <c r="F676" s="142"/>
      <c r="G676" s="143">
        <v>0.2</v>
      </c>
      <c r="H676" s="143">
        <v>0</v>
      </c>
      <c r="I676" s="49">
        <v>51293</v>
      </c>
      <c r="J676" s="49">
        <f t="shared" si="216"/>
        <v>42932.241000000002</v>
      </c>
      <c r="K676" s="49">
        <f t="shared" si="217"/>
        <v>34345.792800000003</v>
      </c>
      <c r="L676" s="58"/>
      <c r="M676" s="141">
        <v>29952</v>
      </c>
      <c r="N676" s="50">
        <f t="shared" si="218"/>
        <v>29952</v>
      </c>
      <c r="O676" s="50">
        <f t="shared" si="219"/>
        <v>23961.600000000002</v>
      </c>
      <c r="P676" s="59"/>
      <c r="Q676" s="141">
        <v>0</v>
      </c>
      <c r="R676" s="50">
        <f t="shared" si="220"/>
        <v>0</v>
      </c>
      <c r="S676" s="51">
        <f t="shared" si="221"/>
        <v>0</v>
      </c>
      <c r="T676" s="63">
        <v>15</v>
      </c>
      <c r="U676" s="61" t="s">
        <v>81</v>
      </c>
      <c r="V676" s="53">
        <f>SUMIF('Avoided Costs 2014-2023'!$A:$A,'2014 Actuals'!U676&amp;ROUNDDOWN('2014 Actuals'!T676,0),'Avoided Costs 2014-2023'!$E:$E)*K676</f>
        <v>79506.111161629029</v>
      </c>
      <c r="W676" s="53">
        <f>SUMIF('Avoided Costs 2014-2023'!$A:$A,'2014 Actuals'!U676&amp;ROUNDDOWN('2014 Actuals'!T676,0),'Avoided Costs 2014-2023'!$K:$K)*O676</f>
        <v>28334.121459474503</v>
      </c>
      <c r="X676" s="53">
        <f>SUMIF('Avoided Costs 2014-2023'!$A:$A,'2014 Actuals'!U676&amp;ROUNDDOWN('2014 Actuals'!T676,0),'Avoided Costs 2014-2023'!$M:$M)*S676</f>
        <v>0</v>
      </c>
      <c r="Y676" s="53">
        <f t="shared" si="222"/>
        <v>107840.23262110353</v>
      </c>
      <c r="Z676" s="55">
        <v>17905</v>
      </c>
      <c r="AA676" s="54">
        <f t="shared" si="223"/>
        <v>14324</v>
      </c>
      <c r="AB676" s="54"/>
      <c r="AC676" s="54"/>
      <c r="AD676" s="54"/>
      <c r="AE676" s="54">
        <f t="shared" si="224"/>
        <v>14324</v>
      </c>
      <c r="AF676" s="54">
        <f t="shared" si="225"/>
        <v>93516.232621103525</v>
      </c>
      <c r="AG676" s="49">
        <f t="shared" si="226"/>
        <v>515186.89200000005</v>
      </c>
      <c r="AH676" s="49">
        <f t="shared" si="227"/>
        <v>643983.61499999999</v>
      </c>
    </row>
    <row r="677" spans="1:34" s="56" customFormat="1">
      <c r="A677" s="62" t="s">
        <v>779</v>
      </c>
      <c r="B677" s="62"/>
      <c r="C677" s="62"/>
      <c r="D677" s="62"/>
      <c r="E677" s="141">
        <v>0</v>
      </c>
      <c r="F677" s="142"/>
      <c r="G677" s="143">
        <v>0.2</v>
      </c>
      <c r="H677" s="143">
        <v>0</v>
      </c>
      <c r="I677" s="49">
        <v>85837</v>
      </c>
      <c r="J677" s="49">
        <f t="shared" si="216"/>
        <v>71845.569000000003</v>
      </c>
      <c r="K677" s="49">
        <f t="shared" si="217"/>
        <v>57476.455200000004</v>
      </c>
      <c r="L677" s="58"/>
      <c r="M677" s="141">
        <v>29952</v>
      </c>
      <c r="N677" s="50">
        <f t="shared" si="218"/>
        <v>29952</v>
      </c>
      <c r="O677" s="50">
        <f t="shared" si="219"/>
        <v>23961.600000000002</v>
      </c>
      <c r="P677" s="59"/>
      <c r="Q677" s="141">
        <v>0</v>
      </c>
      <c r="R677" s="50">
        <f t="shared" si="220"/>
        <v>0</v>
      </c>
      <c r="S677" s="51">
        <f t="shared" si="221"/>
        <v>0</v>
      </c>
      <c r="T677" s="63">
        <v>15</v>
      </c>
      <c r="U677" s="61" t="s">
        <v>81</v>
      </c>
      <c r="V677" s="53">
        <f>SUMIF('Avoided Costs 2014-2023'!$A:$A,'2014 Actuals'!U677&amp;ROUNDDOWN('2014 Actuals'!T677,0),'Avoided Costs 2014-2023'!$E:$E)*K677</f>
        <v>133050.63193380676</v>
      </c>
      <c r="W677" s="53">
        <f>SUMIF('Avoided Costs 2014-2023'!$A:$A,'2014 Actuals'!U677&amp;ROUNDDOWN('2014 Actuals'!T677,0),'Avoided Costs 2014-2023'!$K:$K)*O677</f>
        <v>28334.121459474503</v>
      </c>
      <c r="X677" s="53">
        <f>SUMIF('Avoided Costs 2014-2023'!$A:$A,'2014 Actuals'!U677&amp;ROUNDDOWN('2014 Actuals'!T677,0),'Avoided Costs 2014-2023'!$M:$M)*S677</f>
        <v>0</v>
      </c>
      <c r="Y677" s="53">
        <f t="shared" si="222"/>
        <v>161384.75339328125</v>
      </c>
      <c r="Z677" s="55">
        <v>11200</v>
      </c>
      <c r="AA677" s="54">
        <f t="shared" si="223"/>
        <v>8960</v>
      </c>
      <c r="AB677" s="54"/>
      <c r="AC677" s="54"/>
      <c r="AD677" s="54"/>
      <c r="AE677" s="54">
        <f t="shared" si="224"/>
        <v>8960</v>
      </c>
      <c r="AF677" s="54">
        <f t="shared" si="225"/>
        <v>152424.75339328125</v>
      </c>
      <c r="AG677" s="49">
        <f t="shared" si="226"/>
        <v>862146.8280000001</v>
      </c>
      <c r="AH677" s="49">
        <f t="shared" si="227"/>
        <v>1077683.5350000001</v>
      </c>
    </row>
    <row r="678" spans="1:34" s="56" customFormat="1">
      <c r="A678" s="62" t="s">
        <v>780</v>
      </c>
      <c r="B678" s="62"/>
      <c r="C678" s="62"/>
      <c r="D678" s="62"/>
      <c r="E678" s="141">
        <v>1</v>
      </c>
      <c r="F678" s="142"/>
      <c r="G678" s="143">
        <v>0.2</v>
      </c>
      <c r="H678" s="143">
        <v>0</v>
      </c>
      <c r="I678" s="49">
        <v>54765</v>
      </c>
      <c r="J678" s="49">
        <f t="shared" si="216"/>
        <v>45838.305</v>
      </c>
      <c r="K678" s="49">
        <f t="shared" si="217"/>
        <v>36670.644</v>
      </c>
      <c r="L678" s="58"/>
      <c r="M678" s="141">
        <v>0</v>
      </c>
      <c r="N678" s="50">
        <f t="shared" si="218"/>
        <v>0</v>
      </c>
      <c r="O678" s="50">
        <f t="shared" si="219"/>
        <v>0</v>
      </c>
      <c r="P678" s="59"/>
      <c r="Q678" s="141">
        <v>0</v>
      </c>
      <c r="R678" s="50">
        <f t="shared" si="220"/>
        <v>0</v>
      </c>
      <c r="S678" s="51">
        <f t="shared" si="221"/>
        <v>0</v>
      </c>
      <c r="T678" s="63">
        <v>15</v>
      </c>
      <c r="U678" s="61" t="s">
        <v>81</v>
      </c>
      <c r="V678" s="53">
        <f>SUMIF('Avoided Costs 2014-2023'!$A:$A,'2014 Actuals'!U678&amp;ROUNDDOWN('2014 Actuals'!T678,0),'Avoided Costs 2014-2023'!$E:$E)*K678</f>
        <v>84887.843911773802</v>
      </c>
      <c r="W678" s="53">
        <f>SUMIF('Avoided Costs 2014-2023'!$A:$A,'2014 Actuals'!U678&amp;ROUNDDOWN('2014 Actuals'!T678,0),'Avoided Costs 2014-2023'!$K:$K)*O678</f>
        <v>0</v>
      </c>
      <c r="X678" s="53">
        <f>SUMIF('Avoided Costs 2014-2023'!$A:$A,'2014 Actuals'!U678&amp;ROUNDDOWN('2014 Actuals'!T678,0),'Avoided Costs 2014-2023'!$M:$M)*S678</f>
        <v>0</v>
      </c>
      <c r="Y678" s="53">
        <f t="shared" si="222"/>
        <v>84887.843911773802</v>
      </c>
      <c r="Z678" s="55">
        <v>20000</v>
      </c>
      <c r="AA678" s="54">
        <f t="shared" si="223"/>
        <v>16000</v>
      </c>
      <c r="AB678" s="54"/>
      <c r="AC678" s="54"/>
      <c r="AD678" s="54"/>
      <c r="AE678" s="54">
        <f t="shared" si="224"/>
        <v>16000</v>
      </c>
      <c r="AF678" s="54">
        <f t="shared" si="225"/>
        <v>68887.843911773802</v>
      </c>
      <c r="AG678" s="49">
        <f t="shared" si="226"/>
        <v>550059.66</v>
      </c>
      <c r="AH678" s="49">
        <f t="shared" si="227"/>
        <v>687574.57499999995</v>
      </c>
    </row>
    <row r="679" spans="1:34" s="56" customFormat="1">
      <c r="A679" s="62" t="s">
        <v>781</v>
      </c>
      <c r="B679" s="62"/>
      <c r="C679" s="62"/>
      <c r="D679" s="62"/>
      <c r="E679" s="141">
        <v>0</v>
      </c>
      <c r="F679" s="142"/>
      <c r="G679" s="143">
        <v>0.2</v>
      </c>
      <c r="H679" s="143">
        <v>0</v>
      </c>
      <c r="I679" s="49">
        <v>39263</v>
      </c>
      <c r="J679" s="49">
        <f t="shared" si="216"/>
        <v>32863.131000000001</v>
      </c>
      <c r="K679" s="49">
        <f t="shared" si="217"/>
        <v>26290.504800000002</v>
      </c>
      <c r="L679" s="58"/>
      <c r="M679" s="141">
        <v>0</v>
      </c>
      <c r="N679" s="50">
        <f t="shared" si="218"/>
        <v>0</v>
      </c>
      <c r="O679" s="50">
        <f t="shared" si="219"/>
        <v>0</v>
      </c>
      <c r="P679" s="59"/>
      <c r="Q679" s="141">
        <v>0</v>
      </c>
      <c r="R679" s="50">
        <f t="shared" si="220"/>
        <v>0</v>
      </c>
      <c r="S679" s="51">
        <f t="shared" si="221"/>
        <v>0</v>
      </c>
      <c r="T679" s="63">
        <v>15</v>
      </c>
      <c r="U679" s="61" t="s">
        <v>81</v>
      </c>
      <c r="V679" s="53">
        <f>SUMIF('Avoided Costs 2014-2023'!$A:$A,'2014 Actuals'!U679&amp;ROUNDDOWN('2014 Actuals'!T679,0),'Avoided Costs 2014-2023'!$E:$E)*K679</f>
        <v>60859.151200729932</v>
      </c>
      <c r="W679" s="53">
        <f>SUMIF('Avoided Costs 2014-2023'!$A:$A,'2014 Actuals'!U679&amp;ROUNDDOWN('2014 Actuals'!T679,0),'Avoided Costs 2014-2023'!$K:$K)*O679</f>
        <v>0</v>
      </c>
      <c r="X679" s="53">
        <f>SUMIF('Avoided Costs 2014-2023'!$A:$A,'2014 Actuals'!U679&amp;ROUNDDOWN('2014 Actuals'!T679,0),'Avoided Costs 2014-2023'!$M:$M)*S679</f>
        <v>0</v>
      </c>
      <c r="Y679" s="53">
        <f t="shared" si="222"/>
        <v>60859.151200729932</v>
      </c>
      <c r="Z679" s="55">
        <v>4600</v>
      </c>
      <c r="AA679" s="54">
        <f t="shared" si="223"/>
        <v>3680</v>
      </c>
      <c r="AB679" s="54"/>
      <c r="AC679" s="54"/>
      <c r="AD679" s="54"/>
      <c r="AE679" s="54">
        <f t="shared" si="224"/>
        <v>3680</v>
      </c>
      <c r="AF679" s="54">
        <f t="shared" si="225"/>
        <v>57179.151200729932</v>
      </c>
      <c r="AG679" s="49">
        <f t="shared" si="226"/>
        <v>394357.57200000004</v>
      </c>
      <c r="AH679" s="49">
        <f t="shared" si="227"/>
        <v>492946.96500000003</v>
      </c>
    </row>
    <row r="680" spans="1:34" s="56" customFormat="1">
      <c r="A680" s="62" t="s">
        <v>782</v>
      </c>
      <c r="B680" s="62"/>
      <c r="C680" s="62"/>
      <c r="D680" s="62"/>
      <c r="E680" s="141">
        <v>0</v>
      </c>
      <c r="F680" s="142"/>
      <c r="G680" s="143">
        <v>0.2</v>
      </c>
      <c r="H680" s="143">
        <v>0</v>
      </c>
      <c r="I680" s="49">
        <v>3838</v>
      </c>
      <c r="J680" s="49">
        <f t="shared" si="216"/>
        <v>3212.4059999999999</v>
      </c>
      <c r="K680" s="49">
        <f t="shared" si="217"/>
        <v>2569.9248000000002</v>
      </c>
      <c r="L680" s="58"/>
      <c r="M680" s="141">
        <v>0</v>
      </c>
      <c r="N680" s="50">
        <f t="shared" si="218"/>
        <v>0</v>
      </c>
      <c r="O680" s="50">
        <f t="shared" si="219"/>
        <v>0</v>
      </c>
      <c r="P680" s="59"/>
      <c r="Q680" s="141">
        <v>0</v>
      </c>
      <c r="R680" s="50">
        <f t="shared" si="220"/>
        <v>0</v>
      </c>
      <c r="S680" s="51">
        <f t="shared" si="221"/>
        <v>0</v>
      </c>
      <c r="T680" s="63">
        <v>15</v>
      </c>
      <c r="U680" s="61" t="s">
        <v>94</v>
      </c>
      <c r="V680" s="53">
        <f>SUMIF('Avoided Costs 2014-2023'!$A:$A,'2014 Actuals'!U680&amp;ROUNDDOWN('2014 Actuals'!T680,0),'Avoided Costs 2014-2023'!$E:$E)*K680</f>
        <v>5571.0335182443378</v>
      </c>
      <c r="W680" s="53">
        <f>SUMIF('Avoided Costs 2014-2023'!$A:$A,'2014 Actuals'!U680&amp;ROUNDDOWN('2014 Actuals'!T680,0),'Avoided Costs 2014-2023'!$K:$K)*O680</f>
        <v>0</v>
      </c>
      <c r="X680" s="53">
        <f>SUMIF('Avoided Costs 2014-2023'!$A:$A,'2014 Actuals'!U680&amp;ROUNDDOWN('2014 Actuals'!T680,0),'Avoided Costs 2014-2023'!$M:$M)*S680</f>
        <v>0</v>
      </c>
      <c r="Y680" s="53">
        <f t="shared" si="222"/>
        <v>5571.0335182443378</v>
      </c>
      <c r="Z680" s="55">
        <v>2000</v>
      </c>
      <c r="AA680" s="54">
        <f t="shared" si="223"/>
        <v>1600</v>
      </c>
      <c r="AB680" s="54"/>
      <c r="AC680" s="54"/>
      <c r="AD680" s="54"/>
      <c r="AE680" s="54">
        <f t="shared" si="224"/>
        <v>1600</v>
      </c>
      <c r="AF680" s="54">
        <f t="shared" si="225"/>
        <v>3971.0335182443378</v>
      </c>
      <c r="AG680" s="49">
        <f t="shared" si="226"/>
        <v>38548.872000000003</v>
      </c>
      <c r="AH680" s="49">
        <f t="shared" si="227"/>
        <v>48186.09</v>
      </c>
    </row>
    <row r="681" spans="1:34" s="56" customFormat="1">
      <c r="A681" s="62" t="s">
        <v>783</v>
      </c>
      <c r="B681" s="62"/>
      <c r="C681" s="62"/>
      <c r="D681" s="62"/>
      <c r="E681" s="141">
        <v>1</v>
      </c>
      <c r="F681" s="142"/>
      <c r="G681" s="143">
        <v>0.2</v>
      </c>
      <c r="H681" s="143">
        <v>0</v>
      </c>
      <c r="I681" s="49">
        <v>130629</v>
      </c>
      <c r="J681" s="49">
        <f t="shared" si="216"/>
        <v>109336.473</v>
      </c>
      <c r="K681" s="49">
        <f t="shared" si="217"/>
        <v>87469.178400000004</v>
      </c>
      <c r="L681" s="58"/>
      <c r="M681" s="141">
        <v>26963</v>
      </c>
      <c r="N681" s="50">
        <f t="shared" si="218"/>
        <v>26963</v>
      </c>
      <c r="O681" s="50">
        <f t="shared" si="219"/>
        <v>21570.400000000001</v>
      </c>
      <c r="P681" s="59"/>
      <c r="Q681" s="141">
        <v>0</v>
      </c>
      <c r="R681" s="50">
        <f t="shared" si="220"/>
        <v>0</v>
      </c>
      <c r="S681" s="51">
        <f t="shared" si="221"/>
        <v>0</v>
      </c>
      <c r="T681" s="63">
        <v>15</v>
      </c>
      <c r="U681" s="61" t="s">
        <v>81</v>
      </c>
      <c r="V681" s="53">
        <f>SUMIF('Avoided Costs 2014-2023'!$A:$A,'2014 Actuals'!U681&amp;ROUNDDOWN('2014 Actuals'!T681,0),'Avoided Costs 2014-2023'!$E:$E)*K681</f>
        <v>202479.94453302474</v>
      </c>
      <c r="W681" s="53">
        <f>SUMIF('Avoided Costs 2014-2023'!$A:$A,'2014 Actuals'!U681&amp;ROUNDDOWN('2014 Actuals'!T681,0),'Avoided Costs 2014-2023'!$K:$K)*O681</f>
        <v>25506.574416126168</v>
      </c>
      <c r="X681" s="53">
        <f>SUMIF('Avoided Costs 2014-2023'!$A:$A,'2014 Actuals'!U681&amp;ROUNDDOWN('2014 Actuals'!T681,0),'Avoided Costs 2014-2023'!$M:$M)*S681</f>
        <v>0</v>
      </c>
      <c r="Y681" s="53">
        <f t="shared" si="222"/>
        <v>227986.51894915092</v>
      </c>
      <c r="Z681" s="55">
        <v>35000</v>
      </c>
      <c r="AA681" s="54">
        <f t="shared" si="223"/>
        <v>28000</v>
      </c>
      <c r="AB681" s="54"/>
      <c r="AC681" s="54"/>
      <c r="AD681" s="54"/>
      <c r="AE681" s="54">
        <f t="shared" si="224"/>
        <v>28000</v>
      </c>
      <c r="AF681" s="54">
        <f t="shared" si="225"/>
        <v>199986.51894915092</v>
      </c>
      <c r="AG681" s="49">
        <f t="shared" si="226"/>
        <v>1312037.676</v>
      </c>
      <c r="AH681" s="49">
        <f t="shared" si="227"/>
        <v>1640047.095</v>
      </c>
    </row>
    <row r="682" spans="1:34" s="56" customFormat="1">
      <c r="A682" s="62" t="s">
        <v>784</v>
      </c>
      <c r="B682" s="62"/>
      <c r="C682" s="62"/>
      <c r="D682" s="62"/>
      <c r="E682" s="141">
        <v>0</v>
      </c>
      <c r="F682" s="142"/>
      <c r="G682" s="143">
        <v>0.2</v>
      </c>
      <c r="H682" s="143">
        <v>0</v>
      </c>
      <c r="I682" s="49">
        <v>10274</v>
      </c>
      <c r="J682" s="49">
        <f t="shared" si="216"/>
        <v>8599.3379999999997</v>
      </c>
      <c r="K682" s="49">
        <f t="shared" si="217"/>
        <v>6879.4704000000002</v>
      </c>
      <c r="L682" s="58"/>
      <c r="M682" s="141">
        <v>22934</v>
      </c>
      <c r="N682" s="50">
        <f t="shared" si="218"/>
        <v>22934</v>
      </c>
      <c r="O682" s="50">
        <f t="shared" si="219"/>
        <v>18347.2</v>
      </c>
      <c r="P682" s="59"/>
      <c r="Q682" s="141">
        <v>0</v>
      </c>
      <c r="R682" s="50">
        <f t="shared" si="220"/>
        <v>0</v>
      </c>
      <c r="S682" s="51">
        <f t="shared" si="221"/>
        <v>0</v>
      </c>
      <c r="T682" s="63">
        <v>15</v>
      </c>
      <c r="U682" s="61" t="s">
        <v>81</v>
      </c>
      <c r="V682" s="53">
        <f>SUMIF('Avoided Costs 2014-2023'!$A:$A,'2014 Actuals'!U682&amp;ROUNDDOWN('2014 Actuals'!T682,0),'Avoided Costs 2014-2023'!$E:$E)*K682</f>
        <v>15925.09282113693</v>
      </c>
      <c r="W682" s="53">
        <f>SUMIF('Avoided Costs 2014-2023'!$A:$A,'2014 Actuals'!U682&amp;ROUNDDOWN('2014 Actuals'!T682,0),'Avoided Costs 2014-2023'!$K:$K)*O682</f>
        <v>21695.203710990525</v>
      </c>
      <c r="X682" s="53">
        <f>SUMIF('Avoided Costs 2014-2023'!$A:$A,'2014 Actuals'!U682&amp;ROUNDDOWN('2014 Actuals'!T682,0),'Avoided Costs 2014-2023'!$M:$M)*S682</f>
        <v>0</v>
      </c>
      <c r="Y682" s="53">
        <f t="shared" si="222"/>
        <v>37620.296532127453</v>
      </c>
      <c r="Z682" s="55">
        <v>2824</v>
      </c>
      <c r="AA682" s="54">
        <f t="shared" si="223"/>
        <v>2259.2000000000003</v>
      </c>
      <c r="AB682" s="54"/>
      <c r="AC682" s="54"/>
      <c r="AD682" s="54"/>
      <c r="AE682" s="54">
        <f t="shared" si="224"/>
        <v>2259.2000000000003</v>
      </c>
      <c r="AF682" s="54">
        <f t="shared" si="225"/>
        <v>35361.096532127456</v>
      </c>
      <c r="AG682" s="49">
        <f t="shared" si="226"/>
        <v>103192.056</v>
      </c>
      <c r="AH682" s="49">
        <f t="shared" si="227"/>
        <v>128990.06999999999</v>
      </c>
    </row>
    <row r="683" spans="1:34" s="56" customFormat="1">
      <c r="A683" s="62" t="s">
        <v>785</v>
      </c>
      <c r="B683" s="62"/>
      <c r="C683" s="62"/>
      <c r="D683" s="62"/>
      <c r="E683" s="141">
        <v>1</v>
      </c>
      <c r="F683" s="142"/>
      <c r="G683" s="143">
        <v>0.2</v>
      </c>
      <c r="H683" s="143">
        <v>0</v>
      </c>
      <c r="I683" s="49">
        <v>63849</v>
      </c>
      <c r="J683" s="49">
        <f t="shared" si="216"/>
        <v>53441.612999999998</v>
      </c>
      <c r="K683" s="49">
        <f t="shared" si="217"/>
        <v>42753.290399999998</v>
      </c>
      <c r="L683" s="58"/>
      <c r="M683" s="141">
        <v>0</v>
      </c>
      <c r="N683" s="50">
        <f t="shared" si="218"/>
        <v>0</v>
      </c>
      <c r="O683" s="50">
        <f t="shared" si="219"/>
        <v>0</v>
      </c>
      <c r="P683" s="59"/>
      <c r="Q683" s="141">
        <v>0</v>
      </c>
      <c r="R683" s="50">
        <f t="shared" si="220"/>
        <v>0</v>
      </c>
      <c r="S683" s="51">
        <f t="shared" si="221"/>
        <v>0</v>
      </c>
      <c r="T683" s="60">
        <v>25</v>
      </c>
      <c r="U683" s="61" t="s">
        <v>81</v>
      </c>
      <c r="V683" s="53">
        <f>SUMIF('Avoided Costs 2014-2023'!$A:$A,'2014 Actuals'!U683&amp;ROUNDDOWN('2014 Actuals'!T683,0),'Avoided Costs 2014-2023'!$E:$E)*K683</f>
        <v>135796.57424163053</v>
      </c>
      <c r="W683" s="53">
        <f>SUMIF('Avoided Costs 2014-2023'!$A:$A,'2014 Actuals'!U683&amp;ROUNDDOWN('2014 Actuals'!T683,0),'Avoided Costs 2014-2023'!$K:$K)*O683</f>
        <v>0</v>
      </c>
      <c r="X683" s="53">
        <f>SUMIF('Avoided Costs 2014-2023'!$A:$A,'2014 Actuals'!U683&amp;ROUNDDOWN('2014 Actuals'!T683,0),'Avoided Costs 2014-2023'!$M:$M)*S683</f>
        <v>0</v>
      </c>
      <c r="Y683" s="53">
        <f t="shared" si="222"/>
        <v>135796.57424163053</v>
      </c>
      <c r="Z683" s="55">
        <v>2292</v>
      </c>
      <c r="AA683" s="54">
        <f t="shared" si="223"/>
        <v>1833.6000000000001</v>
      </c>
      <c r="AB683" s="54"/>
      <c r="AC683" s="54"/>
      <c r="AD683" s="54"/>
      <c r="AE683" s="54">
        <f t="shared" si="224"/>
        <v>1833.6000000000001</v>
      </c>
      <c r="AF683" s="54">
        <f t="shared" si="225"/>
        <v>133962.97424163052</v>
      </c>
      <c r="AG683" s="49">
        <f t="shared" si="226"/>
        <v>1068832.26</v>
      </c>
      <c r="AH683" s="49">
        <f t="shared" si="227"/>
        <v>1336040.325</v>
      </c>
    </row>
    <row r="684" spans="1:34" s="69" customFormat="1" collapsed="1">
      <c r="A684" s="145" t="s">
        <v>35</v>
      </c>
      <c r="B684" s="145" t="s">
        <v>786</v>
      </c>
      <c r="C684" s="65"/>
      <c r="D684" s="65">
        <v>0</v>
      </c>
      <c r="E684" s="51">
        <f>SUM(E401:E683)</f>
        <v>199</v>
      </c>
      <c r="F684" s="105"/>
      <c r="G684" s="147"/>
      <c r="H684" s="211"/>
      <c r="I684" s="49">
        <f>SUM(I401:I683)</f>
        <v>9895446</v>
      </c>
      <c r="J684" s="49">
        <f>SUM(J401:J683)</f>
        <v>8282488.3020000029</v>
      </c>
      <c r="K684" s="49">
        <f>SUM(K401:K683)</f>
        <v>6625990.6416000035</v>
      </c>
      <c r="L684" s="146"/>
      <c r="M684" s="49">
        <f>SUM(M400:M683)</f>
        <v>2395685</v>
      </c>
      <c r="N684" s="49">
        <f>SUM(N401:N683)</f>
        <v>2395685</v>
      </c>
      <c r="O684" s="49">
        <f>SUM(O401:O683)</f>
        <v>1916548.0000000005</v>
      </c>
      <c r="P684" s="148"/>
      <c r="Q684" s="49">
        <v>0</v>
      </c>
      <c r="R684" s="49">
        <f>SUM(R401:R683)</f>
        <v>0</v>
      </c>
      <c r="S684" s="49">
        <f>SUM(S401:S683)</f>
        <v>0</v>
      </c>
      <c r="T684" s="103"/>
      <c r="U684" s="65" t="s">
        <v>160</v>
      </c>
      <c r="V684" s="54">
        <f t="shared" ref="V684:AA684" si="228">SUM(V401:V683)</f>
        <v>18425400.933789369</v>
      </c>
      <c r="W684" s="54">
        <f t="shared" si="228"/>
        <v>2266280.3742201235</v>
      </c>
      <c r="X684" s="54">
        <f t="shared" si="228"/>
        <v>0</v>
      </c>
      <c r="Y684" s="54">
        <f t="shared" si="228"/>
        <v>20691681.308009513</v>
      </c>
      <c r="Z684" s="55"/>
      <c r="AA684" s="54">
        <f t="shared" si="228"/>
        <v>4472536.6800000034</v>
      </c>
      <c r="AB684" s="54">
        <v>1572793.3</v>
      </c>
      <c r="AC684" s="54">
        <v>15852.91</v>
      </c>
      <c r="AD684" s="54">
        <f>AB684+AC684</f>
        <v>1588646.21</v>
      </c>
      <c r="AE684" s="54">
        <f t="shared" si="224"/>
        <v>4488389.5900000036</v>
      </c>
      <c r="AF684" s="212">
        <f t="shared" si="225"/>
        <v>16203291.718009509</v>
      </c>
      <c r="AG684" s="49">
        <f>SUM(AG401:AG683)</f>
        <v>139788792.04626003</v>
      </c>
      <c r="AH684" s="49">
        <f>SUM(AH401:AH683)</f>
        <v>174735990.05782491</v>
      </c>
    </row>
    <row r="685" spans="1:34">
      <c r="A685" s="135"/>
      <c r="K685" s="11"/>
      <c r="P685" s="23"/>
      <c r="Q685" s="11"/>
      <c r="S685" s="11"/>
      <c r="T685" s="48"/>
      <c r="AA685" s="40"/>
      <c r="AB685" s="40"/>
      <c r="AD685" s="40"/>
      <c r="AE685" s="40"/>
      <c r="AF685" s="40"/>
      <c r="AG685" s="38"/>
      <c r="AH685" s="38"/>
    </row>
    <row r="686" spans="1:34">
      <c r="A686" s="135"/>
      <c r="B686" s="69" t="s">
        <v>787</v>
      </c>
      <c r="K686" s="11"/>
      <c r="P686" s="23"/>
      <c r="Q686" s="11"/>
      <c r="S686" s="11"/>
      <c r="T686" s="48"/>
      <c r="AA686" s="40"/>
      <c r="AB686" s="40"/>
      <c r="AD686" s="40"/>
      <c r="AE686" s="40"/>
      <c r="AF686" s="40"/>
      <c r="AG686" s="38"/>
      <c r="AH686" s="38"/>
    </row>
    <row r="687" spans="1:34" s="69" customFormat="1">
      <c r="A687" s="44" t="s">
        <v>788</v>
      </c>
      <c r="B687" s="69" t="s">
        <v>789</v>
      </c>
      <c r="C687" s="43"/>
      <c r="D687" s="123">
        <v>17410</v>
      </c>
      <c r="E687" s="124">
        <v>220</v>
      </c>
      <c r="F687" s="125">
        <v>69</v>
      </c>
      <c r="G687" s="126">
        <v>0.1</v>
      </c>
      <c r="H687" s="127">
        <v>0.155</v>
      </c>
      <c r="I687" s="128">
        <v>1201290</v>
      </c>
      <c r="J687" s="11">
        <f>I687</f>
        <v>1201290</v>
      </c>
      <c r="K687" s="11">
        <f>J687*(1-G687)*(1-H687)</f>
        <v>913581.04499999993</v>
      </c>
      <c r="L687" s="125">
        <v>0</v>
      </c>
      <c r="M687" s="11">
        <v>0</v>
      </c>
      <c r="N687" s="11">
        <f>+$M$42*M687</f>
        <v>0</v>
      </c>
      <c r="O687" s="11">
        <f>N687*(1-G687)</f>
        <v>0</v>
      </c>
      <c r="P687" s="129">
        <v>15.705</v>
      </c>
      <c r="Q687" s="11">
        <f>P687*D687</f>
        <v>273424.05</v>
      </c>
      <c r="R687" s="70">
        <f>+Q687*$Q$42</f>
        <v>273424.05</v>
      </c>
      <c r="S687" s="11">
        <f>(P687*D687)*(1-G687)*(1-H687)</f>
        <v>207938.99002499998</v>
      </c>
      <c r="T687" s="130">
        <v>10</v>
      </c>
      <c r="U687" s="131" t="s">
        <v>94</v>
      </c>
      <c r="V687" s="40">
        <f>SUMIF('Avoided Costs 2014-2023'!$A:$A,'2014 Actuals'!U687&amp;ROUNDDOWN('2014 Actuals'!T687,0),'Avoided Costs 2014-2023'!$E:$E)*K687</f>
        <v>1455773.0064543458</v>
      </c>
      <c r="W687" s="40">
        <f>SUMIF('Avoided Costs 2014-2023'!$A:$A,'2014 Actuals'!U687&amp;ROUNDDOWN('2014 Actuals'!T687,0),'Avoided Costs 2014-2023'!$K:$K)*O687</f>
        <v>0</v>
      </c>
      <c r="X687" s="40">
        <f>SUMIF('Avoided Costs 2014-2023'!$A:$A,'2014 Actuals'!U687&amp;ROUNDDOWN('2014 Actuals'!T687,0),'Avoided Costs 2014-2023'!$M:$M)*S687</f>
        <v>4398700.7723410344</v>
      </c>
      <c r="Y687" s="40">
        <f>SUM(V687:X687)</f>
        <v>5854473.7787953801</v>
      </c>
      <c r="Z687" s="71">
        <v>12.5</v>
      </c>
      <c r="AA687" s="40">
        <f t="shared" ref="AA687" si="229">(Z687*D687)*(1-G687)</f>
        <v>195862.5</v>
      </c>
      <c r="AB687" s="72">
        <v>0</v>
      </c>
      <c r="AC687" s="72"/>
      <c r="AD687" s="40"/>
      <c r="AE687" s="73">
        <f>AA687+AC687</f>
        <v>195862.5</v>
      </c>
      <c r="AF687" s="132">
        <f>Y687-AE687</f>
        <v>5658611.2787953801</v>
      </c>
      <c r="AG687" s="133">
        <f>K687*T687</f>
        <v>9135810.4499999993</v>
      </c>
      <c r="AH687" s="133">
        <f>(J687*T687)</f>
        <v>12012900</v>
      </c>
    </row>
    <row r="688" spans="1:34" s="69" customFormat="1">
      <c r="A688" s="145" t="s">
        <v>35</v>
      </c>
      <c r="B688" s="145" t="s">
        <v>790</v>
      </c>
      <c r="C688" s="65"/>
      <c r="D688" s="109">
        <f>SUM(D687)</f>
        <v>17410</v>
      </c>
      <c r="E688" s="110">
        <f>E687</f>
        <v>220</v>
      </c>
      <c r="F688" s="105"/>
      <c r="G688" s="147"/>
      <c r="H688" s="211"/>
      <c r="I688" s="239">
        <f>I687</f>
        <v>1201290</v>
      </c>
      <c r="J688" s="49">
        <f>SUM(J687:J687)</f>
        <v>1201290</v>
      </c>
      <c r="K688" s="49">
        <f>SUM(K687:K687)</f>
        <v>913581.04499999993</v>
      </c>
      <c r="L688" s="146"/>
      <c r="M688" s="49">
        <v>0</v>
      </c>
      <c r="N688" s="49">
        <f>SUM(N687:N687)</f>
        <v>0</v>
      </c>
      <c r="O688" s="49">
        <f>SUM(O687:O687)</f>
        <v>0</v>
      </c>
      <c r="P688" s="148"/>
      <c r="Q688" s="49">
        <f>SUM(Q687)</f>
        <v>273424.05</v>
      </c>
      <c r="R688" s="49">
        <f>SUM(R687:R687)</f>
        <v>273424.05</v>
      </c>
      <c r="S688" s="49">
        <f>SUM(S687:S687)</f>
        <v>207938.99002499998</v>
      </c>
      <c r="T688" s="64"/>
      <c r="U688" s="65" t="s">
        <v>160</v>
      </c>
      <c r="V688" s="54">
        <f>SUM(V687:V687)</f>
        <v>1455773.0064543458</v>
      </c>
      <c r="W688" s="54">
        <f>SUM(W687:W687)</f>
        <v>0</v>
      </c>
      <c r="X688" s="54">
        <f>SUM(X687:X687)</f>
        <v>4398700.7723410344</v>
      </c>
      <c r="Y688" s="54">
        <f>SUM(Y687:Y687)</f>
        <v>5854473.7787953801</v>
      </c>
      <c r="Z688" s="55"/>
      <c r="AA688" s="54">
        <f t="shared" ref="AA688" si="230">SUM(AA687:AA687)</f>
        <v>195862.5</v>
      </c>
      <c r="AB688" s="54">
        <v>0</v>
      </c>
      <c r="AC688" s="54">
        <v>0</v>
      </c>
      <c r="AD688" s="54">
        <f>AB688+AC688</f>
        <v>0</v>
      </c>
      <c r="AE688" s="240">
        <f>SUM(AE687:AE687)</f>
        <v>195862.5</v>
      </c>
      <c r="AF688" s="240">
        <f>SUM(AF687:AF687)</f>
        <v>5658611.2787953801</v>
      </c>
      <c r="AG688" s="241">
        <f>SUM(AG687:AG687)</f>
        <v>9135810.4499999993</v>
      </c>
      <c r="AH688" s="241">
        <f>SUM(AH687:AH687)</f>
        <v>12012900</v>
      </c>
    </row>
    <row r="689" spans="1:34" s="69" customFormat="1">
      <c r="A689" s="44"/>
      <c r="B689" s="44"/>
      <c r="C689" s="43"/>
      <c r="D689" s="43"/>
      <c r="E689" s="92"/>
      <c r="F689" s="125"/>
      <c r="G689" s="163"/>
      <c r="H689" s="220"/>
      <c r="I689" s="90"/>
      <c r="J689" s="90"/>
      <c r="K689" s="90"/>
      <c r="L689" s="162"/>
      <c r="M689" s="90"/>
      <c r="N689" s="90"/>
      <c r="O689" s="92"/>
      <c r="P689" s="164"/>
      <c r="Q689" s="90"/>
      <c r="R689" s="90"/>
      <c r="S689" s="92"/>
      <c r="T689" s="3"/>
      <c r="U689" s="43"/>
      <c r="V689" s="72"/>
      <c r="W689" s="72"/>
      <c r="X689" s="72"/>
      <c r="Y689" s="72"/>
      <c r="Z689" s="71"/>
      <c r="AA689" s="72"/>
      <c r="AB689" s="72"/>
      <c r="AC689" s="72"/>
      <c r="AD689" s="72"/>
      <c r="AE689" s="72"/>
      <c r="AF689" s="72"/>
      <c r="AG689" s="95"/>
      <c r="AH689" s="95"/>
    </row>
    <row r="690" spans="1:34">
      <c r="A690" s="224" t="s">
        <v>791</v>
      </c>
      <c r="B690" s="202"/>
      <c r="C690" s="121"/>
      <c r="D690" s="242">
        <f>D684+D688</f>
        <v>17410</v>
      </c>
      <c r="E690" s="207">
        <f>E684+E688</f>
        <v>419</v>
      </c>
      <c r="F690" s="116"/>
      <c r="G690" s="117"/>
      <c r="H690" s="118"/>
      <c r="I690" s="203">
        <f>I688+I684</f>
        <v>11096736</v>
      </c>
      <c r="J690" s="203">
        <f>J688+J684</f>
        <v>9483778.3020000029</v>
      </c>
      <c r="K690" s="203">
        <f>K688+K684</f>
        <v>7539571.6866000034</v>
      </c>
      <c r="L690" s="116"/>
      <c r="M690" s="203">
        <f>M688+M684</f>
        <v>2395685</v>
      </c>
      <c r="N690" s="203">
        <f>N688+N684</f>
        <v>2395685</v>
      </c>
      <c r="O690" s="203">
        <f>O688+O684</f>
        <v>1916548.0000000005</v>
      </c>
      <c r="P690" s="119"/>
      <c r="Q690" s="203">
        <f>Q688+Q684</f>
        <v>273424.05</v>
      </c>
      <c r="R690" s="203">
        <f>R688+R684</f>
        <v>273424.05</v>
      </c>
      <c r="S690" s="203">
        <f>S688+S684</f>
        <v>207938.99002499998</v>
      </c>
      <c r="T690" s="120"/>
      <c r="U690" s="243"/>
      <c r="V690" s="204">
        <f>V688+V684</f>
        <v>19881173.940243714</v>
      </c>
      <c r="W690" s="204">
        <f>W688+W684</f>
        <v>2266280.3742201235</v>
      </c>
      <c r="X690" s="204">
        <f>X688+X684</f>
        <v>4398700.7723410344</v>
      </c>
      <c r="Y690" s="204">
        <f>Y688+Y684</f>
        <v>26546155.086804893</v>
      </c>
      <c r="Z690" s="122"/>
      <c r="AA690" s="204">
        <f>AA688+AA684</f>
        <v>4668399.1800000034</v>
      </c>
      <c r="AB690" s="204">
        <f>AB688+AB684</f>
        <v>1572793.3</v>
      </c>
      <c r="AC690" s="204">
        <f t="shared" ref="AC690:AF690" si="231">AC688+AC684</f>
        <v>15852.91</v>
      </c>
      <c r="AD690" s="204">
        <f t="shared" si="231"/>
        <v>1588646.21</v>
      </c>
      <c r="AE690" s="204">
        <f t="shared" si="231"/>
        <v>4684252.0900000036</v>
      </c>
      <c r="AF690" s="205">
        <f t="shared" si="231"/>
        <v>21861902.996804889</v>
      </c>
      <c r="AG690" s="203">
        <f>AG688+AG684</f>
        <v>148924602.49626002</v>
      </c>
      <c r="AH690" s="203">
        <f>AH688+AH684</f>
        <v>186748890.05782491</v>
      </c>
    </row>
    <row r="691" spans="1:34" s="69" customFormat="1">
      <c r="A691" s="44"/>
      <c r="B691" s="9"/>
      <c r="C691" s="10"/>
      <c r="D691" s="10"/>
      <c r="E691" s="11"/>
      <c r="F691" s="12"/>
      <c r="G691" s="13"/>
      <c r="H691" s="14"/>
      <c r="I691" s="11"/>
      <c r="J691" s="11"/>
      <c r="K691" s="11"/>
      <c r="L691" s="12"/>
      <c r="M691" s="11"/>
      <c r="N691" s="11"/>
      <c r="O691" s="11"/>
      <c r="P691" s="23"/>
      <c r="Q691" s="11"/>
      <c r="R691" s="11"/>
      <c r="S691" s="11"/>
      <c r="T691" s="48"/>
      <c r="U691" s="43"/>
      <c r="V691" s="40"/>
      <c r="W691" s="40"/>
      <c r="X691" s="40"/>
      <c r="Y691" s="40"/>
      <c r="Z691" s="66"/>
      <c r="AA691" s="40"/>
      <c r="AB691" s="40"/>
      <c r="AC691" s="40"/>
      <c r="AD691" s="40"/>
      <c r="AE691" s="40"/>
      <c r="AF691" s="40"/>
      <c r="AG691" s="38"/>
      <c r="AH691" s="38"/>
    </row>
    <row r="692" spans="1:34">
      <c r="A692" s="244" t="s">
        <v>792</v>
      </c>
      <c r="B692" s="9" t="s">
        <v>793</v>
      </c>
      <c r="I692" s="37"/>
      <c r="M692" s="16">
        <v>0</v>
      </c>
      <c r="P692" s="23"/>
      <c r="Q692" s="16">
        <v>0</v>
      </c>
      <c r="AG692" s="38"/>
      <c r="AH692" s="38"/>
    </row>
    <row r="693" spans="1:34" s="56" customFormat="1">
      <c r="A693" s="62" t="s">
        <v>794</v>
      </c>
      <c r="B693" s="62"/>
      <c r="C693" s="62"/>
      <c r="D693" s="62"/>
      <c r="E693" s="141">
        <v>1</v>
      </c>
      <c r="F693" s="142"/>
      <c r="G693" s="143">
        <v>0.26</v>
      </c>
      <c r="H693" s="143">
        <v>0</v>
      </c>
      <c r="I693" s="49">
        <v>23605</v>
      </c>
      <c r="J693" s="49">
        <f t="shared" ref="J693:J702" si="232">+$I$42*I693</f>
        <v>19757.384999999998</v>
      </c>
      <c r="K693" s="49">
        <f t="shared" ref="K693:K702" si="233">J693*(1-G693)</f>
        <v>14620.464899999999</v>
      </c>
      <c r="L693" s="58"/>
      <c r="M693" s="141">
        <v>909259</v>
      </c>
      <c r="N693" s="50">
        <f t="shared" ref="N693:N702" si="234">+$M$42*M693</f>
        <v>909259</v>
      </c>
      <c r="O693" s="50">
        <f t="shared" ref="O693:O702" si="235">N693*(1-G693)</f>
        <v>672851.66</v>
      </c>
      <c r="P693" s="59"/>
      <c r="Q693" s="141">
        <v>0</v>
      </c>
      <c r="R693" s="50">
        <f t="shared" ref="R693:R702" si="236">+Q693*$Q$42</f>
        <v>0</v>
      </c>
      <c r="S693" s="51">
        <f t="shared" ref="S693:S702" si="237">R693*(1-G693)</f>
        <v>0</v>
      </c>
      <c r="T693" s="60">
        <v>25</v>
      </c>
      <c r="U693" s="61" t="s">
        <v>795</v>
      </c>
      <c r="V693" s="53">
        <f>SUMIF('Avoided Costs 2014-2023'!$A:$A,'2014 Actuals'!U693&amp;ROUNDDOWN('2014 Actuals'!T693,0),'Avoided Costs 2014-2023'!$E:$E)*K693</f>
        <v>45939.111483197361</v>
      </c>
      <c r="W693" s="53">
        <f>SUMIF('Avoided Costs 2014-2023'!$A:$A,'2014 Actuals'!U693&amp;ROUNDDOWN('2014 Actuals'!T693,0),'Avoided Costs 2014-2023'!$K:$K)*O693</f>
        <v>1083759.7104401996</v>
      </c>
      <c r="X693" s="53">
        <f>SUMIF('Avoided Costs 2014-2023'!$A:$A,'2014 Actuals'!U693&amp;ROUNDDOWN('2014 Actuals'!T693,0),'Avoided Costs 2014-2023'!$M:$M)*S693</f>
        <v>0</v>
      </c>
      <c r="Y693" s="53">
        <f t="shared" ref="Y693:Y702" si="238">SUM(V693:X693)</f>
        <v>1129698.821923397</v>
      </c>
      <c r="Z693" s="55">
        <v>193972</v>
      </c>
      <c r="AA693" s="54">
        <f t="shared" ref="AA693:AA702" si="239">Z693*(1-G693)</f>
        <v>143539.28</v>
      </c>
      <c r="AB693" s="54"/>
      <c r="AC693" s="54"/>
      <c r="AD693" s="54"/>
      <c r="AE693" s="54">
        <f t="shared" ref="AE693:AE703" si="240">AA693+AC693</f>
        <v>143539.28</v>
      </c>
      <c r="AF693" s="54">
        <f t="shared" ref="AF693:AF703" si="241">Y693-AE693</f>
        <v>986159.54192339699</v>
      </c>
      <c r="AG693" s="49">
        <f t="shared" ref="AG693:AG702" si="242">K693*T693</f>
        <v>365511.6225</v>
      </c>
      <c r="AH693" s="49">
        <f t="shared" ref="AH693:AH702" si="243">(J693*T693)</f>
        <v>493934.62499999994</v>
      </c>
    </row>
    <row r="694" spans="1:34" s="56" customFormat="1">
      <c r="A694" s="62" t="s">
        <v>796</v>
      </c>
      <c r="B694" s="62"/>
      <c r="C694" s="62"/>
      <c r="D694" s="62"/>
      <c r="E694" s="141">
        <v>1</v>
      </c>
      <c r="F694" s="142"/>
      <c r="G694" s="143">
        <v>0.26</v>
      </c>
      <c r="H694" s="143">
        <v>0</v>
      </c>
      <c r="I694" s="49">
        <v>73829</v>
      </c>
      <c r="J694" s="49">
        <f t="shared" si="232"/>
        <v>61794.873</v>
      </c>
      <c r="K694" s="49">
        <f t="shared" si="233"/>
        <v>45728.206019999998</v>
      </c>
      <c r="L694" s="58"/>
      <c r="M694" s="141">
        <v>2034755</v>
      </c>
      <c r="N694" s="50">
        <f t="shared" si="234"/>
        <v>2034755</v>
      </c>
      <c r="O694" s="50">
        <f t="shared" si="235"/>
        <v>1505718.7</v>
      </c>
      <c r="P694" s="59"/>
      <c r="Q694" s="141">
        <v>0</v>
      </c>
      <c r="R694" s="50">
        <f t="shared" si="236"/>
        <v>0</v>
      </c>
      <c r="S694" s="51">
        <f t="shared" si="237"/>
        <v>0</v>
      </c>
      <c r="T694" s="60">
        <v>25</v>
      </c>
      <c r="U694" s="61" t="s">
        <v>795</v>
      </c>
      <c r="V694" s="53">
        <f>SUMIF('Avoided Costs 2014-2023'!$A:$A,'2014 Actuals'!U694&amp;ROUNDDOWN('2014 Actuals'!T694,0),'Avoided Costs 2014-2023'!$E:$E)*K694</f>
        <v>143683.06128756527</v>
      </c>
      <c r="W694" s="53">
        <f>SUMIF('Avoided Costs 2014-2023'!$A:$A,'2014 Actuals'!U694&amp;ROUNDDOWN('2014 Actuals'!T694,0),'Avoided Costs 2014-2023'!$K:$K)*O694</f>
        <v>2425255.6088163527</v>
      </c>
      <c r="X694" s="53">
        <f>SUMIF('Avoided Costs 2014-2023'!$A:$A,'2014 Actuals'!U694&amp;ROUNDDOWN('2014 Actuals'!T694,0),'Avoided Costs 2014-2023'!$M:$M)*S694</f>
        <v>0</v>
      </c>
      <c r="Y694" s="53">
        <f t="shared" si="238"/>
        <v>2568938.6701039178</v>
      </c>
      <c r="Z694" s="55">
        <v>578443.79</v>
      </c>
      <c r="AA694" s="54">
        <f t="shared" si="239"/>
        <v>428048.40460000001</v>
      </c>
      <c r="AB694" s="54"/>
      <c r="AC694" s="54"/>
      <c r="AD694" s="54"/>
      <c r="AE694" s="54">
        <f t="shared" si="240"/>
        <v>428048.40460000001</v>
      </c>
      <c r="AF694" s="54">
        <f t="shared" si="241"/>
        <v>2140890.2655039178</v>
      </c>
      <c r="AG694" s="49">
        <f t="shared" si="242"/>
        <v>1143205.1505</v>
      </c>
      <c r="AH694" s="49">
        <f t="shared" si="243"/>
        <v>1544871.825</v>
      </c>
    </row>
    <row r="695" spans="1:34" s="56" customFormat="1">
      <c r="A695" s="62" t="s">
        <v>797</v>
      </c>
      <c r="B695" s="62"/>
      <c r="C695" s="62"/>
      <c r="D695" s="62"/>
      <c r="E695" s="141">
        <v>1</v>
      </c>
      <c r="F695" s="142"/>
      <c r="G695" s="143">
        <v>0.26</v>
      </c>
      <c r="H695" s="143">
        <v>0</v>
      </c>
      <c r="I695" s="49">
        <v>1194606</v>
      </c>
      <c r="J695" s="49">
        <f t="shared" si="232"/>
        <v>999885.22199999995</v>
      </c>
      <c r="K695" s="49">
        <f t="shared" si="233"/>
        <v>739915.06427999993</v>
      </c>
      <c r="L695" s="58"/>
      <c r="M695" s="141">
        <v>4701490</v>
      </c>
      <c r="N695" s="50">
        <f t="shared" si="234"/>
        <v>4701490</v>
      </c>
      <c r="O695" s="50">
        <f t="shared" si="235"/>
        <v>3479102.6</v>
      </c>
      <c r="P695" s="59"/>
      <c r="Q695" s="141">
        <v>0</v>
      </c>
      <c r="R695" s="50">
        <f t="shared" si="236"/>
        <v>0</v>
      </c>
      <c r="S695" s="51">
        <f t="shared" si="237"/>
        <v>0</v>
      </c>
      <c r="T695" s="60">
        <v>25</v>
      </c>
      <c r="U695" s="61" t="s">
        <v>795</v>
      </c>
      <c r="V695" s="53">
        <f>SUMIF('Avoided Costs 2014-2023'!$A:$A,'2014 Actuals'!U695&amp;ROUNDDOWN('2014 Actuals'!T695,0),'Avoided Costs 2014-2023'!$E:$E)*K695</f>
        <v>2324894.6499680774</v>
      </c>
      <c r="W695" s="53">
        <f>SUMIF('Avoided Costs 2014-2023'!$A:$A,'2014 Actuals'!U695&amp;ROUNDDOWN('2014 Actuals'!T695,0),'Avoided Costs 2014-2023'!$K:$K)*O695</f>
        <v>5603777.8466174034</v>
      </c>
      <c r="X695" s="53">
        <f>SUMIF('Avoided Costs 2014-2023'!$A:$A,'2014 Actuals'!U695&amp;ROUNDDOWN('2014 Actuals'!T695,0),'Avoided Costs 2014-2023'!$M:$M)*S695</f>
        <v>0</v>
      </c>
      <c r="Y695" s="53">
        <f t="shared" si="238"/>
        <v>7928672.4965854809</v>
      </c>
      <c r="Z695" s="55">
        <v>1000000</v>
      </c>
      <c r="AA695" s="54">
        <f t="shared" si="239"/>
        <v>740000</v>
      </c>
      <c r="AB695" s="54"/>
      <c r="AC695" s="54"/>
      <c r="AD695" s="54"/>
      <c r="AE695" s="54">
        <f t="shared" si="240"/>
        <v>740000</v>
      </c>
      <c r="AF695" s="54">
        <f t="shared" si="241"/>
        <v>7188672.4965854809</v>
      </c>
      <c r="AG695" s="49">
        <f t="shared" si="242"/>
        <v>18497876.606999997</v>
      </c>
      <c r="AH695" s="49">
        <f t="shared" si="243"/>
        <v>24997130.549999997</v>
      </c>
    </row>
    <row r="696" spans="1:34" s="56" customFormat="1">
      <c r="A696" s="62" t="s">
        <v>798</v>
      </c>
      <c r="B696" s="62"/>
      <c r="C696" s="62"/>
      <c r="D696" s="62"/>
      <c r="E696" s="141">
        <v>1</v>
      </c>
      <c r="F696" s="142"/>
      <c r="G696" s="143">
        <v>0.26</v>
      </c>
      <c r="H696" s="143">
        <v>0</v>
      </c>
      <c r="I696" s="49">
        <v>456605</v>
      </c>
      <c r="J696" s="49">
        <f t="shared" si="232"/>
        <v>382178.38500000001</v>
      </c>
      <c r="K696" s="49">
        <f t="shared" si="233"/>
        <v>282812.0049</v>
      </c>
      <c r="L696" s="58"/>
      <c r="M696" s="141">
        <v>673220</v>
      </c>
      <c r="N696" s="50">
        <f t="shared" si="234"/>
        <v>673220</v>
      </c>
      <c r="O696" s="50">
        <f t="shared" si="235"/>
        <v>498182.8</v>
      </c>
      <c r="P696" s="59"/>
      <c r="Q696" s="141">
        <v>0</v>
      </c>
      <c r="R696" s="50">
        <f t="shared" si="236"/>
        <v>0</v>
      </c>
      <c r="S696" s="51">
        <f t="shared" si="237"/>
        <v>0</v>
      </c>
      <c r="T696" s="60">
        <v>25</v>
      </c>
      <c r="U696" s="61" t="s">
        <v>795</v>
      </c>
      <c r="V696" s="53">
        <f>SUMIF('Avoided Costs 2014-2023'!$A:$A,'2014 Actuals'!U696&amp;ROUNDDOWN('2014 Actuals'!T696,0),'Avoided Costs 2014-2023'!$E:$E)*K696</f>
        <v>888626.47738976206</v>
      </c>
      <c r="W696" s="53">
        <f>SUMIF('Avoided Costs 2014-2023'!$A:$A,'2014 Actuals'!U696&amp;ROUNDDOWN('2014 Actuals'!T696,0),'Avoided Costs 2014-2023'!$K:$K)*O696</f>
        <v>802421.21580600366</v>
      </c>
      <c r="X696" s="53">
        <f>SUMIF('Avoided Costs 2014-2023'!$A:$A,'2014 Actuals'!U696&amp;ROUNDDOWN('2014 Actuals'!T696,0),'Avoided Costs 2014-2023'!$M:$M)*S696</f>
        <v>0</v>
      </c>
      <c r="Y696" s="53">
        <f t="shared" si="238"/>
        <v>1691047.6931957658</v>
      </c>
      <c r="Z696" s="55">
        <v>1174782.5</v>
      </c>
      <c r="AA696" s="54">
        <f t="shared" si="239"/>
        <v>869339.05</v>
      </c>
      <c r="AB696" s="54"/>
      <c r="AC696" s="54"/>
      <c r="AD696" s="54"/>
      <c r="AE696" s="54">
        <f t="shared" si="240"/>
        <v>869339.05</v>
      </c>
      <c r="AF696" s="54">
        <f t="shared" si="241"/>
        <v>821708.64319576579</v>
      </c>
      <c r="AG696" s="49">
        <f t="shared" si="242"/>
        <v>7070300.1224999996</v>
      </c>
      <c r="AH696" s="49">
        <f t="shared" si="243"/>
        <v>9554459.625</v>
      </c>
    </row>
    <row r="697" spans="1:34" s="56" customFormat="1">
      <c r="A697" s="62" t="s">
        <v>799</v>
      </c>
      <c r="B697" s="62"/>
      <c r="C697" s="62"/>
      <c r="D697" s="62"/>
      <c r="E697" s="141">
        <v>1</v>
      </c>
      <c r="F697" s="142"/>
      <c r="G697" s="143">
        <v>0.26</v>
      </c>
      <c r="H697" s="143">
        <v>0</v>
      </c>
      <c r="I697" s="49">
        <v>439774</v>
      </c>
      <c r="J697" s="49">
        <f t="shared" si="232"/>
        <v>368090.83799999999</v>
      </c>
      <c r="K697" s="49">
        <f t="shared" si="233"/>
        <v>272387.22012000001</v>
      </c>
      <c r="L697" s="58"/>
      <c r="M697" s="141">
        <v>1579402</v>
      </c>
      <c r="N697" s="50">
        <f t="shared" si="234"/>
        <v>1579402</v>
      </c>
      <c r="O697" s="50">
        <f t="shared" si="235"/>
        <v>1168757.48</v>
      </c>
      <c r="P697" s="59"/>
      <c r="Q697" s="141">
        <v>0</v>
      </c>
      <c r="R697" s="50">
        <f t="shared" si="236"/>
        <v>0</v>
      </c>
      <c r="S697" s="51">
        <f t="shared" si="237"/>
        <v>0</v>
      </c>
      <c r="T697" s="60">
        <v>25</v>
      </c>
      <c r="U697" s="61" t="s">
        <v>795</v>
      </c>
      <c r="V697" s="53">
        <f>SUMIF('Avoided Costs 2014-2023'!$A:$A,'2014 Actuals'!U697&amp;ROUNDDOWN('2014 Actuals'!T697,0),'Avoided Costs 2014-2023'!$E:$E)*K697</f>
        <v>855870.65509051643</v>
      </c>
      <c r="W697" s="53">
        <f>SUMIF('Avoided Costs 2014-2023'!$A:$A,'2014 Actuals'!U697&amp;ROUNDDOWN('2014 Actuals'!T697,0),'Avoided Costs 2014-2023'!$K:$K)*O697</f>
        <v>1882513.4028793469</v>
      </c>
      <c r="X697" s="53">
        <f>SUMIF('Avoided Costs 2014-2023'!$A:$A,'2014 Actuals'!U697&amp;ROUNDDOWN('2014 Actuals'!T697,0),'Avoided Costs 2014-2023'!$M:$M)*S697</f>
        <v>0</v>
      </c>
      <c r="Y697" s="53">
        <f t="shared" si="238"/>
        <v>2738384.0579698635</v>
      </c>
      <c r="Z697" s="55">
        <v>881202</v>
      </c>
      <c r="AA697" s="54">
        <f t="shared" si="239"/>
        <v>652089.48</v>
      </c>
      <c r="AB697" s="54"/>
      <c r="AC697" s="54"/>
      <c r="AD697" s="54"/>
      <c r="AE697" s="54">
        <f t="shared" si="240"/>
        <v>652089.48</v>
      </c>
      <c r="AF697" s="54">
        <f t="shared" si="241"/>
        <v>2086294.5779698635</v>
      </c>
      <c r="AG697" s="49">
        <f t="shared" si="242"/>
        <v>6809680.5030000005</v>
      </c>
      <c r="AH697" s="49">
        <f t="shared" si="243"/>
        <v>9202270.9499999993</v>
      </c>
    </row>
    <row r="698" spans="1:34" s="56" customFormat="1">
      <c r="A698" s="62" t="s">
        <v>800</v>
      </c>
      <c r="B698" s="62"/>
      <c r="C698" s="62"/>
      <c r="D698" s="62"/>
      <c r="E698" s="141">
        <v>1</v>
      </c>
      <c r="F698" s="142"/>
      <c r="G698" s="143">
        <v>0.26</v>
      </c>
      <c r="H698" s="143">
        <v>0</v>
      </c>
      <c r="I698" s="49">
        <v>116450</v>
      </c>
      <c r="J698" s="49">
        <f t="shared" si="232"/>
        <v>97468.65</v>
      </c>
      <c r="K698" s="49">
        <f t="shared" si="233"/>
        <v>72126.800999999992</v>
      </c>
      <c r="L698" s="58"/>
      <c r="M698" s="141">
        <v>70424</v>
      </c>
      <c r="N698" s="50">
        <f t="shared" si="234"/>
        <v>70424</v>
      </c>
      <c r="O698" s="50">
        <f t="shared" si="235"/>
        <v>52113.760000000002</v>
      </c>
      <c r="P698" s="59"/>
      <c r="Q698" s="141">
        <v>0</v>
      </c>
      <c r="R698" s="50">
        <f t="shared" si="236"/>
        <v>0</v>
      </c>
      <c r="S698" s="51">
        <f t="shared" si="237"/>
        <v>0</v>
      </c>
      <c r="T698" s="60">
        <v>25</v>
      </c>
      <c r="U698" s="61" t="s">
        <v>795</v>
      </c>
      <c r="V698" s="53">
        <f>SUMIF('Avoided Costs 2014-2023'!$A:$A,'2014 Actuals'!U698&amp;ROUNDDOWN('2014 Actuals'!T698,0),'Avoided Costs 2014-2023'!$E:$E)*K698</f>
        <v>226630.35510350912</v>
      </c>
      <c r="W698" s="53">
        <f>SUMIF('Avoided Costs 2014-2023'!$A:$A,'2014 Actuals'!U698&amp;ROUNDDOWN('2014 Actuals'!T698,0),'Avoided Costs 2014-2023'!$K:$K)*O698</f>
        <v>83939.442829865438</v>
      </c>
      <c r="X698" s="53">
        <f>SUMIF('Avoided Costs 2014-2023'!$A:$A,'2014 Actuals'!U698&amp;ROUNDDOWN('2014 Actuals'!T698,0),'Avoided Costs 2014-2023'!$M:$M)*S698</f>
        <v>0</v>
      </c>
      <c r="Y698" s="53">
        <f t="shared" si="238"/>
        <v>310569.79793337453</v>
      </c>
      <c r="Z698" s="55">
        <v>279644</v>
      </c>
      <c r="AA698" s="54">
        <f t="shared" si="239"/>
        <v>206936.56</v>
      </c>
      <c r="AB698" s="54"/>
      <c r="AC698" s="54"/>
      <c r="AD698" s="54"/>
      <c r="AE698" s="54">
        <f t="shared" si="240"/>
        <v>206936.56</v>
      </c>
      <c r="AF698" s="54">
        <f t="shared" si="241"/>
        <v>103633.23793337453</v>
      </c>
      <c r="AG698" s="49">
        <f t="shared" si="242"/>
        <v>1803170.0249999999</v>
      </c>
      <c r="AH698" s="49">
        <f t="shared" si="243"/>
        <v>2436716.25</v>
      </c>
    </row>
    <row r="699" spans="1:34" s="56" customFormat="1">
      <c r="A699" s="62" t="s">
        <v>801</v>
      </c>
      <c r="B699" s="62"/>
      <c r="C699" s="62"/>
      <c r="D699" s="62"/>
      <c r="E699" s="141">
        <v>1</v>
      </c>
      <c r="F699" s="142"/>
      <c r="G699" s="143">
        <v>0.26</v>
      </c>
      <c r="H699" s="143">
        <v>0</v>
      </c>
      <c r="I699" s="49">
        <v>271860</v>
      </c>
      <c r="J699" s="49">
        <f t="shared" si="232"/>
        <v>227546.81999999998</v>
      </c>
      <c r="K699" s="49">
        <f t="shared" si="233"/>
        <v>168384.64679999999</v>
      </c>
      <c r="L699" s="58"/>
      <c r="M699" s="141">
        <v>1886050</v>
      </c>
      <c r="N699" s="50">
        <f t="shared" si="234"/>
        <v>1886050</v>
      </c>
      <c r="O699" s="50">
        <f t="shared" si="235"/>
        <v>1395677</v>
      </c>
      <c r="P699" s="59"/>
      <c r="Q699" s="141">
        <v>0</v>
      </c>
      <c r="R699" s="50">
        <f t="shared" si="236"/>
        <v>0</v>
      </c>
      <c r="S699" s="51">
        <f t="shared" si="237"/>
        <v>0</v>
      </c>
      <c r="T699" s="60">
        <v>25</v>
      </c>
      <c r="U699" s="61" t="s">
        <v>795</v>
      </c>
      <c r="V699" s="53">
        <f>SUMIF('Avoided Costs 2014-2023'!$A:$A,'2014 Actuals'!U699&amp;ROUNDDOWN('2014 Actuals'!T699,0),'Avoided Costs 2014-2023'!$E:$E)*K699</f>
        <v>529083.11153662507</v>
      </c>
      <c r="W699" s="53">
        <f>SUMIF('Avoided Costs 2014-2023'!$A:$A,'2014 Actuals'!U699&amp;ROUNDDOWN('2014 Actuals'!T699,0),'Avoided Costs 2014-2023'!$K:$K)*O699</f>
        <v>2248011.8446732322</v>
      </c>
      <c r="X699" s="53">
        <f>SUMIF('Avoided Costs 2014-2023'!$A:$A,'2014 Actuals'!U699&amp;ROUNDDOWN('2014 Actuals'!T699,0),'Avoided Costs 2014-2023'!$M:$M)*S699</f>
        <v>0</v>
      </c>
      <c r="Y699" s="53">
        <f t="shared" si="238"/>
        <v>2777094.956209857</v>
      </c>
      <c r="Z699" s="55">
        <v>1020271</v>
      </c>
      <c r="AA699" s="54">
        <f t="shared" si="239"/>
        <v>755000.54</v>
      </c>
      <c r="AB699" s="54"/>
      <c r="AC699" s="54"/>
      <c r="AD699" s="54"/>
      <c r="AE699" s="54">
        <f t="shared" si="240"/>
        <v>755000.54</v>
      </c>
      <c r="AF699" s="54">
        <f t="shared" si="241"/>
        <v>2022094.416209857</v>
      </c>
      <c r="AG699" s="49">
        <f t="shared" si="242"/>
        <v>4209616.17</v>
      </c>
      <c r="AH699" s="49">
        <f t="shared" si="243"/>
        <v>5688670.4999999991</v>
      </c>
    </row>
    <row r="700" spans="1:34" s="56" customFormat="1">
      <c r="A700" s="62" t="s">
        <v>802</v>
      </c>
      <c r="B700" s="62"/>
      <c r="C700" s="62"/>
      <c r="D700" s="62"/>
      <c r="E700" s="141">
        <v>1</v>
      </c>
      <c r="F700" s="142"/>
      <c r="G700" s="143">
        <v>0.26</v>
      </c>
      <c r="H700" s="143">
        <v>0</v>
      </c>
      <c r="I700" s="49">
        <v>19034</v>
      </c>
      <c r="J700" s="49">
        <f t="shared" si="232"/>
        <v>15931.457999999999</v>
      </c>
      <c r="K700" s="49">
        <f t="shared" si="233"/>
        <v>11789.278919999999</v>
      </c>
      <c r="L700" s="58"/>
      <c r="M700" s="141">
        <v>33214</v>
      </c>
      <c r="N700" s="50">
        <f t="shared" si="234"/>
        <v>33214</v>
      </c>
      <c r="O700" s="50">
        <f t="shared" si="235"/>
        <v>24578.36</v>
      </c>
      <c r="P700" s="59"/>
      <c r="Q700" s="141">
        <v>0</v>
      </c>
      <c r="R700" s="50">
        <f t="shared" si="236"/>
        <v>0</v>
      </c>
      <c r="S700" s="51">
        <f t="shared" si="237"/>
        <v>0</v>
      </c>
      <c r="T700" s="60">
        <v>25</v>
      </c>
      <c r="U700" s="61" t="s">
        <v>795</v>
      </c>
      <c r="V700" s="53">
        <f>SUMIF('Avoided Costs 2014-2023'!$A:$A,'2014 Actuals'!U700&amp;ROUNDDOWN('2014 Actuals'!T700,0),'Avoided Costs 2014-2023'!$E:$E)*K700</f>
        <v>37043.213216317672</v>
      </c>
      <c r="W700" s="53">
        <f>SUMIF('Avoided Costs 2014-2023'!$A:$A,'2014 Actuals'!U700&amp;ROUNDDOWN('2014 Actuals'!T700,0),'Avoided Costs 2014-2023'!$K:$K)*O700</f>
        <v>39588.274652833556</v>
      </c>
      <c r="X700" s="53">
        <f>SUMIF('Avoided Costs 2014-2023'!$A:$A,'2014 Actuals'!U700&amp;ROUNDDOWN('2014 Actuals'!T700,0),'Avoided Costs 2014-2023'!$M:$M)*S700</f>
        <v>0</v>
      </c>
      <c r="Y700" s="53">
        <f t="shared" si="238"/>
        <v>76631.487869151228</v>
      </c>
      <c r="Z700" s="55">
        <v>126532</v>
      </c>
      <c r="AA700" s="54">
        <f t="shared" si="239"/>
        <v>93633.68</v>
      </c>
      <c r="AB700" s="54"/>
      <c r="AC700" s="54"/>
      <c r="AD700" s="54"/>
      <c r="AE700" s="54">
        <f t="shared" si="240"/>
        <v>93633.68</v>
      </c>
      <c r="AF700" s="54">
        <f t="shared" si="241"/>
        <v>-17002.192130848765</v>
      </c>
      <c r="AG700" s="49">
        <f t="shared" si="242"/>
        <v>294731.973</v>
      </c>
      <c r="AH700" s="49">
        <f t="shared" si="243"/>
        <v>398286.44999999995</v>
      </c>
    </row>
    <row r="701" spans="1:34" s="56" customFormat="1">
      <c r="A701" s="62" t="s">
        <v>803</v>
      </c>
      <c r="B701" s="62"/>
      <c r="C701" s="62"/>
      <c r="D701" s="62"/>
      <c r="E701" s="141">
        <v>1</v>
      </c>
      <c r="F701" s="142"/>
      <c r="G701" s="143">
        <v>0.26</v>
      </c>
      <c r="H701" s="143">
        <v>0</v>
      </c>
      <c r="I701" s="49">
        <v>19433</v>
      </c>
      <c r="J701" s="49">
        <f t="shared" si="232"/>
        <v>16265.420999999998</v>
      </c>
      <c r="K701" s="49">
        <f t="shared" si="233"/>
        <v>12036.411539999999</v>
      </c>
      <c r="L701" s="58"/>
      <c r="M701" s="141">
        <v>234461</v>
      </c>
      <c r="N701" s="50">
        <f t="shared" si="234"/>
        <v>234461</v>
      </c>
      <c r="O701" s="50">
        <f t="shared" si="235"/>
        <v>173501.13999999998</v>
      </c>
      <c r="P701" s="59"/>
      <c r="Q701" s="141">
        <v>0</v>
      </c>
      <c r="R701" s="50">
        <f t="shared" si="236"/>
        <v>0</v>
      </c>
      <c r="S701" s="51">
        <f t="shared" si="237"/>
        <v>0</v>
      </c>
      <c r="T701" s="60">
        <v>25</v>
      </c>
      <c r="U701" s="61" t="s">
        <v>795</v>
      </c>
      <c r="V701" s="53">
        <f>SUMIF('Avoided Costs 2014-2023'!$A:$A,'2014 Actuals'!U701&amp;ROUNDDOWN('2014 Actuals'!T701,0),'Avoided Costs 2014-2023'!$E:$E)*K701</f>
        <v>37819.731135478687</v>
      </c>
      <c r="W701" s="53">
        <f>SUMIF('Avoided Costs 2014-2023'!$A:$A,'2014 Actuals'!U701&amp;ROUNDDOWN('2014 Actuals'!T701,0),'Avoided Costs 2014-2023'!$K:$K)*O701</f>
        <v>279457.65229656192</v>
      </c>
      <c r="X701" s="53">
        <f>SUMIF('Avoided Costs 2014-2023'!$A:$A,'2014 Actuals'!U701&amp;ROUNDDOWN('2014 Actuals'!T701,0),'Avoided Costs 2014-2023'!$M:$M)*S701</f>
        <v>0</v>
      </c>
      <c r="Y701" s="53">
        <f t="shared" si="238"/>
        <v>317277.38343204063</v>
      </c>
      <c r="Z701" s="55">
        <v>1215000</v>
      </c>
      <c r="AA701" s="54">
        <f t="shared" si="239"/>
        <v>899100</v>
      </c>
      <c r="AB701" s="54"/>
      <c r="AC701" s="54"/>
      <c r="AD701" s="54"/>
      <c r="AE701" s="54">
        <f t="shared" si="240"/>
        <v>899100</v>
      </c>
      <c r="AF701" s="54">
        <f t="shared" si="241"/>
        <v>-581822.61656795931</v>
      </c>
      <c r="AG701" s="49">
        <f t="shared" si="242"/>
        <v>300910.28849999997</v>
      </c>
      <c r="AH701" s="49">
        <f t="shared" si="243"/>
        <v>406635.52499999997</v>
      </c>
    </row>
    <row r="702" spans="1:34" s="56" customFormat="1">
      <c r="A702" s="62" t="s">
        <v>804</v>
      </c>
      <c r="B702" s="62"/>
      <c r="C702" s="62"/>
      <c r="D702" s="62"/>
      <c r="E702" s="141">
        <v>1</v>
      </c>
      <c r="F702" s="142"/>
      <c r="G702" s="143">
        <v>0.26</v>
      </c>
      <c r="H702" s="143">
        <v>0</v>
      </c>
      <c r="I702" s="49">
        <v>28007</v>
      </c>
      <c r="J702" s="49">
        <f t="shared" si="232"/>
        <v>23441.859</v>
      </c>
      <c r="K702" s="49">
        <f t="shared" si="233"/>
        <v>17346.97566</v>
      </c>
      <c r="L702" s="58"/>
      <c r="M702" s="141">
        <v>160458</v>
      </c>
      <c r="N702" s="50">
        <f t="shared" si="234"/>
        <v>160458</v>
      </c>
      <c r="O702" s="50">
        <f t="shared" si="235"/>
        <v>118738.92</v>
      </c>
      <c r="P702" s="59"/>
      <c r="Q702" s="141">
        <v>0</v>
      </c>
      <c r="R702" s="50">
        <f t="shared" si="236"/>
        <v>0</v>
      </c>
      <c r="S702" s="51">
        <f t="shared" si="237"/>
        <v>0</v>
      </c>
      <c r="T702" s="60">
        <v>25</v>
      </c>
      <c r="U702" s="61" t="s">
        <v>795</v>
      </c>
      <c r="V702" s="53">
        <f>SUMIF('Avoided Costs 2014-2023'!$A:$A,'2014 Actuals'!U702&amp;ROUNDDOWN('2014 Actuals'!T702,0),'Avoided Costs 2014-2023'!$E:$E)*K702</f>
        <v>54506.108676547708</v>
      </c>
      <c r="W702" s="53">
        <f>SUMIF('Avoided Costs 2014-2023'!$A:$A,'2014 Actuals'!U702&amp;ROUNDDOWN('2014 Actuals'!T702,0),'Avoided Costs 2014-2023'!$K:$K)*O702</f>
        <v>191252.34462107444</v>
      </c>
      <c r="X702" s="53">
        <f>SUMIF('Avoided Costs 2014-2023'!$A:$A,'2014 Actuals'!U702&amp;ROUNDDOWN('2014 Actuals'!T702,0),'Avoided Costs 2014-2023'!$M:$M)*S702</f>
        <v>0</v>
      </c>
      <c r="Y702" s="53">
        <f t="shared" si="238"/>
        <v>245758.45329762215</v>
      </c>
      <c r="Z702" s="55">
        <v>443496</v>
      </c>
      <c r="AA702" s="54">
        <f t="shared" si="239"/>
        <v>328187.03999999998</v>
      </c>
      <c r="AB702" s="54"/>
      <c r="AC702" s="54"/>
      <c r="AD702" s="54"/>
      <c r="AE702" s="54">
        <f t="shared" si="240"/>
        <v>328187.03999999998</v>
      </c>
      <c r="AF702" s="54">
        <f t="shared" si="241"/>
        <v>-82428.586702377826</v>
      </c>
      <c r="AG702" s="49">
        <f t="shared" si="242"/>
        <v>433674.39150000003</v>
      </c>
      <c r="AH702" s="49">
        <f t="shared" si="243"/>
        <v>586046.47499999998</v>
      </c>
    </row>
    <row r="703" spans="1:34" collapsed="1">
      <c r="A703" s="224" t="s">
        <v>35</v>
      </c>
      <c r="B703" s="202" t="s">
        <v>805</v>
      </c>
      <c r="C703" s="121"/>
      <c r="D703" s="121">
        <v>0</v>
      </c>
      <c r="E703" s="203">
        <f>SUM(E693:E702)</f>
        <v>10</v>
      </c>
      <c r="F703" s="116"/>
      <c r="G703" s="117"/>
      <c r="H703" s="118"/>
      <c r="I703" s="203">
        <f>SUM(I693:I702)</f>
        <v>2643203</v>
      </c>
      <c r="J703" s="203">
        <f>SUM(J693:J702)</f>
        <v>2212360.9110000003</v>
      </c>
      <c r="K703" s="203">
        <f>SUM(K693:K702)</f>
        <v>1637147.0741399997</v>
      </c>
      <c r="L703" s="116"/>
      <c r="M703" s="203">
        <f>SUM(M693:M702)</f>
        <v>12282733</v>
      </c>
      <c r="N703" s="203">
        <f>SUM(N693:N702)</f>
        <v>12282733</v>
      </c>
      <c r="O703" s="203">
        <f>SUM(O693:O702)</f>
        <v>9089222.4199999999</v>
      </c>
      <c r="P703" s="119"/>
      <c r="Q703" s="203">
        <v>0</v>
      </c>
      <c r="R703" s="203">
        <f>SUM(R693:R702)</f>
        <v>0</v>
      </c>
      <c r="S703" s="203">
        <f>SUM(S693:S702)</f>
        <v>0</v>
      </c>
      <c r="T703" s="120"/>
      <c r="U703" s="243" t="s">
        <v>160</v>
      </c>
      <c r="V703" s="205">
        <f t="shared" ref="V703:AA703" si="244">SUM(V693:V702)</f>
        <v>5144096.4748875974</v>
      </c>
      <c r="W703" s="205">
        <f t="shared" si="244"/>
        <v>14639977.343632873</v>
      </c>
      <c r="X703" s="205">
        <f t="shared" si="244"/>
        <v>0</v>
      </c>
      <c r="Y703" s="205">
        <f t="shared" si="244"/>
        <v>19784073.818520471</v>
      </c>
      <c r="Z703" s="122"/>
      <c r="AA703" s="205">
        <f t="shared" si="244"/>
        <v>5115874.0345999999</v>
      </c>
      <c r="AB703" s="205">
        <v>18005.5</v>
      </c>
      <c r="AC703" s="205">
        <v>0</v>
      </c>
      <c r="AD703" s="205">
        <f>AB703+AC703</f>
        <v>18005.5</v>
      </c>
      <c r="AE703" s="205">
        <f t="shared" si="240"/>
        <v>5115874.0345999999</v>
      </c>
      <c r="AF703" s="205">
        <f t="shared" si="241"/>
        <v>14668199.783920471</v>
      </c>
      <c r="AG703" s="206">
        <f>SUM(AG693:AG702)</f>
        <v>40928676.853500001</v>
      </c>
      <c r="AH703" s="206">
        <f>SUM(AH693:AH702)</f>
        <v>55309022.775000006</v>
      </c>
    </row>
    <row r="704" spans="1:34">
      <c r="A704" s="44"/>
      <c r="B704" s="69"/>
      <c r="C704" s="43"/>
      <c r="D704" s="43"/>
      <c r="E704" s="11"/>
      <c r="F704" s="12"/>
      <c r="G704" s="13"/>
      <c r="H704" s="14"/>
      <c r="I704" s="11"/>
      <c r="J704" s="11"/>
      <c r="K704" s="11"/>
      <c r="L704" s="12"/>
      <c r="M704" s="11"/>
      <c r="N704" s="11"/>
      <c r="O704" s="11"/>
      <c r="P704" s="23"/>
      <c r="Q704" s="11"/>
      <c r="R704" s="11"/>
      <c r="S704" s="11"/>
      <c r="T704" s="48"/>
      <c r="U704" s="131"/>
      <c r="V704" s="40"/>
      <c r="W704" s="40"/>
      <c r="X704" s="40"/>
      <c r="Y704" s="40"/>
      <c r="Z704" s="66"/>
      <c r="AA704" s="40"/>
      <c r="AB704" s="40"/>
      <c r="AC704" s="40"/>
      <c r="AD704" s="40"/>
      <c r="AE704" s="40"/>
      <c r="AF704" s="40"/>
      <c r="AG704" s="38"/>
      <c r="AH704" s="38"/>
    </row>
    <row r="705" spans="1:34" ht="13.5" thickBot="1">
      <c r="A705" s="245" t="s">
        <v>806</v>
      </c>
      <c r="B705" s="74"/>
      <c r="C705" s="75"/>
      <c r="D705" s="246">
        <f>D703+D690+D397+D391+D39</f>
        <v>18811</v>
      </c>
      <c r="E705" s="246">
        <f>E703+E690+E397+E391+E39</f>
        <v>1525</v>
      </c>
      <c r="F705" s="76"/>
      <c r="G705" s="77"/>
      <c r="H705" s="78"/>
      <c r="I705" s="247">
        <f>I703+I690+I391+I39+I397</f>
        <v>30924927</v>
      </c>
      <c r="J705" s="247">
        <f>J703+J690+J391+J39+J397</f>
        <v>26906998.965000004</v>
      </c>
      <c r="K705" s="247">
        <f>K703+K690+K391+K39+K397</f>
        <v>22405019.582500003</v>
      </c>
      <c r="L705" s="76"/>
      <c r="M705" s="247">
        <f>M703+M690+M391+M39+M397</f>
        <v>26677730</v>
      </c>
      <c r="N705" s="247">
        <f>N703+N690+N391+N39+N397</f>
        <v>26677730</v>
      </c>
      <c r="O705" s="247">
        <f>O703+O690+O391+O39+O397</f>
        <v>21353918.5</v>
      </c>
      <c r="P705" s="79"/>
      <c r="Q705" s="247">
        <f>Q703+Q690+Q391+Q39+Q397</f>
        <v>374127.01699999999</v>
      </c>
      <c r="R705" s="247">
        <f>R703+R690+R391+R39+R397</f>
        <v>374127.01699999999</v>
      </c>
      <c r="S705" s="247">
        <f>S703+S690+S391+S39+S397</f>
        <v>290644.150265</v>
      </c>
      <c r="T705" s="80"/>
      <c r="U705" s="75"/>
      <c r="V705" s="248">
        <f>V703+V690+V391+V39+V397</f>
        <v>55455064.315827064</v>
      </c>
      <c r="W705" s="248">
        <f>W703+W690+W391+W39+W397</f>
        <v>30297254.308386415</v>
      </c>
      <c r="X705" s="248">
        <f>X703+X690+X391+X39+X397</f>
        <v>6762469.4324991656</v>
      </c>
      <c r="Y705" s="248">
        <f>Y703+Y690+Y391+Y39+Y397</f>
        <v>91497279.841961235</v>
      </c>
      <c r="Z705" s="81"/>
      <c r="AA705" s="248">
        <f>AA703+AA690+AA391+AA39+AA397</f>
        <v>25699347.309000008</v>
      </c>
      <c r="AB705" s="248">
        <f t="shared" ref="AB705:AH705" si="245">AB703+AB690+AB391+AB39+AB397</f>
        <v>3342608.09</v>
      </c>
      <c r="AC705" s="248">
        <f t="shared" si="245"/>
        <v>2417513.62</v>
      </c>
      <c r="AD705" s="248">
        <f t="shared" si="245"/>
        <v>5760121.7100000009</v>
      </c>
      <c r="AE705" s="248">
        <f t="shared" si="245"/>
        <v>28112360.929000013</v>
      </c>
      <c r="AF705" s="249">
        <f t="shared" si="245"/>
        <v>63384918.912961207</v>
      </c>
      <c r="AG705" s="247">
        <f t="shared" si="245"/>
        <v>389415717.10016912</v>
      </c>
      <c r="AH705" s="247">
        <f t="shared" si="245"/>
        <v>474062422.81056249</v>
      </c>
    </row>
    <row r="706" spans="1:34" ht="13.5" thickTop="1">
      <c r="A706" s="135"/>
      <c r="V706" s="19">
        <v>61165943.199981637</v>
      </c>
      <c r="W706" s="19">
        <v>30416925.920700967</v>
      </c>
      <c r="X706" s="19">
        <v>6206015.1280958159</v>
      </c>
      <c r="Y706" s="19">
        <v>97788884.248778418</v>
      </c>
      <c r="AG706" s="38"/>
      <c r="AH706" s="38"/>
    </row>
    <row r="707" spans="1:34" s="69" customFormat="1">
      <c r="A707" s="135" t="s">
        <v>807</v>
      </c>
      <c r="B707" s="9" t="s">
        <v>808</v>
      </c>
      <c r="C707" s="43"/>
      <c r="D707" s="43"/>
      <c r="E707" s="11"/>
      <c r="F707" s="12"/>
      <c r="G707" s="13"/>
      <c r="H707" s="14"/>
      <c r="I707" s="37">
        <f>1+0.035</f>
        <v>1.0349999999999999</v>
      </c>
      <c r="J707" s="210"/>
      <c r="K707" s="210"/>
      <c r="L707" s="250"/>
      <c r="M707" s="210">
        <v>1</v>
      </c>
      <c r="N707" s="210"/>
      <c r="O707" s="210"/>
      <c r="P707" s="251"/>
      <c r="Q707" s="252">
        <v>1</v>
      </c>
      <c r="R707" s="16"/>
      <c r="S707" s="11"/>
      <c r="T707" s="48"/>
      <c r="U707" s="43"/>
      <c r="V707" s="40"/>
      <c r="W707" s="40"/>
      <c r="X707" s="40"/>
      <c r="Y707" s="40"/>
      <c r="Z707" s="20"/>
      <c r="AA707" s="40"/>
      <c r="AB707" s="40"/>
      <c r="AC707" s="40"/>
      <c r="AD707" s="40"/>
      <c r="AE707" s="40"/>
      <c r="AF707" s="40"/>
      <c r="AG707" s="38"/>
      <c r="AH707" s="38"/>
    </row>
    <row r="708" spans="1:34" s="56" customFormat="1">
      <c r="A708" s="62" t="s">
        <v>809</v>
      </c>
      <c r="B708" s="62"/>
      <c r="C708" s="62"/>
      <c r="D708" s="62"/>
      <c r="E708" s="141">
        <v>1</v>
      </c>
      <c r="F708" s="142"/>
      <c r="G708" s="143">
        <v>0.4</v>
      </c>
      <c r="H708" s="143">
        <v>0</v>
      </c>
      <c r="I708" s="49">
        <v>51370</v>
      </c>
      <c r="J708" s="49">
        <f t="shared" ref="J708:J719" si="246">+$I$707*I708</f>
        <v>53167.95</v>
      </c>
      <c r="K708" s="49">
        <f t="shared" ref="K708:K716" si="247">J708*(1-G708)</f>
        <v>31900.769999999997</v>
      </c>
      <c r="L708" s="58"/>
      <c r="M708" s="141">
        <v>0</v>
      </c>
      <c r="N708" s="50">
        <f t="shared" ref="N708:N716" si="248">+$M$707*M708</f>
        <v>0</v>
      </c>
      <c r="O708" s="50">
        <f t="shared" ref="O708:O716" si="249">N708*(1-G708)</f>
        <v>0</v>
      </c>
      <c r="P708" s="59"/>
      <c r="Q708" s="141">
        <v>0</v>
      </c>
      <c r="R708" s="50">
        <f t="shared" ref="R708:R716" si="250">+Q708*$Q$707</f>
        <v>0</v>
      </c>
      <c r="S708" s="51">
        <f t="shared" ref="S708:S716" si="251">R708*(1-G708)</f>
        <v>0</v>
      </c>
      <c r="T708" s="60">
        <v>15</v>
      </c>
      <c r="U708" s="61" t="s">
        <v>810</v>
      </c>
      <c r="V708" s="53">
        <f>SUMIF('Avoided Costs 2014-2023'!$A:$A,'2014 Actuals'!U708&amp;ROUNDDOWN('2014 Actuals'!T708,0),'Avoided Costs 2014-2023'!$E:$E)*K708</f>
        <v>69612.240496701736</v>
      </c>
      <c r="W708" s="53">
        <f>SUMIF('Avoided Costs 2014-2023'!$A:$A,'2014 Actuals'!U708&amp;ROUNDDOWN('2014 Actuals'!T708,0),'Avoided Costs 2014-2023'!$K:$K)*O708</f>
        <v>0</v>
      </c>
      <c r="X708" s="53">
        <f>SUMIF('Avoided Costs 2014-2023'!$A:$A,'2014 Actuals'!U708&amp;ROUNDDOWN('2014 Actuals'!T708,0),'Avoided Costs 2014-2023'!$M:$M)*S708</f>
        <v>0</v>
      </c>
      <c r="Y708" s="53">
        <f t="shared" ref="Y708:Y716" si="252">SUM(V708:X708)</f>
        <v>69612.240496701736</v>
      </c>
      <c r="Z708" s="55">
        <v>44973.45</v>
      </c>
      <c r="AA708" s="54">
        <f t="shared" ref="AA708:AA716" si="253">Z708*(1-G708)</f>
        <v>26984.069999999996</v>
      </c>
      <c r="AB708" s="54"/>
      <c r="AC708" s="54"/>
      <c r="AD708" s="54"/>
      <c r="AE708" s="54">
        <f t="shared" ref="AE708:AE720" si="254">AA708+AC708</f>
        <v>26984.069999999996</v>
      </c>
      <c r="AF708" s="54">
        <f t="shared" ref="AF708:AF720" si="255">Y708-AE708</f>
        <v>42628.170496701743</v>
      </c>
      <c r="AG708" s="49">
        <f t="shared" ref="AG708:AG719" si="256">K708*T708</f>
        <v>478511.54999999993</v>
      </c>
      <c r="AH708" s="49">
        <f t="shared" ref="AH708:AH719" si="257">(J708*T708)</f>
        <v>797519.25</v>
      </c>
    </row>
    <row r="709" spans="1:34" s="56" customFormat="1">
      <c r="A709" s="62" t="s">
        <v>811</v>
      </c>
      <c r="B709" s="62"/>
      <c r="C709" s="62"/>
      <c r="D709" s="62"/>
      <c r="E709" s="141">
        <v>1</v>
      </c>
      <c r="F709" s="142"/>
      <c r="G709" s="143">
        <v>0.4</v>
      </c>
      <c r="H709" s="143">
        <v>0</v>
      </c>
      <c r="I709" s="49">
        <v>40025</v>
      </c>
      <c r="J709" s="49">
        <f t="shared" si="246"/>
        <v>41425.875</v>
      </c>
      <c r="K709" s="49">
        <f t="shared" si="247"/>
        <v>24855.524999999998</v>
      </c>
      <c r="L709" s="58"/>
      <c r="M709" s="141">
        <v>0</v>
      </c>
      <c r="N709" s="50">
        <f t="shared" si="248"/>
        <v>0</v>
      </c>
      <c r="O709" s="50">
        <f t="shared" si="249"/>
        <v>0</v>
      </c>
      <c r="P709" s="59"/>
      <c r="Q709" s="141">
        <v>0</v>
      </c>
      <c r="R709" s="50">
        <f t="shared" si="250"/>
        <v>0</v>
      </c>
      <c r="S709" s="51">
        <f t="shared" si="251"/>
        <v>0</v>
      </c>
      <c r="T709" s="60">
        <v>10</v>
      </c>
      <c r="U709" s="61" t="s">
        <v>810</v>
      </c>
      <c r="V709" s="53">
        <f>SUMIF('Avoided Costs 2014-2023'!$A:$A,'2014 Actuals'!U709&amp;ROUNDDOWN('2014 Actuals'!T709,0),'Avoided Costs 2014-2023'!$E:$E)*K709</f>
        <v>39862.022632887565</v>
      </c>
      <c r="W709" s="53">
        <f>SUMIF('Avoided Costs 2014-2023'!$A:$A,'2014 Actuals'!U709&amp;ROUNDDOWN('2014 Actuals'!T709,0),'Avoided Costs 2014-2023'!$K:$K)*O709</f>
        <v>0</v>
      </c>
      <c r="X709" s="53">
        <f>SUMIF('Avoided Costs 2014-2023'!$A:$A,'2014 Actuals'!U709&amp;ROUNDDOWN('2014 Actuals'!T709,0),'Avoided Costs 2014-2023'!$M:$M)*S709</f>
        <v>0</v>
      </c>
      <c r="Y709" s="53">
        <f t="shared" si="252"/>
        <v>39862.022632887565</v>
      </c>
      <c r="Z709" s="55">
        <v>49074</v>
      </c>
      <c r="AA709" s="54">
        <f t="shared" si="253"/>
        <v>29444.399999999998</v>
      </c>
      <c r="AB709" s="54"/>
      <c r="AC709" s="54"/>
      <c r="AD709" s="54"/>
      <c r="AE709" s="54">
        <f t="shared" si="254"/>
        <v>29444.399999999998</v>
      </c>
      <c r="AF709" s="54">
        <f t="shared" si="255"/>
        <v>10417.622632887567</v>
      </c>
      <c r="AG709" s="49">
        <f t="shared" si="256"/>
        <v>248555.24999999997</v>
      </c>
      <c r="AH709" s="49">
        <f t="shared" si="257"/>
        <v>414258.75</v>
      </c>
    </row>
    <row r="710" spans="1:34" s="56" customFormat="1">
      <c r="A710" s="62" t="s">
        <v>812</v>
      </c>
      <c r="B710" s="62"/>
      <c r="C710" s="62"/>
      <c r="D710" s="62"/>
      <c r="E710" s="141">
        <v>1</v>
      </c>
      <c r="F710" s="142"/>
      <c r="G710" s="143">
        <v>0.4</v>
      </c>
      <c r="H710" s="143">
        <v>0</v>
      </c>
      <c r="I710" s="49">
        <v>41500</v>
      </c>
      <c r="J710" s="49">
        <f t="shared" si="246"/>
        <v>42952.5</v>
      </c>
      <c r="K710" s="49">
        <f t="shared" si="247"/>
        <v>25771.5</v>
      </c>
      <c r="L710" s="58"/>
      <c r="M710" s="141">
        <v>0</v>
      </c>
      <c r="N710" s="50">
        <f t="shared" si="248"/>
        <v>0</v>
      </c>
      <c r="O710" s="50">
        <f t="shared" si="249"/>
        <v>0</v>
      </c>
      <c r="P710" s="59"/>
      <c r="Q710" s="141">
        <v>0</v>
      </c>
      <c r="R710" s="50">
        <f t="shared" si="250"/>
        <v>0</v>
      </c>
      <c r="S710" s="51">
        <f t="shared" si="251"/>
        <v>0</v>
      </c>
      <c r="T710" s="60">
        <v>10</v>
      </c>
      <c r="U710" s="61" t="s">
        <v>810</v>
      </c>
      <c r="V710" s="53">
        <f>SUMIF('Avoided Costs 2014-2023'!$A:$A,'2014 Actuals'!U710&amp;ROUNDDOWN('2014 Actuals'!T710,0),'Avoided Costs 2014-2023'!$E:$E)*K710</f>
        <v>41331.016596248199</v>
      </c>
      <c r="W710" s="53">
        <f>SUMIF('Avoided Costs 2014-2023'!$A:$A,'2014 Actuals'!U710&amp;ROUNDDOWN('2014 Actuals'!T710,0),'Avoided Costs 2014-2023'!$K:$K)*O710</f>
        <v>0</v>
      </c>
      <c r="X710" s="53">
        <f>SUMIF('Avoided Costs 2014-2023'!$A:$A,'2014 Actuals'!U710&amp;ROUNDDOWN('2014 Actuals'!T710,0),'Avoided Costs 2014-2023'!$M:$M)*S710</f>
        <v>0</v>
      </c>
      <c r="Y710" s="53">
        <f t="shared" si="252"/>
        <v>41331.016596248199</v>
      </c>
      <c r="Z710" s="55">
        <v>23721</v>
      </c>
      <c r="AA710" s="54">
        <f t="shared" si="253"/>
        <v>14232.6</v>
      </c>
      <c r="AB710" s="54"/>
      <c r="AC710" s="54"/>
      <c r="AD710" s="54"/>
      <c r="AE710" s="54">
        <f t="shared" si="254"/>
        <v>14232.6</v>
      </c>
      <c r="AF710" s="54">
        <f t="shared" si="255"/>
        <v>27098.4165962482</v>
      </c>
      <c r="AG710" s="49">
        <f t="shared" si="256"/>
        <v>257715</v>
      </c>
      <c r="AH710" s="49">
        <f t="shared" si="257"/>
        <v>429525</v>
      </c>
    </row>
    <row r="711" spans="1:34" s="56" customFormat="1">
      <c r="A711" s="62" t="s">
        <v>813</v>
      </c>
      <c r="B711" s="62"/>
      <c r="C711" s="62"/>
      <c r="D711" s="62"/>
      <c r="E711" s="141">
        <v>1</v>
      </c>
      <c r="F711" s="142"/>
      <c r="G711" s="143">
        <v>0.4</v>
      </c>
      <c r="H711" s="143">
        <v>0</v>
      </c>
      <c r="I711" s="49">
        <v>22987</v>
      </c>
      <c r="J711" s="49">
        <f t="shared" si="246"/>
        <v>23791.544999999998</v>
      </c>
      <c r="K711" s="49">
        <f t="shared" si="247"/>
        <v>14274.926999999998</v>
      </c>
      <c r="L711" s="58"/>
      <c r="M711" s="141">
        <v>0</v>
      </c>
      <c r="N711" s="50">
        <f t="shared" si="248"/>
        <v>0</v>
      </c>
      <c r="O711" s="50">
        <f t="shared" si="249"/>
        <v>0</v>
      </c>
      <c r="P711" s="59"/>
      <c r="Q711" s="141">
        <v>0</v>
      </c>
      <c r="R711" s="50">
        <f t="shared" si="250"/>
        <v>0</v>
      </c>
      <c r="S711" s="51">
        <f t="shared" si="251"/>
        <v>0</v>
      </c>
      <c r="T711" s="60">
        <v>10</v>
      </c>
      <c r="U711" s="61" t="s">
        <v>810</v>
      </c>
      <c r="V711" s="53">
        <f>SUMIF('Avoided Costs 2014-2023'!$A:$A,'2014 Actuals'!U711&amp;ROUNDDOWN('2014 Actuals'!T711,0),'Avoided Costs 2014-2023'!$E:$E)*K711</f>
        <v>22893.399481878489</v>
      </c>
      <c r="W711" s="53">
        <f>SUMIF('Avoided Costs 2014-2023'!$A:$A,'2014 Actuals'!U711&amp;ROUNDDOWN('2014 Actuals'!T711,0),'Avoided Costs 2014-2023'!$K:$K)*O711</f>
        <v>0</v>
      </c>
      <c r="X711" s="53">
        <f>SUMIF('Avoided Costs 2014-2023'!$A:$A,'2014 Actuals'!U711&amp;ROUNDDOWN('2014 Actuals'!T711,0),'Avoided Costs 2014-2023'!$M:$M)*S711</f>
        <v>0</v>
      </c>
      <c r="Y711" s="53">
        <f t="shared" si="252"/>
        <v>22893.399481878489</v>
      </c>
      <c r="Z711" s="55">
        <v>67663.19</v>
      </c>
      <c r="AA711" s="54">
        <f t="shared" si="253"/>
        <v>40597.913999999997</v>
      </c>
      <c r="AB711" s="54"/>
      <c r="AC711" s="54"/>
      <c r="AD711" s="54"/>
      <c r="AE711" s="54">
        <f t="shared" si="254"/>
        <v>40597.913999999997</v>
      </c>
      <c r="AF711" s="54">
        <f t="shared" si="255"/>
        <v>-17704.514518121508</v>
      </c>
      <c r="AG711" s="49">
        <f t="shared" si="256"/>
        <v>142749.26999999999</v>
      </c>
      <c r="AH711" s="49">
        <f t="shared" si="257"/>
        <v>237915.44999999998</v>
      </c>
    </row>
    <row r="712" spans="1:34" s="56" customFormat="1">
      <c r="A712" s="62" t="s">
        <v>814</v>
      </c>
      <c r="B712" s="62"/>
      <c r="C712" s="62"/>
      <c r="D712" s="62"/>
      <c r="E712" s="141">
        <v>1</v>
      </c>
      <c r="F712" s="142"/>
      <c r="G712" s="143">
        <v>0.4</v>
      </c>
      <c r="H712" s="143">
        <v>0</v>
      </c>
      <c r="I712" s="49">
        <v>6383</v>
      </c>
      <c r="J712" s="49">
        <f t="shared" si="246"/>
        <v>6606.4049999999997</v>
      </c>
      <c r="K712" s="49">
        <f t="shared" si="247"/>
        <v>3963.8429999999998</v>
      </c>
      <c r="L712" s="58"/>
      <c r="M712" s="141">
        <v>0</v>
      </c>
      <c r="N712" s="50">
        <f t="shared" si="248"/>
        <v>0</v>
      </c>
      <c r="O712" s="50">
        <f t="shared" si="249"/>
        <v>0</v>
      </c>
      <c r="P712" s="59"/>
      <c r="Q712" s="141">
        <v>0</v>
      </c>
      <c r="R712" s="50">
        <f t="shared" si="250"/>
        <v>0</v>
      </c>
      <c r="S712" s="51">
        <f t="shared" si="251"/>
        <v>0</v>
      </c>
      <c r="T712" s="60">
        <v>10</v>
      </c>
      <c r="U712" s="61" t="s">
        <v>810</v>
      </c>
      <c r="V712" s="53">
        <f>SUMIF('Avoided Costs 2014-2023'!$A:$A,'2014 Actuals'!U712&amp;ROUNDDOWN('2014 Actuals'!T712,0),'Avoided Costs 2014-2023'!$E:$E)*K712</f>
        <v>6357.0091309361987</v>
      </c>
      <c r="W712" s="53">
        <f>SUMIF('Avoided Costs 2014-2023'!$A:$A,'2014 Actuals'!U712&amp;ROUNDDOWN('2014 Actuals'!T712,0),'Avoided Costs 2014-2023'!$K:$K)*O712</f>
        <v>0</v>
      </c>
      <c r="X712" s="53">
        <f>SUMIF('Avoided Costs 2014-2023'!$A:$A,'2014 Actuals'!U712&amp;ROUNDDOWN('2014 Actuals'!T712,0),'Avoided Costs 2014-2023'!$M:$M)*S712</f>
        <v>0</v>
      </c>
      <c r="Y712" s="53">
        <f t="shared" si="252"/>
        <v>6357.0091309361987</v>
      </c>
      <c r="Z712" s="55">
        <v>7977.42</v>
      </c>
      <c r="AA712" s="54">
        <f t="shared" si="253"/>
        <v>4786.4520000000002</v>
      </c>
      <c r="AB712" s="54"/>
      <c r="AC712" s="54"/>
      <c r="AD712" s="54"/>
      <c r="AE712" s="54">
        <f t="shared" si="254"/>
        <v>4786.4520000000002</v>
      </c>
      <c r="AF712" s="54">
        <f t="shared" si="255"/>
        <v>1570.5571309361985</v>
      </c>
      <c r="AG712" s="49">
        <f t="shared" si="256"/>
        <v>39638.43</v>
      </c>
      <c r="AH712" s="49">
        <f t="shared" si="257"/>
        <v>66064.05</v>
      </c>
    </row>
    <row r="713" spans="1:34" s="56" customFormat="1">
      <c r="A713" s="62" t="s">
        <v>815</v>
      </c>
      <c r="B713" s="62"/>
      <c r="C713" s="62"/>
      <c r="D713" s="62"/>
      <c r="E713" s="141">
        <v>0</v>
      </c>
      <c r="F713" s="142"/>
      <c r="G713" s="143">
        <v>0.4</v>
      </c>
      <c r="H713" s="143">
        <v>0</v>
      </c>
      <c r="I713" s="49">
        <v>18221</v>
      </c>
      <c r="J713" s="49">
        <f t="shared" si="246"/>
        <v>18858.734999999997</v>
      </c>
      <c r="K713" s="49">
        <f t="shared" si="247"/>
        <v>11315.240999999998</v>
      </c>
      <c r="L713" s="58"/>
      <c r="M713" s="141">
        <v>0</v>
      </c>
      <c r="N713" s="50">
        <f t="shared" si="248"/>
        <v>0</v>
      </c>
      <c r="O713" s="50">
        <f t="shared" si="249"/>
        <v>0</v>
      </c>
      <c r="P713" s="59"/>
      <c r="Q713" s="141">
        <v>0</v>
      </c>
      <c r="R713" s="50">
        <f t="shared" si="250"/>
        <v>0</v>
      </c>
      <c r="S713" s="51">
        <f t="shared" si="251"/>
        <v>0</v>
      </c>
      <c r="T713" s="60">
        <v>25</v>
      </c>
      <c r="U713" s="61" t="s">
        <v>810</v>
      </c>
      <c r="V713" s="53">
        <f>SUMIF('Avoided Costs 2014-2023'!$A:$A,'2014 Actuals'!U713&amp;ROUNDDOWN('2014 Actuals'!T713,0),'Avoided Costs 2014-2023'!$E:$E)*K713</f>
        <v>33899.135728627451</v>
      </c>
      <c r="W713" s="53">
        <f>SUMIF('Avoided Costs 2014-2023'!$A:$A,'2014 Actuals'!U713&amp;ROUNDDOWN('2014 Actuals'!T713,0),'Avoided Costs 2014-2023'!$K:$K)*O713</f>
        <v>0</v>
      </c>
      <c r="X713" s="53">
        <f>SUMIF('Avoided Costs 2014-2023'!$A:$A,'2014 Actuals'!U713&amp;ROUNDDOWN('2014 Actuals'!T713,0),'Avoided Costs 2014-2023'!$M:$M)*S713</f>
        <v>0</v>
      </c>
      <c r="Y713" s="53">
        <f t="shared" si="252"/>
        <v>33899.135728627451</v>
      </c>
      <c r="Z713" s="55">
        <v>86412</v>
      </c>
      <c r="AA713" s="54">
        <f t="shared" si="253"/>
        <v>51847.199999999997</v>
      </c>
      <c r="AB713" s="54"/>
      <c r="AC713" s="54"/>
      <c r="AD713" s="54"/>
      <c r="AE713" s="54">
        <f t="shared" si="254"/>
        <v>51847.199999999997</v>
      </c>
      <c r="AF713" s="54">
        <f t="shared" si="255"/>
        <v>-17948.064271372547</v>
      </c>
      <c r="AG713" s="49">
        <f t="shared" si="256"/>
        <v>282881.02499999997</v>
      </c>
      <c r="AH713" s="49">
        <f t="shared" si="257"/>
        <v>471468.37499999994</v>
      </c>
    </row>
    <row r="714" spans="1:34" s="56" customFormat="1">
      <c r="A714" s="62" t="s">
        <v>816</v>
      </c>
      <c r="B714" s="62"/>
      <c r="C714" s="62"/>
      <c r="D714" s="62"/>
      <c r="E714" s="141">
        <v>1</v>
      </c>
      <c r="F714" s="142"/>
      <c r="G714" s="143">
        <v>0.4</v>
      </c>
      <c r="H714" s="143">
        <v>0</v>
      </c>
      <c r="I714" s="49">
        <v>41504</v>
      </c>
      <c r="J714" s="49">
        <f t="shared" si="246"/>
        <v>42956.639999999999</v>
      </c>
      <c r="K714" s="49">
        <f t="shared" si="247"/>
        <v>25773.984</v>
      </c>
      <c r="L714" s="58"/>
      <c r="M714" s="141">
        <v>0</v>
      </c>
      <c r="N714" s="50">
        <f t="shared" si="248"/>
        <v>0</v>
      </c>
      <c r="O714" s="50">
        <f t="shared" si="249"/>
        <v>0</v>
      </c>
      <c r="P714" s="59"/>
      <c r="Q714" s="141">
        <v>0</v>
      </c>
      <c r="R714" s="50">
        <f t="shared" si="250"/>
        <v>0</v>
      </c>
      <c r="S714" s="51">
        <f t="shared" si="251"/>
        <v>0</v>
      </c>
      <c r="T714" s="60">
        <v>15</v>
      </c>
      <c r="U714" s="61" t="s">
        <v>810</v>
      </c>
      <c r="V714" s="53">
        <f>SUMIF('Avoided Costs 2014-2023'!$A:$A,'2014 Actuals'!U714&amp;ROUNDDOWN('2014 Actuals'!T714,0),'Avoided Costs 2014-2023'!$E:$E)*K714</f>
        <v>56242.679181917636</v>
      </c>
      <c r="W714" s="53">
        <f>SUMIF('Avoided Costs 2014-2023'!$A:$A,'2014 Actuals'!U714&amp;ROUNDDOWN('2014 Actuals'!T714,0),'Avoided Costs 2014-2023'!$K:$K)*O714</f>
        <v>0</v>
      </c>
      <c r="X714" s="53">
        <f>SUMIF('Avoided Costs 2014-2023'!$A:$A,'2014 Actuals'!U714&amp;ROUNDDOWN('2014 Actuals'!T714,0),'Avoided Costs 2014-2023'!$M:$M)*S714</f>
        <v>0</v>
      </c>
      <c r="Y714" s="53">
        <f t="shared" si="252"/>
        <v>56242.679181917636</v>
      </c>
      <c r="Z714" s="55">
        <v>27014</v>
      </c>
      <c r="AA714" s="54">
        <f t="shared" si="253"/>
        <v>16208.4</v>
      </c>
      <c r="AB714" s="54"/>
      <c r="AC714" s="54"/>
      <c r="AD714" s="54"/>
      <c r="AE714" s="54">
        <f t="shared" si="254"/>
        <v>16208.4</v>
      </c>
      <c r="AF714" s="54">
        <f t="shared" si="255"/>
        <v>40034.279181917635</v>
      </c>
      <c r="AG714" s="49">
        <f t="shared" si="256"/>
        <v>386609.76</v>
      </c>
      <c r="AH714" s="49">
        <f t="shared" si="257"/>
        <v>644349.6</v>
      </c>
    </row>
    <row r="715" spans="1:34" s="56" customFormat="1">
      <c r="A715" s="62" t="s">
        <v>817</v>
      </c>
      <c r="B715" s="62"/>
      <c r="C715" s="62"/>
      <c r="D715" s="62"/>
      <c r="E715" s="141">
        <v>1</v>
      </c>
      <c r="F715" s="142"/>
      <c r="G715" s="143">
        <v>0.4</v>
      </c>
      <c r="H715" s="143">
        <v>0</v>
      </c>
      <c r="I715" s="49">
        <v>47686</v>
      </c>
      <c r="J715" s="49">
        <f t="shared" si="246"/>
        <v>49355.009999999995</v>
      </c>
      <c r="K715" s="49">
        <f t="shared" si="247"/>
        <v>29613.005999999994</v>
      </c>
      <c r="L715" s="58"/>
      <c r="M715" s="141">
        <v>0</v>
      </c>
      <c r="N715" s="50">
        <f t="shared" si="248"/>
        <v>0</v>
      </c>
      <c r="O715" s="50">
        <f t="shared" si="249"/>
        <v>0</v>
      </c>
      <c r="P715" s="59"/>
      <c r="Q715" s="141">
        <v>0</v>
      </c>
      <c r="R715" s="50">
        <f t="shared" si="250"/>
        <v>0</v>
      </c>
      <c r="S715" s="51">
        <f t="shared" si="251"/>
        <v>0</v>
      </c>
      <c r="T715" s="60">
        <v>25</v>
      </c>
      <c r="U715" s="61" t="s">
        <v>810</v>
      </c>
      <c r="V715" s="53">
        <f>SUMIF('Avoided Costs 2014-2023'!$A:$A,'2014 Actuals'!U715&amp;ROUNDDOWN('2014 Actuals'!T715,0),'Avoided Costs 2014-2023'!$E:$E)*K715</f>
        <v>88717.094910011991</v>
      </c>
      <c r="W715" s="53">
        <f>SUMIF('Avoided Costs 2014-2023'!$A:$A,'2014 Actuals'!U715&amp;ROUNDDOWN('2014 Actuals'!T715,0),'Avoided Costs 2014-2023'!$K:$K)*O715</f>
        <v>0</v>
      </c>
      <c r="X715" s="53">
        <f>SUMIF('Avoided Costs 2014-2023'!$A:$A,'2014 Actuals'!U715&amp;ROUNDDOWN('2014 Actuals'!T715,0),'Avoided Costs 2014-2023'!$M:$M)*S715</f>
        <v>0</v>
      </c>
      <c r="Y715" s="53">
        <f t="shared" si="252"/>
        <v>88717.094910011991</v>
      </c>
      <c r="Z715" s="55">
        <v>32182</v>
      </c>
      <c r="AA715" s="54">
        <f t="shared" si="253"/>
        <v>19309.2</v>
      </c>
      <c r="AB715" s="54"/>
      <c r="AC715" s="54"/>
      <c r="AD715" s="54"/>
      <c r="AE715" s="54">
        <f t="shared" si="254"/>
        <v>19309.2</v>
      </c>
      <c r="AF715" s="54">
        <f t="shared" si="255"/>
        <v>69407.894910011993</v>
      </c>
      <c r="AG715" s="49">
        <f t="shared" si="256"/>
        <v>740325.14999999991</v>
      </c>
      <c r="AH715" s="49">
        <f t="shared" si="257"/>
        <v>1233875.2499999998</v>
      </c>
    </row>
    <row r="716" spans="1:34" s="56" customFormat="1">
      <c r="A716" s="62" t="s">
        <v>818</v>
      </c>
      <c r="B716" s="62"/>
      <c r="C716" s="62"/>
      <c r="D716" s="62"/>
      <c r="E716" s="141">
        <v>1</v>
      </c>
      <c r="F716" s="142"/>
      <c r="G716" s="143">
        <v>0.4</v>
      </c>
      <c r="H716" s="143">
        <v>0</v>
      </c>
      <c r="I716" s="49">
        <v>26849</v>
      </c>
      <c r="J716" s="49">
        <f t="shared" si="246"/>
        <v>27788.714999999997</v>
      </c>
      <c r="K716" s="49">
        <f t="shared" si="247"/>
        <v>16673.228999999996</v>
      </c>
      <c r="L716" s="58"/>
      <c r="M716" s="141">
        <v>0</v>
      </c>
      <c r="N716" s="50">
        <f t="shared" si="248"/>
        <v>0</v>
      </c>
      <c r="O716" s="50">
        <f t="shared" si="249"/>
        <v>0</v>
      </c>
      <c r="P716" s="59"/>
      <c r="Q716" s="141">
        <v>0</v>
      </c>
      <c r="R716" s="50">
        <f t="shared" si="250"/>
        <v>0</v>
      </c>
      <c r="S716" s="51">
        <f t="shared" si="251"/>
        <v>0</v>
      </c>
      <c r="T716" s="60">
        <v>10</v>
      </c>
      <c r="U716" s="61" t="s">
        <v>810</v>
      </c>
      <c r="V716" s="53">
        <f>SUMIF('Avoided Costs 2014-2023'!$A:$A,'2014 Actuals'!U716&amp;ROUNDDOWN('2014 Actuals'!T716,0),'Avoided Costs 2014-2023'!$E:$E)*K716</f>
        <v>26739.673845606449</v>
      </c>
      <c r="W716" s="53">
        <f>SUMIF('Avoided Costs 2014-2023'!$A:$A,'2014 Actuals'!U716&amp;ROUNDDOWN('2014 Actuals'!T716,0),'Avoided Costs 2014-2023'!$K:$K)*O716</f>
        <v>0</v>
      </c>
      <c r="X716" s="53">
        <f>SUMIF('Avoided Costs 2014-2023'!$A:$A,'2014 Actuals'!U716&amp;ROUNDDOWN('2014 Actuals'!T716,0),'Avoided Costs 2014-2023'!$M:$M)*S716</f>
        <v>0</v>
      </c>
      <c r="Y716" s="53">
        <f t="shared" si="252"/>
        <v>26739.673845606449</v>
      </c>
      <c r="Z716" s="55">
        <v>48723</v>
      </c>
      <c r="AA716" s="54">
        <f t="shared" si="253"/>
        <v>29233.8</v>
      </c>
      <c r="AB716" s="54"/>
      <c r="AC716" s="54"/>
      <c r="AD716" s="54"/>
      <c r="AE716" s="54">
        <f t="shared" si="254"/>
        <v>29233.8</v>
      </c>
      <c r="AF716" s="54">
        <f t="shared" si="255"/>
        <v>-2494.1261543935507</v>
      </c>
      <c r="AG716" s="49">
        <f t="shared" si="256"/>
        <v>166732.28999999995</v>
      </c>
      <c r="AH716" s="49">
        <f t="shared" si="257"/>
        <v>277887.14999999997</v>
      </c>
    </row>
    <row r="717" spans="1:34" s="56" customFormat="1">
      <c r="A717" s="62" t="s">
        <v>819</v>
      </c>
      <c r="B717" s="62"/>
      <c r="C717" s="62"/>
      <c r="D717" s="62"/>
      <c r="E717" s="141">
        <v>1</v>
      </c>
      <c r="F717" s="142"/>
      <c r="G717" s="143">
        <v>0.4</v>
      </c>
      <c r="H717" s="143">
        <v>0</v>
      </c>
      <c r="I717" s="49">
        <v>1990388</v>
      </c>
      <c r="J717" s="49">
        <f t="shared" si="246"/>
        <v>2060051.5799999998</v>
      </c>
      <c r="K717" s="49">
        <f>J717*(1-G717)</f>
        <v>1236030.9479999999</v>
      </c>
      <c r="L717" s="58"/>
      <c r="M717" s="141">
        <v>0</v>
      </c>
      <c r="N717" s="50">
        <f>+$M$707*M717</f>
        <v>0</v>
      </c>
      <c r="O717" s="50">
        <f>N717*(1-G717)</f>
        <v>0</v>
      </c>
      <c r="P717" s="59"/>
      <c r="Q717" s="141">
        <v>0</v>
      </c>
      <c r="R717" s="50">
        <f>+Q717*$Q$707</f>
        <v>0</v>
      </c>
      <c r="S717" s="51">
        <f>R717*(1-G717)</f>
        <v>0</v>
      </c>
      <c r="T717" s="60">
        <v>10</v>
      </c>
      <c r="U717" s="61" t="s">
        <v>810</v>
      </c>
      <c r="V717" s="53">
        <f>SUMIF('Avoided Costs 2014-2023'!$A:$A,'2014 Actuals'!U717&amp;ROUNDDOWN('2014 Actuals'!T717,0),'Avoided Costs 2014-2023'!$E:$E)*K717</f>
        <v>1982283.3605053795</v>
      </c>
      <c r="W717" s="53">
        <f>SUMIF('Avoided Costs 2014-2023'!$A:$A,'2014 Actuals'!U717&amp;ROUNDDOWN('2014 Actuals'!T717,0),'Avoided Costs 2014-2023'!$K:$K)*O717</f>
        <v>0</v>
      </c>
      <c r="X717" s="53">
        <f>SUMIF('Avoided Costs 2014-2023'!$A:$A,'2014 Actuals'!U717&amp;ROUNDDOWN('2014 Actuals'!T717,0),'Avoided Costs 2014-2023'!$M:$M)*S717</f>
        <v>0</v>
      </c>
      <c r="Y717" s="53">
        <f>SUM(V717:X717)</f>
        <v>1982283.3605053795</v>
      </c>
      <c r="Z717" s="54">
        <v>1354960</v>
      </c>
      <c r="AA717" s="54">
        <f>Z717*(1-G717)</f>
        <v>812976</v>
      </c>
      <c r="AB717" s="54"/>
      <c r="AC717" s="54"/>
      <c r="AD717" s="54"/>
      <c r="AE717" s="54">
        <f t="shared" si="254"/>
        <v>812976</v>
      </c>
      <c r="AF717" s="54">
        <f t="shared" si="255"/>
        <v>1169307.3605053795</v>
      </c>
      <c r="AG717" s="49">
        <f t="shared" si="256"/>
        <v>12360309.479999999</v>
      </c>
      <c r="AH717" s="49">
        <f t="shared" si="257"/>
        <v>20600515.799999997</v>
      </c>
    </row>
    <row r="718" spans="1:34" s="56" customFormat="1">
      <c r="A718" s="62" t="s">
        <v>820</v>
      </c>
      <c r="B718" s="62"/>
      <c r="C718" s="62"/>
      <c r="D718" s="62"/>
      <c r="E718" s="141">
        <v>1</v>
      </c>
      <c r="F718" s="142"/>
      <c r="G718" s="143">
        <v>0.4</v>
      </c>
      <c r="H718" s="143">
        <v>0</v>
      </c>
      <c r="I718" s="49">
        <v>27850</v>
      </c>
      <c r="J718" s="49">
        <f t="shared" si="246"/>
        <v>28824.749999999996</v>
      </c>
      <c r="K718" s="49">
        <f>J718*(1-G718)</f>
        <v>17294.849999999999</v>
      </c>
      <c r="L718" s="58"/>
      <c r="M718" s="141">
        <v>0</v>
      </c>
      <c r="N718" s="50">
        <f>+$M$707*M718</f>
        <v>0</v>
      </c>
      <c r="O718" s="50">
        <f>N718*(1-G718)</f>
        <v>0</v>
      </c>
      <c r="P718" s="59"/>
      <c r="Q718" s="141">
        <v>0</v>
      </c>
      <c r="R718" s="50">
        <f>+Q718*$Q$707</f>
        <v>0</v>
      </c>
      <c r="S718" s="51">
        <f>R718*(1-G718)</f>
        <v>0</v>
      </c>
      <c r="T718" s="60">
        <v>10</v>
      </c>
      <c r="U718" s="61" t="s">
        <v>810</v>
      </c>
      <c r="V718" s="53">
        <f>SUMIF('Avoided Costs 2014-2023'!$A:$A,'2014 Actuals'!U718&amp;ROUNDDOWN('2014 Actuals'!T718,0),'Avoided Costs 2014-2023'!$E:$E)*K718</f>
        <v>27736.597884470175</v>
      </c>
      <c r="W718" s="53">
        <f>SUMIF('Avoided Costs 2014-2023'!$A:$A,'2014 Actuals'!U718&amp;ROUNDDOWN('2014 Actuals'!T718,0),'Avoided Costs 2014-2023'!$K:$K)*O718</f>
        <v>0</v>
      </c>
      <c r="X718" s="53">
        <f>SUMIF('Avoided Costs 2014-2023'!$A:$A,'2014 Actuals'!U718&amp;ROUNDDOWN('2014 Actuals'!T718,0),'Avoided Costs 2014-2023'!$M:$M)*S718</f>
        <v>0</v>
      </c>
      <c r="Y718" s="53">
        <f>SUM(V718:X718)</f>
        <v>27736.597884470175</v>
      </c>
      <c r="Z718" s="54">
        <v>44044</v>
      </c>
      <c r="AA718" s="54">
        <f>Z718*(1-G718)</f>
        <v>26426.399999999998</v>
      </c>
      <c r="AB718" s="54"/>
      <c r="AC718" s="54"/>
      <c r="AD718" s="54"/>
      <c r="AE718" s="54">
        <f t="shared" si="254"/>
        <v>26426.399999999998</v>
      </c>
      <c r="AF718" s="54">
        <f t="shared" si="255"/>
        <v>1310.1978844701771</v>
      </c>
      <c r="AG718" s="49">
        <f t="shared" si="256"/>
        <v>172948.5</v>
      </c>
      <c r="AH718" s="49">
        <f t="shared" si="257"/>
        <v>288247.49999999994</v>
      </c>
    </row>
    <row r="719" spans="1:34" s="56" customFormat="1">
      <c r="A719" s="62" t="s">
        <v>821</v>
      </c>
      <c r="B719" s="62"/>
      <c r="C719" s="62"/>
      <c r="D719" s="62"/>
      <c r="E719" s="141">
        <v>1</v>
      </c>
      <c r="F719" s="142"/>
      <c r="G719" s="143">
        <v>0.4</v>
      </c>
      <c r="H719" s="143">
        <v>0</v>
      </c>
      <c r="I719" s="49">
        <v>405316</v>
      </c>
      <c r="J719" s="49">
        <f t="shared" si="246"/>
        <v>419502.05999999994</v>
      </c>
      <c r="K719" s="49">
        <f>J719*(1-G719)</f>
        <v>251701.23599999995</v>
      </c>
      <c r="L719" s="58"/>
      <c r="M719" s="141">
        <v>0</v>
      </c>
      <c r="N719" s="50">
        <f>+$M$707*M719</f>
        <v>0</v>
      </c>
      <c r="O719" s="50">
        <f>N719*(1-G719)</f>
        <v>0</v>
      </c>
      <c r="P719" s="59"/>
      <c r="Q719" s="141">
        <v>0</v>
      </c>
      <c r="R719" s="50">
        <f>+Q719*$Q$707</f>
        <v>0</v>
      </c>
      <c r="S719" s="51">
        <f>R719*(1-G719)</f>
        <v>0</v>
      </c>
      <c r="T719" s="60">
        <v>10</v>
      </c>
      <c r="U719" s="61" t="s">
        <v>810</v>
      </c>
      <c r="V719" s="53">
        <f>SUMIF('Avoided Costs 2014-2023'!$A:$A,'2014 Actuals'!U719&amp;ROUNDDOWN('2014 Actuals'!T719,0),'Avoided Costs 2014-2023'!$E:$E)*K719</f>
        <v>403665.59813795018</v>
      </c>
      <c r="W719" s="53">
        <f>SUMIF('Avoided Costs 2014-2023'!$A:$A,'2014 Actuals'!U719&amp;ROUNDDOWN('2014 Actuals'!T719,0),'Avoided Costs 2014-2023'!$K:$K)*O719</f>
        <v>0</v>
      </c>
      <c r="X719" s="53">
        <f>SUMIF('Avoided Costs 2014-2023'!$A:$A,'2014 Actuals'!U719&amp;ROUNDDOWN('2014 Actuals'!T719,0),'Avoided Costs 2014-2023'!$M:$M)*S719</f>
        <v>0</v>
      </c>
      <c r="Y719" s="53">
        <f>SUM(V719:X719)</f>
        <v>403665.59813795018</v>
      </c>
      <c r="Z719" s="54">
        <v>282781.06</v>
      </c>
      <c r="AA719" s="54">
        <f>Z719*(1-G719)</f>
        <v>169668.636</v>
      </c>
      <c r="AB719" s="54"/>
      <c r="AC719" s="54"/>
      <c r="AD719" s="54"/>
      <c r="AE719" s="54">
        <f t="shared" si="254"/>
        <v>169668.636</v>
      </c>
      <c r="AF719" s="54">
        <f t="shared" si="255"/>
        <v>233996.96213795018</v>
      </c>
      <c r="AG719" s="49">
        <f t="shared" si="256"/>
        <v>2517012.3599999994</v>
      </c>
      <c r="AH719" s="49">
        <f t="shared" si="257"/>
        <v>4195020.5999999996</v>
      </c>
    </row>
    <row r="720" spans="1:34" s="69" customFormat="1" collapsed="1">
      <c r="A720" s="145" t="s">
        <v>35</v>
      </c>
      <c r="B720" s="145" t="s">
        <v>822</v>
      </c>
      <c r="C720" s="65"/>
      <c r="D720" s="65">
        <v>0</v>
      </c>
      <c r="E720" s="51">
        <f>SUM(E708:E719)</f>
        <v>11</v>
      </c>
      <c r="F720" s="105"/>
      <c r="G720" s="147"/>
      <c r="H720" s="211"/>
      <c r="I720" s="49">
        <f>SUM(I708:I719)</f>
        <v>2720079</v>
      </c>
      <c r="J720" s="49">
        <f>SUM(J708:J719)</f>
        <v>2815281.7650000001</v>
      </c>
      <c r="K720" s="49">
        <f>SUM(K708:K719)</f>
        <v>1689169.0589999999</v>
      </c>
      <c r="L720" s="146"/>
      <c r="M720" s="49">
        <f>SUM(M708:M719)</f>
        <v>0</v>
      </c>
      <c r="N720" s="49">
        <f>SUM(N708:N719)</f>
        <v>0</v>
      </c>
      <c r="O720" s="49">
        <f>SUM(O708:O719)</f>
        <v>0</v>
      </c>
      <c r="P720" s="148"/>
      <c r="Q720" s="49">
        <f>SUM(Q708:Q719)</f>
        <v>0</v>
      </c>
      <c r="R720" s="49">
        <f>SUM(R708:R719)</f>
        <v>0</v>
      </c>
      <c r="S720" s="49">
        <f>SUM(S708:S719)</f>
        <v>0</v>
      </c>
      <c r="T720" s="103"/>
      <c r="U720" s="65" t="s">
        <v>810</v>
      </c>
      <c r="V720" s="54">
        <f t="shared" ref="V720:Y720" si="258">SUM(V708:V719)</f>
        <v>2799339.8285326152</v>
      </c>
      <c r="W720" s="54">
        <f t="shared" si="258"/>
        <v>0</v>
      </c>
      <c r="X720" s="54">
        <f t="shared" si="258"/>
        <v>0</v>
      </c>
      <c r="Y720" s="54">
        <f t="shared" si="258"/>
        <v>2799339.8285326152</v>
      </c>
      <c r="Z720" s="54"/>
      <c r="AA720" s="54">
        <f>SUM(AA708:AA719)</f>
        <v>1241715.0719999999</v>
      </c>
      <c r="AB720" s="54">
        <f>80150.26+150894.1</f>
        <v>231044.36</v>
      </c>
      <c r="AC720" s="54">
        <f>9456.25+1402.96</f>
        <v>10859.21</v>
      </c>
      <c r="AD720" s="54">
        <f>AB720+AC720</f>
        <v>241903.56999999998</v>
      </c>
      <c r="AE720" s="54">
        <f t="shared" si="254"/>
        <v>1252574.2819999999</v>
      </c>
      <c r="AF720" s="212">
        <f t="shared" si="255"/>
        <v>1546765.5465326153</v>
      </c>
      <c r="AG720" s="49">
        <f>SUM(AG708:AG719)</f>
        <v>17793988.064999998</v>
      </c>
      <c r="AH720" s="49">
        <f>SUM(AH708:AH719)</f>
        <v>29656646.774999999</v>
      </c>
    </row>
    <row r="721" spans="1:34" s="69" customFormat="1">
      <c r="A721" s="44"/>
      <c r="C721" s="43"/>
      <c r="D721" s="43"/>
      <c r="E721" s="11"/>
      <c r="F721" s="12"/>
      <c r="G721" s="13"/>
      <c r="H721" s="14"/>
      <c r="I721" s="11"/>
      <c r="J721" s="11"/>
      <c r="K721" s="11"/>
      <c r="L721" s="12"/>
      <c r="M721" s="11"/>
      <c r="N721" s="11"/>
      <c r="O721" s="11"/>
      <c r="P721" s="23"/>
      <c r="Q721" s="11"/>
      <c r="R721" s="11"/>
      <c r="S721" s="11"/>
      <c r="T721" s="48"/>
      <c r="U721" s="43"/>
      <c r="V721" s="40"/>
      <c r="W721" s="40"/>
      <c r="X721" s="40"/>
      <c r="Y721" s="40"/>
      <c r="Z721" s="20"/>
      <c r="AA721" s="40"/>
      <c r="AB721" s="40"/>
      <c r="AC721" s="40"/>
      <c r="AD721" s="40"/>
      <c r="AE721" s="40"/>
      <c r="AF721" s="40"/>
      <c r="AG721" s="38"/>
      <c r="AH721" s="38"/>
    </row>
    <row r="722" spans="1:34" s="69" customFormat="1">
      <c r="A722" s="244" t="s">
        <v>823</v>
      </c>
      <c r="B722" s="9" t="s">
        <v>824</v>
      </c>
      <c r="C722" s="82"/>
      <c r="D722" s="82"/>
      <c r="E722" s="83"/>
      <c r="F722" s="84"/>
      <c r="G722" s="85"/>
      <c r="H722" s="86"/>
      <c r="I722" s="16"/>
      <c r="J722" s="16"/>
      <c r="K722" s="16"/>
      <c r="L722" s="15"/>
      <c r="M722" s="16"/>
      <c r="N722" s="16"/>
      <c r="O722" s="16"/>
      <c r="P722" s="23"/>
      <c r="Q722" s="16"/>
      <c r="R722" s="16"/>
      <c r="S722" s="83"/>
      <c r="T722" s="87"/>
      <c r="U722" s="82"/>
      <c r="V722" s="73"/>
      <c r="W722" s="73"/>
      <c r="X722" s="73"/>
      <c r="Y722" s="73"/>
      <c r="Z722" s="88"/>
      <c r="AA722" s="73"/>
      <c r="AB722" s="73"/>
      <c r="AC722" s="73"/>
      <c r="AD722" s="73"/>
      <c r="AE722" s="73"/>
      <c r="AF722" s="73"/>
      <c r="AG722" s="89"/>
      <c r="AH722" s="89"/>
    </row>
    <row r="723" spans="1:34" s="56" customFormat="1">
      <c r="A723" s="62" t="s">
        <v>825</v>
      </c>
      <c r="B723" s="62"/>
      <c r="C723" s="62"/>
      <c r="D723" s="62"/>
      <c r="E723" s="141">
        <v>1</v>
      </c>
      <c r="F723" s="142"/>
      <c r="G723" s="143">
        <v>0.5</v>
      </c>
      <c r="H723" s="143">
        <v>0</v>
      </c>
      <c r="I723" s="49">
        <v>155040</v>
      </c>
      <c r="J723" s="49">
        <f t="shared" ref="J723:J786" si="259">+$I$707*I723</f>
        <v>160466.4</v>
      </c>
      <c r="K723" s="49">
        <f t="shared" ref="K723:K786" si="260">J723*(1-G723)</f>
        <v>80233.2</v>
      </c>
      <c r="L723" s="58"/>
      <c r="M723" s="141">
        <v>0</v>
      </c>
      <c r="N723" s="50">
        <f t="shared" ref="N723:N786" si="261">+$M$707*M723</f>
        <v>0</v>
      </c>
      <c r="O723" s="50">
        <f t="shared" ref="O723:O786" si="262">N723*(1-G723)</f>
        <v>0</v>
      </c>
      <c r="P723" s="59"/>
      <c r="Q723" s="141">
        <v>0</v>
      </c>
      <c r="R723" s="50">
        <f t="shared" ref="R723:R786" si="263">+Q723*$Q$707</f>
        <v>0</v>
      </c>
      <c r="S723" s="51">
        <f t="shared" ref="S723:S786" si="264">R723*(1-G723)</f>
        <v>0</v>
      </c>
      <c r="T723" s="60">
        <v>20</v>
      </c>
      <c r="U723" s="61" t="s">
        <v>810</v>
      </c>
      <c r="V723" s="53">
        <f>SUMIF('Avoided Costs 2014-2023'!$A:$A,'2014 Actuals'!U723&amp;ROUNDDOWN('2014 Actuals'!T723,0),'Avoided Costs 2014-2023'!$E:$E)*K723</f>
        <v>211612.06728206095</v>
      </c>
      <c r="W723" s="53">
        <f>SUMIF('Avoided Costs 2014-2023'!$A:$A,'2014 Actuals'!U723&amp;ROUNDDOWN('2014 Actuals'!T723,0),'Avoided Costs 2014-2023'!$K:$K)*O723</f>
        <v>0</v>
      </c>
      <c r="X723" s="53">
        <f>SUMIF('Avoided Costs 2014-2023'!$A:$A,'2014 Actuals'!U723&amp;ROUNDDOWN('2014 Actuals'!T723,0),'Avoided Costs 2014-2023'!$M:$M)*S723</f>
        <v>0</v>
      </c>
      <c r="Y723" s="53">
        <f>SUM(V723:X723)</f>
        <v>211612.06728206095</v>
      </c>
      <c r="Z723" s="55">
        <v>140000</v>
      </c>
      <c r="AA723" s="54">
        <f t="shared" ref="AA723:AA786" si="265">Z723*(1-G723)</f>
        <v>70000</v>
      </c>
      <c r="AB723" s="54"/>
      <c r="AC723" s="54"/>
      <c r="AD723" s="54"/>
      <c r="AE723" s="54">
        <f t="shared" ref="AE723:AE754" si="266">AA723+AC723</f>
        <v>70000</v>
      </c>
      <c r="AF723" s="54">
        <f t="shared" ref="AF723:AF754" si="267">Y723-AE723</f>
        <v>141612.06728206095</v>
      </c>
      <c r="AG723" s="49">
        <f t="shared" ref="AG723:AG754" si="268">K723*T723</f>
        <v>1604664</v>
      </c>
      <c r="AH723" s="49">
        <f t="shared" ref="AH723:AH754" si="269">(J723*T723)</f>
        <v>3209328</v>
      </c>
    </row>
    <row r="724" spans="1:34" s="56" customFormat="1">
      <c r="A724" s="62" t="s">
        <v>826</v>
      </c>
      <c r="B724" s="62"/>
      <c r="C724" s="62"/>
      <c r="D724" s="62"/>
      <c r="E724" s="141">
        <v>1</v>
      </c>
      <c r="F724" s="142"/>
      <c r="G724" s="143">
        <v>0.5</v>
      </c>
      <c r="H724" s="143">
        <v>0</v>
      </c>
      <c r="I724" s="49">
        <v>21594</v>
      </c>
      <c r="J724" s="49">
        <f t="shared" si="259"/>
        <v>22349.789999999997</v>
      </c>
      <c r="K724" s="49">
        <f t="shared" si="260"/>
        <v>11174.894999999999</v>
      </c>
      <c r="L724" s="58"/>
      <c r="M724" s="141">
        <v>0</v>
      </c>
      <c r="N724" s="50">
        <f t="shared" si="261"/>
        <v>0</v>
      </c>
      <c r="O724" s="50">
        <f t="shared" si="262"/>
        <v>0</v>
      </c>
      <c r="P724" s="59"/>
      <c r="Q724" s="141">
        <v>0</v>
      </c>
      <c r="R724" s="50">
        <f t="shared" si="263"/>
        <v>0</v>
      </c>
      <c r="S724" s="51">
        <f t="shared" si="264"/>
        <v>0</v>
      </c>
      <c r="T724" s="60">
        <v>25</v>
      </c>
      <c r="U724" s="61" t="s">
        <v>810</v>
      </c>
      <c r="V724" s="53">
        <f>SUMIF('Avoided Costs 2014-2023'!$A:$A,'2014 Actuals'!U724&amp;ROUNDDOWN('2014 Actuals'!T724,0),'Avoided Costs 2014-2023'!$E:$E)*K724</f>
        <v>33478.675563177152</v>
      </c>
      <c r="W724" s="53">
        <f>SUMIF('Avoided Costs 2014-2023'!$A:$A,'2014 Actuals'!U724&amp;ROUNDDOWN('2014 Actuals'!T724,0),'Avoided Costs 2014-2023'!$K:$K)*O724</f>
        <v>0</v>
      </c>
      <c r="X724" s="53">
        <f>SUMIF('Avoided Costs 2014-2023'!$A:$A,'2014 Actuals'!U724&amp;ROUNDDOWN('2014 Actuals'!T724,0),'Avoided Costs 2014-2023'!$M:$M)*S724</f>
        <v>0</v>
      </c>
      <c r="Y724" s="53">
        <f t="shared" ref="Y724:Y787" si="270">SUM(V724:X724)</f>
        <v>33478.675563177152</v>
      </c>
      <c r="Z724" s="55">
        <v>12540</v>
      </c>
      <c r="AA724" s="54">
        <f t="shared" si="265"/>
        <v>6270</v>
      </c>
      <c r="AB724" s="54"/>
      <c r="AC724" s="54"/>
      <c r="AD724" s="54"/>
      <c r="AE724" s="54">
        <f t="shared" si="266"/>
        <v>6270</v>
      </c>
      <c r="AF724" s="54">
        <f t="shared" si="267"/>
        <v>27208.675563177152</v>
      </c>
      <c r="AG724" s="49">
        <f t="shared" si="268"/>
        <v>279372.37499999994</v>
      </c>
      <c r="AH724" s="49">
        <f t="shared" si="269"/>
        <v>558744.74999999988</v>
      </c>
    </row>
    <row r="725" spans="1:34" s="56" customFormat="1">
      <c r="A725" s="62" t="s">
        <v>827</v>
      </c>
      <c r="B725" s="62"/>
      <c r="C725" s="62"/>
      <c r="D725" s="62"/>
      <c r="E725" s="141">
        <v>0</v>
      </c>
      <c r="F725" s="142"/>
      <c r="G725" s="143">
        <v>0.5</v>
      </c>
      <c r="H725" s="143">
        <v>0</v>
      </c>
      <c r="I725" s="49">
        <v>3500</v>
      </c>
      <c r="J725" s="49">
        <f t="shared" si="259"/>
        <v>3622.4999999999995</v>
      </c>
      <c r="K725" s="49">
        <f t="shared" si="260"/>
        <v>1811.2499999999998</v>
      </c>
      <c r="L725" s="58"/>
      <c r="M725" s="141">
        <v>0</v>
      </c>
      <c r="N725" s="50">
        <f t="shared" si="261"/>
        <v>0</v>
      </c>
      <c r="O725" s="50">
        <f t="shared" si="262"/>
        <v>0</v>
      </c>
      <c r="P725" s="59"/>
      <c r="Q725" s="141">
        <v>0</v>
      </c>
      <c r="R725" s="50">
        <f t="shared" si="263"/>
        <v>0</v>
      </c>
      <c r="S725" s="51">
        <f t="shared" si="264"/>
        <v>0</v>
      </c>
      <c r="T725" s="60">
        <v>15</v>
      </c>
      <c r="U725" s="61" t="s">
        <v>810</v>
      </c>
      <c r="V725" s="53">
        <f>SUMIF('Avoided Costs 2014-2023'!$A:$A,'2014 Actuals'!U725&amp;ROUNDDOWN('2014 Actuals'!T725,0),'Avoided Costs 2014-2023'!$E:$E)*K725</f>
        <v>3952.4177817542022</v>
      </c>
      <c r="W725" s="53">
        <f>SUMIF('Avoided Costs 2014-2023'!$A:$A,'2014 Actuals'!U725&amp;ROUNDDOWN('2014 Actuals'!T725,0),'Avoided Costs 2014-2023'!$K:$K)*O725</f>
        <v>0</v>
      </c>
      <c r="X725" s="53">
        <f>SUMIF('Avoided Costs 2014-2023'!$A:$A,'2014 Actuals'!U725&amp;ROUNDDOWN('2014 Actuals'!T725,0),'Avoided Costs 2014-2023'!$M:$M)*S725</f>
        <v>0</v>
      </c>
      <c r="Y725" s="53">
        <f t="shared" si="270"/>
        <v>3952.4177817542022</v>
      </c>
      <c r="Z725" s="55">
        <v>8600</v>
      </c>
      <c r="AA725" s="54">
        <f t="shared" si="265"/>
        <v>4300</v>
      </c>
      <c r="AB725" s="54"/>
      <c r="AC725" s="54"/>
      <c r="AD725" s="54"/>
      <c r="AE725" s="54">
        <f t="shared" si="266"/>
        <v>4300</v>
      </c>
      <c r="AF725" s="54">
        <f t="shared" si="267"/>
        <v>-347.58221824579778</v>
      </c>
      <c r="AG725" s="49">
        <f t="shared" si="268"/>
        <v>27168.749999999996</v>
      </c>
      <c r="AH725" s="49">
        <f t="shared" si="269"/>
        <v>54337.499999999993</v>
      </c>
    </row>
    <row r="726" spans="1:34" s="56" customFormat="1">
      <c r="A726" s="62" t="s">
        <v>828</v>
      </c>
      <c r="B726" s="62"/>
      <c r="C726" s="62"/>
      <c r="D726" s="62"/>
      <c r="E726" s="141">
        <v>1</v>
      </c>
      <c r="F726" s="142"/>
      <c r="G726" s="143">
        <v>0.5</v>
      </c>
      <c r="H726" s="143">
        <v>0</v>
      </c>
      <c r="I726" s="49">
        <v>4687</v>
      </c>
      <c r="J726" s="49">
        <f t="shared" si="259"/>
        <v>4851.0450000000001</v>
      </c>
      <c r="K726" s="49">
        <f t="shared" si="260"/>
        <v>2425.5225</v>
      </c>
      <c r="L726" s="58"/>
      <c r="M726" s="141">
        <v>0</v>
      </c>
      <c r="N726" s="50">
        <f t="shared" si="261"/>
        <v>0</v>
      </c>
      <c r="O726" s="50">
        <f t="shared" si="262"/>
        <v>0</v>
      </c>
      <c r="P726" s="59"/>
      <c r="Q726" s="141">
        <v>0</v>
      </c>
      <c r="R726" s="50">
        <f t="shared" si="263"/>
        <v>0</v>
      </c>
      <c r="S726" s="51">
        <f t="shared" si="264"/>
        <v>0</v>
      </c>
      <c r="T726" s="60">
        <v>15</v>
      </c>
      <c r="U726" s="61" t="s">
        <v>810</v>
      </c>
      <c r="V726" s="53">
        <f>SUMIF('Avoided Costs 2014-2023'!$A:$A,'2014 Actuals'!U726&amp;ROUNDDOWN('2014 Actuals'!T726,0),'Avoided Costs 2014-2023'!$E:$E)*K726</f>
        <v>5292.8520408805571</v>
      </c>
      <c r="W726" s="53">
        <f>SUMIF('Avoided Costs 2014-2023'!$A:$A,'2014 Actuals'!U726&amp;ROUNDDOWN('2014 Actuals'!T726,0),'Avoided Costs 2014-2023'!$K:$K)*O726</f>
        <v>0</v>
      </c>
      <c r="X726" s="53">
        <f>SUMIF('Avoided Costs 2014-2023'!$A:$A,'2014 Actuals'!U726&amp;ROUNDDOWN('2014 Actuals'!T726,0),'Avoided Costs 2014-2023'!$M:$M)*S726</f>
        <v>0</v>
      </c>
      <c r="Y726" s="53">
        <f t="shared" si="270"/>
        <v>5292.8520408805571</v>
      </c>
      <c r="Z726" s="55">
        <v>6000</v>
      </c>
      <c r="AA726" s="54">
        <f t="shared" si="265"/>
        <v>3000</v>
      </c>
      <c r="AB726" s="54"/>
      <c r="AC726" s="54"/>
      <c r="AD726" s="54"/>
      <c r="AE726" s="54">
        <f t="shared" si="266"/>
        <v>3000</v>
      </c>
      <c r="AF726" s="54">
        <f t="shared" si="267"/>
        <v>2292.8520408805571</v>
      </c>
      <c r="AG726" s="49">
        <f t="shared" si="268"/>
        <v>36382.837500000001</v>
      </c>
      <c r="AH726" s="49">
        <f t="shared" si="269"/>
        <v>72765.675000000003</v>
      </c>
    </row>
    <row r="727" spans="1:34" s="56" customFormat="1">
      <c r="A727" s="62" t="s">
        <v>829</v>
      </c>
      <c r="B727" s="62"/>
      <c r="C727" s="62"/>
      <c r="D727" s="62"/>
      <c r="E727" s="141">
        <v>1</v>
      </c>
      <c r="F727" s="142"/>
      <c r="G727" s="143">
        <v>0.5</v>
      </c>
      <c r="H727" s="143">
        <v>0</v>
      </c>
      <c r="I727" s="49">
        <v>13470</v>
      </c>
      <c r="J727" s="49">
        <f t="shared" si="259"/>
        <v>13941.449999999999</v>
      </c>
      <c r="K727" s="49">
        <f t="shared" si="260"/>
        <v>6970.7249999999995</v>
      </c>
      <c r="L727" s="58"/>
      <c r="M727" s="141">
        <v>0</v>
      </c>
      <c r="N727" s="50">
        <f t="shared" si="261"/>
        <v>0</v>
      </c>
      <c r="O727" s="50">
        <f t="shared" si="262"/>
        <v>0</v>
      </c>
      <c r="P727" s="59"/>
      <c r="Q727" s="141">
        <v>200</v>
      </c>
      <c r="R727" s="50">
        <f t="shared" si="263"/>
        <v>200</v>
      </c>
      <c r="S727" s="51">
        <f t="shared" si="264"/>
        <v>100</v>
      </c>
      <c r="T727" s="60">
        <v>5</v>
      </c>
      <c r="U727" s="61" t="s">
        <v>810</v>
      </c>
      <c r="V727" s="53">
        <f>SUMIF('Avoided Costs 2014-2023'!$A:$A,'2014 Actuals'!U727&amp;ROUNDDOWN('2014 Actuals'!T727,0),'Avoided Costs 2014-2023'!$E:$E)*K727</f>
        <v>5667.8809413050012</v>
      </c>
      <c r="W727" s="53">
        <f>SUMIF('Avoided Costs 2014-2023'!$A:$A,'2014 Actuals'!U727&amp;ROUNDDOWN('2014 Actuals'!T727,0),'Avoided Costs 2014-2023'!$K:$K)*O727</f>
        <v>0</v>
      </c>
      <c r="X727" s="53">
        <f>SUMIF('Avoided Costs 2014-2023'!$A:$A,'2014 Actuals'!U727&amp;ROUNDDOWN('2014 Actuals'!T727,0),'Avoided Costs 2014-2023'!$M:$M)*S727</f>
        <v>1183.0324763680696</v>
      </c>
      <c r="Y727" s="53">
        <f t="shared" si="270"/>
        <v>6850.9134176730713</v>
      </c>
      <c r="Z727" s="55">
        <v>1173</v>
      </c>
      <c r="AA727" s="54">
        <f t="shared" si="265"/>
        <v>586.5</v>
      </c>
      <c r="AB727" s="54"/>
      <c r="AC727" s="54"/>
      <c r="AD727" s="54"/>
      <c r="AE727" s="54">
        <f t="shared" si="266"/>
        <v>586.5</v>
      </c>
      <c r="AF727" s="54">
        <f t="shared" si="267"/>
        <v>6264.4134176730713</v>
      </c>
      <c r="AG727" s="49">
        <f t="shared" si="268"/>
        <v>34853.625</v>
      </c>
      <c r="AH727" s="49">
        <f t="shared" si="269"/>
        <v>69707.25</v>
      </c>
    </row>
    <row r="728" spans="1:34" s="56" customFormat="1">
      <c r="A728" s="62" t="s">
        <v>830</v>
      </c>
      <c r="B728" s="62"/>
      <c r="C728" s="62"/>
      <c r="D728" s="62"/>
      <c r="E728" s="141">
        <v>1</v>
      </c>
      <c r="F728" s="142"/>
      <c r="G728" s="143">
        <v>0.5</v>
      </c>
      <c r="H728" s="143">
        <v>0</v>
      </c>
      <c r="I728" s="49">
        <v>48021</v>
      </c>
      <c r="J728" s="49">
        <f t="shared" si="259"/>
        <v>49701.734999999993</v>
      </c>
      <c r="K728" s="49">
        <f t="shared" si="260"/>
        <v>24850.867499999997</v>
      </c>
      <c r="L728" s="58"/>
      <c r="M728" s="141">
        <v>0</v>
      </c>
      <c r="N728" s="50">
        <f t="shared" si="261"/>
        <v>0</v>
      </c>
      <c r="O728" s="50">
        <f t="shared" si="262"/>
        <v>0</v>
      </c>
      <c r="P728" s="59"/>
      <c r="Q728" s="141">
        <v>0</v>
      </c>
      <c r="R728" s="50">
        <f t="shared" si="263"/>
        <v>0</v>
      </c>
      <c r="S728" s="51">
        <f t="shared" si="264"/>
        <v>0</v>
      </c>
      <c r="T728" s="60">
        <v>15</v>
      </c>
      <c r="U728" s="61" t="s">
        <v>810</v>
      </c>
      <c r="V728" s="53">
        <f>SUMIF('Avoided Costs 2014-2023'!$A:$A,'2014 Actuals'!U728&amp;ROUNDDOWN('2014 Actuals'!T728,0),'Avoided Costs 2014-2023'!$E:$E)*K728</f>
        <v>54228.30122789101</v>
      </c>
      <c r="W728" s="53">
        <f>SUMIF('Avoided Costs 2014-2023'!$A:$A,'2014 Actuals'!U728&amp;ROUNDDOWN('2014 Actuals'!T728,0),'Avoided Costs 2014-2023'!$K:$K)*O728</f>
        <v>0</v>
      </c>
      <c r="X728" s="53">
        <f>SUMIF('Avoided Costs 2014-2023'!$A:$A,'2014 Actuals'!U728&amp;ROUNDDOWN('2014 Actuals'!T728,0),'Avoided Costs 2014-2023'!$M:$M)*S728</f>
        <v>0</v>
      </c>
      <c r="Y728" s="53">
        <f t="shared" si="270"/>
        <v>54228.30122789101</v>
      </c>
      <c r="Z728" s="55">
        <v>3832.2</v>
      </c>
      <c r="AA728" s="54">
        <f t="shared" si="265"/>
        <v>1916.1</v>
      </c>
      <c r="AB728" s="54"/>
      <c r="AC728" s="54"/>
      <c r="AD728" s="54"/>
      <c r="AE728" s="54">
        <f t="shared" si="266"/>
        <v>1916.1</v>
      </c>
      <c r="AF728" s="54">
        <f t="shared" si="267"/>
        <v>52312.201227891012</v>
      </c>
      <c r="AG728" s="49">
        <f t="shared" si="268"/>
        <v>372763.01249999995</v>
      </c>
      <c r="AH728" s="49">
        <f t="shared" si="269"/>
        <v>745526.02499999991</v>
      </c>
    </row>
    <row r="729" spans="1:34" s="56" customFormat="1">
      <c r="A729" s="62" t="s">
        <v>831</v>
      </c>
      <c r="B729" s="62"/>
      <c r="C729" s="62"/>
      <c r="D729" s="62"/>
      <c r="E729" s="141">
        <v>1</v>
      </c>
      <c r="F729" s="142"/>
      <c r="G729" s="143">
        <v>0.5</v>
      </c>
      <c r="H729" s="143">
        <v>0</v>
      </c>
      <c r="I729" s="49">
        <v>74241</v>
      </c>
      <c r="J729" s="49">
        <f t="shared" si="259"/>
        <v>76839.434999999998</v>
      </c>
      <c r="K729" s="49">
        <f t="shared" si="260"/>
        <v>38419.717499999999</v>
      </c>
      <c r="L729" s="58"/>
      <c r="M729" s="141">
        <v>0</v>
      </c>
      <c r="N729" s="50">
        <f t="shared" si="261"/>
        <v>0</v>
      </c>
      <c r="O729" s="50">
        <f t="shared" si="262"/>
        <v>0</v>
      </c>
      <c r="P729" s="59"/>
      <c r="Q729" s="141">
        <v>0</v>
      </c>
      <c r="R729" s="50">
        <f t="shared" si="263"/>
        <v>0</v>
      </c>
      <c r="S729" s="51">
        <f t="shared" si="264"/>
        <v>0</v>
      </c>
      <c r="T729" s="60">
        <v>5</v>
      </c>
      <c r="U729" s="61" t="s">
        <v>810</v>
      </c>
      <c r="V729" s="53">
        <f>SUMIF('Avoided Costs 2014-2023'!$A:$A,'2014 Actuals'!U729&amp;ROUNDDOWN('2014 Actuals'!T729,0),'Avoided Costs 2014-2023'!$E:$E)*K729</f>
        <v>31238.986560016674</v>
      </c>
      <c r="W729" s="53">
        <f>SUMIF('Avoided Costs 2014-2023'!$A:$A,'2014 Actuals'!U729&amp;ROUNDDOWN('2014 Actuals'!T729,0),'Avoided Costs 2014-2023'!$K:$K)*O729</f>
        <v>0</v>
      </c>
      <c r="X729" s="53">
        <f>SUMIF('Avoided Costs 2014-2023'!$A:$A,'2014 Actuals'!U729&amp;ROUNDDOWN('2014 Actuals'!T729,0),'Avoided Costs 2014-2023'!$M:$M)*S729</f>
        <v>0</v>
      </c>
      <c r="Y729" s="53">
        <f t="shared" si="270"/>
        <v>31238.986560016674</v>
      </c>
      <c r="Z729" s="55">
        <v>14393</v>
      </c>
      <c r="AA729" s="54">
        <f t="shared" si="265"/>
        <v>7196.5</v>
      </c>
      <c r="AB729" s="54"/>
      <c r="AC729" s="54"/>
      <c r="AD729" s="54"/>
      <c r="AE729" s="54">
        <f t="shared" si="266"/>
        <v>7196.5</v>
      </c>
      <c r="AF729" s="54">
        <f t="shared" si="267"/>
        <v>24042.486560016674</v>
      </c>
      <c r="AG729" s="49">
        <f t="shared" si="268"/>
        <v>192098.58749999999</v>
      </c>
      <c r="AH729" s="49">
        <f t="shared" si="269"/>
        <v>384197.17499999999</v>
      </c>
    </row>
    <row r="730" spans="1:34" s="56" customFormat="1">
      <c r="A730" s="62" t="s">
        <v>832</v>
      </c>
      <c r="B730" s="62"/>
      <c r="C730" s="62"/>
      <c r="D730" s="62"/>
      <c r="E730" s="141">
        <v>1</v>
      </c>
      <c r="F730" s="142"/>
      <c r="G730" s="143">
        <v>0.5</v>
      </c>
      <c r="H730" s="143">
        <v>0</v>
      </c>
      <c r="I730" s="49">
        <v>32910</v>
      </c>
      <c r="J730" s="49">
        <f t="shared" si="259"/>
        <v>34061.85</v>
      </c>
      <c r="K730" s="49">
        <f t="shared" si="260"/>
        <v>17030.924999999999</v>
      </c>
      <c r="L730" s="58"/>
      <c r="M730" s="141">
        <v>0</v>
      </c>
      <c r="N730" s="50">
        <f t="shared" si="261"/>
        <v>0</v>
      </c>
      <c r="O730" s="50">
        <f t="shared" si="262"/>
        <v>0</v>
      </c>
      <c r="P730" s="59"/>
      <c r="Q730" s="141">
        <v>0</v>
      </c>
      <c r="R730" s="50">
        <f t="shared" si="263"/>
        <v>0</v>
      </c>
      <c r="S730" s="51">
        <f t="shared" si="264"/>
        <v>0</v>
      </c>
      <c r="T730" s="60">
        <v>5</v>
      </c>
      <c r="U730" s="61" t="s">
        <v>810</v>
      </c>
      <c r="V730" s="53">
        <f>SUMIF('Avoided Costs 2014-2023'!$A:$A,'2014 Actuals'!U730&amp;ROUNDDOWN('2014 Actuals'!T730,0),'Avoided Costs 2014-2023'!$E:$E)*K730</f>
        <v>13847.807110493512</v>
      </c>
      <c r="W730" s="53">
        <f>SUMIF('Avoided Costs 2014-2023'!$A:$A,'2014 Actuals'!U730&amp;ROUNDDOWN('2014 Actuals'!T730,0),'Avoided Costs 2014-2023'!$K:$K)*O730</f>
        <v>0</v>
      </c>
      <c r="X730" s="53">
        <f>SUMIF('Avoided Costs 2014-2023'!$A:$A,'2014 Actuals'!U730&amp;ROUNDDOWN('2014 Actuals'!T730,0),'Avoided Costs 2014-2023'!$M:$M)*S730</f>
        <v>0</v>
      </c>
      <c r="Y730" s="53">
        <f t="shared" si="270"/>
        <v>13847.807110493512</v>
      </c>
      <c r="Z730" s="55">
        <v>6026</v>
      </c>
      <c r="AA730" s="54">
        <f t="shared" si="265"/>
        <v>3013</v>
      </c>
      <c r="AB730" s="54"/>
      <c r="AC730" s="54"/>
      <c r="AD730" s="54"/>
      <c r="AE730" s="54">
        <f t="shared" si="266"/>
        <v>3013</v>
      </c>
      <c r="AF730" s="54">
        <f t="shared" si="267"/>
        <v>10834.807110493512</v>
      </c>
      <c r="AG730" s="49">
        <f t="shared" si="268"/>
        <v>85154.625</v>
      </c>
      <c r="AH730" s="49">
        <f t="shared" si="269"/>
        <v>170309.25</v>
      </c>
    </row>
    <row r="731" spans="1:34" s="56" customFormat="1">
      <c r="A731" s="62" t="s">
        <v>833</v>
      </c>
      <c r="B731" s="62"/>
      <c r="C731" s="62"/>
      <c r="D731" s="62"/>
      <c r="E731" s="141">
        <v>1</v>
      </c>
      <c r="F731" s="142"/>
      <c r="G731" s="143">
        <v>0.5</v>
      </c>
      <c r="H731" s="143">
        <v>0</v>
      </c>
      <c r="I731" s="49">
        <v>327170</v>
      </c>
      <c r="J731" s="49">
        <f t="shared" si="259"/>
        <v>338620.94999999995</v>
      </c>
      <c r="K731" s="49">
        <f t="shared" si="260"/>
        <v>169310.47499999998</v>
      </c>
      <c r="L731" s="58"/>
      <c r="M731" s="141">
        <v>60702</v>
      </c>
      <c r="N731" s="50">
        <f t="shared" si="261"/>
        <v>60702</v>
      </c>
      <c r="O731" s="50">
        <f t="shared" si="262"/>
        <v>30351</v>
      </c>
      <c r="P731" s="59"/>
      <c r="Q731" s="141">
        <v>0</v>
      </c>
      <c r="R731" s="50">
        <f t="shared" si="263"/>
        <v>0</v>
      </c>
      <c r="S731" s="51">
        <f t="shared" si="264"/>
        <v>0</v>
      </c>
      <c r="T731" s="60">
        <v>10</v>
      </c>
      <c r="U731" s="61" t="s">
        <v>810</v>
      </c>
      <c r="V731" s="53">
        <f>SUMIF('Avoided Costs 2014-2023'!$A:$A,'2014 Actuals'!U731&amp;ROUNDDOWN('2014 Actuals'!T731,0),'Avoided Costs 2014-2023'!$E:$E)*K731</f>
        <v>271531.49999587395</v>
      </c>
      <c r="W731" s="53">
        <f>SUMIF('Avoided Costs 2014-2023'!$A:$A,'2014 Actuals'!U731&amp;ROUNDDOWN('2014 Actuals'!T731,0),'Avoided Costs 2014-2023'!$K:$K)*O731</f>
        <v>26648.533115241717</v>
      </c>
      <c r="X731" s="53">
        <f>SUMIF('Avoided Costs 2014-2023'!$A:$A,'2014 Actuals'!U731&amp;ROUNDDOWN('2014 Actuals'!T731,0),'Avoided Costs 2014-2023'!$M:$M)*S731</f>
        <v>0</v>
      </c>
      <c r="Y731" s="53">
        <f t="shared" si="270"/>
        <v>298180.03311111568</v>
      </c>
      <c r="Z731" s="55">
        <v>1300</v>
      </c>
      <c r="AA731" s="54">
        <f t="shared" si="265"/>
        <v>650</v>
      </c>
      <c r="AB731" s="54"/>
      <c r="AC731" s="54"/>
      <c r="AD731" s="54"/>
      <c r="AE731" s="54">
        <f t="shared" si="266"/>
        <v>650</v>
      </c>
      <c r="AF731" s="54">
        <f t="shared" si="267"/>
        <v>297530.03311111568</v>
      </c>
      <c r="AG731" s="49">
        <f t="shared" si="268"/>
        <v>1693104.7499999998</v>
      </c>
      <c r="AH731" s="49">
        <f t="shared" si="269"/>
        <v>3386209.4999999995</v>
      </c>
    </row>
    <row r="732" spans="1:34" s="56" customFormat="1">
      <c r="A732" s="62" t="s">
        <v>834</v>
      </c>
      <c r="B732" s="62"/>
      <c r="C732" s="62"/>
      <c r="D732" s="62"/>
      <c r="E732" s="141">
        <v>1</v>
      </c>
      <c r="F732" s="142"/>
      <c r="G732" s="143">
        <v>0.5</v>
      </c>
      <c r="H732" s="143">
        <v>0</v>
      </c>
      <c r="I732" s="49">
        <v>165440</v>
      </c>
      <c r="J732" s="49">
        <f t="shared" si="259"/>
        <v>171230.4</v>
      </c>
      <c r="K732" s="49">
        <f t="shared" si="260"/>
        <v>85615.2</v>
      </c>
      <c r="L732" s="58"/>
      <c r="M732" s="141">
        <v>0</v>
      </c>
      <c r="N732" s="50">
        <f t="shared" si="261"/>
        <v>0</v>
      </c>
      <c r="O732" s="50">
        <f t="shared" si="262"/>
        <v>0</v>
      </c>
      <c r="P732" s="59"/>
      <c r="Q732" s="141">
        <v>0</v>
      </c>
      <c r="R732" s="50">
        <f t="shared" si="263"/>
        <v>0</v>
      </c>
      <c r="S732" s="51">
        <f t="shared" si="264"/>
        <v>0</v>
      </c>
      <c r="T732" s="60">
        <v>18</v>
      </c>
      <c r="U732" s="61" t="s">
        <v>810</v>
      </c>
      <c r="V732" s="53">
        <f>SUMIF('Avoided Costs 2014-2023'!$A:$A,'2014 Actuals'!U732&amp;ROUNDDOWN('2014 Actuals'!T732,0),'Avoided Costs 2014-2023'!$E:$E)*K732</f>
        <v>211323.30557904267</v>
      </c>
      <c r="W732" s="53">
        <f>SUMIF('Avoided Costs 2014-2023'!$A:$A,'2014 Actuals'!U732&amp;ROUNDDOWN('2014 Actuals'!T732,0),'Avoided Costs 2014-2023'!$K:$K)*O732</f>
        <v>0</v>
      </c>
      <c r="X732" s="53">
        <f>SUMIF('Avoided Costs 2014-2023'!$A:$A,'2014 Actuals'!U732&amp;ROUNDDOWN('2014 Actuals'!T732,0),'Avoided Costs 2014-2023'!$M:$M)*S732</f>
        <v>0</v>
      </c>
      <c r="Y732" s="53">
        <f t="shared" si="270"/>
        <v>211323.30557904267</v>
      </c>
      <c r="Z732" s="55">
        <v>221150</v>
      </c>
      <c r="AA732" s="54">
        <f t="shared" si="265"/>
        <v>110575</v>
      </c>
      <c r="AB732" s="54"/>
      <c r="AC732" s="54"/>
      <c r="AD732" s="54"/>
      <c r="AE732" s="54">
        <f t="shared" si="266"/>
        <v>110575</v>
      </c>
      <c r="AF732" s="54">
        <f t="shared" si="267"/>
        <v>100748.30557904267</v>
      </c>
      <c r="AG732" s="49">
        <f t="shared" si="268"/>
        <v>1541073.5999999999</v>
      </c>
      <c r="AH732" s="49">
        <f t="shared" si="269"/>
        <v>3082147.1999999997</v>
      </c>
    </row>
    <row r="733" spans="1:34" s="56" customFormat="1">
      <c r="A733" s="62" t="s">
        <v>835</v>
      </c>
      <c r="B733" s="62"/>
      <c r="C733" s="62"/>
      <c r="D733" s="62"/>
      <c r="E733" s="141">
        <v>1</v>
      </c>
      <c r="F733" s="142"/>
      <c r="G733" s="143">
        <v>0.5</v>
      </c>
      <c r="H733" s="143">
        <v>0</v>
      </c>
      <c r="I733" s="49">
        <v>102269</v>
      </c>
      <c r="J733" s="49">
        <f t="shared" si="259"/>
        <v>105848.41499999999</v>
      </c>
      <c r="K733" s="49">
        <f t="shared" si="260"/>
        <v>52924.207499999997</v>
      </c>
      <c r="L733" s="58"/>
      <c r="M733" s="141">
        <v>0</v>
      </c>
      <c r="N733" s="50">
        <f t="shared" si="261"/>
        <v>0</v>
      </c>
      <c r="O733" s="50">
        <f t="shared" si="262"/>
        <v>0</v>
      </c>
      <c r="P733" s="59"/>
      <c r="Q733" s="141">
        <v>0</v>
      </c>
      <c r="R733" s="50">
        <f t="shared" si="263"/>
        <v>0</v>
      </c>
      <c r="S733" s="51">
        <f t="shared" si="264"/>
        <v>0</v>
      </c>
      <c r="T733" s="60">
        <v>15</v>
      </c>
      <c r="U733" s="61" t="s">
        <v>810</v>
      </c>
      <c r="V733" s="53">
        <f>SUMIF('Avoided Costs 2014-2023'!$A:$A,'2014 Actuals'!U733&amp;ROUNDDOWN('2014 Actuals'!T733,0),'Avoided Costs 2014-2023'!$E:$E)*K733</f>
        <v>115488.51832063444</v>
      </c>
      <c r="W733" s="53">
        <f>SUMIF('Avoided Costs 2014-2023'!$A:$A,'2014 Actuals'!U733&amp;ROUNDDOWN('2014 Actuals'!T733,0),'Avoided Costs 2014-2023'!$K:$K)*O733</f>
        <v>0</v>
      </c>
      <c r="X733" s="53">
        <f>SUMIF('Avoided Costs 2014-2023'!$A:$A,'2014 Actuals'!U733&amp;ROUNDDOWN('2014 Actuals'!T733,0),'Avoided Costs 2014-2023'!$M:$M)*S733</f>
        <v>0</v>
      </c>
      <c r="Y733" s="53">
        <f t="shared" si="270"/>
        <v>115488.51832063444</v>
      </c>
      <c r="Z733" s="55">
        <v>16605</v>
      </c>
      <c r="AA733" s="54">
        <f t="shared" si="265"/>
        <v>8302.5</v>
      </c>
      <c r="AB733" s="54"/>
      <c r="AC733" s="54"/>
      <c r="AD733" s="54"/>
      <c r="AE733" s="54">
        <f t="shared" si="266"/>
        <v>8302.5</v>
      </c>
      <c r="AF733" s="54">
        <f t="shared" si="267"/>
        <v>107186.01832063444</v>
      </c>
      <c r="AG733" s="49">
        <f t="shared" si="268"/>
        <v>793863.11249999993</v>
      </c>
      <c r="AH733" s="49">
        <f t="shared" si="269"/>
        <v>1587726.2249999999</v>
      </c>
    </row>
    <row r="734" spans="1:34" s="56" customFormat="1">
      <c r="A734" s="62" t="s">
        <v>836</v>
      </c>
      <c r="B734" s="62"/>
      <c r="C734" s="62"/>
      <c r="D734" s="62"/>
      <c r="E734" s="141">
        <v>1</v>
      </c>
      <c r="F734" s="142"/>
      <c r="G734" s="143">
        <v>0.5</v>
      </c>
      <c r="H734" s="143">
        <v>0</v>
      </c>
      <c r="I734" s="49">
        <v>190704</v>
      </c>
      <c r="J734" s="49">
        <f t="shared" si="259"/>
        <v>197378.63999999998</v>
      </c>
      <c r="K734" s="49">
        <f t="shared" si="260"/>
        <v>98689.319999999992</v>
      </c>
      <c r="L734" s="58"/>
      <c r="M734" s="141">
        <v>0</v>
      </c>
      <c r="N734" s="50">
        <f t="shared" si="261"/>
        <v>0</v>
      </c>
      <c r="O734" s="50">
        <f t="shared" si="262"/>
        <v>0</v>
      </c>
      <c r="P734" s="59"/>
      <c r="Q734" s="141">
        <v>0</v>
      </c>
      <c r="R734" s="50">
        <f t="shared" si="263"/>
        <v>0</v>
      </c>
      <c r="S734" s="51">
        <f t="shared" si="264"/>
        <v>0</v>
      </c>
      <c r="T734" s="60">
        <v>20</v>
      </c>
      <c r="U734" s="61" t="s">
        <v>810</v>
      </c>
      <c r="V734" s="53">
        <f>SUMIF('Avoided Costs 2014-2023'!$A:$A,'2014 Actuals'!U734&amp;ROUNDDOWN('2014 Actuals'!T734,0),'Avoided Costs 2014-2023'!$E:$E)*K734</f>
        <v>260289.39421412637</v>
      </c>
      <c r="W734" s="53">
        <f>SUMIF('Avoided Costs 2014-2023'!$A:$A,'2014 Actuals'!U734&amp;ROUNDDOWN('2014 Actuals'!T734,0),'Avoided Costs 2014-2023'!$K:$K)*O734</f>
        <v>0</v>
      </c>
      <c r="X734" s="53">
        <f>SUMIF('Avoided Costs 2014-2023'!$A:$A,'2014 Actuals'!U734&amp;ROUNDDOWN('2014 Actuals'!T734,0),'Avoided Costs 2014-2023'!$M:$M)*S734</f>
        <v>0</v>
      </c>
      <c r="Y734" s="53">
        <f t="shared" si="270"/>
        <v>260289.39421412637</v>
      </c>
      <c r="Z734" s="55">
        <v>62569.32</v>
      </c>
      <c r="AA734" s="54">
        <f t="shared" si="265"/>
        <v>31284.66</v>
      </c>
      <c r="AB734" s="54"/>
      <c r="AC734" s="54"/>
      <c r="AD734" s="54"/>
      <c r="AE734" s="54">
        <f t="shared" si="266"/>
        <v>31284.66</v>
      </c>
      <c r="AF734" s="54">
        <f t="shared" si="267"/>
        <v>229004.73421412637</v>
      </c>
      <c r="AG734" s="49">
        <f t="shared" si="268"/>
        <v>1973786.4</v>
      </c>
      <c r="AH734" s="49">
        <f t="shared" si="269"/>
        <v>3947572.8</v>
      </c>
    </row>
    <row r="735" spans="1:34" s="56" customFormat="1">
      <c r="A735" s="62" t="s">
        <v>837</v>
      </c>
      <c r="B735" s="62"/>
      <c r="C735" s="62"/>
      <c r="D735" s="62"/>
      <c r="E735" s="141">
        <v>1</v>
      </c>
      <c r="F735" s="142"/>
      <c r="G735" s="143">
        <v>0.5</v>
      </c>
      <c r="H735" s="143">
        <v>0</v>
      </c>
      <c r="I735" s="49">
        <v>43507</v>
      </c>
      <c r="J735" s="49">
        <f t="shared" si="259"/>
        <v>45029.744999999995</v>
      </c>
      <c r="K735" s="49">
        <f t="shared" si="260"/>
        <v>22514.872499999998</v>
      </c>
      <c r="L735" s="58"/>
      <c r="M735" s="141">
        <v>0</v>
      </c>
      <c r="N735" s="50">
        <f t="shared" si="261"/>
        <v>0</v>
      </c>
      <c r="O735" s="50">
        <f t="shared" si="262"/>
        <v>0</v>
      </c>
      <c r="P735" s="59"/>
      <c r="Q735" s="141">
        <v>0</v>
      </c>
      <c r="R735" s="50">
        <f t="shared" si="263"/>
        <v>0</v>
      </c>
      <c r="S735" s="51">
        <f t="shared" si="264"/>
        <v>0</v>
      </c>
      <c r="T735" s="60">
        <v>20</v>
      </c>
      <c r="U735" s="61" t="s">
        <v>810</v>
      </c>
      <c r="V735" s="53">
        <f>SUMIF('Avoided Costs 2014-2023'!$A:$A,'2014 Actuals'!U735&amp;ROUNDDOWN('2014 Actuals'!T735,0),'Avoided Costs 2014-2023'!$E:$E)*K735</f>
        <v>59382.135005421987</v>
      </c>
      <c r="W735" s="53">
        <f>SUMIF('Avoided Costs 2014-2023'!$A:$A,'2014 Actuals'!U735&amp;ROUNDDOWN('2014 Actuals'!T735,0),'Avoided Costs 2014-2023'!$K:$K)*O735</f>
        <v>0</v>
      </c>
      <c r="X735" s="53">
        <f>SUMIF('Avoided Costs 2014-2023'!$A:$A,'2014 Actuals'!U735&amp;ROUNDDOWN('2014 Actuals'!T735,0),'Avoided Costs 2014-2023'!$M:$M)*S735</f>
        <v>0</v>
      </c>
      <c r="Y735" s="53">
        <f t="shared" si="270"/>
        <v>59382.135005421987</v>
      </c>
      <c r="Z735" s="55">
        <v>27280</v>
      </c>
      <c r="AA735" s="54">
        <f t="shared" si="265"/>
        <v>13640</v>
      </c>
      <c r="AB735" s="54"/>
      <c r="AC735" s="54"/>
      <c r="AD735" s="54"/>
      <c r="AE735" s="54">
        <f t="shared" si="266"/>
        <v>13640</v>
      </c>
      <c r="AF735" s="54">
        <f t="shared" si="267"/>
        <v>45742.135005421987</v>
      </c>
      <c r="AG735" s="49">
        <f t="shared" si="268"/>
        <v>450297.44999999995</v>
      </c>
      <c r="AH735" s="49">
        <f t="shared" si="269"/>
        <v>900594.89999999991</v>
      </c>
    </row>
    <row r="736" spans="1:34" s="56" customFormat="1">
      <c r="A736" s="62" t="s">
        <v>838</v>
      </c>
      <c r="B736" s="62"/>
      <c r="C736" s="62"/>
      <c r="D736" s="62"/>
      <c r="E736" s="141">
        <v>1</v>
      </c>
      <c r="F736" s="142"/>
      <c r="G736" s="143">
        <v>0.5</v>
      </c>
      <c r="H736" s="143">
        <v>0</v>
      </c>
      <c r="I736" s="49">
        <v>114027</v>
      </c>
      <c r="J736" s="49">
        <f t="shared" si="259"/>
        <v>118017.94499999999</v>
      </c>
      <c r="K736" s="49">
        <f t="shared" si="260"/>
        <v>59008.972499999996</v>
      </c>
      <c r="L736" s="58"/>
      <c r="M736" s="141">
        <v>0</v>
      </c>
      <c r="N736" s="50">
        <f t="shared" si="261"/>
        <v>0</v>
      </c>
      <c r="O736" s="50">
        <f t="shared" si="262"/>
        <v>0</v>
      </c>
      <c r="P736" s="59"/>
      <c r="Q736" s="141">
        <v>0</v>
      </c>
      <c r="R736" s="50">
        <f t="shared" si="263"/>
        <v>0</v>
      </c>
      <c r="S736" s="51">
        <f t="shared" si="264"/>
        <v>0</v>
      </c>
      <c r="T736" s="60">
        <v>20</v>
      </c>
      <c r="U736" s="61" t="s">
        <v>810</v>
      </c>
      <c r="V736" s="53">
        <f>SUMIF('Avoided Costs 2014-2023'!$A:$A,'2014 Actuals'!U736&amp;ROUNDDOWN('2014 Actuals'!T736,0),'Avoided Costs 2014-2023'!$E:$E)*K736</f>
        <v>155633.96024233464</v>
      </c>
      <c r="W736" s="53">
        <f>SUMIF('Avoided Costs 2014-2023'!$A:$A,'2014 Actuals'!U736&amp;ROUNDDOWN('2014 Actuals'!T736,0),'Avoided Costs 2014-2023'!$K:$K)*O736</f>
        <v>0</v>
      </c>
      <c r="X736" s="53">
        <f>SUMIF('Avoided Costs 2014-2023'!$A:$A,'2014 Actuals'!U736&amp;ROUNDDOWN('2014 Actuals'!T736,0),'Avoided Costs 2014-2023'!$M:$M)*S736</f>
        <v>0</v>
      </c>
      <c r="Y736" s="53">
        <f t="shared" si="270"/>
        <v>155633.96024233464</v>
      </c>
      <c r="Z736" s="55">
        <v>30111</v>
      </c>
      <c r="AA736" s="54">
        <f t="shared" si="265"/>
        <v>15055.5</v>
      </c>
      <c r="AB736" s="54"/>
      <c r="AC736" s="54"/>
      <c r="AD736" s="54"/>
      <c r="AE736" s="54">
        <f t="shared" si="266"/>
        <v>15055.5</v>
      </c>
      <c r="AF736" s="54">
        <f t="shared" si="267"/>
        <v>140578.46024233464</v>
      </c>
      <c r="AG736" s="49">
        <f t="shared" si="268"/>
        <v>1180179.45</v>
      </c>
      <c r="AH736" s="49">
        <f t="shared" si="269"/>
        <v>2360358.9</v>
      </c>
    </row>
    <row r="737" spans="1:34" s="56" customFormat="1">
      <c r="A737" s="62" t="s">
        <v>839</v>
      </c>
      <c r="B737" s="62"/>
      <c r="C737" s="62"/>
      <c r="D737" s="62"/>
      <c r="E737" s="141">
        <v>1</v>
      </c>
      <c r="F737" s="142"/>
      <c r="G737" s="143">
        <v>0.5</v>
      </c>
      <c r="H737" s="143">
        <v>0</v>
      </c>
      <c r="I737" s="49">
        <v>218664</v>
      </c>
      <c r="J737" s="49">
        <f t="shared" si="259"/>
        <v>226317.24</v>
      </c>
      <c r="K737" s="49">
        <f t="shared" si="260"/>
        <v>113158.62</v>
      </c>
      <c r="L737" s="58"/>
      <c r="M737" s="141">
        <v>0</v>
      </c>
      <c r="N737" s="50">
        <f t="shared" si="261"/>
        <v>0</v>
      </c>
      <c r="O737" s="50">
        <f t="shared" si="262"/>
        <v>0</v>
      </c>
      <c r="P737" s="59"/>
      <c r="Q737" s="141">
        <v>0</v>
      </c>
      <c r="R737" s="50">
        <f t="shared" si="263"/>
        <v>0</v>
      </c>
      <c r="S737" s="51">
        <f t="shared" si="264"/>
        <v>0</v>
      </c>
      <c r="T737" s="60">
        <v>20</v>
      </c>
      <c r="U737" s="61" t="s">
        <v>810</v>
      </c>
      <c r="V737" s="53">
        <f>SUMIF('Avoided Costs 2014-2023'!$A:$A,'2014 Actuals'!U737&amp;ROUNDDOWN('2014 Actuals'!T737,0),'Avoided Costs 2014-2023'!$E:$E)*K737</f>
        <v>298451.63235400268</v>
      </c>
      <c r="W737" s="53">
        <f>SUMIF('Avoided Costs 2014-2023'!$A:$A,'2014 Actuals'!U737&amp;ROUNDDOWN('2014 Actuals'!T737,0),'Avoided Costs 2014-2023'!$K:$K)*O737</f>
        <v>0</v>
      </c>
      <c r="X737" s="53">
        <f>SUMIF('Avoided Costs 2014-2023'!$A:$A,'2014 Actuals'!U737&amp;ROUNDDOWN('2014 Actuals'!T737,0),'Avoided Costs 2014-2023'!$M:$M)*S737</f>
        <v>0</v>
      </c>
      <c r="Y737" s="53">
        <f t="shared" si="270"/>
        <v>298451.63235400268</v>
      </c>
      <c r="Z737" s="55">
        <v>34028</v>
      </c>
      <c r="AA737" s="54">
        <f t="shared" si="265"/>
        <v>17014</v>
      </c>
      <c r="AB737" s="54"/>
      <c r="AC737" s="54"/>
      <c r="AD737" s="54"/>
      <c r="AE737" s="54">
        <f t="shared" si="266"/>
        <v>17014</v>
      </c>
      <c r="AF737" s="54">
        <f t="shared" si="267"/>
        <v>281437.63235400268</v>
      </c>
      <c r="AG737" s="49">
        <f t="shared" si="268"/>
        <v>2263172.4</v>
      </c>
      <c r="AH737" s="49">
        <f t="shared" si="269"/>
        <v>4526344.8</v>
      </c>
    </row>
    <row r="738" spans="1:34" s="56" customFormat="1">
      <c r="A738" s="62" t="s">
        <v>840</v>
      </c>
      <c r="B738" s="62"/>
      <c r="C738" s="62"/>
      <c r="D738" s="62"/>
      <c r="E738" s="141">
        <v>1</v>
      </c>
      <c r="F738" s="142"/>
      <c r="G738" s="143">
        <v>0.5</v>
      </c>
      <c r="H738" s="143">
        <v>0</v>
      </c>
      <c r="I738" s="49">
        <v>22184</v>
      </c>
      <c r="J738" s="49">
        <f t="shared" si="259"/>
        <v>22960.44</v>
      </c>
      <c r="K738" s="49">
        <f t="shared" si="260"/>
        <v>11480.22</v>
      </c>
      <c r="L738" s="58"/>
      <c r="M738" s="141">
        <v>351</v>
      </c>
      <c r="N738" s="50">
        <f t="shared" si="261"/>
        <v>351</v>
      </c>
      <c r="O738" s="50">
        <f t="shared" si="262"/>
        <v>175.5</v>
      </c>
      <c r="P738" s="59"/>
      <c r="Q738" s="141">
        <v>0</v>
      </c>
      <c r="R738" s="50">
        <f t="shared" si="263"/>
        <v>0</v>
      </c>
      <c r="S738" s="51">
        <f t="shared" si="264"/>
        <v>0</v>
      </c>
      <c r="T738" s="60">
        <v>20</v>
      </c>
      <c r="U738" s="61" t="s">
        <v>810</v>
      </c>
      <c r="V738" s="53">
        <f>SUMIF('Avoided Costs 2014-2023'!$A:$A,'2014 Actuals'!U738&amp;ROUNDDOWN('2014 Actuals'!T738,0),'Avoided Costs 2014-2023'!$E:$E)*K738</f>
        <v>30278.651319564244</v>
      </c>
      <c r="W738" s="53">
        <f>SUMIF('Avoided Costs 2014-2023'!$A:$A,'2014 Actuals'!U738&amp;ROUNDDOWN('2014 Actuals'!T738,0),'Avoided Costs 2014-2023'!$K:$K)*O738</f>
        <v>249.57980619176871</v>
      </c>
      <c r="X738" s="53">
        <f>SUMIF('Avoided Costs 2014-2023'!$A:$A,'2014 Actuals'!U738&amp;ROUNDDOWN('2014 Actuals'!T738,0),'Avoided Costs 2014-2023'!$M:$M)*S738</f>
        <v>0</v>
      </c>
      <c r="Y738" s="53">
        <f t="shared" si="270"/>
        <v>30528.231125756014</v>
      </c>
      <c r="Z738" s="55">
        <v>34203</v>
      </c>
      <c r="AA738" s="54">
        <f t="shared" si="265"/>
        <v>17101.5</v>
      </c>
      <c r="AB738" s="54"/>
      <c r="AC738" s="54"/>
      <c r="AD738" s="54"/>
      <c r="AE738" s="54">
        <f t="shared" si="266"/>
        <v>17101.5</v>
      </c>
      <c r="AF738" s="54">
        <f t="shared" si="267"/>
        <v>13426.731125756014</v>
      </c>
      <c r="AG738" s="49">
        <f t="shared" si="268"/>
        <v>229604.4</v>
      </c>
      <c r="AH738" s="49">
        <f t="shared" si="269"/>
        <v>459208.8</v>
      </c>
    </row>
    <row r="739" spans="1:34" s="56" customFormat="1">
      <c r="A739" s="62" t="s">
        <v>841</v>
      </c>
      <c r="B739" s="62"/>
      <c r="C739" s="62"/>
      <c r="D739" s="62"/>
      <c r="E739" s="141">
        <v>1</v>
      </c>
      <c r="F739" s="142"/>
      <c r="G739" s="143">
        <v>0.5</v>
      </c>
      <c r="H739" s="143">
        <v>0</v>
      </c>
      <c r="I739" s="49">
        <v>20624</v>
      </c>
      <c r="J739" s="49">
        <f t="shared" si="259"/>
        <v>21345.84</v>
      </c>
      <c r="K739" s="49">
        <f t="shared" si="260"/>
        <v>10672.92</v>
      </c>
      <c r="L739" s="58"/>
      <c r="M739" s="141">
        <v>0</v>
      </c>
      <c r="N739" s="50">
        <f t="shared" si="261"/>
        <v>0</v>
      </c>
      <c r="O739" s="50">
        <f t="shared" si="262"/>
        <v>0</v>
      </c>
      <c r="P739" s="59"/>
      <c r="Q739" s="141">
        <v>0</v>
      </c>
      <c r="R739" s="50">
        <f t="shared" si="263"/>
        <v>0</v>
      </c>
      <c r="S739" s="51">
        <f t="shared" si="264"/>
        <v>0</v>
      </c>
      <c r="T739" s="60">
        <v>5</v>
      </c>
      <c r="U739" s="61" t="s">
        <v>810</v>
      </c>
      <c r="V739" s="53">
        <f>SUMIF('Avoided Costs 2014-2023'!$A:$A,'2014 Actuals'!U739&amp;ROUNDDOWN('2014 Actuals'!T739,0),'Avoided Costs 2014-2023'!$E:$E)*K739</f>
        <v>8678.1274338139829</v>
      </c>
      <c r="W739" s="53">
        <f>SUMIF('Avoided Costs 2014-2023'!$A:$A,'2014 Actuals'!U739&amp;ROUNDDOWN('2014 Actuals'!T739,0),'Avoided Costs 2014-2023'!$K:$K)*O739</f>
        <v>0</v>
      </c>
      <c r="X739" s="53">
        <f>SUMIF('Avoided Costs 2014-2023'!$A:$A,'2014 Actuals'!U739&amp;ROUNDDOWN('2014 Actuals'!T739,0),'Avoided Costs 2014-2023'!$M:$M)*S739</f>
        <v>0</v>
      </c>
      <c r="Y739" s="53">
        <f t="shared" si="270"/>
        <v>8678.1274338139829</v>
      </c>
      <c r="Z739" s="55">
        <v>6823</v>
      </c>
      <c r="AA739" s="54">
        <f t="shared" si="265"/>
        <v>3411.5</v>
      </c>
      <c r="AB739" s="54"/>
      <c r="AC739" s="54"/>
      <c r="AD739" s="54"/>
      <c r="AE739" s="54">
        <f t="shared" si="266"/>
        <v>3411.5</v>
      </c>
      <c r="AF739" s="54">
        <f t="shared" si="267"/>
        <v>5266.6274338139829</v>
      </c>
      <c r="AG739" s="49">
        <f t="shared" si="268"/>
        <v>53364.6</v>
      </c>
      <c r="AH739" s="49">
        <f t="shared" si="269"/>
        <v>106729.2</v>
      </c>
    </row>
    <row r="740" spans="1:34" s="56" customFormat="1">
      <c r="A740" s="62" t="s">
        <v>842</v>
      </c>
      <c r="B740" s="62"/>
      <c r="C740" s="62"/>
      <c r="D740" s="62"/>
      <c r="E740" s="141">
        <v>1</v>
      </c>
      <c r="F740" s="142"/>
      <c r="G740" s="143">
        <v>0.5</v>
      </c>
      <c r="H740" s="143">
        <v>0</v>
      </c>
      <c r="I740" s="49">
        <v>30137</v>
      </c>
      <c r="J740" s="49">
        <f t="shared" si="259"/>
        <v>31191.794999999998</v>
      </c>
      <c r="K740" s="49">
        <f t="shared" si="260"/>
        <v>15595.897499999999</v>
      </c>
      <c r="L740" s="58"/>
      <c r="M740" s="141">
        <v>0</v>
      </c>
      <c r="N740" s="50">
        <f t="shared" si="261"/>
        <v>0</v>
      </c>
      <c r="O740" s="50">
        <f t="shared" si="262"/>
        <v>0</v>
      </c>
      <c r="P740" s="59"/>
      <c r="Q740" s="141">
        <v>0</v>
      </c>
      <c r="R740" s="50">
        <f t="shared" si="263"/>
        <v>0</v>
      </c>
      <c r="S740" s="51">
        <f t="shared" si="264"/>
        <v>0</v>
      </c>
      <c r="T740" s="60">
        <v>25</v>
      </c>
      <c r="U740" s="61" t="s">
        <v>810</v>
      </c>
      <c r="V740" s="53">
        <f>SUMIF('Avoided Costs 2014-2023'!$A:$A,'2014 Actuals'!U740&amp;ROUNDDOWN('2014 Actuals'!T740,0),'Avoided Costs 2014-2023'!$E:$E)*K740</f>
        <v>46723.480848729741</v>
      </c>
      <c r="W740" s="53">
        <f>SUMIF('Avoided Costs 2014-2023'!$A:$A,'2014 Actuals'!U740&amp;ROUNDDOWN('2014 Actuals'!T740,0),'Avoided Costs 2014-2023'!$K:$K)*O740</f>
        <v>0</v>
      </c>
      <c r="X740" s="53">
        <f>SUMIF('Avoided Costs 2014-2023'!$A:$A,'2014 Actuals'!U740&amp;ROUNDDOWN('2014 Actuals'!T740,0),'Avoided Costs 2014-2023'!$M:$M)*S740</f>
        <v>0</v>
      </c>
      <c r="Y740" s="53">
        <f t="shared" si="270"/>
        <v>46723.480848729741</v>
      </c>
      <c r="Z740" s="55">
        <v>2310</v>
      </c>
      <c r="AA740" s="54">
        <f t="shared" si="265"/>
        <v>1155</v>
      </c>
      <c r="AB740" s="54"/>
      <c r="AC740" s="54"/>
      <c r="AD740" s="54"/>
      <c r="AE740" s="54">
        <f t="shared" si="266"/>
        <v>1155</v>
      </c>
      <c r="AF740" s="54">
        <f t="shared" si="267"/>
        <v>45568.480848729741</v>
      </c>
      <c r="AG740" s="49">
        <f t="shared" si="268"/>
        <v>389897.4375</v>
      </c>
      <c r="AH740" s="49">
        <f t="shared" si="269"/>
        <v>779794.875</v>
      </c>
    </row>
    <row r="741" spans="1:34" s="56" customFormat="1">
      <c r="A741" s="62" t="s">
        <v>843</v>
      </c>
      <c r="B741" s="62"/>
      <c r="C741" s="62"/>
      <c r="D741" s="62"/>
      <c r="E741" s="141">
        <v>1</v>
      </c>
      <c r="F741" s="142"/>
      <c r="G741" s="143">
        <v>0.5</v>
      </c>
      <c r="H741" s="143">
        <v>0</v>
      </c>
      <c r="I741" s="49">
        <v>27450</v>
      </c>
      <c r="J741" s="49">
        <f t="shared" si="259"/>
        <v>28410.749999999996</v>
      </c>
      <c r="K741" s="49">
        <f t="shared" si="260"/>
        <v>14205.374999999998</v>
      </c>
      <c r="L741" s="58"/>
      <c r="M741" s="141">
        <v>0</v>
      </c>
      <c r="N741" s="50">
        <f t="shared" si="261"/>
        <v>0</v>
      </c>
      <c r="O741" s="50">
        <f t="shared" si="262"/>
        <v>0</v>
      </c>
      <c r="P741" s="59"/>
      <c r="Q741" s="141">
        <v>0</v>
      </c>
      <c r="R741" s="50">
        <f t="shared" si="263"/>
        <v>0</v>
      </c>
      <c r="S741" s="51">
        <f t="shared" si="264"/>
        <v>0</v>
      </c>
      <c r="T741" s="60">
        <v>25</v>
      </c>
      <c r="U741" s="61" t="s">
        <v>810</v>
      </c>
      <c r="V741" s="53">
        <f>SUMIF('Avoided Costs 2014-2023'!$A:$A,'2014 Actuals'!U741&amp;ROUNDDOWN('2014 Actuals'!T741,0),'Avoided Costs 2014-2023'!$E:$E)*K741</f>
        <v>42557.638427767568</v>
      </c>
      <c r="W741" s="53">
        <f>SUMIF('Avoided Costs 2014-2023'!$A:$A,'2014 Actuals'!U741&amp;ROUNDDOWN('2014 Actuals'!T741,0),'Avoided Costs 2014-2023'!$K:$K)*O741</f>
        <v>0</v>
      </c>
      <c r="X741" s="53">
        <f>SUMIF('Avoided Costs 2014-2023'!$A:$A,'2014 Actuals'!U741&amp;ROUNDDOWN('2014 Actuals'!T741,0),'Avoided Costs 2014-2023'!$M:$M)*S741</f>
        <v>0</v>
      </c>
      <c r="Y741" s="53">
        <f t="shared" si="270"/>
        <v>42557.638427767568</v>
      </c>
      <c r="Z741" s="55">
        <v>34310</v>
      </c>
      <c r="AA741" s="54">
        <f t="shared" si="265"/>
        <v>17155</v>
      </c>
      <c r="AB741" s="54"/>
      <c r="AC741" s="54"/>
      <c r="AD741" s="54"/>
      <c r="AE741" s="54">
        <f t="shared" si="266"/>
        <v>17155</v>
      </c>
      <c r="AF741" s="54">
        <f t="shared" si="267"/>
        <v>25402.638427767568</v>
      </c>
      <c r="AG741" s="49">
        <f t="shared" si="268"/>
        <v>355134.37499999994</v>
      </c>
      <c r="AH741" s="49">
        <f t="shared" si="269"/>
        <v>710268.74999999988</v>
      </c>
    </row>
    <row r="742" spans="1:34" s="56" customFormat="1">
      <c r="A742" s="62" t="s">
        <v>844</v>
      </c>
      <c r="B742" s="62"/>
      <c r="C742" s="62"/>
      <c r="D742" s="62"/>
      <c r="E742" s="141">
        <v>1</v>
      </c>
      <c r="F742" s="142"/>
      <c r="G742" s="143">
        <v>0.5</v>
      </c>
      <c r="H742" s="143">
        <v>0</v>
      </c>
      <c r="I742" s="49">
        <v>39879</v>
      </c>
      <c r="J742" s="49">
        <f t="shared" si="259"/>
        <v>41274.764999999999</v>
      </c>
      <c r="K742" s="49">
        <f t="shared" si="260"/>
        <v>20637.3825</v>
      </c>
      <c r="L742" s="58"/>
      <c r="M742" s="141">
        <v>0</v>
      </c>
      <c r="N742" s="50">
        <f t="shared" si="261"/>
        <v>0</v>
      </c>
      <c r="O742" s="50">
        <f t="shared" si="262"/>
        <v>0</v>
      </c>
      <c r="P742" s="59"/>
      <c r="Q742" s="141">
        <v>0</v>
      </c>
      <c r="R742" s="50">
        <f t="shared" si="263"/>
        <v>0</v>
      </c>
      <c r="S742" s="51">
        <f t="shared" si="264"/>
        <v>0</v>
      </c>
      <c r="T742" s="60">
        <v>25</v>
      </c>
      <c r="U742" s="61" t="s">
        <v>810</v>
      </c>
      <c r="V742" s="53">
        <f>SUMIF('Avoided Costs 2014-2023'!$A:$A,'2014 Actuals'!U742&amp;ROUNDDOWN('2014 Actuals'!T742,0),'Avoided Costs 2014-2023'!$E:$E)*K742</f>
        <v>61827.178974897746</v>
      </c>
      <c r="W742" s="53">
        <f>SUMIF('Avoided Costs 2014-2023'!$A:$A,'2014 Actuals'!U742&amp;ROUNDDOWN('2014 Actuals'!T742,0),'Avoided Costs 2014-2023'!$K:$K)*O742</f>
        <v>0</v>
      </c>
      <c r="X742" s="53">
        <f>SUMIF('Avoided Costs 2014-2023'!$A:$A,'2014 Actuals'!U742&amp;ROUNDDOWN('2014 Actuals'!T742,0),'Avoided Costs 2014-2023'!$M:$M)*S742</f>
        <v>0</v>
      </c>
      <c r="Y742" s="53">
        <f t="shared" si="270"/>
        <v>61827.178974897746</v>
      </c>
      <c r="Z742" s="55">
        <v>57642</v>
      </c>
      <c r="AA742" s="54">
        <f t="shared" si="265"/>
        <v>28821</v>
      </c>
      <c r="AB742" s="54"/>
      <c r="AC742" s="54"/>
      <c r="AD742" s="54"/>
      <c r="AE742" s="54">
        <f t="shared" si="266"/>
        <v>28821</v>
      </c>
      <c r="AF742" s="54">
        <f t="shared" si="267"/>
        <v>33006.178974897746</v>
      </c>
      <c r="AG742" s="49">
        <f t="shared" si="268"/>
        <v>515934.5625</v>
      </c>
      <c r="AH742" s="49">
        <f t="shared" si="269"/>
        <v>1031869.125</v>
      </c>
    </row>
    <row r="743" spans="1:34" s="56" customFormat="1">
      <c r="A743" s="62" t="s">
        <v>845</v>
      </c>
      <c r="B743" s="62"/>
      <c r="C743" s="62"/>
      <c r="D743" s="62"/>
      <c r="E743" s="141">
        <v>1</v>
      </c>
      <c r="F743" s="142"/>
      <c r="G743" s="143">
        <v>0.5</v>
      </c>
      <c r="H743" s="143">
        <v>0</v>
      </c>
      <c r="I743" s="49">
        <v>9313</v>
      </c>
      <c r="J743" s="49">
        <f t="shared" si="259"/>
        <v>9638.9549999999999</v>
      </c>
      <c r="K743" s="49">
        <f t="shared" si="260"/>
        <v>4819.4775</v>
      </c>
      <c r="L743" s="58"/>
      <c r="M743" s="141">
        <v>0</v>
      </c>
      <c r="N743" s="50">
        <f t="shared" si="261"/>
        <v>0</v>
      </c>
      <c r="O743" s="50">
        <f t="shared" si="262"/>
        <v>0</v>
      </c>
      <c r="P743" s="59"/>
      <c r="Q743" s="141">
        <v>0</v>
      </c>
      <c r="R743" s="50">
        <f t="shared" si="263"/>
        <v>0</v>
      </c>
      <c r="S743" s="51">
        <f t="shared" si="264"/>
        <v>0</v>
      </c>
      <c r="T743" s="60">
        <v>5</v>
      </c>
      <c r="U743" s="61" t="s">
        <v>810</v>
      </c>
      <c r="V743" s="53">
        <f>SUMIF('Avoided Costs 2014-2023'!$A:$A,'2014 Actuals'!U743&amp;ROUNDDOWN('2014 Actuals'!T743,0),'Avoided Costs 2014-2023'!$E:$E)*K743</f>
        <v>3918.7063998792487</v>
      </c>
      <c r="W743" s="53">
        <f>SUMIF('Avoided Costs 2014-2023'!$A:$A,'2014 Actuals'!U743&amp;ROUNDDOWN('2014 Actuals'!T743,0),'Avoided Costs 2014-2023'!$K:$K)*O743</f>
        <v>0</v>
      </c>
      <c r="X743" s="53">
        <f>SUMIF('Avoided Costs 2014-2023'!$A:$A,'2014 Actuals'!U743&amp;ROUNDDOWN('2014 Actuals'!T743,0),'Avoided Costs 2014-2023'!$M:$M)*S743</f>
        <v>0</v>
      </c>
      <c r="Y743" s="53">
        <f t="shared" si="270"/>
        <v>3918.7063998792487</v>
      </c>
      <c r="Z743" s="55">
        <v>786.97</v>
      </c>
      <c r="AA743" s="54">
        <f t="shared" si="265"/>
        <v>393.48500000000001</v>
      </c>
      <c r="AB743" s="54"/>
      <c r="AC743" s="54"/>
      <c r="AD743" s="54"/>
      <c r="AE743" s="54">
        <f t="shared" si="266"/>
        <v>393.48500000000001</v>
      </c>
      <c r="AF743" s="54">
        <f t="shared" si="267"/>
        <v>3525.2213998792486</v>
      </c>
      <c r="AG743" s="49">
        <f t="shared" si="268"/>
        <v>24097.387500000001</v>
      </c>
      <c r="AH743" s="49">
        <f t="shared" si="269"/>
        <v>48194.775000000001</v>
      </c>
    </row>
    <row r="744" spans="1:34" s="56" customFormat="1">
      <c r="A744" s="62" t="s">
        <v>846</v>
      </c>
      <c r="B744" s="62"/>
      <c r="C744" s="62"/>
      <c r="D744" s="62"/>
      <c r="E744" s="141">
        <v>1</v>
      </c>
      <c r="F744" s="142"/>
      <c r="G744" s="143">
        <v>0.5</v>
      </c>
      <c r="H744" s="143">
        <v>0</v>
      </c>
      <c r="I744" s="49">
        <v>28980</v>
      </c>
      <c r="J744" s="49">
        <f t="shared" si="259"/>
        <v>29994.3</v>
      </c>
      <c r="K744" s="49">
        <f t="shared" si="260"/>
        <v>14997.15</v>
      </c>
      <c r="L744" s="58"/>
      <c r="M744" s="141">
        <v>0</v>
      </c>
      <c r="N744" s="50">
        <f t="shared" si="261"/>
        <v>0</v>
      </c>
      <c r="O744" s="50">
        <f t="shared" si="262"/>
        <v>0</v>
      </c>
      <c r="P744" s="59"/>
      <c r="Q744" s="141">
        <v>0</v>
      </c>
      <c r="R744" s="50">
        <f t="shared" si="263"/>
        <v>0</v>
      </c>
      <c r="S744" s="51">
        <f t="shared" si="264"/>
        <v>0</v>
      </c>
      <c r="T744" s="60">
        <v>20</v>
      </c>
      <c r="U744" s="61" t="s">
        <v>810</v>
      </c>
      <c r="V744" s="53">
        <f>SUMIF('Avoided Costs 2014-2023'!$A:$A,'2014 Actuals'!U744&amp;ROUNDDOWN('2014 Actuals'!T744,0),'Avoided Costs 2014-2023'!$E:$E)*K744</f>
        <v>39554.422793047772</v>
      </c>
      <c r="W744" s="53">
        <f>SUMIF('Avoided Costs 2014-2023'!$A:$A,'2014 Actuals'!U744&amp;ROUNDDOWN('2014 Actuals'!T744,0),'Avoided Costs 2014-2023'!$K:$K)*O744</f>
        <v>0</v>
      </c>
      <c r="X744" s="53">
        <f>SUMIF('Avoided Costs 2014-2023'!$A:$A,'2014 Actuals'!U744&amp;ROUNDDOWN('2014 Actuals'!T744,0),'Avoided Costs 2014-2023'!$M:$M)*S744</f>
        <v>0</v>
      </c>
      <c r="Y744" s="53">
        <f t="shared" si="270"/>
        <v>39554.422793047772</v>
      </c>
      <c r="Z744" s="55">
        <v>25500</v>
      </c>
      <c r="AA744" s="54">
        <f t="shared" si="265"/>
        <v>12750</v>
      </c>
      <c r="AB744" s="54"/>
      <c r="AC744" s="54"/>
      <c r="AD744" s="54"/>
      <c r="AE744" s="54">
        <f t="shared" si="266"/>
        <v>12750</v>
      </c>
      <c r="AF744" s="54">
        <f t="shared" si="267"/>
        <v>26804.422793047772</v>
      </c>
      <c r="AG744" s="49">
        <f t="shared" si="268"/>
        <v>299943</v>
      </c>
      <c r="AH744" s="49">
        <f t="shared" si="269"/>
        <v>599886</v>
      </c>
    </row>
    <row r="745" spans="1:34" s="56" customFormat="1">
      <c r="A745" s="62" t="s">
        <v>847</v>
      </c>
      <c r="B745" s="62"/>
      <c r="C745" s="62"/>
      <c r="D745" s="62"/>
      <c r="E745" s="141">
        <v>1</v>
      </c>
      <c r="F745" s="142"/>
      <c r="G745" s="143">
        <v>0.5</v>
      </c>
      <c r="H745" s="143">
        <v>0</v>
      </c>
      <c r="I745" s="49">
        <v>48132</v>
      </c>
      <c r="J745" s="49">
        <f t="shared" si="259"/>
        <v>49816.619999999995</v>
      </c>
      <c r="K745" s="49">
        <f t="shared" si="260"/>
        <v>24908.309999999998</v>
      </c>
      <c r="L745" s="58"/>
      <c r="M745" s="141">
        <v>0</v>
      </c>
      <c r="N745" s="50">
        <f t="shared" si="261"/>
        <v>0</v>
      </c>
      <c r="O745" s="50">
        <f t="shared" si="262"/>
        <v>0</v>
      </c>
      <c r="P745" s="59"/>
      <c r="Q745" s="141">
        <v>0</v>
      </c>
      <c r="R745" s="50">
        <f t="shared" si="263"/>
        <v>0</v>
      </c>
      <c r="S745" s="51">
        <f t="shared" si="264"/>
        <v>0</v>
      </c>
      <c r="T745" s="60">
        <v>20</v>
      </c>
      <c r="U745" s="61" t="s">
        <v>810</v>
      </c>
      <c r="V745" s="53">
        <f>SUMIF('Avoided Costs 2014-2023'!$A:$A,'2014 Actuals'!U745&amp;ROUNDDOWN('2014 Actuals'!T745,0),'Avoided Costs 2014-2023'!$E:$E)*K745</f>
        <v>65694.736986714124</v>
      </c>
      <c r="W745" s="53">
        <f>SUMIF('Avoided Costs 2014-2023'!$A:$A,'2014 Actuals'!U745&amp;ROUNDDOWN('2014 Actuals'!T745,0),'Avoided Costs 2014-2023'!$K:$K)*O745</f>
        <v>0</v>
      </c>
      <c r="X745" s="53">
        <f>SUMIF('Avoided Costs 2014-2023'!$A:$A,'2014 Actuals'!U745&amp;ROUNDDOWN('2014 Actuals'!T745,0),'Avoided Costs 2014-2023'!$M:$M)*S745</f>
        <v>0</v>
      </c>
      <c r="Y745" s="53">
        <f t="shared" si="270"/>
        <v>65694.736986714124</v>
      </c>
      <c r="Z745" s="55">
        <v>33983.81</v>
      </c>
      <c r="AA745" s="54">
        <f t="shared" si="265"/>
        <v>16991.904999999999</v>
      </c>
      <c r="AB745" s="54"/>
      <c r="AC745" s="54"/>
      <c r="AD745" s="54"/>
      <c r="AE745" s="54">
        <f t="shared" si="266"/>
        <v>16991.904999999999</v>
      </c>
      <c r="AF745" s="54">
        <f t="shared" si="267"/>
        <v>48702.831986714125</v>
      </c>
      <c r="AG745" s="49">
        <f t="shared" si="268"/>
        <v>498166.19999999995</v>
      </c>
      <c r="AH745" s="49">
        <f t="shared" si="269"/>
        <v>996332.39999999991</v>
      </c>
    </row>
    <row r="746" spans="1:34" s="56" customFormat="1">
      <c r="A746" s="62" t="s">
        <v>848</v>
      </c>
      <c r="B746" s="62"/>
      <c r="C746" s="62"/>
      <c r="D746" s="62"/>
      <c r="E746" s="141">
        <v>1</v>
      </c>
      <c r="F746" s="142"/>
      <c r="G746" s="143">
        <v>0.5</v>
      </c>
      <c r="H746" s="143">
        <v>0</v>
      </c>
      <c r="I746" s="49">
        <v>201887</v>
      </c>
      <c r="J746" s="49">
        <f t="shared" si="259"/>
        <v>208953.04499999998</v>
      </c>
      <c r="K746" s="49">
        <f t="shared" si="260"/>
        <v>104476.52249999999</v>
      </c>
      <c r="L746" s="58"/>
      <c r="M746" s="141">
        <v>0</v>
      </c>
      <c r="N746" s="50">
        <f t="shared" si="261"/>
        <v>0</v>
      </c>
      <c r="O746" s="50">
        <f t="shared" si="262"/>
        <v>0</v>
      </c>
      <c r="P746" s="59"/>
      <c r="Q746" s="141">
        <v>0</v>
      </c>
      <c r="R746" s="50">
        <f t="shared" si="263"/>
        <v>0</v>
      </c>
      <c r="S746" s="51">
        <f t="shared" si="264"/>
        <v>0</v>
      </c>
      <c r="T746" s="60">
        <v>20</v>
      </c>
      <c r="U746" s="61" t="s">
        <v>810</v>
      </c>
      <c r="V746" s="53">
        <f>SUMIF('Avoided Costs 2014-2023'!$A:$A,'2014 Actuals'!U746&amp;ROUNDDOWN('2014 Actuals'!T746,0),'Avoided Costs 2014-2023'!$E:$E)*K746</f>
        <v>275552.92458316201</v>
      </c>
      <c r="W746" s="53">
        <f>SUMIF('Avoided Costs 2014-2023'!$A:$A,'2014 Actuals'!U746&amp;ROUNDDOWN('2014 Actuals'!T746,0),'Avoided Costs 2014-2023'!$K:$K)*O746</f>
        <v>0</v>
      </c>
      <c r="X746" s="53">
        <f>SUMIF('Avoided Costs 2014-2023'!$A:$A,'2014 Actuals'!U746&amp;ROUNDDOWN('2014 Actuals'!T746,0),'Avoided Costs 2014-2023'!$M:$M)*S746</f>
        <v>0</v>
      </c>
      <c r="Y746" s="53">
        <f t="shared" si="270"/>
        <v>275552.92458316201</v>
      </c>
      <c r="Z746" s="55">
        <v>38877</v>
      </c>
      <c r="AA746" s="54">
        <f t="shared" si="265"/>
        <v>19438.5</v>
      </c>
      <c r="AB746" s="54"/>
      <c r="AC746" s="54"/>
      <c r="AD746" s="54"/>
      <c r="AE746" s="54">
        <f t="shared" si="266"/>
        <v>19438.5</v>
      </c>
      <c r="AF746" s="54">
        <f t="shared" si="267"/>
        <v>256114.42458316201</v>
      </c>
      <c r="AG746" s="49">
        <f t="shared" si="268"/>
        <v>2089530.4499999997</v>
      </c>
      <c r="AH746" s="49">
        <f t="shared" si="269"/>
        <v>4179060.8999999994</v>
      </c>
    </row>
    <row r="747" spans="1:34" s="56" customFormat="1">
      <c r="A747" s="62" t="s">
        <v>849</v>
      </c>
      <c r="B747" s="62"/>
      <c r="C747" s="62"/>
      <c r="D747" s="62"/>
      <c r="E747" s="141">
        <v>1</v>
      </c>
      <c r="F747" s="142"/>
      <c r="G747" s="143">
        <v>0.5</v>
      </c>
      <c r="H747" s="143">
        <v>0</v>
      </c>
      <c r="I747" s="49">
        <v>16878</v>
      </c>
      <c r="J747" s="49">
        <f t="shared" si="259"/>
        <v>17468.73</v>
      </c>
      <c r="K747" s="49">
        <f t="shared" si="260"/>
        <v>8734.3649999999998</v>
      </c>
      <c r="L747" s="58"/>
      <c r="M747" s="141">
        <v>0</v>
      </c>
      <c r="N747" s="50">
        <f t="shared" si="261"/>
        <v>0</v>
      </c>
      <c r="O747" s="50">
        <f t="shared" si="262"/>
        <v>0</v>
      </c>
      <c r="P747" s="59"/>
      <c r="Q747" s="141">
        <v>0</v>
      </c>
      <c r="R747" s="50">
        <f t="shared" si="263"/>
        <v>0</v>
      </c>
      <c r="S747" s="51">
        <f t="shared" si="264"/>
        <v>0</v>
      </c>
      <c r="T747" s="60">
        <v>20</v>
      </c>
      <c r="U747" s="61" t="s">
        <v>810</v>
      </c>
      <c r="V747" s="53">
        <f>SUMIF('Avoided Costs 2014-2023'!$A:$A,'2014 Actuals'!U747&amp;ROUNDDOWN('2014 Actuals'!T747,0),'Avoided Costs 2014-2023'!$E:$E)*K747</f>
        <v>23036.561349242937</v>
      </c>
      <c r="W747" s="53">
        <f>SUMIF('Avoided Costs 2014-2023'!$A:$A,'2014 Actuals'!U747&amp;ROUNDDOWN('2014 Actuals'!T747,0),'Avoided Costs 2014-2023'!$K:$K)*O747</f>
        <v>0</v>
      </c>
      <c r="X747" s="53">
        <f>SUMIF('Avoided Costs 2014-2023'!$A:$A,'2014 Actuals'!U747&amp;ROUNDDOWN('2014 Actuals'!T747,0),'Avoided Costs 2014-2023'!$M:$M)*S747</f>
        <v>0</v>
      </c>
      <c r="Y747" s="53">
        <f t="shared" si="270"/>
        <v>23036.561349242937</v>
      </c>
      <c r="Z747" s="55">
        <v>12490</v>
      </c>
      <c r="AA747" s="54">
        <f t="shared" si="265"/>
        <v>6245</v>
      </c>
      <c r="AB747" s="54"/>
      <c r="AC747" s="54"/>
      <c r="AD747" s="54"/>
      <c r="AE747" s="54">
        <f t="shared" si="266"/>
        <v>6245</v>
      </c>
      <c r="AF747" s="54">
        <f t="shared" si="267"/>
        <v>16791.561349242937</v>
      </c>
      <c r="AG747" s="49">
        <f t="shared" si="268"/>
        <v>174687.3</v>
      </c>
      <c r="AH747" s="49">
        <f t="shared" si="269"/>
        <v>349374.6</v>
      </c>
    </row>
    <row r="748" spans="1:34" s="56" customFormat="1">
      <c r="A748" s="62" t="s">
        <v>850</v>
      </c>
      <c r="B748" s="62"/>
      <c r="C748" s="62"/>
      <c r="D748" s="62"/>
      <c r="E748" s="141">
        <v>1</v>
      </c>
      <c r="F748" s="142"/>
      <c r="G748" s="143">
        <v>0.5</v>
      </c>
      <c r="H748" s="143">
        <v>0</v>
      </c>
      <c r="I748" s="49">
        <v>49891</v>
      </c>
      <c r="J748" s="49">
        <f t="shared" si="259"/>
        <v>51637.184999999998</v>
      </c>
      <c r="K748" s="49">
        <f t="shared" si="260"/>
        <v>25818.592499999999</v>
      </c>
      <c r="L748" s="58"/>
      <c r="M748" s="141">
        <v>0</v>
      </c>
      <c r="N748" s="50">
        <f t="shared" si="261"/>
        <v>0</v>
      </c>
      <c r="O748" s="50">
        <f t="shared" si="262"/>
        <v>0</v>
      </c>
      <c r="P748" s="59"/>
      <c r="Q748" s="141">
        <v>0</v>
      </c>
      <c r="R748" s="50">
        <f t="shared" si="263"/>
        <v>0</v>
      </c>
      <c r="S748" s="51">
        <f t="shared" si="264"/>
        <v>0</v>
      </c>
      <c r="T748" s="60">
        <v>5</v>
      </c>
      <c r="U748" s="61" t="s">
        <v>810</v>
      </c>
      <c r="V748" s="53">
        <f>SUMIF('Avoided Costs 2014-2023'!$A:$A,'2014 Actuals'!U748&amp;ROUNDDOWN('2014 Actuals'!T748,0),'Avoided Costs 2014-2023'!$E:$E)*K748</f>
        <v>20993.039943774893</v>
      </c>
      <c r="W748" s="53">
        <f>SUMIF('Avoided Costs 2014-2023'!$A:$A,'2014 Actuals'!U748&amp;ROUNDDOWN('2014 Actuals'!T748,0),'Avoided Costs 2014-2023'!$K:$K)*O748</f>
        <v>0</v>
      </c>
      <c r="X748" s="53">
        <f>SUMIF('Avoided Costs 2014-2023'!$A:$A,'2014 Actuals'!U748&amp;ROUNDDOWN('2014 Actuals'!T748,0),'Avoided Costs 2014-2023'!$M:$M)*S748</f>
        <v>0</v>
      </c>
      <c r="Y748" s="53">
        <f t="shared" si="270"/>
        <v>20993.039943774893</v>
      </c>
      <c r="Z748" s="55">
        <v>5250</v>
      </c>
      <c r="AA748" s="54">
        <f t="shared" si="265"/>
        <v>2625</v>
      </c>
      <c r="AB748" s="54"/>
      <c r="AC748" s="54"/>
      <c r="AD748" s="54"/>
      <c r="AE748" s="54">
        <f t="shared" si="266"/>
        <v>2625</v>
      </c>
      <c r="AF748" s="54">
        <f t="shared" si="267"/>
        <v>18368.039943774893</v>
      </c>
      <c r="AG748" s="49">
        <f t="shared" si="268"/>
        <v>129092.96249999999</v>
      </c>
      <c r="AH748" s="49">
        <f t="shared" si="269"/>
        <v>258185.92499999999</v>
      </c>
    </row>
    <row r="749" spans="1:34" s="56" customFormat="1">
      <c r="A749" s="62" t="s">
        <v>851</v>
      </c>
      <c r="B749" s="62"/>
      <c r="C749" s="62"/>
      <c r="D749" s="62"/>
      <c r="E749" s="141">
        <v>1</v>
      </c>
      <c r="F749" s="142"/>
      <c r="G749" s="143">
        <v>0.5</v>
      </c>
      <c r="H749" s="143">
        <v>0</v>
      </c>
      <c r="I749" s="49">
        <v>104060</v>
      </c>
      <c r="J749" s="49">
        <f t="shared" si="259"/>
        <v>107702.09999999999</v>
      </c>
      <c r="K749" s="49">
        <f t="shared" si="260"/>
        <v>53851.049999999996</v>
      </c>
      <c r="L749" s="58"/>
      <c r="M749" s="141">
        <v>0</v>
      </c>
      <c r="N749" s="50">
        <f t="shared" si="261"/>
        <v>0</v>
      </c>
      <c r="O749" s="50">
        <f t="shared" si="262"/>
        <v>0</v>
      </c>
      <c r="P749" s="59"/>
      <c r="Q749" s="141">
        <v>31099</v>
      </c>
      <c r="R749" s="50">
        <f t="shared" si="263"/>
        <v>31099</v>
      </c>
      <c r="S749" s="51">
        <f t="shared" si="264"/>
        <v>15549.5</v>
      </c>
      <c r="T749" s="60">
        <v>20</v>
      </c>
      <c r="U749" s="61" t="s">
        <v>810</v>
      </c>
      <c r="V749" s="53">
        <f>SUMIF('Avoided Costs 2014-2023'!$A:$A,'2014 Actuals'!U749&amp;ROUNDDOWN('2014 Actuals'!T749,0),'Avoided Costs 2014-2023'!$E:$E)*K749</f>
        <v>142030.13236178574</v>
      </c>
      <c r="W749" s="53">
        <f>SUMIF('Avoided Costs 2014-2023'!$A:$A,'2014 Actuals'!U749&amp;ROUNDDOWN('2014 Actuals'!T749,0),'Avoided Costs 2014-2023'!$K:$K)*O749</f>
        <v>0</v>
      </c>
      <c r="X749" s="53">
        <f>SUMIF('Avoided Costs 2014-2023'!$A:$A,'2014 Actuals'!U749&amp;ROUNDDOWN('2014 Actuals'!T749,0),'Avoided Costs 2014-2023'!$M:$M)*S749</f>
        <v>532766.53447314608</v>
      </c>
      <c r="Y749" s="53">
        <f t="shared" si="270"/>
        <v>674796.66683493182</v>
      </c>
      <c r="Z749" s="55">
        <v>164645</v>
      </c>
      <c r="AA749" s="54">
        <f t="shared" si="265"/>
        <v>82322.5</v>
      </c>
      <c r="AB749" s="54"/>
      <c r="AC749" s="54"/>
      <c r="AD749" s="54"/>
      <c r="AE749" s="54">
        <f t="shared" si="266"/>
        <v>82322.5</v>
      </c>
      <c r="AF749" s="54">
        <f t="shared" si="267"/>
        <v>592474.16683493182</v>
      </c>
      <c r="AG749" s="49">
        <f t="shared" si="268"/>
        <v>1077021</v>
      </c>
      <c r="AH749" s="49">
        <f t="shared" si="269"/>
        <v>2154042</v>
      </c>
    </row>
    <row r="750" spans="1:34" s="56" customFormat="1">
      <c r="A750" s="62" t="s">
        <v>852</v>
      </c>
      <c r="B750" s="62"/>
      <c r="C750" s="62"/>
      <c r="D750" s="62"/>
      <c r="E750" s="141">
        <v>1</v>
      </c>
      <c r="F750" s="142"/>
      <c r="G750" s="143">
        <v>0.5</v>
      </c>
      <c r="H750" s="143">
        <v>0</v>
      </c>
      <c r="I750" s="49">
        <v>191416</v>
      </c>
      <c r="J750" s="49">
        <f t="shared" si="259"/>
        <v>198115.56</v>
      </c>
      <c r="K750" s="49">
        <f t="shared" si="260"/>
        <v>99057.78</v>
      </c>
      <c r="L750" s="58"/>
      <c r="M750" s="141">
        <v>0</v>
      </c>
      <c r="N750" s="50">
        <f t="shared" si="261"/>
        <v>0</v>
      </c>
      <c r="O750" s="50">
        <f t="shared" si="262"/>
        <v>0</v>
      </c>
      <c r="P750" s="59"/>
      <c r="Q750" s="141">
        <v>0</v>
      </c>
      <c r="R750" s="50">
        <f t="shared" si="263"/>
        <v>0</v>
      </c>
      <c r="S750" s="51">
        <f t="shared" si="264"/>
        <v>0</v>
      </c>
      <c r="T750" s="60">
        <v>25</v>
      </c>
      <c r="U750" s="61" t="s">
        <v>810</v>
      </c>
      <c r="V750" s="53">
        <f>SUMIF('Avoided Costs 2014-2023'!$A:$A,'2014 Actuals'!U750&amp;ROUNDDOWN('2014 Actuals'!T750,0),'Avoided Costs 2014-2023'!$E:$E)*K750</f>
        <v>296765.49789761595</v>
      </c>
      <c r="W750" s="53">
        <f>SUMIF('Avoided Costs 2014-2023'!$A:$A,'2014 Actuals'!U750&amp;ROUNDDOWN('2014 Actuals'!T750,0),'Avoided Costs 2014-2023'!$K:$K)*O750</f>
        <v>0</v>
      </c>
      <c r="X750" s="53">
        <f>SUMIF('Avoided Costs 2014-2023'!$A:$A,'2014 Actuals'!U750&amp;ROUNDDOWN('2014 Actuals'!T750,0),'Avoided Costs 2014-2023'!$M:$M)*S750</f>
        <v>0</v>
      </c>
      <c r="Y750" s="53">
        <f t="shared" si="270"/>
        <v>296765.49789761595</v>
      </c>
      <c r="Z750" s="55">
        <v>45400</v>
      </c>
      <c r="AA750" s="54">
        <f t="shared" si="265"/>
        <v>22700</v>
      </c>
      <c r="AB750" s="54"/>
      <c r="AC750" s="54"/>
      <c r="AD750" s="54"/>
      <c r="AE750" s="54">
        <f t="shared" si="266"/>
        <v>22700</v>
      </c>
      <c r="AF750" s="54">
        <f t="shared" si="267"/>
        <v>274065.49789761595</v>
      </c>
      <c r="AG750" s="49">
        <f t="shared" si="268"/>
        <v>2476444.5</v>
      </c>
      <c r="AH750" s="49">
        <f t="shared" si="269"/>
        <v>4952889</v>
      </c>
    </row>
    <row r="751" spans="1:34" s="56" customFormat="1">
      <c r="A751" s="62" t="s">
        <v>853</v>
      </c>
      <c r="B751" s="62"/>
      <c r="C751" s="62"/>
      <c r="D751" s="62"/>
      <c r="E751" s="141">
        <v>1</v>
      </c>
      <c r="F751" s="142"/>
      <c r="G751" s="143">
        <v>0.5</v>
      </c>
      <c r="H751" s="143">
        <v>0</v>
      </c>
      <c r="I751" s="49">
        <v>39577</v>
      </c>
      <c r="J751" s="49">
        <f t="shared" si="259"/>
        <v>40962.195</v>
      </c>
      <c r="K751" s="49">
        <f t="shared" si="260"/>
        <v>20481.0975</v>
      </c>
      <c r="L751" s="58"/>
      <c r="M751" s="141">
        <v>0</v>
      </c>
      <c r="N751" s="50">
        <f t="shared" si="261"/>
        <v>0</v>
      </c>
      <c r="O751" s="50">
        <f t="shared" si="262"/>
        <v>0</v>
      </c>
      <c r="P751" s="59"/>
      <c r="Q751" s="141">
        <v>0</v>
      </c>
      <c r="R751" s="50">
        <f t="shared" si="263"/>
        <v>0</v>
      </c>
      <c r="S751" s="51">
        <f t="shared" si="264"/>
        <v>0</v>
      </c>
      <c r="T751" s="60">
        <v>5</v>
      </c>
      <c r="U751" s="61" t="s">
        <v>810</v>
      </c>
      <c r="V751" s="53">
        <f>SUMIF('Avoided Costs 2014-2023'!$A:$A,'2014 Actuals'!U751&amp;ROUNDDOWN('2014 Actuals'!T751,0),'Avoided Costs 2014-2023'!$E:$E)*K751</f>
        <v>16653.134670677657</v>
      </c>
      <c r="W751" s="53">
        <f>SUMIF('Avoided Costs 2014-2023'!$A:$A,'2014 Actuals'!U751&amp;ROUNDDOWN('2014 Actuals'!T751,0),'Avoided Costs 2014-2023'!$K:$K)*O751</f>
        <v>0</v>
      </c>
      <c r="X751" s="53">
        <f>SUMIF('Avoided Costs 2014-2023'!$A:$A,'2014 Actuals'!U751&amp;ROUNDDOWN('2014 Actuals'!T751,0),'Avoided Costs 2014-2023'!$M:$M)*S751</f>
        <v>0</v>
      </c>
      <c r="Y751" s="53">
        <f t="shared" si="270"/>
        <v>16653.134670677657</v>
      </c>
      <c r="Z751" s="55">
        <v>7202.75</v>
      </c>
      <c r="AA751" s="54">
        <f t="shared" si="265"/>
        <v>3601.375</v>
      </c>
      <c r="AB751" s="54"/>
      <c r="AC751" s="54"/>
      <c r="AD751" s="54"/>
      <c r="AE751" s="54">
        <f t="shared" si="266"/>
        <v>3601.375</v>
      </c>
      <c r="AF751" s="54">
        <f t="shared" si="267"/>
        <v>13051.759670677657</v>
      </c>
      <c r="AG751" s="49">
        <f t="shared" si="268"/>
        <v>102405.4875</v>
      </c>
      <c r="AH751" s="49">
        <f t="shared" si="269"/>
        <v>204810.97500000001</v>
      </c>
    </row>
    <row r="752" spans="1:34" s="56" customFormat="1">
      <c r="A752" s="62" t="s">
        <v>854</v>
      </c>
      <c r="B752" s="62"/>
      <c r="C752" s="62"/>
      <c r="D752" s="62"/>
      <c r="E752" s="141">
        <v>1</v>
      </c>
      <c r="F752" s="142"/>
      <c r="G752" s="143">
        <v>0.5</v>
      </c>
      <c r="H752" s="143">
        <v>0</v>
      </c>
      <c r="I752" s="49">
        <v>124817</v>
      </c>
      <c r="J752" s="49">
        <f t="shared" si="259"/>
        <v>129185.59499999999</v>
      </c>
      <c r="K752" s="49">
        <f t="shared" si="260"/>
        <v>64592.797499999993</v>
      </c>
      <c r="L752" s="58"/>
      <c r="M752" s="141">
        <v>0</v>
      </c>
      <c r="N752" s="50">
        <f t="shared" si="261"/>
        <v>0</v>
      </c>
      <c r="O752" s="50">
        <f t="shared" si="262"/>
        <v>0</v>
      </c>
      <c r="P752" s="59"/>
      <c r="Q752" s="141">
        <v>0</v>
      </c>
      <c r="R752" s="50">
        <f t="shared" si="263"/>
        <v>0</v>
      </c>
      <c r="S752" s="51">
        <f t="shared" si="264"/>
        <v>0</v>
      </c>
      <c r="T752" s="60">
        <v>15</v>
      </c>
      <c r="U752" s="61" t="s">
        <v>810</v>
      </c>
      <c r="V752" s="53">
        <f>SUMIF('Avoided Costs 2014-2023'!$A:$A,'2014 Actuals'!U752&amp;ROUNDDOWN('2014 Actuals'!T752,0),'Avoided Costs 2014-2023'!$E:$E)*K752</f>
        <v>140951.12293291837</v>
      </c>
      <c r="W752" s="53">
        <f>SUMIF('Avoided Costs 2014-2023'!$A:$A,'2014 Actuals'!U752&amp;ROUNDDOWN('2014 Actuals'!T752,0),'Avoided Costs 2014-2023'!$K:$K)*O752</f>
        <v>0</v>
      </c>
      <c r="X752" s="53">
        <f>SUMIF('Avoided Costs 2014-2023'!$A:$A,'2014 Actuals'!U752&amp;ROUNDDOWN('2014 Actuals'!T752,0),'Avoided Costs 2014-2023'!$M:$M)*S752</f>
        <v>0</v>
      </c>
      <c r="Y752" s="53">
        <f t="shared" si="270"/>
        <v>140951.12293291837</v>
      </c>
      <c r="Z752" s="55">
        <v>21343</v>
      </c>
      <c r="AA752" s="54">
        <f t="shared" si="265"/>
        <v>10671.5</v>
      </c>
      <c r="AB752" s="54"/>
      <c r="AC752" s="54"/>
      <c r="AD752" s="54"/>
      <c r="AE752" s="54">
        <f t="shared" si="266"/>
        <v>10671.5</v>
      </c>
      <c r="AF752" s="54">
        <f t="shared" si="267"/>
        <v>130279.62293291837</v>
      </c>
      <c r="AG752" s="49">
        <f t="shared" si="268"/>
        <v>968891.96249999991</v>
      </c>
      <c r="AH752" s="49">
        <f t="shared" si="269"/>
        <v>1937783.9249999998</v>
      </c>
    </row>
    <row r="753" spans="1:34" s="56" customFormat="1">
      <c r="A753" s="62" t="s">
        <v>855</v>
      </c>
      <c r="B753" s="62"/>
      <c r="C753" s="62"/>
      <c r="D753" s="62"/>
      <c r="E753" s="141">
        <v>1</v>
      </c>
      <c r="F753" s="142"/>
      <c r="G753" s="143">
        <v>0.5</v>
      </c>
      <c r="H753" s="143">
        <v>0</v>
      </c>
      <c r="I753" s="49">
        <v>95888</v>
      </c>
      <c r="J753" s="49">
        <f t="shared" si="259"/>
        <v>99244.079999999987</v>
      </c>
      <c r="K753" s="49">
        <f t="shared" si="260"/>
        <v>49622.039999999994</v>
      </c>
      <c r="L753" s="58"/>
      <c r="M753" s="141">
        <v>0</v>
      </c>
      <c r="N753" s="50">
        <f t="shared" si="261"/>
        <v>0</v>
      </c>
      <c r="O753" s="50">
        <f t="shared" si="262"/>
        <v>0</v>
      </c>
      <c r="P753" s="59"/>
      <c r="Q753" s="141">
        <v>0</v>
      </c>
      <c r="R753" s="50">
        <f t="shared" si="263"/>
        <v>0</v>
      </c>
      <c r="S753" s="51">
        <f t="shared" si="264"/>
        <v>0</v>
      </c>
      <c r="T753" s="60">
        <v>15</v>
      </c>
      <c r="U753" s="61" t="s">
        <v>810</v>
      </c>
      <c r="V753" s="53">
        <f>SUMIF('Avoided Costs 2014-2023'!$A:$A,'2014 Actuals'!U753&amp;ROUNDDOWN('2014 Actuals'!T753,0),'Avoided Costs 2014-2023'!$E:$E)*K753</f>
        <v>108282.69607338484</v>
      </c>
      <c r="W753" s="53">
        <f>SUMIF('Avoided Costs 2014-2023'!$A:$A,'2014 Actuals'!U753&amp;ROUNDDOWN('2014 Actuals'!T753,0),'Avoided Costs 2014-2023'!$K:$K)*O753</f>
        <v>0</v>
      </c>
      <c r="X753" s="53">
        <f>SUMIF('Avoided Costs 2014-2023'!$A:$A,'2014 Actuals'!U753&amp;ROUNDDOWN('2014 Actuals'!T753,0),'Avoided Costs 2014-2023'!$M:$M)*S753</f>
        <v>0</v>
      </c>
      <c r="Y753" s="53">
        <f t="shared" si="270"/>
        <v>108282.69607338484</v>
      </c>
      <c r="Z753" s="55">
        <v>8850</v>
      </c>
      <c r="AA753" s="54">
        <f t="shared" si="265"/>
        <v>4425</v>
      </c>
      <c r="AB753" s="54"/>
      <c r="AC753" s="54"/>
      <c r="AD753" s="54"/>
      <c r="AE753" s="54">
        <f t="shared" si="266"/>
        <v>4425</v>
      </c>
      <c r="AF753" s="54">
        <f t="shared" si="267"/>
        <v>103857.69607338484</v>
      </c>
      <c r="AG753" s="49">
        <f t="shared" si="268"/>
        <v>744330.59999999986</v>
      </c>
      <c r="AH753" s="49">
        <f t="shared" si="269"/>
        <v>1488661.1999999997</v>
      </c>
    </row>
    <row r="754" spans="1:34" s="56" customFormat="1">
      <c r="A754" s="62" t="s">
        <v>856</v>
      </c>
      <c r="B754" s="62"/>
      <c r="C754" s="62"/>
      <c r="D754" s="62"/>
      <c r="E754" s="141">
        <v>1</v>
      </c>
      <c r="F754" s="142"/>
      <c r="G754" s="143">
        <v>0.5</v>
      </c>
      <c r="H754" s="143">
        <v>0</v>
      </c>
      <c r="I754" s="49">
        <v>169214</v>
      </c>
      <c r="J754" s="49">
        <f t="shared" si="259"/>
        <v>175136.49</v>
      </c>
      <c r="K754" s="49">
        <f t="shared" si="260"/>
        <v>87568.244999999995</v>
      </c>
      <c r="L754" s="58"/>
      <c r="M754" s="141">
        <v>0</v>
      </c>
      <c r="N754" s="50">
        <f t="shared" si="261"/>
        <v>0</v>
      </c>
      <c r="O754" s="50">
        <f t="shared" si="262"/>
        <v>0</v>
      </c>
      <c r="P754" s="59"/>
      <c r="Q754" s="141">
        <v>0</v>
      </c>
      <c r="R754" s="50">
        <f t="shared" si="263"/>
        <v>0</v>
      </c>
      <c r="S754" s="51">
        <f t="shared" si="264"/>
        <v>0</v>
      </c>
      <c r="T754" s="60">
        <v>15</v>
      </c>
      <c r="U754" s="61" t="s">
        <v>810</v>
      </c>
      <c r="V754" s="53">
        <f>SUMIF('Avoided Costs 2014-2023'!$A:$A,'2014 Actuals'!U754&amp;ROUNDDOWN('2014 Actuals'!T754,0),'Avoided Costs 2014-2023'!$E:$E)*K754</f>
        <v>191086.97786335874</v>
      </c>
      <c r="W754" s="53">
        <f>SUMIF('Avoided Costs 2014-2023'!$A:$A,'2014 Actuals'!U754&amp;ROUNDDOWN('2014 Actuals'!T754,0),'Avoided Costs 2014-2023'!$K:$K)*O754</f>
        <v>0</v>
      </c>
      <c r="X754" s="53">
        <f>SUMIF('Avoided Costs 2014-2023'!$A:$A,'2014 Actuals'!U754&amp;ROUNDDOWN('2014 Actuals'!T754,0),'Avoided Costs 2014-2023'!$M:$M)*S754</f>
        <v>0</v>
      </c>
      <c r="Y754" s="53">
        <f t="shared" si="270"/>
        <v>191086.97786335874</v>
      </c>
      <c r="Z754" s="55">
        <v>9843.6</v>
      </c>
      <c r="AA754" s="54">
        <f t="shared" si="265"/>
        <v>4921.8</v>
      </c>
      <c r="AB754" s="54"/>
      <c r="AC754" s="54"/>
      <c r="AD754" s="54"/>
      <c r="AE754" s="54">
        <f t="shared" si="266"/>
        <v>4921.8</v>
      </c>
      <c r="AF754" s="54">
        <f t="shared" si="267"/>
        <v>186165.17786335875</v>
      </c>
      <c r="AG754" s="49">
        <f t="shared" si="268"/>
        <v>1313523.6749999998</v>
      </c>
      <c r="AH754" s="49">
        <f t="shared" si="269"/>
        <v>2627047.3499999996</v>
      </c>
    </row>
    <row r="755" spans="1:34" s="56" customFormat="1">
      <c r="A755" s="62" t="s">
        <v>857</v>
      </c>
      <c r="B755" s="62"/>
      <c r="C755" s="62"/>
      <c r="D755" s="62"/>
      <c r="E755" s="141">
        <v>1</v>
      </c>
      <c r="F755" s="142"/>
      <c r="G755" s="143">
        <v>0.5</v>
      </c>
      <c r="H755" s="143">
        <v>0</v>
      </c>
      <c r="I755" s="49">
        <v>1508078</v>
      </c>
      <c r="J755" s="49">
        <f t="shared" si="259"/>
        <v>1560860.73</v>
      </c>
      <c r="K755" s="49">
        <f t="shared" si="260"/>
        <v>780430.36499999999</v>
      </c>
      <c r="L755" s="58"/>
      <c r="M755" s="141">
        <v>0</v>
      </c>
      <c r="N755" s="50">
        <f t="shared" si="261"/>
        <v>0</v>
      </c>
      <c r="O755" s="50">
        <f t="shared" si="262"/>
        <v>0</v>
      </c>
      <c r="P755" s="59"/>
      <c r="Q755" s="141">
        <v>0</v>
      </c>
      <c r="R755" s="50">
        <f t="shared" si="263"/>
        <v>0</v>
      </c>
      <c r="S755" s="51">
        <f t="shared" si="264"/>
        <v>0</v>
      </c>
      <c r="T755" s="60">
        <v>20</v>
      </c>
      <c r="U755" s="61" t="s">
        <v>810</v>
      </c>
      <c r="V755" s="53">
        <f>SUMIF('Avoided Costs 2014-2023'!$A:$A,'2014 Actuals'!U755&amp;ROUNDDOWN('2014 Actuals'!T755,0),'Avoided Costs 2014-2023'!$E:$E)*K755</f>
        <v>2058355.9288093133</v>
      </c>
      <c r="W755" s="53">
        <f>SUMIF('Avoided Costs 2014-2023'!$A:$A,'2014 Actuals'!U755&amp;ROUNDDOWN('2014 Actuals'!T755,0),'Avoided Costs 2014-2023'!$K:$K)*O755</f>
        <v>0</v>
      </c>
      <c r="X755" s="53">
        <f>SUMIF('Avoided Costs 2014-2023'!$A:$A,'2014 Actuals'!U755&amp;ROUNDDOWN('2014 Actuals'!T755,0),'Avoided Costs 2014-2023'!$M:$M)*S755</f>
        <v>0</v>
      </c>
      <c r="Y755" s="53">
        <f t="shared" si="270"/>
        <v>2058355.9288093133</v>
      </c>
      <c r="Z755" s="55">
        <v>850434</v>
      </c>
      <c r="AA755" s="54">
        <f t="shared" si="265"/>
        <v>425217</v>
      </c>
      <c r="AB755" s="54"/>
      <c r="AC755" s="54"/>
      <c r="AD755" s="54"/>
      <c r="AE755" s="54">
        <f t="shared" ref="AE755:AE786" si="271">AA755+AC755</f>
        <v>425217</v>
      </c>
      <c r="AF755" s="54">
        <f t="shared" ref="AF755:AF786" si="272">Y755-AE755</f>
        <v>1633138.9288093133</v>
      </c>
      <c r="AG755" s="49">
        <f t="shared" ref="AG755:AG786" si="273">K755*T755</f>
        <v>15608607.300000001</v>
      </c>
      <c r="AH755" s="49">
        <f t="shared" ref="AH755:AH786" si="274">(J755*T755)</f>
        <v>31217214.600000001</v>
      </c>
    </row>
    <row r="756" spans="1:34" s="56" customFormat="1">
      <c r="A756" s="62" t="s">
        <v>858</v>
      </c>
      <c r="B756" s="62"/>
      <c r="C756" s="62"/>
      <c r="D756" s="62"/>
      <c r="E756" s="141">
        <v>1</v>
      </c>
      <c r="F756" s="142"/>
      <c r="G756" s="143">
        <v>0.5</v>
      </c>
      <c r="H756" s="143">
        <v>0</v>
      </c>
      <c r="I756" s="49">
        <v>441527</v>
      </c>
      <c r="J756" s="49">
        <f t="shared" si="259"/>
        <v>456980.44499999995</v>
      </c>
      <c r="K756" s="49">
        <f t="shared" si="260"/>
        <v>228490.22249999997</v>
      </c>
      <c r="L756" s="58"/>
      <c r="M756" s="141">
        <v>0</v>
      </c>
      <c r="N756" s="50">
        <f t="shared" si="261"/>
        <v>0</v>
      </c>
      <c r="O756" s="50">
        <f t="shared" si="262"/>
        <v>0</v>
      </c>
      <c r="P756" s="59"/>
      <c r="Q756" s="141">
        <v>0</v>
      </c>
      <c r="R756" s="50">
        <f t="shared" si="263"/>
        <v>0</v>
      </c>
      <c r="S756" s="51">
        <f t="shared" si="264"/>
        <v>0</v>
      </c>
      <c r="T756" s="60">
        <v>20</v>
      </c>
      <c r="U756" s="61" t="s">
        <v>810</v>
      </c>
      <c r="V756" s="53">
        <f>SUMIF('Avoided Costs 2014-2023'!$A:$A,'2014 Actuals'!U756&amp;ROUNDDOWN('2014 Actuals'!T756,0),'Avoided Costs 2014-2023'!$E:$E)*K756</f>
        <v>602634.42486356117</v>
      </c>
      <c r="W756" s="53">
        <f>SUMIF('Avoided Costs 2014-2023'!$A:$A,'2014 Actuals'!U756&amp;ROUNDDOWN('2014 Actuals'!T756,0),'Avoided Costs 2014-2023'!$K:$K)*O756</f>
        <v>0</v>
      </c>
      <c r="X756" s="53">
        <f>SUMIF('Avoided Costs 2014-2023'!$A:$A,'2014 Actuals'!U756&amp;ROUNDDOWN('2014 Actuals'!T756,0),'Avoided Costs 2014-2023'!$M:$M)*S756</f>
        <v>0</v>
      </c>
      <c r="Y756" s="53">
        <f t="shared" si="270"/>
        <v>602634.42486356117</v>
      </c>
      <c r="Z756" s="55">
        <v>82200</v>
      </c>
      <c r="AA756" s="54">
        <f t="shared" si="265"/>
        <v>41100</v>
      </c>
      <c r="AB756" s="54"/>
      <c r="AC756" s="54"/>
      <c r="AD756" s="54"/>
      <c r="AE756" s="54">
        <f t="shared" si="271"/>
        <v>41100</v>
      </c>
      <c r="AF756" s="54">
        <f t="shared" si="272"/>
        <v>561534.42486356117</v>
      </c>
      <c r="AG756" s="49">
        <f t="shared" si="273"/>
        <v>4569804.4499999993</v>
      </c>
      <c r="AH756" s="49">
        <f t="shared" si="274"/>
        <v>9139608.8999999985</v>
      </c>
    </row>
    <row r="757" spans="1:34" s="56" customFormat="1">
      <c r="A757" s="62" t="s">
        <v>859</v>
      </c>
      <c r="B757" s="62"/>
      <c r="C757" s="62"/>
      <c r="D757" s="62"/>
      <c r="E757" s="141">
        <v>1</v>
      </c>
      <c r="F757" s="142"/>
      <c r="G757" s="143">
        <v>0.5</v>
      </c>
      <c r="H757" s="143">
        <v>0</v>
      </c>
      <c r="I757" s="49">
        <v>1439802</v>
      </c>
      <c r="J757" s="49">
        <f t="shared" si="259"/>
        <v>1490195.0699999998</v>
      </c>
      <c r="K757" s="49">
        <f t="shared" si="260"/>
        <v>745097.53499999992</v>
      </c>
      <c r="L757" s="58"/>
      <c r="M757" s="141">
        <v>0</v>
      </c>
      <c r="N757" s="50">
        <f t="shared" si="261"/>
        <v>0</v>
      </c>
      <c r="O757" s="50">
        <f t="shared" si="262"/>
        <v>0</v>
      </c>
      <c r="P757" s="59"/>
      <c r="Q757" s="141">
        <v>0</v>
      </c>
      <c r="R757" s="50">
        <f t="shared" si="263"/>
        <v>0</v>
      </c>
      <c r="S757" s="51">
        <f t="shared" si="264"/>
        <v>0</v>
      </c>
      <c r="T757" s="60">
        <v>10</v>
      </c>
      <c r="U757" s="61" t="s">
        <v>810</v>
      </c>
      <c r="V757" s="53">
        <f>SUMIF('Avoided Costs 2014-2023'!$A:$A,'2014 Actuals'!U757&amp;ROUNDDOWN('2014 Actuals'!T757,0),'Avoided Costs 2014-2023'!$E:$E)*K757</f>
        <v>1194949.4047652881</v>
      </c>
      <c r="W757" s="53">
        <f>SUMIF('Avoided Costs 2014-2023'!$A:$A,'2014 Actuals'!U757&amp;ROUNDDOWN('2014 Actuals'!T757,0),'Avoided Costs 2014-2023'!$K:$K)*O757</f>
        <v>0</v>
      </c>
      <c r="X757" s="53">
        <f>SUMIF('Avoided Costs 2014-2023'!$A:$A,'2014 Actuals'!U757&amp;ROUNDDOWN('2014 Actuals'!T757,0),'Avoided Costs 2014-2023'!$M:$M)*S757</f>
        <v>0</v>
      </c>
      <c r="Y757" s="53">
        <f t="shared" si="270"/>
        <v>1194949.4047652881</v>
      </c>
      <c r="Z757" s="55">
        <v>166000</v>
      </c>
      <c r="AA757" s="54">
        <f t="shared" si="265"/>
        <v>83000</v>
      </c>
      <c r="AB757" s="54"/>
      <c r="AC757" s="54"/>
      <c r="AD757" s="54"/>
      <c r="AE757" s="54">
        <f t="shared" si="271"/>
        <v>83000</v>
      </c>
      <c r="AF757" s="54">
        <f t="shared" si="272"/>
        <v>1111949.4047652881</v>
      </c>
      <c r="AG757" s="49">
        <f t="shared" si="273"/>
        <v>7450975.3499999996</v>
      </c>
      <c r="AH757" s="49">
        <f t="shared" si="274"/>
        <v>14901950.699999999</v>
      </c>
    </row>
    <row r="758" spans="1:34" s="56" customFormat="1">
      <c r="A758" s="62" t="s">
        <v>860</v>
      </c>
      <c r="B758" s="62"/>
      <c r="C758" s="62"/>
      <c r="D758" s="62"/>
      <c r="E758" s="141">
        <v>1</v>
      </c>
      <c r="F758" s="142"/>
      <c r="G758" s="143">
        <v>0.5</v>
      </c>
      <c r="H758" s="143">
        <v>0</v>
      </c>
      <c r="I758" s="49">
        <v>33304</v>
      </c>
      <c r="J758" s="49">
        <f t="shared" si="259"/>
        <v>34469.64</v>
      </c>
      <c r="K758" s="49">
        <f t="shared" si="260"/>
        <v>17234.82</v>
      </c>
      <c r="L758" s="58"/>
      <c r="M758" s="141">
        <v>0</v>
      </c>
      <c r="N758" s="50">
        <f t="shared" si="261"/>
        <v>0</v>
      </c>
      <c r="O758" s="50">
        <f t="shared" si="262"/>
        <v>0</v>
      </c>
      <c r="P758" s="59"/>
      <c r="Q758" s="141">
        <v>0</v>
      </c>
      <c r="R758" s="50">
        <f t="shared" si="263"/>
        <v>0</v>
      </c>
      <c r="S758" s="51">
        <f t="shared" si="264"/>
        <v>0</v>
      </c>
      <c r="T758" s="60">
        <v>20</v>
      </c>
      <c r="U758" s="61" t="s">
        <v>810</v>
      </c>
      <c r="V758" s="53">
        <f>SUMIF('Avoided Costs 2014-2023'!$A:$A,'2014 Actuals'!U758&amp;ROUNDDOWN('2014 Actuals'!T758,0),'Avoided Costs 2014-2023'!$E:$E)*K758</f>
        <v>45456.19381296284</v>
      </c>
      <c r="W758" s="53">
        <f>SUMIF('Avoided Costs 2014-2023'!$A:$A,'2014 Actuals'!U758&amp;ROUNDDOWN('2014 Actuals'!T758,0),'Avoided Costs 2014-2023'!$K:$K)*O758</f>
        <v>0</v>
      </c>
      <c r="X758" s="53">
        <f>SUMIF('Avoided Costs 2014-2023'!$A:$A,'2014 Actuals'!U758&amp;ROUNDDOWN('2014 Actuals'!T758,0),'Avoided Costs 2014-2023'!$M:$M)*S758</f>
        <v>0</v>
      </c>
      <c r="Y758" s="53">
        <f t="shared" si="270"/>
        <v>45456.19381296284</v>
      </c>
      <c r="Z758" s="55">
        <v>49163.93</v>
      </c>
      <c r="AA758" s="54">
        <f t="shared" si="265"/>
        <v>24581.965</v>
      </c>
      <c r="AB758" s="54"/>
      <c r="AC758" s="54"/>
      <c r="AD758" s="54"/>
      <c r="AE758" s="54">
        <f t="shared" si="271"/>
        <v>24581.965</v>
      </c>
      <c r="AF758" s="54">
        <f t="shared" si="272"/>
        <v>20874.22881296284</v>
      </c>
      <c r="AG758" s="49">
        <f t="shared" si="273"/>
        <v>344696.4</v>
      </c>
      <c r="AH758" s="49">
        <f t="shared" si="274"/>
        <v>689392.8</v>
      </c>
    </row>
    <row r="759" spans="1:34" s="56" customFormat="1">
      <c r="A759" s="62" t="s">
        <v>861</v>
      </c>
      <c r="B759" s="62"/>
      <c r="C759" s="62"/>
      <c r="D759" s="62"/>
      <c r="E759" s="141">
        <v>1</v>
      </c>
      <c r="F759" s="142"/>
      <c r="G759" s="143">
        <v>0.5</v>
      </c>
      <c r="H759" s="143">
        <v>0</v>
      </c>
      <c r="I759" s="49">
        <v>120186</v>
      </c>
      <c r="J759" s="49">
        <f t="shared" si="259"/>
        <v>124392.51</v>
      </c>
      <c r="K759" s="49">
        <f t="shared" si="260"/>
        <v>62196.254999999997</v>
      </c>
      <c r="L759" s="58"/>
      <c r="M759" s="141">
        <v>0</v>
      </c>
      <c r="N759" s="50">
        <f t="shared" si="261"/>
        <v>0</v>
      </c>
      <c r="O759" s="50">
        <f t="shared" si="262"/>
        <v>0</v>
      </c>
      <c r="P759" s="59"/>
      <c r="Q759" s="141">
        <v>0</v>
      </c>
      <c r="R759" s="50">
        <f t="shared" si="263"/>
        <v>0</v>
      </c>
      <c r="S759" s="51">
        <f t="shared" si="264"/>
        <v>0</v>
      </c>
      <c r="T759" s="60">
        <v>25</v>
      </c>
      <c r="U759" s="61" t="s">
        <v>810</v>
      </c>
      <c r="V759" s="53">
        <f>SUMIF('Avoided Costs 2014-2023'!$A:$A,'2014 Actuals'!U759&amp;ROUNDDOWN('2014 Actuals'!T759,0),'Avoided Costs 2014-2023'!$E:$E)*K759</f>
        <v>186332.68969324857</v>
      </c>
      <c r="W759" s="53">
        <f>SUMIF('Avoided Costs 2014-2023'!$A:$A,'2014 Actuals'!U759&amp;ROUNDDOWN('2014 Actuals'!T759,0),'Avoided Costs 2014-2023'!$K:$K)*O759</f>
        <v>0</v>
      </c>
      <c r="X759" s="53">
        <f>SUMIF('Avoided Costs 2014-2023'!$A:$A,'2014 Actuals'!U759&amp;ROUNDDOWN('2014 Actuals'!T759,0),'Avoided Costs 2014-2023'!$M:$M)*S759</f>
        <v>0</v>
      </c>
      <c r="Y759" s="53">
        <f t="shared" si="270"/>
        <v>186332.68969324857</v>
      </c>
      <c r="Z759" s="55">
        <v>18486</v>
      </c>
      <c r="AA759" s="54">
        <f t="shared" si="265"/>
        <v>9243</v>
      </c>
      <c r="AB759" s="54"/>
      <c r="AC759" s="54"/>
      <c r="AD759" s="54"/>
      <c r="AE759" s="54">
        <f t="shared" si="271"/>
        <v>9243</v>
      </c>
      <c r="AF759" s="54">
        <f t="shared" si="272"/>
        <v>177089.68969324857</v>
      </c>
      <c r="AG759" s="49">
        <f t="shared" si="273"/>
        <v>1554906.375</v>
      </c>
      <c r="AH759" s="49">
        <f t="shared" si="274"/>
        <v>3109812.75</v>
      </c>
    </row>
    <row r="760" spans="1:34" s="56" customFormat="1">
      <c r="A760" s="62" t="s">
        <v>862</v>
      </c>
      <c r="B760" s="62"/>
      <c r="C760" s="62"/>
      <c r="D760" s="62"/>
      <c r="E760" s="141">
        <v>1</v>
      </c>
      <c r="F760" s="142"/>
      <c r="G760" s="143">
        <v>0.5</v>
      </c>
      <c r="H760" s="143">
        <v>0</v>
      </c>
      <c r="I760" s="49">
        <v>58772</v>
      </c>
      <c r="J760" s="49">
        <f t="shared" si="259"/>
        <v>60829.02</v>
      </c>
      <c r="K760" s="49">
        <f t="shared" si="260"/>
        <v>30414.51</v>
      </c>
      <c r="L760" s="58"/>
      <c r="M760" s="141">
        <v>0</v>
      </c>
      <c r="N760" s="50">
        <f t="shared" si="261"/>
        <v>0</v>
      </c>
      <c r="O760" s="50">
        <f t="shared" si="262"/>
        <v>0</v>
      </c>
      <c r="P760" s="59"/>
      <c r="Q760" s="141">
        <v>0</v>
      </c>
      <c r="R760" s="50">
        <f t="shared" si="263"/>
        <v>0</v>
      </c>
      <c r="S760" s="51">
        <f t="shared" si="264"/>
        <v>0</v>
      </c>
      <c r="T760" s="60">
        <v>20</v>
      </c>
      <c r="U760" s="61" t="s">
        <v>810</v>
      </c>
      <c r="V760" s="53">
        <f>SUMIF('Avoided Costs 2014-2023'!$A:$A,'2014 Actuals'!U760&amp;ROUNDDOWN('2014 Actuals'!T760,0),'Avoided Costs 2014-2023'!$E:$E)*K760</f>
        <v>80217.133760973215</v>
      </c>
      <c r="W760" s="53">
        <f>SUMIF('Avoided Costs 2014-2023'!$A:$A,'2014 Actuals'!U760&amp;ROUNDDOWN('2014 Actuals'!T760,0),'Avoided Costs 2014-2023'!$K:$K)*O760</f>
        <v>0</v>
      </c>
      <c r="X760" s="53">
        <f>SUMIF('Avoided Costs 2014-2023'!$A:$A,'2014 Actuals'!U760&amp;ROUNDDOWN('2014 Actuals'!T760,0),'Avoided Costs 2014-2023'!$M:$M)*S760</f>
        <v>0</v>
      </c>
      <c r="Y760" s="53">
        <f t="shared" si="270"/>
        <v>80217.133760973215</v>
      </c>
      <c r="Z760" s="55">
        <v>68051.34</v>
      </c>
      <c r="AA760" s="54">
        <f t="shared" si="265"/>
        <v>34025.67</v>
      </c>
      <c r="AB760" s="54"/>
      <c r="AC760" s="54"/>
      <c r="AD760" s="54"/>
      <c r="AE760" s="54">
        <f t="shared" si="271"/>
        <v>34025.67</v>
      </c>
      <c r="AF760" s="54">
        <f t="shared" si="272"/>
        <v>46191.463760973216</v>
      </c>
      <c r="AG760" s="49">
        <f t="shared" si="273"/>
        <v>608290.19999999995</v>
      </c>
      <c r="AH760" s="49">
        <f t="shared" si="274"/>
        <v>1216580.3999999999</v>
      </c>
    </row>
    <row r="761" spans="1:34" s="56" customFormat="1">
      <c r="A761" s="62" t="s">
        <v>863</v>
      </c>
      <c r="B761" s="62"/>
      <c r="C761" s="62"/>
      <c r="D761" s="62"/>
      <c r="E761" s="141">
        <v>1</v>
      </c>
      <c r="F761" s="142"/>
      <c r="G761" s="143">
        <v>0.5</v>
      </c>
      <c r="H761" s="143">
        <v>0</v>
      </c>
      <c r="I761" s="49">
        <v>171196</v>
      </c>
      <c r="J761" s="49">
        <f t="shared" si="259"/>
        <v>177187.86</v>
      </c>
      <c r="K761" s="49">
        <f t="shared" si="260"/>
        <v>88593.93</v>
      </c>
      <c r="L761" s="58"/>
      <c r="M761" s="141">
        <v>131040</v>
      </c>
      <c r="N761" s="50">
        <f t="shared" si="261"/>
        <v>131040</v>
      </c>
      <c r="O761" s="50">
        <f t="shared" si="262"/>
        <v>65520</v>
      </c>
      <c r="P761" s="59"/>
      <c r="Q761" s="141">
        <v>814</v>
      </c>
      <c r="R761" s="50">
        <f t="shared" si="263"/>
        <v>814</v>
      </c>
      <c r="S761" s="51">
        <f t="shared" si="264"/>
        <v>407</v>
      </c>
      <c r="T761" s="60">
        <v>20</v>
      </c>
      <c r="U761" s="61" t="s">
        <v>810</v>
      </c>
      <c r="V761" s="53">
        <f>SUMIF('Avoided Costs 2014-2023'!$A:$A,'2014 Actuals'!U761&amp;ROUNDDOWN('2014 Actuals'!T761,0),'Avoided Costs 2014-2023'!$E:$E)*K761</f>
        <v>233663.18027876486</v>
      </c>
      <c r="W761" s="53">
        <f>SUMIF('Avoided Costs 2014-2023'!$A:$A,'2014 Actuals'!U761&amp;ROUNDDOWN('2014 Actuals'!T761,0),'Avoided Costs 2014-2023'!$K:$K)*O761</f>
        <v>93176.460978260322</v>
      </c>
      <c r="X761" s="53">
        <f>SUMIF('Avoided Costs 2014-2023'!$A:$A,'2014 Actuals'!U761&amp;ROUNDDOWN('2014 Actuals'!T761,0),'Avoided Costs 2014-2023'!$M:$M)*S761</f>
        <v>13944.884371238331</v>
      </c>
      <c r="Y761" s="53">
        <f t="shared" si="270"/>
        <v>340784.52562826354</v>
      </c>
      <c r="Z761" s="55">
        <v>609108</v>
      </c>
      <c r="AA761" s="54">
        <f t="shared" si="265"/>
        <v>304554</v>
      </c>
      <c r="AB761" s="54"/>
      <c r="AC761" s="54"/>
      <c r="AD761" s="54"/>
      <c r="AE761" s="54">
        <f t="shared" si="271"/>
        <v>304554</v>
      </c>
      <c r="AF761" s="54">
        <f t="shared" si="272"/>
        <v>36230.525628263538</v>
      </c>
      <c r="AG761" s="49">
        <f t="shared" si="273"/>
        <v>1771878.5999999999</v>
      </c>
      <c r="AH761" s="49">
        <f t="shared" si="274"/>
        <v>3543757.1999999997</v>
      </c>
    </row>
    <row r="762" spans="1:34" s="56" customFormat="1">
      <c r="A762" s="62" t="s">
        <v>864</v>
      </c>
      <c r="B762" s="62"/>
      <c r="C762" s="62"/>
      <c r="D762" s="62"/>
      <c r="E762" s="141">
        <v>1</v>
      </c>
      <c r="F762" s="142"/>
      <c r="G762" s="143">
        <v>0.5</v>
      </c>
      <c r="H762" s="143">
        <v>0</v>
      </c>
      <c r="I762" s="49">
        <v>189193</v>
      </c>
      <c r="J762" s="49">
        <f t="shared" si="259"/>
        <v>195814.75499999998</v>
      </c>
      <c r="K762" s="49">
        <f t="shared" si="260"/>
        <v>97907.377499999988</v>
      </c>
      <c r="L762" s="58"/>
      <c r="M762" s="141">
        <v>77720</v>
      </c>
      <c r="N762" s="50">
        <f t="shared" si="261"/>
        <v>77720</v>
      </c>
      <c r="O762" s="50">
        <f t="shared" si="262"/>
        <v>38860</v>
      </c>
      <c r="P762" s="59"/>
      <c r="Q762" s="141">
        <v>634</v>
      </c>
      <c r="R762" s="50">
        <f t="shared" si="263"/>
        <v>634</v>
      </c>
      <c r="S762" s="51">
        <f t="shared" si="264"/>
        <v>317</v>
      </c>
      <c r="T762" s="60">
        <v>20</v>
      </c>
      <c r="U762" s="61" t="s">
        <v>810</v>
      </c>
      <c r="V762" s="53">
        <f>SUMIF('Avoided Costs 2014-2023'!$A:$A,'2014 Actuals'!U762&amp;ROUNDDOWN('2014 Actuals'!T762,0),'Avoided Costs 2014-2023'!$E:$E)*K762</f>
        <v>258227.05008575178</v>
      </c>
      <c r="W762" s="53">
        <f>SUMIF('Avoided Costs 2014-2023'!$A:$A,'2014 Actuals'!U762&amp;ROUNDDOWN('2014 Actuals'!T762,0),'Avoided Costs 2014-2023'!$K:$K)*O762</f>
        <v>55263.084151636082</v>
      </c>
      <c r="X762" s="53">
        <f>SUMIF('Avoided Costs 2014-2023'!$A:$A,'2014 Actuals'!U762&amp;ROUNDDOWN('2014 Actuals'!T762,0),'Avoided Costs 2014-2023'!$M:$M)*S762</f>
        <v>10861.249006591035</v>
      </c>
      <c r="Y762" s="53">
        <f t="shared" si="270"/>
        <v>324351.3832439789</v>
      </c>
      <c r="Z762" s="55">
        <v>232570</v>
      </c>
      <c r="AA762" s="54">
        <f t="shared" si="265"/>
        <v>116285</v>
      </c>
      <c r="AB762" s="54"/>
      <c r="AC762" s="54"/>
      <c r="AD762" s="54"/>
      <c r="AE762" s="54">
        <f t="shared" si="271"/>
        <v>116285</v>
      </c>
      <c r="AF762" s="54">
        <f t="shared" si="272"/>
        <v>208066.3832439789</v>
      </c>
      <c r="AG762" s="49">
        <f t="shared" si="273"/>
        <v>1958147.5499999998</v>
      </c>
      <c r="AH762" s="49">
        <f t="shared" si="274"/>
        <v>3916295.0999999996</v>
      </c>
    </row>
    <row r="763" spans="1:34" s="56" customFormat="1">
      <c r="A763" s="62" t="s">
        <v>865</v>
      </c>
      <c r="B763" s="62"/>
      <c r="C763" s="62"/>
      <c r="D763" s="62"/>
      <c r="E763" s="141">
        <v>1</v>
      </c>
      <c r="F763" s="142"/>
      <c r="G763" s="143">
        <v>0.5</v>
      </c>
      <c r="H763" s="143">
        <v>0</v>
      </c>
      <c r="I763" s="49">
        <v>244201</v>
      </c>
      <c r="J763" s="49">
        <f t="shared" si="259"/>
        <v>252748.03499999997</v>
      </c>
      <c r="K763" s="49">
        <f t="shared" si="260"/>
        <v>126374.01749999999</v>
      </c>
      <c r="L763" s="58"/>
      <c r="M763" s="141">
        <v>55092</v>
      </c>
      <c r="N763" s="50">
        <f t="shared" si="261"/>
        <v>55092</v>
      </c>
      <c r="O763" s="50">
        <f t="shared" si="262"/>
        <v>27546</v>
      </c>
      <c r="P763" s="59"/>
      <c r="Q763" s="141">
        <v>1188</v>
      </c>
      <c r="R763" s="50">
        <f t="shared" si="263"/>
        <v>1188</v>
      </c>
      <c r="S763" s="51">
        <f t="shared" si="264"/>
        <v>594</v>
      </c>
      <c r="T763" s="60">
        <v>20</v>
      </c>
      <c r="U763" s="61" t="s">
        <v>810</v>
      </c>
      <c r="V763" s="53">
        <f>SUMIF('Avoided Costs 2014-2023'!$A:$A,'2014 Actuals'!U763&amp;ROUNDDOWN('2014 Actuals'!T763,0),'Avoided Costs 2014-2023'!$E:$E)*K763</f>
        <v>333306.74949913932</v>
      </c>
      <c r="W763" s="53">
        <f>SUMIF('Avoided Costs 2014-2023'!$A:$A,'2014 Actuals'!U763&amp;ROUNDDOWN('2014 Actuals'!T763,0),'Avoided Costs 2014-2023'!$K:$K)*O763</f>
        <v>39173.363768424279</v>
      </c>
      <c r="X763" s="53">
        <f>SUMIF('Avoided Costs 2014-2023'!$A:$A,'2014 Actuals'!U763&amp;ROUNDDOWN('2014 Actuals'!T763,0),'Avoided Costs 2014-2023'!$M:$M)*S763</f>
        <v>20351.993406672158</v>
      </c>
      <c r="Y763" s="53">
        <f t="shared" si="270"/>
        <v>392832.10667423572</v>
      </c>
      <c r="Z763" s="55">
        <v>914401</v>
      </c>
      <c r="AA763" s="54">
        <f t="shared" si="265"/>
        <v>457200.5</v>
      </c>
      <c r="AB763" s="54"/>
      <c r="AC763" s="54"/>
      <c r="AD763" s="54"/>
      <c r="AE763" s="54">
        <f t="shared" si="271"/>
        <v>457200.5</v>
      </c>
      <c r="AF763" s="54">
        <f t="shared" si="272"/>
        <v>-64368.393325764278</v>
      </c>
      <c r="AG763" s="49">
        <f t="shared" si="273"/>
        <v>2527480.3499999996</v>
      </c>
      <c r="AH763" s="49">
        <f t="shared" si="274"/>
        <v>5054960.6999999993</v>
      </c>
    </row>
    <row r="764" spans="1:34" s="56" customFormat="1">
      <c r="A764" s="62" t="s">
        <v>866</v>
      </c>
      <c r="B764" s="62"/>
      <c r="C764" s="62"/>
      <c r="D764" s="62"/>
      <c r="E764" s="141">
        <v>1</v>
      </c>
      <c r="F764" s="142"/>
      <c r="G764" s="143">
        <v>0.5</v>
      </c>
      <c r="H764" s="143">
        <v>0</v>
      </c>
      <c r="I764" s="49">
        <v>73146</v>
      </c>
      <c r="J764" s="49">
        <f t="shared" si="259"/>
        <v>75706.11</v>
      </c>
      <c r="K764" s="49">
        <f t="shared" si="260"/>
        <v>37853.055</v>
      </c>
      <c r="L764" s="58"/>
      <c r="M764" s="141">
        <v>0</v>
      </c>
      <c r="N764" s="50">
        <f t="shared" si="261"/>
        <v>0</v>
      </c>
      <c r="O764" s="50">
        <f t="shared" si="262"/>
        <v>0</v>
      </c>
      <c r="P764" s="59"/>
      <c r="Q764" s="141">
        <v>0</v>
      </c>
      <c r="R764" s="50">
        <f t="shared" si="263"/>
        <v>0</v>
      </c>
      <c r="S764" s="51">
        <f t="shared" si="264"/>
        <v>0</v>
      </c>
      <c r="T764" s="60">
        <v>25</v>
      </c>
      <c r="U764" s="61" t="s">
        <v>810</v>
      </c>
      <c r="V764" s="53">
        <f>SUMIF('Avoided Costs 2014-2023'!$A:$A,'2014 Actuals'!U764&amp;ROUNDDOWN('2014 Actuals'!T764,0),'Avoided Costs 2014-2023'!$E:$E)*K764</f>
        <v>113403.31586293213</v>
      </c>
      <c r="W764" s="53">
        <f>SUMIF('Avoided Costs 2014-2023'!$A:$A,'2014 Actuals'!U764&amp;ROUNDDOWN('2014 Actuals'!T764,0),'Avoided Costs 2014-2023'!$K:$K)*O764</f>
        <v>0</v>
      </c>
      <c r="X764" s="53">
        <f>SUMIF('Avoided Costs 2014-2023'!$A:$A,'2014 Actuals'!U764&amp;ROUNDDOWN('2014 Actuals'!T764,0),'Avoided Costs 2014-2023'!$M:$M)*S764</f>
        <v>0</v>
      </c>
      <c r="Y764" s="53">
        <f t="shared" si="270"/>
        <v>113403.31586293213</v>
      </c>
      <c r="Z764" s="55">
        <v>216795</v>
      </c>
      <c r="AA764" s="54">
        <f t="shared" si="265"/>
        <v>108397.5</v>
      </c>
      <c r="AB764" s="54"/>
      <c r="AC764" s="54"/>
      <c r="AD764" s="54"/>
      <c r="AE764" s="54">
        <f t="shared" si="271"/>
        <v>108397.5</v>
      </c>
      <c r="AF764" s="54">
        <f t="shared" si="272"/>
        <v>5005.815862932126</v>
      </c>
      <c r="AG764" s="49">
        <f t="shared" si="273"/>
        <v>946326.375</v>
      </c>
      <c r="AH764" s="49">
        <f t="shared" si="274"/>
        <v>1892652.75</v>
      </c>
    </row>
    <row r="765" spans="1:34" s="56" customFormat="1">
      <c r="A765" s="62" t="s">
        <v>867</v>
      </c>
      <c r="B765" s="62"/>
      <c r="C765" s="62"/>
      <c r="D765" s="62"/>
      <c r="E765" s="141">
        <v>1</v>
      </c>
      <c r="F765" s="142"/>
      <c r="G765" s="143">
        <v>0.5</v>
      </c>
      <c r="H765" s="143">
        <v>0</v>
      </c>
      <c r="I765" s="49">
        <v>113935</v>
      </c>
      <c r="J765" s="49">
        <f t="shared" si="259"/>
        <v>117922.72499999999</v>
      </c>
      <c r="K765" s="49">
        <f t="shared" si="260"/>
        <v>58961.362499999996</v>
      </c>
      <c r="L765" s="58"/>
      <c r="M765" s="141">
        <v>0</v>
      </c>
      <c r="N765" s="50">
        <f t="shared" si="261"/>
        <v>0</v>
      </c>
      <c r="O765" s="50">
        <f t="shared" si="262"/>
        <v>0</v>
      </c>
      <c r="P765" s="59"/>
      <c r="Q765" s="141">
        <v>0</v>
      </c>
      <c r="R765" s="50">
        <f t="shared" si="263"/>
        <v>0</v>
      </c>
      <c r="S765" s="51">
        <f t="shared" si="264"/>
        <v>0</v>
      </c>
      <c r="T765" s="60">
        <v>25</v>
      </c>
      <c r="U765" s="61" t="s">
        <v>810</v>
      </c>
      <c r="V765" s="53">
        <f>SUMIF('Avoided Costs 2014-2023'!$A:$A,'2014 Actuals'!U765&amp;ROUNDDOWN('2014 Actuals'!T765,0),'Avoided Costs 2014-2023'!$E:$E)*K765</f>
        <v>176641.33093871397</v>
      </c>
      <c r="W765" s="53">
        <f>SUMIF('Avoided Costs 2014-2023'!$A:$A,'2014 Actuals'!U765&amp;ROUNDDOWN('2014 Actuals'!T765,0),'Avoided Costs 2014-2023'!$K:$K)*O765</f>
        <v>0</v>
      </c>
      <c r="X765" s="53">
        <f>SUMIF('Avoided Costs 2014-2023'!$A:$A,'2014 Actuals'!U765&amp;ROUNDDOWN('2014 Actuals'!T765,0),'Avoided Costs 2014-2023'!$M:$M)*S765</f>
        <v>0</v>
      </c>
      <c r="Y765" s="53">
        <f t="shared" si="270"/>
        <v>176641.33093871397</v>
      </c>
      <c r="Z765" s="55">
        <v>281533</v>
      </c>
      <c r="AA765" s="54">
        <f t="shared" si="265"/>
        <v>140766.5</v>
      </c>
      <c r="AB765" s="54"/>
      <c r="AC765" s="54"/>
      <c r="AD765" s="54"/>
      <c r="AE765" s="54">
        <f t="shared" si="271"/>
        <v>140766.5</v>
      </c>
      <c r="AF765" s="54">
        <f t="shared" si="272"/>
        <v>35874.830938713974</v>
      </c>
      <c r="AG765" s="49">
        <f t="shared" si="273"/>
        <v>1474034.0625</v>
      </c>
      <c r="AH765" s="49">
        <f t="shared" si="274"/>
        <v>2948068.125</v>
      </c>
    </row>
    <row r="766" spans="1:34" s="56" customFormat="1">
      <c r="A766" s="62" t="s">
        <v>868</v>
      </c>
      <c r="B766" s="62"/>
      <c r="C766" s="62"/>
      <c r="D766" s="62"/>
      <c r="E766" s="141">
        <v>1</v>
      </c>
      <c r="F766" s="142"/>
      <c r="G766" s="143">
        <v>0.5</v>
      </c>
      <c r="H766" s="143">
        <v>0</v>
      </c>
      <c r="I766" s="49">
        <v>159705</v>
      </c>
      <c r="J766" s="49">
        <f t="shared" si="259"/>
        <v>165294.67499999999</v>
      </c>
      <c r="K766" s="49">
        <f t="shared" si="260"/>
        <v>82647.337499999994</v>
      </c>
      <c r="L766" s="58"/>
      <c r="M766" s="141">
        <v>59166</v>
      </c>
      <c r="N766" s="50">
        <f t="shared" si="261"/>
        <v>59166</v>
      </c>
      <c r="O766" s="50">
        <f t="shared" si="262"/>
        <v>29583</v>
      </c>
      <c r="P766" s="59"/>
      <c r="Q766" s="141">
        <v>500</v>
      </c>
      <c r="R766" s="50">
        <f t="shared" si="263"/>
        <v>500</v>
      </c>
      <c r="S766" s="51">
        <f t="shared" si="264"/>
        <v>250</v>
      </c>
      <c r="T766" s="60">
        <v>20</v>
      </c>
      <c r="U766" s="61" t="s">
        <v>810</v>
      </c>
      <c r="V766" s="53">
        <f>SUMIF('Avoided Costs 2014-2023'!$A:$A,'2014 Actuals'!U766&amp;ROUNDDOWN('2014 Actuals'!T766,0),'Avoided Costs 2014-2023'!$E:$E)*K766</f>
        <v>217979.26473994803</v>
      </c>
      <c r="W766" s="53">
        <f>SUMIF('Avoided Costs 2014-2023'!$A:$A,'2014 Actuals'!U766&amp;ROUNDDOWN('2014 Actuals'!T766,0),'Avoided Costs 2014-2023'!$K:$K)*O766</f>
        <v>42070.196048838145</v>
      </c>
      <c r="X766" s="53">
        <f>SUMIF('Avoided Costs 2014-2023'!$A:$A,'2014 Actuals'!U766&amp;ROUNDDOWN('2014 Actuals'!T766,0),'Avoided Costs 2014-2023'!$M:$M)*S766</f>
        <v>8565.6537906869362</v>
      </c>
      <c r="Y766" s="53">
        <f t="shared" si="270"/>
        <v>268615.1145794731</v>
      </c>
      <c r="Z766" s="55">
        <v>242404</v>
      </c>
      <c r="AA766" s="54">
        <f t="shared" si="265"/>
        <v>121202</v>
      </c>
      <c r="AB766" s="54"/>
      <c r="AC766" s="54"/>
      <c r="AD766" s="54"/>
      <c r="AE766" s="54">
        <f t="shared" si="271"/>
        <v>121202</v>
      </c>
      <c r="AF766" s="54">
        <f t="shared" si="272"/>
        <v>147413.1145794731</v>
      </c>
      <c r="AG766" s="49">
        <f t="shared" si="273"/>
        <v>1652946.75</v>
      </c>
      <c r="AH766" s="49">
        <f t="shared" si="274"/>
        <v>3305893.5</v>
      </c>
    </row>
    <row r="767" spans="1:34" s="56" customFormat="1">
      <c r="A767" s="62" t="s">
        <v>869</v>
      </c>
      <c r="B767" s="62"/>
      <c r="C767" s="62"/>
      <c r="D767" s="62"/>
      <c r="E767" s="141">
        <v>1</v>
      </c>
      <c r="F767" s="142"/>
      <c r="G767" s="143">
        <v>0.5</v>
      </c>
      <c r="H767" s="143">
        <v>0</v>
      </c>
      <c r="I767" s="49">
        <v>51822</v>
      </c>
      <c r="J767" s="49">
        <f t="shared" si="259"/>
        <v>53635.77</v>
      </c>
      <c r="K767" s="49">
        <f t="shared" si="260"/>
        <v>26817.884999999998</v>
      </c>
      <c r="L767" s="58"/>
      <c r="M767" s="141">
        <v>0</v>
      </c>
      <c r="N767" s="50">
        <f t="shared" si="261"/>
        <v>0</v>
      </c>
      <c r="O767" s="50">
        <f t="shared" si="262"/>
        <v>0</v>
      </c>
      <c r="P767" s="59"/>
      <c r="Q767" s="141">
        <v>0</v>
      </c>
      <c r="R767" s="50">
        <f t="shared" si="263"/>
        <v>0</v>
      </c>
      <c r="S767" s="51">
        <f t="shared" si="264"/>
        <v>0</v>
      </c>
      <c r="T767" s="60">
        <v>25</v>
      </c>
      <c r="U767" s="61" t="s">
        <v>810</v>
      </c>
      <c r="V767" s="53">
        <f>SUMIF('Avoided Costs 2014-2023'!$A:$A,'2014 Actuals'!U767&amp;ROUNDDOWN('2014 Actuals'!T767,0),'Avoided Costs 2014-2023'!$E:$E)*K767</f>
        <v>80343.240021995312</v>
      </c>
      <c r="W767" s="53">
        <f>SUMIF('Avoided Costs 2014-2023'!$A:$A,'2014 Actuals'!U767&amp;ROUNDDOWN('2014 Actuals'!T767,0),'Avoided Costs 2014-2023'!$K:$K)*O767</f>
        <v>0</v>
      </c>
      <c r="X767" s="53">
        <f>SUMIF('Avoided Costs 2014-2023'!$A:$A,'2014 Actuals'!U767&amp;ROUNDDOWN('2014 Actuals'!T767,0),'Avoided Costs 2014-2023'!$M:$M)*S767</f>
        <v>0</v>
      </c>
      <c r="Y767" s="53">
        <f t="shared" si="270"/>
        <v>80343.240021995312</v>
      </c>
      <c r="Z767" s="55">
        <v>46509</v>
      </c>
      <c r="AA767" s="54">
        <f t="shared" si="265"/>
        <v>23254.5</v>
      </c>
      <c r="AB767" s="54"/>
      <c r="AC767" s="54"/>
      <c r="AD767" s="54"/>
      <c r="AE767" s="54">
        <f t="shared" si="271"/>
        <v>23254.5</v>
      </c>
      <c r="AF767" s="54">
        <f t="shared" si="272"/>
        <v>57088.740021995312</v>
      </c>
      <c r="AG767" s="49">
        <f t="shared" si="273"/>
        <v>670447.125</v>
      </c>
      <c r="AH767" s="49">
        <f t="shared" si="274"/>
        <v>1340894.25</v>
      </c>
    </row>
    <row r="768" spans="1:34" s="56" customFormat="1">
      <c r="A768" s="62" t="s">
        <v>870</v>
      </c>
      <c r="B768" s="62"/>
      <c r="C768" s="62"/>
      <c r="D768" s="62"/>
      <c r="E768" s="141">
        <v>1</v>
      </c>
      <c r="F768" s="142"/>
      <c r="G768" s="143">
        <v>0.5</v>
      </c>
      <c r="H768" s="143">
        <v>0</v>
      </c>
      <c r="I768" s="49">
        <v>125331</v>
      </c>
      <c r="J768" s="49">
        <f t="shared" si="259"/>
        <v>129717.58499999999</v>
      </c>
      <c r="K768" s="49">
        <f t="shared" si="260"/>
        <v>64858.792499999996</v>
      </c>
      <c r="L768" s="58"/>
      <c r="M768" s="141">
        <v>3160</v>
      </c>
      <c r="N768" s="50">
        <f t="shared" si="261"/>
        <v>3160</v>
      </c>
      <c r="O768" s="50">
        <f t="shared" si="262"/>
        <v>1580</v>
      </c>
      <c r="P768" s="59"/>
      <c r="Q768" s="141">
        <v>0</v>
      </c>
      <c r="R768" s="50">
        <f t="shared" si="263"/>
        <v>0</v>
      </c>
      <c r="S768" s="51">
        <f t="shared" si="264"/>
        <v>0</v>
      </c>
      <c r="T768" s="60">
        <v>20</v>
      </c>
      <c r="U768" s="61" t="s">
        <v>810</v>
      </c>
      <c r="V768" s="53">
        <f>SUMIF('Avoided Costs 2014-2023'!$A:$A,'2014 Actuals'!U768&amp;ROUNDDOWN('2014 Actuals'!T768,0),'Avoided Costs 2014-2023'!$E:$E)*K768</f>
        <v>171062.64192807005</v>
      </c>
      <c r="W768" s="53">
        <f>SUMIF('Avoided Costs 2014-2023'!$A:$A,'2014 Actuals'!U768&amp;ROUNDDOWN('2014 Actuals'!T768,0),'Avoided Costs 2014-2023'!$K:$K)*O768</f>
        <v>2246.9293093048123</v>
      </c>
      <c r="X768" s="53">
        <f>SUMIF('Avoided Costs 2014-2023'!$A:$A,'2014 Actuals'!U768&amp;ROUNDDOWN('2014 Actuals'!T768,0),'Avoided Costs 2014-2023'!$M:$M)*S768</f>
        <v>0</v>
      </c>
      <c r="Y768" s="53">
        <f t="shared" si="270"/>
        <v>173309.57123737485</v>
      </c>
      <c r="Z768" s="55">
        <v>31469</v>
      </c>
      <c r="AA768" s="54">
        <f t="shared" si="265"/>
        <v>15734.5</v>
      </c>
      <c r="AB768" s="54"/>
      <c r="AC768" s="54"/>
      <c r="AD768" s="54"/>
      <c r="AE768" s="54">
        <f t="shared" si="271"/>
        <v>15734.5</v>
      </c>
      <c r="AF768" s="54">
        <f t="shared" si="272"/>
        <v>157575.07123737485</v>
      </c>
      <c r="AG768" s="49">
        <f t="shared" si="273"/>
        <v>1297175.8499999999</v>
      </c>
      <c r="AH768" s="49">
        <f t="shared" si="274"/>
        <v>2594351.6999999997</v>
      </c>
    </row>
    <row r="769" spans="1:34" s="56" customFormat="1">
      <c r="A769" s="62" t="s">
        <v>871</v>
      </c>
      <c r="B769" s="62"/>
      <c r="C769" s="62"/>
      <c r="D769" s="62"/>
      <c r="E769" s="141">
        <v>1</v>
      </c>
      <c r="F769" s="142"/>
      <c r="G769" s="143">
        <v>0.5</v>
      </c>
      <c r="H769" s="143">
        <v>0</v>
      </c>
      <c r="I769" s="49">
        <v>16423</v>
      </c>
      <c r="J769" s="49">
        <f t="shared" si="259"/>
        <v>16997.805</v>
      </c>
      <c r="K769" s="49">
        <f t="shared" si="260"/>
        <v>8498.9025000000001</v>
      </c>
      <c r="L769" s="58"/>
      <c r="M769" s="141">
        <v>0</v>
      </c>
      <c r="N769" s="50">
        <f t="shared" si="261"/>
        <v>0</v>
      </c>
      <c r="O769" s="50">
        <f t="shared" si="262"/>
        <v>0</v>
      </c>
      <c r="P769" s="59"/>
      <c r="Q769" s="141">
        <v>0</v>
      </c>
      <c r="R769" s="50">
        <f t="shared" si="263"/>
        <v>0</v>
      </c>
      <c r="S769" s="51">
        <f t="shared" si="264"/>
        <v>0</v>
      </c>
      <c r="T769" s="60">
        <v>15</v>
      </c>
      <c r="U769" s="61" t="s">
        <v>810</v>
      </c>
      <c r="V769" s="53">
        <f>SUMIF('Avoided Costs 2014-2023'!$A:$A,'2014 Actuals'!U769&amp;ROUNDDOWN('2014 Actuals'!T769,0),'Avoided Costs 2014-2023'!$E:$E)*K769</f>
        <v>18545.873494214076</v>
      </c>
      <c r="W769" s="53">
        <f>SUMIF('Avoided Costs 2014-2023'!$A:$A,'2014 Actuals'!U769&amp;ROUNDDOWN('2014 Actuals'!T769,0),'Avoided Costs 2014-2023'!$K:$K)*O769</f>
        <v>0</v>
      </c>
      <c r="X769" s="53">
        <f>SUMIF('Avoided Costs 2014-2023'!$A:$A,'2014 Actuals'!U769&amp;ROUNDDOWN('2014 Actuals'!T769,0),'Avoided Costs 2014-2023'!$M:$M)*S769</f>
        <v>0</v>
      </c>
      <c r="Y769" s="53">
        <f t="shared" si="270"/>
        <v>18545.873494214076</v>
      </c>
      <c r="Z769" s="55">
        <v>11192.54</v>
      </c>
      <c r="AA769" s="54">
        <f t="shared" si="265"/>
        <v>5596.27</v>
      </c>
      <c r="AB769" s="54"/>
      <c r="AC769" s="54"/>
      <c r="AD769" s="54"/>
      <c r="AE769" s="54">
        <f t="shared" si="271"/>
        <v>5596.27</v>
      </c>
      <c r="AF769" s="54">
        <f t="shared" si="272"/>
        <v>12949.603494214076</v>
      </c>
      <c r="AG769" s="49">
        <f t="shared" si="273"/>
        <v>127483.53750000001</v>
      </c>
      <c r="AH769" s="49">
        <f t="shared" si="274"/>
        <v>254967.07500000001</v>
      </c>
    </row>
    <row r="770" spans="1:34" s="56" customFormat="1">
      <c r="A770" s="62" t="s">
        <v>872</v>
      </c>
      <c r="B770" s="62"/>
      <c r="C770" s="62"/>
      <c r="D770" s="62"/>
      <c r="E770" s="141">
        <v>1</v>
      </c>
      <c r="F770" s="142"/>
      <c r="G770" s="143">
        <v>0.5</v>
      </c>
      <c r="H770" s="143">
        <v>0</v>
      </c>
      <c r="I770" s="49">
        <v>113206</v>
      </c>
      <c r="J770" s="49">
        <f t="shared" si="259"/>
        <v>117168.20999999999</v>
      </c>
      <c r="K770" s="49">
        <f t="shared" si="260"/>
        <v>58584.104999999996</v>
      </c>
      <c r="L770" s="58"/>
      <c r="M770" s="141">
        <v>0</v>
      </c>
      <c r="N770" s="50">
        <f t="shared" si="261"/>
        <v>0</v>
      </c>
      <c r="O770" s="50">
        <f t="shared" si="262"/>
        <v>0</v>
      </c>
      <c r="P770" s="59"/>
      <c r="Q770" s="141">
        <v>0</v>
      </c>
      <c r="R770" s="50">
        <f t="shared" si="263"/>
        <v>0</v>
      </c>
      <c r="S770" s="51">
        <f t="shared" si="264"/>
        <v>0</v>
      </c>
      <c r="T770" s="60">
        <v>25</v>
      </c>
      <c r="U770" s="61" t="s">
        <v>810</v>
      </c>
      <c r="V770" s="53">
        <f>SUMIF('Avoided Costs 2014-2023'!$A:$A,'2014 Actuals'!U770&amp;ROUNDDOWN('2014 Actuals'!T770,0),'Avoided Costs 2014-2023'!$E:$E)*K770</f>
        <v>175511.11168866506</v>
      </c>
      <c r="W770" s="53">
        <f>SUMIF('Avoided Costs 2014-2023'!$A:$A,'2014 Actuals'!U770&amp;ROUNDDOWN('2014 Actuals'!T770,0),'Avoided Costs 2014-2023'!$K:$K)*O770</f>
        <v>0</v>
      </c>
      <c r="X770" s="53">
        <f>SUMIF('Avoided Costs 2014-2023'!$A:$A,'2014 Actuals'!U770&amp;ROUNDDOWN('2014 Actuals'!T770,0),'Avoided Costs 2014-2023'!$M:$M)*S770</f>
        <v>0</v>
      </c>
      <c r="Y770" s="53">
        <f t="shared" si="270"/>
        <v>175511.11168866506</v>
      </c>
      <c r="Z770" s="55">
        <v>27999.75</v>
      </c>
      <c r="AA770" s="54">
        <f t="shared" si="265"/>
        <v>13999.875</v>
      </c>
      <c r="AB770" s="54"/>
      <c r="AC770" s="54"/>
      <c r="AD770" s="54"/>
      <c r="AE770" s="54">
        <f t="shared" si="271"/>
        <v>13999.875</v>
      </c>
      <c r="AF770" s="54">
        <f t="shared" si="272"/>
        <v>161511.23668866506</v>
      </c>
      <c r="AG770" s="49">
        <f t="shared" si="273"/>
        <v>1464602.625</v>
      </c>
      <c r="AH770" s="49">
        <f t="shared" si="274"/>
        <v>2929205.25</v>
      </c>
    </row>
    <row r="771" spans="1:34" s="56" customFormat="1">
      <c r="A771" s="62" t="s">
        <v>873</v>
      </c>
      <c r="B771" s="62"/>
      <c r="C771" s="62"/>
      <c r="D771" s="62"/>
      <c r="E771" s="141">
        <v>1</v>
      </c>
      <c r="F771" s="142"/>
      <c r="G771" s="143">
        <v>0.5</v>
      </c>
      <c r="H771" s="143">
        <v>0</v>
      </c>
      <c r="I771" s="49">
        <v>118383</v>
      </c>
      <c r="J771" s="49">
        <f t="shared" si="259"/>
        <v>122526.40499999998</v>
      </c>
      <c r="K771" s="49">
        <f t="shared" si="260"/>
        <v>61263.202499999992</v>
      </c>
      <c r="L771" s="58"/>
      <c r="M771" s="141">
        <v>0</v>
      </c>
      <c r="N771" s="50">
        <f t="shared" si="261"/>
        <v>0</v>
      </c>
      <c r="O771" s="50">
        <f t="shared" si="262"/>
        <v>0</v>
      </c>
      <c r="P771" s="59"/>
      <c r="Q771" s="141">
        <v>0</v>
      </c>
      <c r="R771" s="50">
        <f t="shared" si="263"/>
        <v>0</v>
      </c>
      <c r="S771" s="51">
        <f t="shared" si="264"/>
        <v>0</v>
      </c>
      <c r="T771" s="60">
        <v>25</v>
      </c>
      <c r="U771" s="61" t="s">
        <v>810</v>
      </c>
      <c r="V771" s="53">
        <f>SUMIF('Avoided Costs 2014-2023'!$A:$A,'2014 Actuals'!U771&amp;ROUNDDOWN('2014 Actuals'!T771,0),'Avoided Costs 2014-2023'!$E:$E)*K771</f>
        <v>183537.3737702881</v>
      </c>
      <c r="W771" s="53">
        <f>SUMIF('Avoided Costs 2014-2023'!$A:$A,'2014 Actuals'!U771&amp;ROUNDDOWN('2014 Actuals'!T771,0),'Avoided Costs 2014-2023'!$K:$K)*O771</f>
        <v>0</v>
      </c>
      <c r="X771" s="53">
        <f>SUMIF('Avoided Costs 2014-2023'!$A:$A,'2014 Actuals'!U771&amp;ROUNDDOWN('2014 Actuals'!T771,0),'Avoided Costs 2014-2023'!$M:$M)*S771</f>
        <v>0</v>
      </c>
      <c r="Y771" s="53">
        <f t="shared" si="270"/>
        <v>183537.3737702881</v>
      </c>
      <c r="Z771" s="55">
        <v>39468.5</v>
      </c>
      <c r="AA771" s="54">
        <f t="shared" si="265"/>
        <v>19734.25</v>
      </c>
      <c r="AB771" s="54"/>
      <c r="AC771" s="54"/>
      <c r="AD771" s="54"/>
      <c r="AE771" s="54">
        <f t="shared" si="271"/>
        <v>19734.25</v>
      </c>
      <c r="AF771" s="54">
        <f t="shared" si="272"/>
        <v>163803.1237702881</v>
      </c>
      <c r="AG771" s="49">
        <f t="shared" si="273"/>
        <v>1531580.0624999998</v>
      </c>
      <c r="AH771" s="49">
        <f t="shared" si="274"/>
        <v>3063160.1249999995</v>
      </c>
    </row>
    <row r="772" spans="1:34" s="56" customFormat="1">
      <c r="A772" s="62" t="s">
        <v>874</v>
      </c>
      <c r="B772" s="62"/>
      <c r="C772" s="62"/>
      <c r="D772" s="62"/>
      <c r="E772" s="141">
        <v>1</v>
      </c>
      <c r="F772" s="142"/>
      <c r="G772" s="143">
        <v>0.5</v>
      </c>
      <c r="H772" s="143">
        <v>0</v>
      </c>
      <c r="I772" s="49">
        <v>308513</v>
      </c>
      <c r="J772" s="49">
        <f t="shared" si="259"/>
        <v>319310.95499999996</v>
      </c>
      <c r="K772" s="49">
        <f t="shared" si="260"/>
        <v>159655.47749999998</v>
      </c>
      <c r="L772" s="58"/>
      <c r="M772" s="141">
        <v>0</v>
      </c>
      <c r="N772" s="50">
        <f t="shared" si="261"/>
        <v>0</v>
      </c>
      <c r="O772" s="50">
        <f t="shared" si="262"/>
        <v>0</v>
      </c>
      <c r="P772" s="59"/>
      <c r="Q772" s="141">
        <v>0</v>
      </c>
      <c r="R772" s="50">
        <f t="shared" si="263"/>
        <v>0</v>
      </c>
      <c r="S772" s="51">
        <f t="shared" si="264"/>
        <v>0</v>
      </c>
      <c r="T772" s="60">
        <v>20</v>
      </c>
      <c r="U772" s="61" t="s">
        <v>810</v>
      </c>
      <c r="V772" s="53">
        <f>SUMIF('Avoided Costs 2014-2023'!$A:$A,'2014 Actuals'!U772&amp;ROUNDDOWN('2014 Actuals'!T772,0),'Avoided Costs 2014-2023'!$E:$E)*K772</f>
        <v>421085.35676851432</v>
      </c>
      <c r="W772" s="53">
        <f>SUMIF('Avoided Costs 2014-2023'!$A:$A,'2014 Actuals'!U772&amp;ROUNDDOWN('2014 Actuals'!T772,0),'Avoided Costs 2014-2023'!$K:$K)*O772</f>
        <v>0</v>
      </c>
      <c r="X772" s="53">
        <f>SUMIF('Avoided Costs 2014-2023'!$A:$A,'2014 Actuals'!U772&amp;ROUNDDOWN('2014 Actuals'!T772,0),'Avoided Costs 2014-2023'!$M:$M)*S772</f>
        <v>0</v>
      </c>
      <c r="Y772" s="53">
        <f t="shared" si="270"/>
        <v>421085.35676851432</v>
      </c>
      <c r="Z772" s="55">
        <v>113510</v>
      </c>
      <c r="AA772" s="54">
        <f t="shared" si="265"/>
        <v>56755</v>
      </c>
      <c r="AB772" s="54"/>
      <c r="AC772" s="54"/>
      <c r="AD772" s="54"/>
      <c r="AE772" s="54">
        <f t="shared" si="271"/>
        <v>56755</v>
      </c>
      <c r="AF772" s="54">
        <f t="shared" si="272"/>
        <v>364330.35676851432</v>
      </c>
      <c r="AG772" s="49">
        <f t="shared" si="273"/>
        <v>3193109.55</v>
      </c>
      <c r="AH772" s="49">
        <f t="shared" si="274"/>
        <v>6386219.0999999996</v>
      </c>
    </row>
    <row r="773" spans="1:34" s="56" customFormat="1">
      <c r="A773" s="62" t="s">
        <v>875</v>
      </c>
      <c r="B773" s="62"/>
      <c r="C773" s="62"/>
      <c r="D773" s="62"/>
      <c r="E773" s="141">
        <v>1</v>
      </c>
      <c r="F773" s="142"/>
      <c r="G773" s="143">
        <v>0.5</v>
      </c>
      <c r="H773" s="143">
        <v>0</v>
      </c>
      <c r="I773" s="49">
        <v>14068</v>
      </c>
      <c r="J773" s="49">
        <f t="shared" si="259"/>
        <v>14560.38</v>
      </c>
      <c r="K773" s="49">
        <f t="shared" si="260"/>
        <v>7280.19</v>
      </c>
      <c r="L773" s="58"/>
      <c r="M773" s="141">
        <v>0</v>
      </c>
      <c r="N773" s="50">
        <f t="shared" si="261"/>
        <v>0</v>
      </c>
      <c r="O773" s="50">
        <f t="shared" si="262"/>
        <v>0</v>
      </c>
      <c r="P773" s="59"/>
      <c r="Q773" s="141">
        <v>0</v>
      </c>
      <c r="R773" s="50">
        <f t="shared" si="263"/>
        <v>0</v>
      </c>
      <c r="S773" s="51">
        <f t="shared" si="264"/>
        <v>0</v>
      </c>
      <c r="T773" s="60">
        <v>20</v>
      </c>
      <c r="U773" s="61" t="s">
        <v>810</v>
      </c>
      <c r="V773" s="53">
        <f>SUMIF('Avoided Costs 2014-2023'!$A:$A,'2014 Actuals'!U773&amp;ROUNDDOWN('2014 Actuals'!T773,0),'Avoided Costs 2014-2023'!$E:$E)*K773</f>
        <v>19201.229118447067</v>
      </c>
      <c r="W773" s="53">
        <f>SUMIF('Avoided Costs 2014-2023'!$A:$A,'2014 Actuals'!U773&amp;ROUNDDOWN('2014 Actuals'!T773,0),'Avoided Costs 2014-2023'!$K:$K)*O773</f>
        <v>0</v>
      </c>
      <c r="X773" s="53">
        <f>SUMIF('Avoided Costs 2014-2023'!$A:$A,'2014 Actuals'!U773&amp;ROUNDDOWN('2014 Actuals'!T773,0),'Avoided Costs 2014-2023'!$M:$M)*S773</f>
        <v>0</v>
      </c>
      <c r="Y773" s="53">
        <f t="shared" si="270"/>
        <v>19201.229118447067</v>
      </c>
      <c r="Z773" s="55">
        <v>10800</v>
      </c>
      <c r="AA773" s="54">
        <f t="shared" si="265"/>
        <v>5400</v>
      </c>
      <c r="AB773" s="54"/>
      <c r="AC773" s="54"/>
      <c r="AD773" s="54"/>
      <c r="AE773" s="54">
        <f t="shared" si="271"/>
        <v>5400</v>
      </c>
      <c r="AF773" s="54">
        <f t="shared" si="272"/>
        <v>13801.229118447067</v>
      </c>
      <c r="AG773" s="49">
        <f t="shared" si="273"/>
        <v>145603.79999999999</v>
      </c>
      <c r="AH773" s="49">
        <f t="shared" si="274"/>
        <v>291207.59999999998</v>
      </c>
    </row>
    <row r="774" spans="1:34" s="56" customFormat="1">
      <c r="A774" s="62" t="s">
        <v>876</v>
      </c>
      <c r="B774" s="62"/>
      <c r="C774" s="62"/>
      <c r="D774" s="62"/>
      <c r="E774" s="141">
        <v>1</v>
      </c>
      <c r="F774" s="142"/>
      <c r="G774" s="143">
        <v>0.5</v>
      </c>
      <c r="H774" s="143">
        <v>0</v>
      </c>
      <c r="I774" s="49">
        <v>52511</v>
      </c>
      <c r="J774" s="49">
        <f t="shared" si="259"/>
        <v>54348.884999999995</v>
      </c>
      <c r="K774" s="49">
        <f t="shared" si="260"/>
        <v>27174.442499999997</v>
      </c>
      <c r="L774" s="58"/>
      <c r="M774" s="141">
        <v>0</v>
      </c>
      <c r="N774" s="50">
        <f t="shared" si="261"/>
        <v>0</v>
      </c>
      <c r="O774" s="50">
        <f t="shared" si="262"/>
        <v>0</v>
      </c>
      <c r="P774" s="59"/>
      <c r="Q774" s="141">
        <v>0</v>
      </c>
      <c r="R774" s="50">
        <f t="shared" si="263"/>
        <v>0</v>
      </c>
      <c r="S774" s="51">
        <f t="shared" si="264"/>
        <v>0</v>
      </c>
      <c r="T774" s="60">
        <v>10</v>
      </c>
      <c r="U774" s="61" t="s">
        <v>810</v>
      </c>
      <c r="V774" s="53">
        <f>SUMIF('Avoided Costs 2014-2023'!$A:$A,'2014 Actuals'!U774&amp;ROUNDDOWN('2014 Actuals'!T774,0),'Avoided Costs 2014-2023'!$E:$E)*K774</f>
        <v>43580.984186457608</v>
      </c>
      <c r="W774" s="53">
        <f>SUMIF('Avoided Costs 2014-2023'!$A:$A,'2014 Actuals'!U774&amp;ROUNDDOWN('2014 Actuals'!T774,0),'Avoided Costs 2014-2023'!$K:$K)*O774</f>
        <v>0</v>
      </c>
      <c r="X774" s="53">
        <f>SUMIF('Avoided Costs 2014-2023'!$A:$A,'2014 Actuals'!U774&amp;ROUNDDOWN('2014 Actuals'!T774,0),'Avoided Costs 2014-2023'!$M:$M)*S774</f>
        <v>0</v>
      </c>
      <c r="Y774" s="53">
        <f t="shared" si="270"/>
        <v>43580.984186457608</v>
      </c>
      <c r="Z774" s="55">
        <v>88850</v>
      </c>
      <c r="AA774" s="54">
        <f t="shared" si="265"/>
        <v>44425</v>
      </c>
      <c r="AB774" s="54"/>
      <c r="AC774" s="54"/>
      <c r="AD774" s="54"/>
      <c r="AE774" s="54">
        <f t="shared" si="271"/>
        <v>44425</v>
      </c>
      <c r="AF774" s="54">
        <f t="shared" si="272"/>
        <v>-844.0158135423917</v>
      </c>
      <c r="AG774" s="49">
        <f t="shared" si="273"/>
        <v>271744.42499999999</v>
      </c>
      <c r="AH774" s="49">
        <f t="shared" si="274"/>
        <v>543488.85</v>
      </c>
    </row>
    <row r="775" spans="1:34" s="56" customFormat="1">
      <c r="A775" s="62" t="s">
        <v>877</v>
      </c>
      <c r="B775" s="62"/>
      <c r="C775" s="62"/>
      <c r="D775" s="62"/>
      <c r="E775" s="141">
        <v>1</v>
      </c>
      <c r="F775" s="142"/>
      <c r="G775" s="143">
        <v>0.5</v>
      </c>
      <c r="H775" s="143">
        <v>0</v>
      </c>
      <c r="I775" s="49">
        <v>15641</v>
      </c>
      <c r="J775" s="49">
        <f t="shared" si="259"/>
        <v>16188.434999999999</v>
      </c>
      <c r="K775" s="49">
        <f t="shared" si="260"/>
        <v>8094.2174999999997</v>
      </c>
      <c r="L775" s="58"/>
      <c r="M775" s="141">
        <v>0</v>
      </c>
      <c r="N775" s="50">
        <f t="shared" si="261"/>
        <v>0</v>
      </c>
      <c r="O775" s="50">
        <f t="shared" si="262"/>
        <v>0</v>
      </c>
      <c r="P775" s="59"/>
      <c r="Q775" s="141">
        <v>0</v>
      </c>
      <c r="R775" s="50">
        <f t="shared" si="263"/>
        <v>0</v>
      </c>
      <c r="S775" s="51">
        <f t="shared" si="264"/>
        <v>0</v>
      </c>
      <c r="T775" s="60">
        <v>20</v>
      </c>
      <c r="U775" s="61" t="s">
        <v>810</v>
      </c>
      <c r="V775" s="53">
        <f>SUMIF('Avoided Costs 2014-2023'!$A:$A,'2014 Actuals'!U775&amp;ROUNDDOWN('2014 Actuals'!T775,0),'Avoided Costs 2014-2023'!$E:$E)*K775</f>
        <v>21348.19623554383</v>
      </c>
      <c r="W775" s="53">
        <f>SUMIF('Avoided Costs 2014-2023'!$A:$A,'2014 Actuals'!U775&amp;ROUNDDOWN('2014 Actuals'!T775,0),'Avoided Costs 2014-2023'!$K:$K)*O775</f>
        <v>0</v>
      </c>
      <c r="X775" s="53">
        <f>SUMIF('Avoided Costs 2014-2023'!$A:$A,'2014 Actuals'!U775&amp;ROUNDDOWN('2014 Actuals'!T775,0),'Avoided Costs 2014-2023'!$M:$M)*S775</f>
        <v>0</v>
      </c>
      <c r="Y775" s="53">
        <f t="shared" si="270"/>
        <v>21348.19623554383</v>
      </c>
      <c r="Z775" s="55">
        <v>9015</v>
      </c>
      <c r="AA775" s="54">
        <f t="shared" si="265"/>
        <v>4507.5</v>
      </c>
      <c r="AB775" s="54"/>
      <c r="AC775" s="54"/>
      <c r="AD775" s="54"/>
      <c r="AE775" s="54">
        <f t="shared" si="271"/>
        <v>4507.5</v>
      </c>
      <c r="AF775" s="54">
        <f t="shared" si="272"/>
        <v>16840.69623554383</v>
      </c>
      <c r="AG775" s="49">
        <f t="shared" si="273"/>
        <v>161884.35</v>
      </c>
      <c r="AH775" s="49">
        <f t="shared" si="274"/>
        <v>323768.7</v>
      </c>
    </row>
    <row r="776" spans="1:34" s="56" customFormat="1">
      <c r="A776" s="62" t="s">
        <v>878</v>
      </c>
      <c r="B776" s="62"/>
      <c r="C776" s="62"/>
      <c r="D776" s="62"/>
      <c r="E776" s="141">
        <v>1</v>
      </c>
      <c r="F776" s="142"/>
      <c r="G776" s="143">
        <v>0.5</v>
      </c>
      <c r="H776" s="143">
        <v>0</v>
      </c>
      <c r="I776" s="49">
        <v>34963</v>
      </c>
      <c r="J776" s="49">
        <f t="shared" si="259"/>
        <v>36186.704999999994</v>
      </c>
      <c r="K776" s="49">
        <f t="shared" si="260"/>
        <v>18093.352499999997</v>
      </c>
      <c r="L776" s="58"/>
      <c r="M776" s="141">
        <v>0</v>
      </c>
      <c r="N776" s="50">
        <f t="shared" si="261"/>
        <v>0</v>
      </c>
      <c r="O776" s="50">
        <f t="shared" si="262"/>
        <v>0</v>
      </c>
      <c r="P776" s="59"/>
      <c r="Q776" s="141">
        <v>2995</v>
      </c>
      <c r="R776" s="50">
        <f t="shared" si="263"/>
        <v>2995</v>
      </c>
      <c r="S776" s="51">
        <f t="shared" si="264"/>
        <v>1497.5</v>
      </c>
      <c r="T776" s="60">
        <v>20</v>
      </c>
      <c r="U776" s="61" t="s">
        <v>810</v>
      </c>
      <c r="V776" s="53">
        <f>SUMIF('Avoided Costs 2014-2023'!$A:$A,'2014 Actuals'!U776&amp;ROUNDDOWN('2014 Actuals'!T776,0),'Avoided Costs 2014-2023'!$E:$E)*K776</f>
        <v>47720.541204738751</v>
      </c>
      <c r="W776" s="53">
        <f>SUMIF('Avoided Costs 2014-2023'!$A:$A,'2014 Actuals'!U776&amp;ROUNDDOWN('2014 Actuals'!T776,0),'Avoided Costs 2014-2023'!$K:$K)*O776</f>
        <v>0</v>
      </c>
      <c r="X776" s="53">
        <f>SUMIF('Avoided Costs 2014-2023'!$A:$A,'2014 Actuals'!U776&amp;ROUNDDOWN('2014 Actuals'!T776,0),'Avoided Costs 2014-2023'!$M:$M)*S776</f>
        <v>51308.266206214743</v>
      </c>
      <c r="Y776" s="53">
        <f t="shared" si="270"/>
        <v>99028.807410953494</v>
      </c>
      <c r="Z776" s="55">
        <v>55000</v>
      </c>
      <c r="AA776" s="54">
        <f t="shared" si="265"/>
        <v>27500</v>
      </c>
      <c r="AB776" s="54"/>
      <c r="AC776" s="54"/>
      <c r="AD776" s="54"/>
      <c r="AE776" s="54">
        <f t="shared" si="271"/>
        <v>27500</v>
      </c>
      <c r="AF776" s="54">
        <f t="shared" si="272"/>
        <v>71528.807410953494</v>
      </c>
      <c r="AG776" s="49">
        <f t="shared" si="273"/>
        <v>361867.04999999993</v>
      </c>
      <c r="AH776" s="49">
        <f t="shared" si="274"/>
        <v>723734.09999999986</v>
      </c>
    </row>
    <row r="777" spans="1:34" s="56" customFormat="1">
      <c r="A777" s="62" t="s">
        <v>879</v>
      </c>
      <c r="B777" s="62"/>
      <c r="C777" s="62"/>
      <c r="D777" s="62"/>
      <c r="E777" s="141">
        <v>1</v>
      </c>
      <c r="F777" s="142"/>
      <c r="G777" s="143">
        <v>0.5</v>
      </c>
      <c r="H777" s="143">
        <v>0</v>
      </c>
      <c r="I777" s="49">
        <v>8752</v>
      </c>
      <c r="J777" s="49">
        <f t="shared" si="259"/>
        <v>9058.32</v>
      </c>
      <c r="K777" s="49">
        <f t="shared" si="260"/>
        <v>4529.16</v>
      </c>
      <c r="L777" s="58"/>
      <c r="M777" s="141">
        <v>0</v>
      </c>
      <c r="N777" s="50">
        <f t="shared" si="261"/>
        <v>0</v>
      </c>
      <c r="O777" s="50">
        <f t="shared" si="262"/>
        <v>0</v>
      </c>
      <c r="P777" s="59"/>
      <c r="Q777" s="141">
        <v>0</v>
      </c>
      <c r="R777" s="50">
        <f t="shared" si="263"/>
        <v>0</v>
      </c>
      <c r="S777" s="51">
        <f t="shared" si="264"/>
        <v>0</v>
      </c>
      <c r="T777" s="60">
        <v>25</v>
      </c>
      <c r="U777" s="61" t="s">
        <v>810</v>
      </c>
      <c r="V777" s="53">
        <f>SUMIF('Avoided Costs 2014-2023'!$A:$A,'2014 Actuals'!U777&amp;ROUNDDOWN('2014 Actuals'!T777,0),'Avoided Costs 2014-2023'!$E:$E)*K777</f>
        <v>13568.832477953436</v>
      </c>
      <c r="W777" s="53">
        <f>SUMIF('Avoided Costs 2014-2023'!$A:$A,'2014 Actuals'!U777&amp;ROUNDDOWN('2014 Actuals'!T777,0),'Avoided Costs 2014-2023'!$K:$K)*O777</f>
        <v>0</v>
      </c>
      <c r="X777" s="53">
        <f>SUMIF('Avoided Costs 2014-2023'!$A:$A,'2014 Actuals'!U777&amp;ROUNDDOWN('2014 Actuals'!T777,0),'Avoided Costs 2014-2023'!$M:$M)*S777</f>
        <v>0</v>
      </c>
      <c r="Y777" s="53">
        <f t="shared" si="270"/>
        <v>13568.832477953436</v>
      </c>
      <c r="Z777" s="55">
        <v>4700</v>
      </c>
      <c r="AA777" s="54">
        <f t="shared" si="265"/>
        <v>2350</v>
      </c>
      <c r="AB777" s="54"/>
      <c r="AC777" s="54"/>
      <c r="AD777" s="54"/>
      <c r="AE777" s="54">
        <f t="shared" si="271"/>
        <v>2350</v>
      </c>
      <c r="AF777" s="54">
        <f t="shared" si="272"/>
        <v>11218.832477953436</v>
      </c>
      <c r="AG777" s="49">
        <f t="shared" si="273"/>
        <v>113229</v>
      </c>
      <c r="AH777" s="49">
        <f t="shared" si="274"/>
        <v>226458</v>
      </c>
    </row>
    <row r="778" spans="1:34" s="56" customFormat="1">
      <c r="A778" s="62" t="s">
        <v>880</v>
      </c>
      <c r="B778" s="62"/>
      <c r="C778" s="62"/>
      <c r="D778" s="62"/>
      <c r="E778" s="141">
        <v>1</v>
      </c>
      <c r="F778" s="142"/>
      <c r="G778" s="143">
        <v>0.5</v>
      </c>
      <c r="H778" s="143">
        <v>0</v>
      </c>
      <c r="I778" s="49">
        <v>68424</v>
      </c>
      <c r="J778" s="49">
        <f t="shared" si="259"/>
        <v>70818.84</v>
      </c>
      <c r="K778" s="49">
        <f t="shared" si="260"/>
        <v>35409.42</v>
      </c>
      <c r="L778" s="58"/>
      <c r="M778" s="141">
        <v>0</v>
      </c>
      <c r="N778" s="50">
        <f t="shared" si="261"/>
        <v>0</v>
      </c>
      <c r="O778" s="50">
        <f t="shared" si="262"/>
        <v>0</v>
      </c>
      <c r="P778" s="59"/>
      <c r="Q778" s="141">
        <v>0</v>
      </c>
      <c r="R778" s="50">
        <f t="shared" si="263"/>
        <v>0</v>
      </c>
      <c r="S778" s="51">
        <f t="shared" si="264"/>
        <v>0</v>
      </c>
      <c r="T778" s="60">
        <v>25</v>
      </c>
      <c r="U778" s="61" t="s">
        <v>810</v>
      </c>
      <c r="V778" s="53">
        <f>SUMIF('Avoided Costs 2014-2023'!$A:$A,'2014 Actuals'!U778&amp;ROUNDDOWN('2014 Actuals'!T778,0),'Avoided Costs 2014-2023'!$E:$E)*K778</f>
        <v>106082.47183175113</v>
      </c>
      <c r="W778" s="53">
        <f>SUMIF('Avoided Costs 2014-2023'!$A:$A,'2014 Actuals'!U778&amp;ROUNDDOWN('2014 Actuals'!T778,0),'Avoided Costs 2014-2023'!$K:$K)*O778</f>
        <v>0</v>
      </c>
      <c r="X778" s="53">
        <f>SUMIF('Avoided Costs 2014-2023'!$A:$A,'2014 Actuals'!U778&amp;ROUNDDOWN('2014 Actuals'!T778,0),'Avoided Costs 2014-2023'!$M:$M)*S778</f>
        <v>0</v>
      </c>
      <c r="Y778" s="53">
        <f t="shared" si="270"/>
        <v>106082.47183175113</v>
      </c>
      <c r="Z778" s="55">
        <v>48000</v>
      </c>
      <c r="AA778" s="54">
        <f t="shared" si="265"/>
        <v>24000</v>
      </c>
      <c r="AB778" s="54"/>
      <c r="AC778" s="54"/>
      <c r="AD778" s="54"/>
      <c r="AE778" s="54">
        <f t="shared" si="271"/>
        <v>24000</v>
      </c>
      <c r="AF778" s="54">
        <f t="shared" si="272"/>
        <v>82082.471831751129</v>
      </c>
      <c r="AG778" s="49">
        <f t="shared" si="273"/>
        <v>885235.5</v>
      </c>
      <c r="AH778" s="49">
        <f t="shared" si="274"/>
        <v>1770471</v>
      </c>
    </row>
    <row r="779" spans="1:34" s="56" customFormat="1">
      <c r="A779" s="62" t="s">
        <v>881</v>
      </c>
      <c r="B779" s="62"/>
      <c r="C779" s="62"/>
      <c r="D779" s="62"/>
      <c r="E779" s="141">
        <v>1</v>
      </c>
      <c r="F779" s="142"/>
      <c r="G779" s="143">
        <v>0.5</v>
      </c>
      <c r="H779" s="143">
        <v>0</v>
      </c>
      <c r="I779" s="49">
        <v>142783</v>
      </c>
      <c r="J779" s="49">
        <f t="shared" si="259"/>
        <v>147780.405</v>
      </c>
      <c r="K779" s="49">
        <f t="shared" si="260"/>
        <v>73890.202499999999</v>
      </c>
      <c r="L779" s="58"/>
      <c r="M779" s="141">
        <v>0</v>
      </c>
      <c r="N779" s="50">
        <f t="shared" si="261"/>
        <v>0</v>
      </c>
      <c r="O779" s="50">
        <f t="shared" si="262"/>
        <v>0</v>
      </c>
      <c r="P779" s="59"/>
      <c r="Q779" s="141">
        <v>0</v>
      </c>
      <c r="R779" s="50">
        <f t="shared" si="263"/>
        <v>0</v>
      </c>
      <c r="S779" s="51">
        <f t="shared" si="264"/>
        <v>0</v>
      </c>
      <c r="T779" s="60">
        <v>20</v>
      </c>
      <c r="U779" s="61" t="s">
        <v>810</v>
      </c>
      <c r="V779" s="53">
        <f>SUMIF('Avoided Costs 2014-2023'!$A:$A,'2014 Actuals'!U779&amp;ROUNDDOWN('2014 Actuals'!T779,0),'Avoided Costs 2014-2023'!$E:$E)*K779</f>
        <v>194882.64836645065</v>
      </c>
      <c r="W779" s="53">
        <f>SUMIF('Avoided Costs 2014-2023'!$A:$A,'2014 Actuals'!U779&amp;ROUNDDOWN('2014 Actuals'!T779,0),'Avoided Costs 2014-2023'!$K:$K)*O779</f>
        <v>0</v>
      </c>
      <c r="X779" s="53">
        <f>SUMIF('Avoided Costs 2014-2023'!$A:$A,'2014 Actuals'!U779&amp;ROUNDDOWN('2014 Actuals'!T779,0),'Avoided Costs 2014-2023'!$M:$M)*S779</f>
        <v>0</v>
      </c>
      <c r="Y779" s="53">
        <f t="shared" si="270"/>
        <v>194882.64836645065</v>
      </c>
      <c r="Z779" s="55">
        <v>21057</v>
      </c>
      <c r="AA779" s="54">
        <f t="shared" si="265"/>
        <v>10528.5</v>
      </c>
      <c r="AB779" s="54"/>
      <c r="AC779" s="54"/>
      <c r="AD779" s="54"/>
      <c r="AE779" s="54">
        <f t="shared" si="271"/>
        <v>10528.5</v>
      </c>
      <c r="AF779" s="54">
        <f t="shared" si="272"/>
        <v>184354.14836645065</v>
      </c>
      <c r="AG779" s="49">
        <f t="shared" si="273"/>
        <v>1477804.05</v>
      </c>
      <c r="AH779" s="49">
        <f t="shared" si="274"/>
        <v>2955608.1</v>
      </c>
    </row>
    <row r="780" spans="1:34" s="56" customFormat="1">
      <c r="A780" s="62" t="s">
        <v>882</v>
      </c>
      <c r="B780" s="62"/>
      <c r="C780" s="62"/>
      <c r="D780" s="62"/>
      <c r="E780" s="141">
        <v>1</v>
      </c>
      <c r="F780" s="142"/>
      <c r="G780" s="143">
        <v>0.5</v>
      </c>
      <c r="H780" s="143">
        <v>0</v>
      </c>
      <c r="I780" s="49">
        <v>101287</v>
      </c>
      <c r="J780" s="49">
        <f t="shared" si="259"/>
        <v>104832.045</v>
      </c>
      <c r="K780" s="49">
        <f t="shared" si="260"/>
        <v>52416.022499999999</v>
      </c>
      <c r="L780" s="58"/>
      <c r="M780" s="141">
        <v>0</v>
      </c>
      <c r="N780" s="50">
        <f t="shared" si="261"/>
        <v>0</v>
      </c>
      <c r="O780" s="50">
        <f t="shared" si="262"/>
        <v>0</v>
      </c>
      <c r="P780" s="59"/>
      <c r="Q780" s="141">
        <v>0</v>
      </c>
      <c r="R780" s="50">
        <f t="shared" si="263"/>
        <v>0</v>
      </c>
      <c r="S780" s="51">
        <f t="shared" si="264"/>
        <v>0</v>
      </c>
      <c r="T780" s="60">
        <v>20</v>
      </c>
      <c r="U780" s="61" t="s">
        <v>810</v>
      </c>
      <c r="V780" s="53">
        <f>SUMIF('Avoided Costs 2014-2023'!$A:$A,'2014 Actuals'!U780&amp;ROUNDDOWN('2014 Actuals'!T780,0),'Avoided Costs 2014-2023'!$E:$E)*K780</f>
        <v>138245.30094684023</v>
      </c>
      <c r="W780" s="53">
        <f>SUMIF('Avoided Costs 2014-2023'!$A:$A,'2014 Actuals'!U780&amp;ROUNDDOWN('2014 Actuals'!T780,0),'Avoided Costs 2014-2023'!$K:$K)*O780</f>
        <v>0</v>
      </c>
      <c r="X780" s="53">
        <f>SUMIF('Avoided Costs 2014-2023'!$A:$A,'2014 Actuals'!U780&amp;ROUNDDOWN('2014 Actuals'!T780,0),'Avoided Costs 2014-2023'!$M:$M)*S780</f>
        <v>0</v>
      </c>
      <c r="Y780" s="53">
        <f t="shared" si="270"/>
        <v>138245.30094684023</v>
      </c>
      <c r="Z780" s="55">
        <v>108347.92</v>
      </c>
      <c r="AA780" s="54">
        <f t="shared" si="265"/>
        <v>54173.96</v>
      </c>
      <c r="AB780" s="54"/>
      <c r="AC780" s="54"/>
      <c r="AD780" s="54"/>
      <c r="AE780" s="54">
        <f t="shared" si="271"/>
        <v>54173.96</v>
      </c>
      <c r="AF780" s="54">
        <f t="shared" si="272"/>
        <v>84071.340946840239</v>
      </c>
      <c r="AG780" s="49">
        <f t="shared" si="273"/>
        <v>1048320.45</v>
      </c>
      <c r="AH780" s="49">
        <f t="shared" si="274"/>
        <v>2096640.9</v>
      </c>
    </row>
    <row r="781" spans="1:34" s="56" customFormat="1">
      <c r="A781" s="62" t="s">
        <v>883</v>
      </c>
      <c r="B781" s="62"/>
      <c r="C781" s="62"/>
      <c r="D781" s="62"/>
      <c r="E781" s="141">
        <v>1</v>
      </c>
      <c r="F781" s="142"/>
      <c r="G781" s="143">
        <v>0.5</v>
      </c>
      <c r="H781" s="143">
        <v>0</v>
      </c>
      <c r="I781" s="49">
        <v>54898</v>
      </c>
      <c r="J781" s="49">
        <f t="shared" si="259"/>
        <v>56819.429999999993</v>
      </c>
      <c r="K781" s="49">
        <f t="shared" si="260"/>
        <v>28409.714999999997</v>
      </c>
      <c r="L781" s="58"/>
      <c r="M781" s="141">
        <v>0</v>
      </c>
      <c r="N781" s="50">
        <f t="shared" si="261"/>
        <v>0</v>
      </c>
      <c r="O781" s="50">
        <f t="shared" si="262"/>
        <v>0</v>
      </c>
      <c r="P781" s="59"/>
      <c r="Q781" s="141">
        <v>0</v>
      </c>
      <c r="R781" s="50">
        <f t="shared" si="263"/>
        <v>0</v>
      </c>
      <c r="S781" s="51">
        <f t="shared" si="264"/>
        <v>0</v>
      </c>
      <c r="T781" s="60">
        <v>15</v>
      </c>
      <c r="U781" s="61" t="s">
        <v>810</v>
      </c>
      <c r="V781" s="53">
        <f>SUMIF('Avoided Costs 2014-2023'!$A:$A,'2014 Actuals'!U781&amp;ROUNDDOWN('2014 Actuals'!T781,0),'Avoided Costs 2014-2023'!$E:$E)*K781</f>
        <v>61994.237537926339</v>
      </c>
      <c r="W781" s="53">
        <f>SUMIF('Avoided Costs 2014-2023'!$A:$A,'2014 Actuals'!U781&amp;ROUNDDOWN('2014 Actuals'!T781,0),'Avoided Costs 2014-2023'!$K:$K)*O781</f>
        <v>0</v>
      </c>
      <c r="X781" s="53">
        <f>SUMIF('Avoided Costs 2014-2023'!$A:$A,'2014 Actuals'!U781&amp;ROUNDDOWN('2014 Actuals'!T781,0),'Avoided Costs 2014-2023'!$M:$M)*S781</f>
        <v>0</v>
      </c>
      <c r="Y781" s="53">
        <f t="shared" si="270"/>
        <v>61994.237537926339</v>
      </c>
      <c r="Z781" s="55">
        <v>19500</v>
      </c>
      <c r="AA781" s="54">
        <f t="shared" si="265"/>
        <v>9750</v>
      </c>
      <c r="AB781" s="54"/>
      <c r="AC781" s="54"/>
      <c r="AD781" s="54"/>
      <c r="AE781" s="54">
        <f t="shared" si="271"/>
        <v>9750</v>
      </c>
      <c r="AF781" s="54">
        <f t="shared" si="272"/>
        <v>52244.237537926339</v>
      </c>
      <c r="AG781" s="49">
        <f t="shared" si="273"/>
        <v>426145.72499999998</v>
      </c>
      <c r="AH781" s="49">
        <f t="shared" si="274"/>
        <v>852291.45</v>
      </c>
    </row>
    <row r="782" spans="1:34" s="56" customFormat="1">
      <c r="A782" s="62" t="s">
        <v>884</v>
      </c>
      <c r="B782" s="62"/>
      <c r="C782" s="62"/>
      <c r="D782" s="62"/>
      <c r="E782" s="141">
        <v>1</v>
      </c>
      <c r="F782" s="142"/>
      <c r="G782" s="143">
        <v>0.5</v>
      </c>
      <c r="H782" s="143">
        <v>0</v>
      </c>
      <c r="I782" s="49">
        <v>88459</v>
      </c>
      <c r="J782" s="49">
        <f t="shared" si="259"/>
        <v>91555.064999999988</v>
      </c>
      <c r="K782" s="49">
        <f t="shared" si="260"/>
        <v>45777.532499999994</v>
      </c>
      <c r="L782" s="58"/>
      <c r="M782" s="141">
        <v>0</v>
      </c>
      <c r="N782" s="50">
        <f t="shared" si="261"/>
        <v>0</v>
      </c>
      <c r="O782" s="50">
        <f t="shared" si="262"/>
        <v>0</v>
      </c>
      <c r="P782" s="59"/>
      <c r="Q782" s="141">
        <v>0</v>
      </c>
      <c r="R782" s="50">
        <f t="shared" si="263"/>
        <v>0</v>
      </c>
      <c r="S782" s="51">
        <f t="shared" si="264"/>
        <v>0</v>
      </c>
      <c r="T782" s="60">
        <v>20</v>
      </c>
      <c r="U782" s="61" t="s">
        <v>810</v>
      </c>
      <c r="V782" s="53">
        <f>SUMIF('Avoided Costs 2014-2023'!$A:$A,'2014 Actuals'!U782&amp;ROUNDDOWN('2014 Actuals'!T782,0),'Avoided Costs 2014-2023'!$E:$E)*K782</f>
        <v>120736.53160283687</v>
      </c>
      <c r="W782" s="53">
        <f>SUMIF('Avoided Costs 2014-2023'!$A:$A,'2014 Actuals'!U782&amp;ROUNDDOWN('2014 Actuals'!T782,0),'Avoided Costs 2014-2023'!$K:$K)*O782</f>
        <v>0</v>
      </c>
      <c r="X782" s="53">
        <f>SUMIF('Avoided Costs 2014-2023'!$A:$A,'2014 Actuals'!U782&amp;ROUNDDOWN('2014 Actuals'!T782,0),'Avoided Costs 2014-2023'!$M:$M)*S782</f>
        <v>0</v>
      </c>
      <c r="Y782" s="53">
        <f t="shared" si="270"/>
        <v>120736.53160283687</v>
      </c>
      <c r="Z782" s="55">
        <v>24000</v>
      </c>
      <c r="AA782" s="54">
        <f t="shared" si="265"/>
        <v>12000</v>
      </c>
      <c r="AB782" s="54"/>
      <c r="AC782" s="54"/>
      <c r="AD782" s="54"/>
      <c r="AE782" s="54">
        <f t="shared" si="271"/>
        <v>12000</v>
      </c>
      <c r="AF782" s="54">
        <f t="shared" si="272"/>
        <v>108736.53160283687</v>
      </c>
      <c r="AG782" s="49">
        <f t="shared" si="273"/>
        <v>915550.64999999991</v>
      </c>
      <c r="AH782" s="49">
        <f t="shared" si="274"/>
        <v>1831101.2999999998</v>
      </c>
    </row>
    <row r="783" spans="1:34" s="56" customFormat="1">
      <c r="A783" s="62" t="s">
        <v>885</v>
      </c>
      <c r="B783" s="62"/>
      <c r="C783" s="62"/>
      <c r="D783" s="62"/>
      <c r="E783" s="141">
        <v>1</v>
      </c>
      <c r="F783" s="142"/>
      <c r="G783" s="143">
        <v>0.5</v>
      </c>
      <c r="H783" s="143">
        <v>0</v>
      </c>
      <c r="I783" s="49">
        <v>360800</v>
      </c>
      <c r="J783" s="49">
        <f t="shared" si="259"/>
        <v>373428</v>
      </c>
      <c r="K783" s="49">
        <f t="shared" si="260"/>
        <v>186714</v>
      </c>
      <c r="L783" s="58"/>
      <c r="M783" s="141">
        <v>0</v>
      </c>
      <c r="N783" s="50">
        <f t="shared" si="261"/>
        <v>0</v>
      </c>
      <c r="O783" s="50">
        <f t="shared" si="262"/>
        <v>0</v>
      </c>
      <c r="P783" s="59"/>
      <c r="Q783" s="141">
        <v>0</v>
      </c>
      <c r="R783" s="50">
        <f t="shared" si="263"/>
        <v>0</v>
      </c>
      <c r="S783" s="51">
        <f t="shared" si="264"/>
        <v>0</v>
      </c>
      <c r="T783" s="60">
        <v>15</v>
      </c>
      <c r="U783" s="61" t="s">
        <v>810</v>
      </c>
      <c r="V783" s="53">
        <f>SUMIF('Avoided Costs 2014-2023'!$A:$A,'2014 Actuals'!U783&amp;ROUNDDOWN('2014 Actuals'!T783,0),'Avoided Costs 2014-2023'!$E:$E)*K783</f>
        <v>407437.81018769037</v>
      </c>
      <c r="W783" s="53">
        <f>SUMIF('Avoided Costs 2014-2023'!$A:$A,'2014 Actuals'!U783&amp;ROUNDDOWN('2014 Actuals'!T783,0),'Avoided Costs 2014-2023'!$K:$K)*O783</f>
        <v>0</v>
      </c>
      <c r="X783" s="53">
        <f>SUMIF('Avoided Costs 2014-2023'!$A:$A,'2014 Actuals'!U783&amp;ROUNDDOWN('2014 Actuals'!T783,0),'Avoided Costs 2014-2023'!$M:$M)*S783</f>
        <v>0</v>
      </c>
      <c r="Y783" s="53">
        <f t="shared" si="270"/>
        <v>407437.81018769037</v>
      </c>
      <c r="Z783" s="55">
        <v>45500</v>
      </c>
      <c r="AA783" s="54">
        <f t="shared" si="265"/>
        <v>22750</v>
      </c>
      <c r="AB783" s="54"/>
      <c r="AC783" s="54"/>
      <c r="AD783" s="54"/>
      <c r="AE783" s="54">
        <f t="shared" si="271"/>
        <v>22750</v>
      </c>
      <c r="AF783" s="54">
        <f t="shared" si="272"/>
        <v>384687.81018769037</v>
      </c>
      <c r="AG783" s="49">
        <f t="shared" si="273"/>
        <v>2800710</v>
      </c>
      <c r="AH783" s="49">
        <f t="shared" si="274"/>
        <v>5601420</v>
      </c>
    </row>
    <row r="784" spans="1:34" s="56" customFormat="1">
      <c r="A784" s="62" t="s">
        <v>886</v>
      </c>
      <c r="B784" s="62"/>
      <c r="C784" s="62"/>
      <c r="D784" s="62"/>
      <c r="E784" s="141">
        <v>1</v>
      </c>
      <c r="F784" s="142"/>
      <c r="G784" s="143">
        <v>0.5</v>
      </c>
      <c r="H784" s="143">
        <v>0</v>
      </c>
      <c r="I784" s="49">
        <v>304728</v>
      </c>
      <c r="J784" s="49">
        <f t="shared" si="259"/>
        <v>315393.48</v>
      </c>
      <c r="K784" s="49">
        <f t="shared" si="260"/>
        <v>157696.74</v>
      </c>
      <c r="L784" s="58"/>
      <c r="M784" s="141">
        <v>0</v>
      </c>
      <c r="N784" s="50">
        <f t="shared" si="261"/>
        <v>0</v>
      </c>
      <c r="O784" s="50">
        <f t="shared" si="262"/>
        <v>0</v>
      </c>
      <c r="P784" s="59"/>
      <c r="Q784" s="141">
        <v>0</v>
      </c>
      <c r="R784" s="50">
        <f t="shared" si="263"/>
        <v>0</v>
      </c>
      <c r="S784" s="51">
        <f t="shared" si="264"/>
        <v>0</v>
      </c>
      <c r="T784" s="60">
        <v>15</v>
      </c>
      <c r="U784" s="61" t="s">
        <v>810</v>
      </c>
      <c r="V784" s="53">
        <f>SUMIF('Avoided Costs 2014-2023'!$A:$A,'2014 Actuals'!U784&amp;ROUNDDOWN('2014 Actuals'!T784,0),'Avoided Costs 2014-2023'!$E:$E)*K784</f>
        <v>344117.81879954133</v>
      </c>
      <c r="W784" s="53">
        <f>SUMIF('Avoided Costs 2014-2023'!$A:$A,'2014 Actuals'!U784&amp;ROUNDDOWN('2014 Actuals'!T784,0),'Avoided Costs 2014-2023'!$K:$K)*O784</f>
        <v>0</v>
      </c>
      <c r="X784" s="53">
        <f>SUMIF('Avoided Costs 2014-2023'!$A:$A,'2014 Actuals'!U784&amp;ROUNDDOWN('2014 Actuals'!T784,0),'Avoided Costs 2014-2023'!$M:$M)*S784</f>
        <v>0</v>
      </c>
      <c r="Y784" s="53">
        <f t="shared" si="270"/>
        <v>344117.81879954133</v>
      </c>
      <c r="Z784" s="55">
        <v>62001.66</v>
      </c>
      <c r="AA784" s="54">
        <f t="shared" si="265"/>
        <v>31000.83</v>
      </c>
      <c r="AB784" s="54"/>
      <c r="AC784" s="54"/>
      <c r="AD784" s="54"/>
      <c r="AE784" s="54">
        <f t="shared" si="271"/>
        <v>31000.83</v>
      </c>
      <c r="AF784" s="54">
        <f t="shared" si="272"/>
        <v>313116.98879954132</v>
      </c>
      <c r="AG784" s="49">
        <f t="shared" si="273"/>
        <v>2365451.0999999996</v>
      </c>
      <c r="AH784" s="49">
        <f t="shared" si="274"/>
        <v>4730902.1999999993</v>
      </c>
    </row>
    <row r="785" spans="1:34" s="56" customFormat="1">
      <c r="A785" s="62" t="s">
        <v>887</v>
      </c>
      <c r="B785" s="62"/>
      <c r="C785" s="62"/>
      <c r="D785" s="62"/>
      <c r="E785" s="141">
        <v>1</v>
      </c>
      <c r="F785" s="142"/>
      <c r="G785" s="143">
        <v>0.5</v>
      </c>
      <c r="H785" s="143">
        <v>0</v>
      </c>
      <c r="I785" s="49">
        <v>47897</v>
      </c>
      <c r="J785" s="49">
        <f t="shared" si="259"/>
        <v>49573.394999999997</v>
      </c>
      <c r="K785" s="49">
        <f t="shared" si="260"/>
        <v>24786.697499999998</v>
      </c>
      <c r="L785" s="58"/>
      <c r="M785" s="141">
        <v>0</v>
      </c>
      <c r="N785" s="50">
        <f t="shared" si="261"/>
        <v>0</v>
      </c>
      <c r="O785" s="50">
        <f t="shared" si="262"/>
        <v>0</v>
      </c>
      <c r="P785" s="59"/>
      <c r="Q785" s="141">
        <v>0</v>
      </c>
      <c r="R785" s="50">
        <f t="shared" si="263"/>
        <v>0</v>
      </c>
      <c r="S785" s="51">
        <f t="shared" si="264"/>
        <v>0</v>
      </c>
      <c r="T785" s="60">
        <v>25</v>
      </c>
      <c r="U785" s="61" t="s">
        <v>810</v>
      </c>
      <c r="V785" s="53">
        <f>SUMIF('Avoided Costs 2014-2023'!$A:$A,'2014 Actuals'!U785&amp;ROUNDDOWN('2014 Actuals'!T785,0),'Avoided Costs 2014-2023'!$E:$E)*K785</f>
        <v>74258.040356094119</v>
      </c>
      <c r="W785" s="53">
        <f>SUMIF('Avoided Costs 2014-2023'!$A:$A,'2014 Actuals'!U785&amp;ROUNDDOWN('2014 Actuals'!T785,0),'Avoided Costs 2014-2023'!$K:$K)*O785</f>
        <v>0</v>
      </c>
      <c r="X785" s="53">
        <f>SUMIF('Avoided Costs 2014-2023'!$A:$A,'2014 Actuals'!U785&amp;ROUNDDOWN('2014 Actuals'!T785,0),'Avoided Costs 2014-2023'!$M:$M)*S785</f>
        <v>0</v>
      </c>
      <c r="Y785" s="53">
        <f t="shared" si="270"/>
        <v>74258.040356094119</v>
      </c>
      <c r="Z785" s="55">
        <v>33600</v>
      </c>
      <c r="AA785" s="54">
        <f t="shared" si="265"/>
        <v>16800</v>
      </c>
      <c r="AB785" s="54"/>
      <c r="AC785" s="54"/>
      <c r="AD785" s="54"/>
      <c r="AE785" s="54">
        <f t="shared" si="271"/>
        <v>16800</v>
      </c>
      <c r="AF785" s="54">
        <f t="shared" si="272"/>
        <v>57458.040356094119</v>
      </c>
      <c r="AG785" s="49">
        <f t="shared" si="273"/>
        <v>619667.4375</v>
      </c>
      <c r="AH785" s="49">
        <f t="shared" si="274"/>
        <v>1239334.875</v>
      </c>
    </row>
    <row r="786" spans="1:34" s="56" customFormat="1">
      <c r="A786" s="62" t="s">
        <v>888</v>
      </c>
      <c r="B786" s="62"/>
      <c r="C786" s="62"/>
      <c r="D786" s="62"/>
      <c r="E786" s="141">
        <v>1</v>
      </c>
      <c r="F786" s="142"/>
      <c r="G786" s="143">
        <v>0.5</v>
      </c>
      <c r="H786" s="143">
        <v>0</v>
      </c>
      <c r="I786" s="49">
        <v>105750</v>
      </c>
      <c r="J786" s="49">
        <f t="shared" si="259"/>
        <v>109451.24999999999</v>
      </c>
      <c r="K786" s="49">
        <f t="shared" si="260"/>
        <v>54725.624999999993</v>
      </c>
      <c r="L786" s="58"/>
      <c r="M786" s="141">
        <v>0</v>
      </c>
      <c r="N786" s="50">
        <f t="shared" si="261"/>
        <v>0</v>
      </c>
      <c r="O786" s="50">
        <f t="shared" si="262"/>
        <v>0</v>
      </c>
      <c r="P786" s="59"/>
      <c r="Q786" s="141">
        <v>0</v>
      </c>
      <c r="R786" s="50">
        <f t="shared" si="263"/>
        <v>0</v>
      </c>
      <c r="S786" s="51">
        <f t="shared" si="264"/>
        <v>0</v>
      </c>
      <c r="T786" s="60">
        <v>20</v>
      </c>
      <c r="U786" s="61" t="s">
        <v>810</v>
      </c>
      <c r="V786" s="53">
        <f>SUMIF('Avoided Costs 2014-2023'!$A:$A,'2014 Actuals'!U786&amp;ROUNDDOWN('2014 Actuals'!T786,0),'Avoided Costs 2014-2023'!$E:$E)*K786</f>
        <v>144336.79124792275</v>
      </c>
      <c r="W786" s="53">
        <f>SUMIF('Avoided Costs 2014-2023'!$A:$A,'2014 Actuals'!U786&amp;ROUNDDOWN('2014 Actuals'!T786,0),'Avoided Costs 2014-2023'!$K:$K)*O786</f>
        <v>0</v>
      </c>
      <c r="X786" s="53">
        <f>SUMIF('Avoided Costs 2014-2023'!$A:$A,'2014 Actuals'!U786&amp;ROUNDDOWN('2014 Actuals'!T786,0),'Avoided Costs 2014-2023'!$M:$M)*S786</f>
        <v>0</v>
      </c>
      <c r="Y786" s="53">
        <f t="shared" si="270"/>
        <v>144336.79124792275</v>
      </c>
      <c r="Z786" s="55">
        <v>15778</v>
      </c>
      <c r="AA786" s="54">
        <f t="shared" si="265"/>
        <v>7889</v>
      </c>
      <c r="AB786" s="54"/>
      <c r="AC786" s="54"/>
      <c r="AD786" s="54"/>
      <c r="AE786" s="54">
        <f t="shared" si="271"/>
        <v>7889</v>
      </c>
      <c r="AF786" s="54">
        <f t="shared" si="272"/>
        <v>136447.79124792275</v>
      </c>
      <c r="AG786" s="49">
        <f t="shared" si="273"/>
        <v>1094512.4999999998</v>
      </c>
      <c r="AH786" s="49">
        <f t="shared" si="274"/>
        <v>2189024.9999999995</v>
      </c>
    </row>
    <row r="787" spans="1:34" s="56" customFormat="1">
      <c r="A787" s="62" t="s">
        <v>889</v>
      </c>
      <c r="B787" s="62"/>
      <c r="C787" s="62"/>
      <c r="D787" s="62"/>
      <c r="E787" s="141">
        <v>1</v>
      </c>
      <c r="F787" s="142"/>
      <c r="G787" s="143">
        <v>0.5</v>
      </c>
      <c r="H787" s="143">
        <v>0</v>
      </c>
      <c r="I787" s="49">
        <v>61074</v>
      </c>
      <c r="J787" s="49">
        <f t="shared" ref="J787:J841" si="275">+$I$707*I787</f>
        <v>63211.59</v>
      </c>
      <c r="K787" s="49">
        <f t="shared" ref="K787:K841" si="276">J787*(1-G787)</f>
        <v>31605.794999999998</v>
      </c>
      <c r="L787" s="58"/>
      <c r="M787" s="141">
        <v>0</v>
      </c>
      <c r="N787" s="50">
        <f t="shared" ref="N787:N841" si="277">+$M$707*M787</f>
        <v>0</v>
      </c>
      <c r="O787" s="50">
        <f t="shared" ref="O787:O841" si="278">N787*(1-G787)</f>
        <v>0</v>
      </c>
      <c r="P787" s="59"/>
      <c r="Q787" s="141">
        <v>0</v>
      </c>
      <c r="R787" s="50">
        <f t="shared" ref="R787:R841" si="279">+Q787*$Q$707</f>
        <v>0</v>
      </c>
      <c r="S787" s="51">
        <f t="shared" ref="S787:S841" si="280">R787*(1-G787)</f>
        <v>0</v>
      </c>
      <c r="T787" s="60">
        <v>20</v>
      </c>
      <c r="U787" s="61" t="s">
        <v>810</v>
      </c>
      <c r="V787" s="53">
        <f>SUMIF('Avoided Costs 2014-2023'!$A:$A,'2014 Actuals'!U787&amp;ROUNDDOWN('2014 Actuals'!T787,0),'Avoided Costs 2014-2023'!$E:$E)*K787</f>
        <v>83359.103439013095</v>
      </c>
      <c r="W787" s="53">
        <f>SUMIF('Avoided Costs 2014-2023'!$A:$A,'2014 Actuals'!U787&amp;ROUNDDOWN('2014 Actuals'!T787,0),'Avoided Costs 2014-2023'!$K:$K)*O787</f>
        <v>0</v>
      </c>
      <c r="X787" s="53">
        <f>SUMIF('Avoided Costs 2014-2023'!$A:$A,'2014 Actuals'!U787&amp;ROUNDDOWN('2014 Actuals'!T787,0),'Avoided Costs 2014-2023'!$M:$M)*S787</f>
        <v>0</v>
      </c>
      <c r="Y787" s="53">
        <f t="shared" si="270"/>
        <v>83359.103439013095</v>
      </c>
      <c r="Z787" s="55">
        <v>79050</v>
      </c>
      <c r="AA787" s="54">
        <f t="shared" ref="AA787:AA841" si="281">Z787*(1-G787)</f>
        <v>39525</v>
      </c>
      <c r="AB787" s="54"/>
      <c r="AC787" s="54"/>
      <c r="AD787" s="54"/>
      <c r="AE787" s="54">
        <f t="shared" ref="AE787:AE818" si="282">AA787+AC787</f>
        <v>39525</v>
      </c>
      <c r="AF787" s="54">
        <f t="shared" ref="AF787:AF818" si="283">Y787-AE787</f>
        <v>43834.103439013095</v>
      </c>
      <c r="AG787" s="49">
        <f t="shared" ref="AG787:AG818" si="284">K787*T787</f>
        <v>632115.89999999991</v>
      </c>
      <c r="AH787" s="49">
        <f t="shared" ref="AH787:AH818" si="285">(J787*T787)</f>
        <v>1264231.7999999998</v>
      </c>
    </row>
    <row r="788" spans="1:34" s="56" customFormat="1">
      <c r="A788" s="62" t="s">
        <v>890</v>
      </c>
      <c r="B788" s="62"/>
      <c r="C788" s="62"/>
      <c r="D788" s="62"/>
      <c r="E788" s="141">
        <v>1</v>
      </c>
      <c r="F788" s="142"/>
      <c r="G788" s="143">
        <v>0.5</v>
      </c>
      <c r="H788" s="143">
        <v>0</v>
      </c>
      <c r="I788" s="49">
        <v>9433</v>
      </c>
      <c r="J788" s="49">
        <f t="shared" si="275"/>
        <v>9763.1549999999988</v>
      </c>
      <c r="K788" s="49">
        <f t="shared" si="276"/>
        <v>4881.5774999999994</v>
      </c>
      <c r="L788" s="58"/>
      <c r="M788" s="141">
        <v>0</v>
      </c>
      <c r="N788" s="50">
        <f t="shared" si="277"/>
        <v>0</v>
      </c>
      <c r="O788" s="50">
        <f t="shared" si="278"/>
        <v>0</v>
      </c>
      <c r="P788" s="59"/>
      <c r="Q788" s="141">
        <v>0</v>
      </c>
      <c r="R788" s="50">
        <f t="shared" si="279"/>
        <v>0</v>
      </c>
      <c r="S788" s="51">
        <f t="shared" si="280"/>
        <v>0</v>
      </c>
      <c r="T788" s="60">
        <v>20</v>
      </c>
      <c r="U788" s="61" t="s">
        <v>810</v>
      </c>
      <c r="V788" s="53">
        <f>SUMIF('Avoided Costs 2014-2023'!$A:$A,'2014 Actuals'!U788&amp;ROUNDDOWN('2014 Actuals'!T788,0),'Avoided Costs 2014-2023'!$E:$E)*K788</f>
        <v>12874.978268006198</v>
      </c>
      <c r="W788" s="53">
        <f>SUMIF('Avoided Costs 2014-2023'!$A:$A,'2014 Actuals'!U788&amp;ROUNDDOWN('2014 Actuals'!T788,0),'Avoided Costs 2014-2023'!$K:$K)*O788</f>
        <v>0</v>
      </c>
      <c r="X788" s="53">
        <f>SUMIF('Avoided Costs 2014-2023'!$A:$A,'2014 Actuals'!U788&amp;ROUNDDOWN('2014 Actuals'!T788,0),'Avoided Costs 2014-2023'!$M:$M)*S788</f>
        <v>0</v>
      </c>
      <c r="Y788" s="53">
        <f t="shared" ref="Y788:Y841" si="286">SUM(V788:X788)</f>
        <v>12874.978268006198</v>
      </c>
      <c r="Z788" s="55">
        <v>10100</v>
      </c>
      <c r="AA788" s="54">
        <f t="shared" si="281"/>
        <v>5050</v>
      </c>
      <c r="AB788" s="54"/>
      <c r="AC788" s="54"/>
      <c r="AD788" s="54"/>
      <c r="AE788" s="54">
        <f t="shared" si="282"/>
        <v>5050</v>
      </c>
      <c r="AF788" s="54">
        <f t="shared" si="283"/>
        <v>7824.978268006198</v>
      </c>
      <c r="AG788" s="49">
        <f t="shared" si="284"/>
        <v>97631.549999999988</v>
      </c>
      <c r="AH788" s="49">
        <f t="shared" si="285"/>
        <v>195263.09999999998</v>
      </c>
    </row>
    <row r="789" spans="1:34" s="56" customFormat="1">
      <c r="A789" s="62" t="s">
        <v>891</v>
      </c>
      <c r="B789" s="62"/>
      <c r="C789" s="62"/>
      <c r="D789" s="62"/>
      <c r="E789" s="141">
        <v>1</v>
      </c>
      <c r="F789" s="142"/>
      <c r="G789" s="143">
        <v>0.5</v>
      </c>
      <c r="H789" s="143">
        <v>0</v>
      </c>
      <c r="I789" s="49">
        <v>178466</v>
      </c>
      <c r="J789" s="49">
        <f t="shared" si="275"/>
        <v>184712.31</v>
      </c>
      <c r="K789" s="49">
        <f t="shared" si="276"/>
        <v>92356.154999999999</v>
      </c>
      <c r="L789" s="58"/>
      <c r="M789" s="141">
        <v>0</v>
      </c>
      <c r="N789" s="50">
        <f t="shared" si="277"/>
        <v>0</v>
      </c>
      <c r="O789" s="50">
        <f t="shared" si="278"/>
        <v>0</v>
      </c>
      <c r="P789" s="59"/>
      <c r="Q789" s="141">
        <v>0</v>
      </c>
      <c r="R789" s="50">
        <f t="shared" si="279"/>
        <v>0</v>
      </c>
      <c r="S789" s="51">
        <f t="shared" si="280"/>
        <v>0</v>
      </c>
      <c r="T789" s="60">
        <v>5</v>
      </c>
      <c r="U789" s="61" t="s">
        <v>810</v>
      </c>
      <c r="V789" s="53">
        <f>SUMIF('Avoided Costs 2014-2023'!$A:$A,'2014 Actuals'!U789&amp;ROUNDDOWN('2014 Actuals'!T789,0),'Avoided Costs 2014-2023'!$E:$E)*K789</f>
        <v>75094.583524197355</v>
      </c>
      <c r="W789" s="53">
        <f>SUMIF('Avoided Costs 2014-2023'!$A:$A,'2014 Actuals'!U789&amp;ROUNDDOWN('2014 Actuals'!T789,0),'Avoided Costs 2014-2023'!$K:$K)*O789</f>
        <v>0</v>
      </c>
      <c r="X789" s="53">
        <f>SUMIF('Avoided Costs 2014-2023'!$A:$A,'2014 Actuals'!U789&amp;ROUNDDOWN('2014 Actuals'!T789,0),'Avoided Costs 2014-2023'!$M:$M)*S789</f>
        <v>0</v>
      </c>
      <c r="Y789" s="53">
        <f t="shared" si="286"/>
        <v>75094.583524197355</v>
      </c>
      <c r="Z789" s="55">
        <v>4563.6499999999996</v>
      </c>
      <c r="AA789" s="54">
        <f t="shared" si="281"/>
        <v>2281.8249999999998</v>
      </c>
      <c r="AB789" s="54"/>
      <c r="AC789" s="54"/>
      <c r="AD789" s="54"/>
      <c r="AE789" s="54">
        <f t="shared" si="282"/>
        <v>2281.8249999999998</v>
      </c>
      <c r="AF789" s="54">
        <f t="shared" si="283"/>
        <v>72812.758524197357</v>
      </c>
      <c r="AG789" s="49">
        <f t="shared" si="284"/>
        <v>461780.77500000002</v>
      </c>
      <c r="AH789" s="49">
        <f t="shared" si="285"/>
        <v>923561.55</v>
      </c>
    </row>
    <row r="790" spans="1:34" s="56" customFormat="1">
      <c r="A790" s="62" t="s">
        <v>892</v>
      </c>
      <c r="B790" s="62"/>
      <c r="C790" s="62"/>
      <c r="D790" s="62"/>
      <c r="E790" s="141">
        <v>1</v>
      </c>
      <c r="F790" s="142"/>
      <c r="G790" s="143">
        <v>0.5</v>
      </c>
      <c r="H790" s="143">
        <v>0</v>
      </c>
      <c r="I790" s="49">
        <v>162038</v>
      </c>
      <c r="J790" s="49">
        <f t="shared" si="275"/>
        <v>167709.32999999999</v>
      </c>
      <c r="K790" s="49">
        <f t="shared" si="276"/>
        <v>83854.664999999994</v>
      </c>
      <c r="L790" s="58"/>
      <c r="M790" s="141">
        <v>0</v>
      </c>
      <c r="N790" s="50">
        <f t="shared" si="277"/>
        <v>0</v>
      </c>
      <c r="O790" s="50">
        <f t="shared" si="278"/>
        <v>0</v>
      </c>
      <c r="P790" s="59"/>
      <c r="Q790" s="141">
        <v>0</v>
      </c>
      <c r="R790" s="50">
        <f t="shared" si="279"/>
        <v>0</v>
      </c>
      <c r="S790" s="51">
        <f t="shared" si="280"/>
        <v>0</v>
      </c>
      <c r="T790" s="60">
        <v>5</v>
      </c>
      <c r="U790" s="61" t="s">
        <v>810</v>
      </c>
      <c r="V790" s="53">
        <f>SUMIF('Avoided Costs 2014-2023'!$A:$A,'2014 Actuals'!U790&amp;ROUNDDOWN('2014 Actuals'!T790,0),'Avoided Costs 2014-2023'!$E:$E)*K790</f>
        <v>68182.040977518918</v>
      </c>
      <c r="W790" s="53">
        <f>SUMIF('Avoided Costs 2014-2023'!$A:$A,'2014 Actuals'!U790&amp;ROUNDDOWN('2014 Actuals'!T790,0),'Avoided Costs 2014-2023'!$K:$K)*O790</f>
        <v>0</v>
      </c>
      <c r="X790" s="53">
        <f>SUMIF('Avoided Costs 2014-2023'!$A:$A,'2014 Actuals'!U790&amp;ROUNDDOWN('2014 Actuals'!T790,0),'Avoided Costs 2014-2023'!$M:$M)*S790</f>
        <v>0</v>
      </c>
      <c r="Y790" s="53">
        <f t="shared" si="286"/>
        <v>68182.040977518918</v>
      </c>
      <c r="Z790" s="55">
        <v>2555.5500000000002</v>
      </c>
      <c r="AA790" s="54">
        <f t="shared" si="281"/>
        <v>1277.7750000000001</v>
      </c>
      <c r="AB790" s="54"/>
      <c r="AC790" s="54"/>
      <c r="AD790" s="54"/>
      <c r="AE790" s="54">
        <f t="shared" si="282"/>
        <v>1277.7750000000001</v>
      </c>
      <c r="AF790" s="54">
        <f t="shared" si="283"/>
        <v>66904.265977518924</v>
      </c>
      <c r="AG790" s="49">
        <f t="shared" si="284"/>
        <v>419273.32499999995</v>
      </c>
      <c r="AH790" s="49">
        <f t="shared" si="285"/>
        <v>838546.64999999991</v>
      </c>
    </row>
    <row r="791" spans="1:34" s="56" customFormat="1">
      <c r="A791" s="62" t="s">
        <v>893</v>
      </c>
      <c r="B791" s="62"/>
      <c r="C791" s="62"/>
      <c r="D791" s="62"/>
      <c r="E791" s="141">
        <v>1</v>
      </c>
      <c r="F791" s="142"/>
      <c r="G791" s="143">
        <v>0.5</v>
      </c>
      <c r="H791" s="143">
        <v>0</v>
      </c>
      <c r="I791" s="49">
        <v>101349</v>
      </c>
      <c r="J791" s="49">
        <f t="shared" si="275"/>
        <v>104896.215</v>
      </c>
      <c r="K791" s="49">
        <f t="shared" si="276"/>
        <v>52448.107499999998</v>
      </c>
      <c r="L791" s="58"/>
      <c r="M791" s="141">
        <v>0</v>
      </c>
      <c r="N791" s="50">
        <f t="shared" si="277"/>
        <v>0</v>
      </c>
      <c r="O791" s="50">
        <f t="shared" si="278"/>
        <v>0</v>
      </c>
      <c r="P791" s="59"/>
      <c r="Q791" s="141">
        <v>0</v>
      </c>
      <c r="R791" s="50">
        <f t="shared" si="279"/>
        <v>0</v>
      </c>
      <c r="S791" s="51">
        <f t="shared" si="280"/>
        <v>0</v>
      </c>
      <c r="T791" s="60">
        <v>5</v>
      </c>
      <c r="U791" s="61" t="s">
        <v>810</v>
      </c>
      <c r="V791" s="53">
        <f>SUMIF('Avoided Costs 2014-2023'!$A:$A,'2014 Actuals'!U791&amp;ROUNDDOWN('2014 Actuals'!T791,0),'Avoided Costs 2014-2023'!$E:$E)*K791</f>
        <v>42645.439162607319</v>
      </c>
      <c r="W791" s="53">
        <f>SUMIF('Avoided Costs 2014-2023'!$A:$A,'2014 Actuals'!U791&amp;ROUNDDOWN('2014 Actuals'!T791,0),'Avoided Costs 2014-2023'!$K:$K)*O791</f>
        <v>0</v>
      </c>
      <c r="X791" s="53">
        <f>SUMIF('Avoided Costs 2014-2023'!$A:$A,'2014 Actuals'!U791&amp;ROUNDDOWN('2014 Actuals'!T791,0),'Avoided Costs 2014-2023'!$M:$M)*S791</f>
        <v>0</v>
      </c>
      <c r="Y791" s="53">
        <f t="shared" si="286"/>
        <v>42645.439162607319</v>
      </c>
      <c r="Z791" s="55">
        <v>11079.93</v>
      </c>
      <c r="AA791" s="54">
        <f t="shared" si="281"/>
        <v>5539.9650000000001</v>
      </c>
      <c r="AB791" s="54"/>
      <c r="AC791" s="54"/>
      <c r="AD791" s="54"/>
      <c r="AE791" s="54">
        <f t="shared" si="282"/>
        <v>5539.9650000000001</v>
      </c>
      <c r="AF791" s="54">
        <f t="shared" si="283"/>
        <v>37105.474162607323</v>
      </c>
      <c r="AG791" s="49">
        <f t="shared" si="284"/>
        <v>262240.53749999998</v>
      </c>
      <c r="AH791" s="49">
        <f t="shared" si="285"/>
        <v>524481.07499999995</v>
      </c>
    </row>
    <row r="792" spans="1:34" s="56" customFormat="1">
      <c r="A792" s="62" t="s">
        <v>894</v>
      </c>
      <c r="B792" s="62"/>
      <c r="C792" s="62"/>
      <c r="D792" s="62"/>
      <c r="E792" s="141">
        <v>1</v>
      </c>
      <c r="F792" s="142"/>
      <c r="G792" s="143">
        <v>0.5</v>
      </c>
      <c r="H792" s="143">
        <v>0</v>
      </c>
      <c r="I792" s="49">
        <v>185623</v>
      </c>
      <c r="J792" s="49">
        <f t="shared" si="275"/>
        <v>192119.80499999999</v>
      </c>
      <c r="K792" s="49">
        <f t="shared" si="276"/>
        <v>96059.902499999997</v>
      </c>
      <c r="L792" s="58"/>
      <c r="M792" s="141">
        <v>0</v>
      </c>
      <c r="N792" s="50">
        <f t="shared" si="277"/>
        <v>0</v>
      </c>
      <c r="O792" s="50">
        <f t="shared" si="278"/>
        <v>0</v>
      </c>
      <c r="P792" s="59"/>
      <c r="Q792" s="141">
        <v>1339</v>
      </c>
      <c r="R792" s="50">
        <f t="shared" si="279"/>
        <v>1339</v>
      </c>
      <c r="S792" s="51">
        <f t="shared" si="280"/>
        <v>669.5</v>
      </c>
      <c r="T792" s="60">
        <v>15</v>
      </c>
      <c r="U792" s="61" t="s">
        <v>810</v>
      </c>
      <c r="V792" s="53">
        <f>SUMIF('Avoided Costs 2014-2023'!$A:$A,'2014 Actuals'!U792&amp;ROUNDDOWN('2014 Actuals'!T792,0),'Avoided Costs 2014-2023'!$E:$E)*K792</f>
        <v>209617.04168644582</v>
      </c>
      <c r="W792" s="53">
        <f>SUMIF('Avoided Costs 2014-2023'!$A:$A,'2014 Actuals'!U792&amp;ROUNDDOWN('2014 Actuals'!T792,0),'Avoided Costs 2014-2023'!$K:$K)*O792</f>
        <v>0</v>
      </c>
      <c r="X792" s="53">
        <f>SUMIF('Avoided Costs 2014-2023'!$A:$A,'2014 Actuals'!U792&amp;ROUNDDOWN('2014 Actuals'!T792,0),'Avoided Costs 2014-2023'!$M:$M)*S792</f>
        <v>19073.601488030134</v>
      </c>
      <c r="Y792" s="53">
        <f t="shared" si="286"/>
        <v>228690.64317447596</v>
      </c>
      <c r="Z792" s="55">
        <v>15700</v>
      </c>
      <c r="AA792" s="54">
        <f t="shared" si="281"/>
        <v>7850</v>
      </c>
      <c r="AB792" s="54"/>
      <c r="AC792" s="54"/>
      <c r="AD792" s="54"/>
      <c r="AE792" s="54">
        <f t="shared" si="282"/>
        <v>7850</v>
      </c>
      <c r="AF792" s="54">
        <f t="shared" si="283"/>
        <v>220840.64317447596</v>
      </c>
      <c r="AG792" s="49">
        <f t="shared" si="284"/>
        <v>1440898.5374999999</v>
      </c>
      <c r="AH792" s="49">
        <f t="shared" si="285"/>
        <v>2881797.0749999997</v>
      </c>
    </row>
    <row r="793" spans="1:34" s="56" customFormat="1">
      <c r="A793" s="62" t="s">
        <v>895</v>
      </c>
      <c r="B793" s="62"/>
      <c r="C793" s="62"/>
      <c r="D793" s="62"/>
      <c r="E793" s="141">
        <v>1</v>
      </c>
      <c r="F793" s="142"/>
      <c r="G793" s="143">
        <v>0.5</v>
      </c>
      <c r="H793" s="143">
        <v>0</v>
      </c>
      <c r="I793" s="49">
        <v>29532</v>
      </c>
      <c r="J793" s="49">
        <f t="shared" si="275"/>
        <v>30565.62</v>
      </c>
      <c r="K793" s="49">
        <f t="shared" si="276"/>
        <v>15282.81</v>
      </c>
      <c r="L793" s="58"/>
      <c r="M793" s="141">
        <v>0</v>
      </c>
      <c r="N793" s="50">
        <f t="shared" si="277"/>
        <v>0</v>
      </c>
      <c r="O793" s="50">
        <f t="shared" si="278"/>
        <v>0</v>
      </c>
      <c r="P793" s="59"/>
      <c r="Q793" s="141">
        <v>0</v>
      </c>
      <c r="R793" s="50">
        <f t="shared" si="279"/>
        <v>0</v>
      </c>
      <c r="S793" s="51">
        <f t="shared" si="280"/>
        <v>0</v>
      </c>
      <c r="T793" s="60">
        <v>5</v>
      </c>
      <c r="U793" s="61" t="s">
        <v>810</v>
      </c>
      <c r="V793" s="53">
        <f>SUMIF('Avoided Costs 2014-2023'!$A:$A,'2014 Actuals'!U793&amp;ROUNDDOWN('2014 Actuals'!T793,0),'Avoided Costs 2014-2023'!$E:$E)*K793</f>
        <v>12426.418705168471</v>
      </c>
      <c r="W793" s="53">
        <f>SUMIF('Avoided Costs 2014-2023'!$A:$A,'2014 Actuals'!U793&amp;ROUNDDOWN('2014 Actuals'!T793,0),'Avoided Costs 2014-2023'!$K:$K)*O793</f>
        <v>0</v>
      </c>
      <c r="X793" s="53">
        <f>SUMIF('Avoided Costs 2014-2023'!$A:$A,'2014 Actuals'!U793&amp;ROUNDDOWN('2014 Actuals'!T793,0),'Avoided Costs 2014-2023'!$M:$M)*S793</f>
        <v>0</v>
      </c>
      <c r="Y793" s="53">
        <f t="shared" si="286"/>
        <v>12426.418705168471</v>
      </c>
      <c r="Z793" s="55">
        <v>6364</v>
      </c>
      <c r="AA793" s="54">
        <f t="shared" si="281"/>
        <v>3182</v>
      </c>
      <c r="AB793" s="54"/>
      <c r="AC793" s="54"/>
      <c r="AD793" s="54"/>
      <c r="AE793" s="54">
        <f t="shared" si="282"/>
        <v>3182</v>
      </c>
      <c r="AF793" s="54">
        <f t="shared" si="283"/>
        <v>9244.4187051684712</v>
      </c>
      <c r="AG793" s="49">
        <f t="shared" si="284"/>
        <v>76414.05</v>
      </c>
      <c r="AH793" s="49">
        <f t="shared" si="285"/>
        <v>152828.1</v>
      </c>
    </row>
    <row r="794" spans="1:34" s="56" customFormat="1">
      <c r="A794" s="62" t="s">
        <v>896</v>
      </c>
      <c r="B794" s="62"/>
      <c r="C794" s="62"/>
      <c r="D794" s="62"/>
      <c r="E794" s="141">
        <v>1</v>
      </c>
      <c r="F794" s="142"/>
      <c r="G794" s="143">
        <v>0.5</v>
      </c>
      <c r="H794" s="143">
        <v>0</v>
      </c>
      <c r="I794" s="49">
        <v>168005</v>
      </c>
      <c r="J794" s="49">
        <f t="shared" si="275"/>
        <v>173885.17499999999</v>
      </c>
      <c r="K794" s="49">
        <f t="shared" si="276"/>
        <v>86942.587499999994</v>
      </c>
      <c r="L794" s="58"/>
      <c r="M794" s="141">
        <v>0</v>
      </c>
      <c r="N794" s="50">
        <f t="shared" si="277"/>
        <v>0</v>
      </c>
      <c r="O794" s="50">
        <f t="shared" si="278"/>
        <v>0</v>
      </c>
      <c r="P794" s="59"/>
      <c r="Q794" s="141">
        <v>0</v>
      </c>
      <c r="R794" s="50">
        <f t="shared" si="279"/>
        <v>0</v>
      </c>
      <c r="S794" s="51">
        <f t="shared" si="280"/>
        <v>0</v>
      </c>
      <c r="T794" s="60">
        <v>18</v>
      </c>
      <c r="U794" s="61" t="s">
        <v>810</v>
      </c>
      <c r="V794" s="53">
        <f>SUMIF('Avoided Costs 2014-2023'!$A:$A,'2014 Actuals'!U794&amp;ROUNDDOWN('2014 Actuals'!T794,0),'Avoided Costs 2014-2023'!$E:$E)*K794</f>
        <v>214599.68540744114</v>
      </c>
      <c r="W794" s="53">
        <f>SUMIF('Avoided Costs 2014-2023'!$A:$A,'2014 Actuals'!U794&amp;ROUNDDOWN('2014 Actuals'!T794,0),'Avoided Costs 2014-2023'!$K:$K)*O794</f>
        <v>0</v>
      </c>
      <c r="X794" s="53">
        <f>SUMIF('Avoided Costs 2014-2023'!$A:$A,'2014 Actuals'!U794&amp;ROUNDDOWN('2014 Actuals'!T794,0),'Avoided Costs 2014-2023'!$M:$M)*S794</f>
        <v>0</v>
      </c>
      <c r="Y794" s="53">
        <f t="shared" si="286"/>
        <v>214599.68540744114</v>
      </c>
      <c r="Z794" s="55">
        <v>175821</v>
      </c>
      <c r="AA794" s="54">
        <f t="shared" si="281"/>
        <v>87910.5</v>
      </c>
      <c r="AB794" s="54"/>
      <c r="AC794" s="54"/>
      <c r="AD794" s="54"/>
      <c r="AE794" s="54">
        <f t="shared" si="282"/>
        <v>87910.5</v>
      </c>
      <c r="AF794" s="54">
        <f t="shared" si="283"/>
        <v>126689.18540744114</v>
      </c>
      <c r="AG794" s="49">
        <f t="shared" si="284"/>
        <v>1564966.575</v>
      </c>
      <c r="AH794" s="49">
        <f t="shared" si="285"/>
        <v>3129933.15</v>
      </c>
    </row>
    <row r="795" spans="1:34" s="56" customFormat="1">
      <c r="A795" s="62" t="s">
        <v>897</v>
      </c>
      <c r="B795" s="62"/>
      <c r="C795" s="62"/>
      <c r="D795" s="62"/>
      <c r="E795" s="141">
        <v>1</v>
      </c>
      <c r="F795" s="142"/>
      <c r="G795" s="143">
        <v>0.5</v>
      </c>
      <c r="H795" s="143">
        <v>0</v>
      </c>
      <c r="I795" s="49">
        <v>54606</v>
      </c>
      <c r="J795" s="49">
        <f t="shared" si="275"/>
        <v>56517.21</v>
      </c>
      <c r="K795" s="49">
        <f t="shared" si="276"/>
        <v>28258.605</v>
      </c>
      <c r="L795" s="58"/>
      <c r="M795" s="141">
        <v>-25022</v>
      </c>
      <c r="N795" s="50">
        <f t="shared" si="277"/>
        <v>-25022</v>
      </c>
      <c r="O795" s="50">
        <f t="shared" si="278"/>
        <v>-12511</v>
      </c>
      <c r="P795" s="59"/>
      <c r="Q795" s="141">
        <v>0</v>
      </c>
      <c r="R795" s="50">
        <f t="shared" si="279"/>
        <v>0</v>
      </c>
      <c r="S795" s="51">
        <f t="shared" si="280"/>
        <v>0</v>
      </c>
      <c r="T795" s="60">
        <v>20</v>
      </c>
      <c r="U795" s="61" t="s">
        <v>810</v>
      </c>
      <c r="V795" s="53">
        <f>SUMIF('Avoided Costs 2014-2023'!$A:$A,'2014 Actuals'!U795&amp;ROUNDDOWN('2014 Actuals'!T795,0),'Avoided Costs 2014-2023'!$E:$E)*K795</f>
        <v>74531.014873608234</v>
      </c>
      <c r="W795" s="53">
        <f>SUMIF('Avoided Costs 2014-2023'!$A:$A,'2014 Actuals'!U795&amp;ROUNDDOWN('2014 Actuals'!T795,0),'Avoided Costs 2014-2023'!$K:$K)*O795</f>
        <v>-17791.982651083865</v>
      </c>
      <c r="X795" s="53">
        <f>SUMIF('Avoided Costs 2014-2023'!$A:$A,'2014 Actuals'!U795&amp;ROUNDDOWN('2014 Actuals'!T795,0),'Avoided Costs 2014-2023'!$M:$M)*S795</f>
        <v>0</v>
      </c>
      <c r="Y795" s="53">
        <f t="shared" si="286"/>
        <v>56739.032222524373</v>
      </c>
      <c r="Z795" s="55">
        <v>18469</v>
      </c>
      <c r="AA795" s="54">
        <f t="shared" si="281"/>
        <v>9234.5</v>
      </c>
      <c r="AB795" s="54"/>
      <c r="AC795" s="54"/>
      <c r="AD795" s="54"/>
      <c r="AE795" s="54">
        <f t="shared" si="282"/>
        <v>9234.5</v>
      </c>
      <c r="AF795" s="54">
        <f t="shared" si="283"/>
        <v>47504.532222524373</v>
      </c>
      <c r="AG795" s="49">
        <f t="shared" si="284"/>
        <v>565172.1</v>
      </c>
      <c r="AH795" s="49">
        <f t="shared" si="285"/>
        <v>1130344.2</v>
      </c>
    </row>
    <row r="796" spans="1:34" s="56" customFormat="1">
      <c r="A796" s="62" t="s">
        <v>898</v>
      </c>
      <c r="B796" s="62"/>
      <c r="C796" s="62"/>
      <c r="D796" s="62"/>
      <c r="E796" s="141">
        <v>1</v>
      </c>
      <c r="F796" s="142"/>
      <c r="G796" s="143">
        <v>0.5</v>
      </c>
      <c r="H796" s="143">
        <v>0</v>
      </c>
      <c r="I796" s="49">
        <v>28701</v>
      </c>
      <c r="J796" s="49">
        <f t="shared" si="275"/>
        <v>29705.534999999996</v>
      </c>
      <c r="K796" s="49">
        <f t="shared" si="276"/>
        <v>14852.767499999998</v>
      </c>
      <c r="L796" s="58"/>
      <c r="M796" s="141">
        <v>0</v>
      </c>
      <c r="N796" s="50">
        <f t="shared" si="277"/>
        <v>0</v>
      </c>
      <c r="O796" s="50">
        <f t="shared" si="278"/>
        <v>0</v>
      </c>
      <c r="P796" s="59"/>
      <c r="Q796" s="141">
        <v>0</v>
      </c>
      <c r="R796" s="50">
        <f t="shared" si="279"/>
        <v>0</v>
      </c>
      <c r="S796" s="51">
        <f t="shared" si="280"/>
        <v>0</v>
      </c>
      <c r="T796" s="60">
        <v>25</v>
      </c>
      <c r="U796" s="61" t="s">
        <v>810</v>
      </c>
      <c r="V796" s="53">
        <f>SUMIF('Avoided Costs 2014-2023'!$A:$A,'2014 Actuals'!U796&amp;ROUNDDOWN('2014 Actuals'!T796,0),'Avoided Costs 2014-2023'!$E:$E)*K796</f>
        <v>44497.150474147798</v>
      </c>
      <c r="W796" s="53">
        <f>SUMIF('Avoided Costs 2014-2023'!$A:$A,'2014 Actuals'!U796&amp;ROUNDDOWN('2014 Actuals'!T796,0),'Avoided Costs 2014-2023'!$K:$K)*O796</f>
        <v>0</v>
      </c>
      <c r="X796" s="53">
        <f>SUMIF('Avoided Costs 2014-2023'!$A:$A,'2014 Actuals'!U796&amp;ROUNDDOWN('2014 Actuals'!T796,0),'Avoided Costs 2014-2023'!$M:$M)*S796</f>
        <v>0</v>
      </c>
      <c r="Y796" s="53">
        <f t="shared" si="286"/>
        <v>44497.150474147798</v>
      </c>
      <c r="Z796" s="55">
        <v>19995</v>
      </c>
      <c r="AA796" s="54">
        <f t="shared" si="281"/>
        <v>9997.5</v>
      </c>
      <c r="AB796" s="54"/>
      <c r="AC796" s="54"/>
      <c r="AD796" s="54"/>
      <c r="AE796" s="54">
        <f t="shared" si="282"/>
        <v>9997.5</v>
      </c>
      <c r="AF796" s="54">
        <f t="shared" si="283"/>
        <v>34499.650474147798</v>
      </c>
      <c r="AG796" s="49">
        <f t="shared" si="284"/>
        <v>371319.18749999994</v>
      </c>
      <c r="AH796" s="49">
        <f t="shared" si="285"/>
        <v>742638.37499999988</v>
      </c>
    </row>
    <row r="797" spans="1:34" s="56" customFormat="1">
      <c r="A797" s="62" t="s">
        <v>899</v>
      </c>
      <c r="B797" s="62"/>
      <c r="C797" s="62"/>
      <c r="D797" s="62"/>
      <c r="E797" s="141">
        <v>1</v>
      </c>
      <c r="F797" s="142"/>
      <c r="G797" s="143">
        <v>0.5</v>
      </c>
      <c r="H797" s="143">
        <v>0</v>
      </c>
      <c r="I797" s="49">
        <v>90087</v>
      </c>
      <c r="J797" s="49">
        <f t="shared" si="275"/>
        <v>93240.044999999998</v>
      </c>
      <c r="K797" s="49">
        <f t="shared" si="276"/>
        <v>46620.022499999999</v>
      </c>
      <c r="L797" s="58"/>
      <c r="M797" s="141">
        <v>0</v>
      </c>
      <c r="N797" s="50">
        <f t="shared" si="277"/>
        <v>0</v>
      </c>
      <c r="O797" s="50">
        <f t="shared" si="278"/>
        <v>0</v>
      </c>
      <c r="P797" s="59"/>
      <c r="Q797" s="141">
        <v>0</v>
      </c>
      <c r="R797" s="50">
        <f t="shared" si="279"/>
        <v>0</v>
      </c>
      <c r="S797" s="51">
        <f t="shared" si="280"/>
        <v>0</v>
      </c>
      <c r="T797" s="60">
        <v>5</v>
      </c>
      <c r="U797" s="61" t="s">
        <v>810</v>
      </c>
      <c r="V797" s="53">
        <f>SUMIF('Avoided Costs 2014-2023'!$A:$A,'2014 Actuals'!U797&amp;ROUNDDOWN('2014 Actuals'!T797,0),'Avoided Costs 2014-2023'!$E:$E)*K797</f>
        <v>37906.636255333608</v>
      </c>
      <c r="W797" s="53">
        <f>SUMIF('Avoided Costs 2014-2023'!$A:$A,'2014 Actuals'!U797&amp;ROUNDDOWN('2014 Actuals'!T797,0),'Avoided Costs 2014-2023'!$K:$K)*O797</f>
        <v>0</v>
      </c>
      <c r="X797" s="53">
        <f>SUMIF('Avoided Costs 2014-2023'!$A:$A,'2014 Actuals'!U797&amp;ROUNDDOWN('2014 Actuals'!T797,0),'Avoided Costs 2014-2023'!$M:$M)*S797</f>
        <v>0</v>
      </c>
      <c r="Y797" s="53">
        <f t="shared" si="286"/>
        <v>37906.636255333608</v>
      </c>
      <c r="Z797" s="55">
        <v>7933.37</v>
      </c>
      <c r="AA797" s="54">
        <f t="shared" si="281"/>
        <v>3966.6849999999999</v>
      </c>
      <c r="AB797" s="54"/>
      <c r="AC797" s="54"/>
      <c r="AD797" s="54"/>
      <c r="AE797" s="54">
        <f t="shared" si="282"/>
        <v>3966.6849999999999</v>
      </c>
      <c r="AF797" s="54">
        <f t="shared" si="283"/>
        <v>33939.95125533361</v>
      </c>
      <c r="AG797" s="49">
        <f t="shared" si="284"/>
        <v>233100.11249999999</v>
      </c>
      <c r="AH797" s="49">
        <f t="shared" si="285"/>
        <v>466200.22499999998</v>
      </c>
    </row>
    <row r="798" spans="1:34" s="56" customFormat="1">
      <c r="A798" s="62" t="s">
        <v>900</v>
      </c>
      <c r="B798" s="62"/>
      <c r="C798" s="62"/>
      <c r="D798" s="62"/>
      <c r="E798" s="141">
        <v>1</v>
      </c>
      <c r="F798" s="142"/>
      <c r="G798" s="143">
        <v>0.5</v>
      </c>
      <c r="H798" s="143">
        <v>0</v>
      </c>
      <c r="I798" s="49">
        <v>15965</v>
      </c>
      <c r="J798" s="49">
        <f t="shared" si="275"/>
        <v>16523.774999999998</v>
      </c>
      <c r="K798" s="49">
        <f t="shared" si="276"/>
        <v>8261.8874999999989</v>
      </c>
      <c r="L798" s="58"/>
      <c r="M798" s="141">
        <v>0</v>
      </c>
      <c r="N798" s="50">
        <f t="shared" si="277"/>
        <v>0</v>
      </c>
      <c r="O798" s="50">
        <f t="shared" si="278"/>
        <v>0</v>
      </c>
      <c r="P798" s="59"/>
      <c r="Q798" s="141">
        <v>0</v>
      </c>
      <c r="R798" s="50">
        <f t="shared" si="279"/>
        <v>0</v>
      </c>
      <c r="S798" s="51">
        <f t="shared" si="280"/>
        <v>0</v>
      </c>
      <c r="T798" s="60">
        <v>5</v>
      </c>
      <c r="U798" s="61" t="s">
        <v>810</v>
      </c>
      <c r="V798" s="53">
        <f>SUMIF('Avoided Costs 2014-2023'!$A:$A,'2014 Actuals'!U798&amp;ROUNDDOWN('2014 Actuals'!T798,0),'Avoided Costs 2014-2023'!$E:$E)*K798</f>
        <v>6717.7222886365507</v>
      </c>
      <c r="W798" s="53">
        <f>SUMIF('Avoided Costs 2014-2023'!$A:$A,'2014 Actuals'!U798&amp;ROUNDDOWN('2014 Actuals'!T798,0),'Avoided Costs 2014-2023'!$K:$K)*O798</f>
        <v>0</v>
      </c>
      <c r="X798" s="53">
        <f>SUMIF('Avoided Costs 2014-2023'!$A:$A,'2014 Actuals'!U798&amp;ROUNDDOWN('2014 Actuals'!T798,0),'Avoided Costs 2014-2023'!$M:$M)*S798</f>
        <v>0</v>
      </c>
      <c r="Y798" s="53">
        <f t="shared" si="286"/>
        <v>6717.7222886365507</v>
      </c>
      <c r="Z798" s="55">
        <v>250</v>
      </c>
      <c r="AA798" s="54">
        <f t="shared" si="281"/>
        <v>125</v>
      </c>
      <c r="AB798" s="54"/>
      <c r="AC798" s="54"/>
      <c r="AD798" s="54"/>
      <c r="AE798" s="54">
        <f t="shared" si="282"/>
        <v>125</v>
      </c>
      <c r="AF798" s="54">
        <f t="shared" si="283"/>
        <v>6592.7222886365507</v>
      </c>
      <c r="AG798" s="49">
        <f t="shared" si="284"/>
        <v>41309.437499999993</v>
      </c>
      <c r="AH798" s="49">
        <f t="shared" si="285"/>
        <v>82618.874999999985</v>
      </c>
    </row>
    <row r="799" spans="1:34" s="56" customFormat="1">
      <c r="A799" s="62" t="s">
        <v>901</v>
      </c>
      <c r="B799" s="62"/>
      <c r="C799" s="62"/>
      <c r="D799" s="62"/>
      <c r="E799" s="141">
        <v>0</v>
      </c>
      <c r="F799" s="142"/>
      <c r="G799" s="143">
        <v>0.5</v>
      </c>
      <c r="H799" s="143">
        <v>0</v>
      </c>
      <c r="I799" s="49">
        <v>229104</v>
      </c>
      <c r="J799" s="49">
        <f t="shared" si="275"/>
        <v>237122.63999999998</v>
      </c>
      <c r="K799" s="49">
        <f t="shared" si="276"/>
        <v>118561.31999999999</v>
      </c>
      <c r="L799" s="58"/>
      <c r="M799" s="141">
        <v>0</v>
      </c>
      <c r="N799" s="50">
        <f t="shared" si="277"/>
        <v>0</v>
      </c>
      <c r="O799" s="50">
        <f t="shared" si="278"/>
        <v>0</v>
      </c>
      <c r="P799" s="59"/>
      <c r="Q799" s="141">
        <v>0</v>
      </c>
      <c r="R799" s="50">
        <f t="shared" si="279"/>
        <v>0</v>
      </c>
      <c r="S799" s="51">
        <f t="shared" si="280"/>
        <v>0</v>
      </c>
      <c r="T799" s="60">
        <v>20</v>
      </c>
      <c r="U799" s="61" t="s">
        <v>810</v>
      </c>
      <c r="V799" s="53">
        <f>SUMIF('Avoided Costs 2014-2023'!$A:$A,'2014 Actuals'!U799&amp;ROUNDDOWN('2014 Actuals'!T799,0),'Avoided Costs 2014-2023'!$E:$E)*K799</f>
        <v>312701.05174528697</v>
      </c>
      <c r="W799" s="53">
        <f>SUMIF('Avoided Costs 2014-2023'!$A:$A,'2014 Actuals'!U799&amp;ROUNDDOWN('2014 Actuals'!T799,0),'Avoided Costs 2014-2023'!$K:$K)*O799</f>
        <v>0</v>
      </c>
      <c r="X799" s="53">
        <f>SUMIF('Avoided Costs 2014-2023'!$A:$A,'2014 Actuals'!U799&amp;ROUNDDOWN('2014 Actuals'!T799,0),'Avoided Costs 2014-2023'!$M:$M)*S799</f>
        <v>0</v>
      </c>
      <c r="Y799" s="53">
        <f t="shared" si="286"/>
        <v>312701.05174528697</v>
      </c>
      <c r="Z799" s="55">
        <v>12567</v>
      </c>
      <c r="AA799" s="54">
        <f t="shared" si="281"/>
        <v>6283.5</v>
      </c>
      <c r="AB799" s="54"/>
      <c r="AC799" s="54"/>
      <c r="AD799" s="54"/>
      <c r="AE799" s="54">
        <f t="shared" si="282"/>
        <v>6283.5</v>
      </c>
      <c r="AF799" s="54">
        <f t="shared" si="283"/>
        <v>306417.55174528697</v>
      </c>
      <c r="AG799" s="49">
        <f t="shared" si="284"/>
        <v>2371226.4</v>
      </c>
      <c r="AH799" s="49">
        <f t="shared" si="285"/>
        <v>4742452.8</v>
      </c>
    </row>
    <row r="800" spans="1:34" s="56" customFormat="1">
      <c r="A800" s="62" t="s">
        <v>902</v>
      </c>
      <c r="B800" s="62"/>
      <c r="C800" s="62"/>
      <c r="D800" s="62"/>
      <c r="E800" s="141">
        <v>1</v>
      </c>
      <c r="F800" s="142"/>
      <c r="G800" s="143">
        <v>0.5</v>
      </c>
      <c r="H800" s="143">
        <v>0</v>
      </c>
      <c r="I800" s="49">
        <v>596382</v>
      </c>
      <c r="J800" s="49">
        <f t="shared" si="275"/>
        <v>617255.37</v>
      </c>
      <c r="K800" s="49">
        <f t="shared" si="276"/>
        <v>308627.685</v>
      </c>
      <c r="L800" s="58"/>
      <c r="M800" s="141">
        <v>0</v>
      </c>
      <c r="N800" s="50">
        <f t="shared" si="277"/>
        <v>0</v>
      </c>
      <c r="O800" s="50">
        <f t="shared" si="278"/>
        <v>0</v>
      </c>
      <c r="P800" s="59"/>
      <c r="Q800" s="141">
        <v>0</v>
      </c>
      <c r="R800" s="50">
        <f t="shared" si="279"/>
        <v>0</v>
      </c>
      <c r="S800" s="51">
        <f t="shared" si="280"/>
        <v>0</v>
      </c>
      <c r="T800" s="60">
        <v>15</v>
      </c>
      <c r="U800" s="61" t="s">
        <v>810</v>
      </c>
      <c r="V800" s="53">
        <f>SUMIF('Avoided Costs 2014-2023'!$A:$A,'2014 Actuals'!U800&amp;ROUNDDOWN('2014 Actuals'!T800,0),'Avoided Costs 2014-2023'!$E:$E)*K800</f>
        <v>673471.66329089575</v>
      </c>
      <c r="W800" s="53">
        <f>SUMIF('Avoided Costs 2014-2023'!$A:$A,'2014 Actuals'!U800&amp;ROUNDDOWN('2014 Actuals'!T800,0),'Avoided Costs 2014-2023'!$K:$K)*O800</f>
        <v>0</v>
      </c>
      <c r="X800" s="53">
        <f>SUMIF('Avoided Costs 2014-2023'!$A:$A,'2014 Actuals'!U800&amp;ROUNDDOWN('2014 Actuals'!T800,0),'Avoided Costs 2014-2023'!$M:$M)*S800</f>
        <v>0</v>
      </c>
      <c r="Y800" s="53">
        <f t="shared" si="286"/>
        <v>673471.66329089575</v>
      </c>
      <c r="Z800" s="55">
        <v>284963</v>
      </c>
      <c r="AA800" s="54">
        <f t="shared" si="281"/>
        <v>142481.5</v>
      </c>
      <c r="AB800" s="54"/>
      <c r="AC800" s="54"/>
      <c r="AD800" s="54"/>
      <c r="AE800" s="54">
        <f t="shared" si="282"/>
        <v>142481.5</v>
      </c>
      <c r="AF800" s="54">
        <f t="shared" si="283"/>
        <v>530990.16329089575</v>
      </c>
      <c r="AG800" s="49">
        <f t="shared" si="284"/>
        <v>4629415.2750000004</v>
      </c>
      <c r="AH800" s="49">
        <f t="shared" si="285"/>
        <v>9258830.5500000007</v>
      </c>
    </row>
    <row r="801" spans="1:34" s="56" customFormat="1">
      <c r="A801" s="62" t="s">
        <v>903</v>
      </c>
      <c r="B801" s="62"/>
      <c r="C801" s="62"/>
      <c r="D801" s="62"/>
      <c r="E801" s="141">
        <v>1</v>
      </c>
      <c r="F801" s="142"/>
      <c r="G801" s="143">
        <v>0.5</v>
      </c>
      <c r="H801" s="143">
        <v>0</v>
      </c>
      <c r="I801" s="49">
        <v>106851</v>
      </c>
      <c r="J801" s="49">
        <f t="shared" si="275"/>
        <v>110590.78499999999</v>
      </c>
      <c r="K801" s="49">
        <f t="shared" si="276"/>
        <v>55295.392499999994</v>
      </c>
      <c r="L801" s="58"/>
      <c r="M801" s="141">
        <v>484866</v>
      </c>
      <c r="N801" s="50">
        <f t="shared" si="277"/>
        <v>484866</v>
      </c>
      <c r="O801" s="50">
        <f t="shared" si="278"/>
        <v>242433</v>
      </c>
      <c r="P801" s="59"/>
      <c r="Q801" s="141">
        <v>0</v>
      </c>
      <c r="R801" s="50">
        <f t="shared" si="279"/>
        <v>0</v>
      </c>
      <c r="S801" s="51">
        <f t="shared" si="280"/>
        <v>0</v>
      </c>
      <c r="T801" s="60">
        <v>15</v>
      </c>
      <c r="U801" s="61" t="s">
        <v>810</v>
      </c>
      <c r="V801" s="53">
        <f>SUMIF('Avoided Costs 2014-2023'!$A:$A,'2014 Actuals'!U801&amp;ROUNDDOWN('2014 Actuals'!T801,0),'Avoided Costs 2014-2023'!$E:$E)*K801</f>
        <v>120662.79782806236</v>
      </c>
      <c r="W801" s="53">
        <f>SUMIF('Avoided Costs 2014-2023'!$A:$A,'2014 Actuals'!U801&amp;ROUNDDOWN('2014 Actuals'!T801,0),'Avoided Costs 2014-2023'!$K:$K)*O801</f>
        <v>286672.26177654171</v>
      </c>
      <c r="X801" s="53">
        <f>SUMIF('Avoided Costs 2014-2023'!$A:$A,'2014 Actuals'!U801&amp;ROUNDDOWN('2014 Actuals'!T801,0),'Avoided Costs 2014-2023'!$M:$M)*S801</f>
        <v>0</v>
      </c>
      <c r="Y801" s="53">
        <f t="shared" si="286"/>
        <v>407335.05960460409</v>
      </c>
      <c r="Z801" s="55">
        <v>579800</v>
      </c>
      <c r="AA801" s="54">
        <f t="shared" si="281"/>
        <v>289900</v>
      </c>
      <c r="AB801" s="54"/>
      <c r="AC801" s="54"/>
      <c r="AD801" s="54"/>
      <c r="AE801" s="54">
        <f t="shared" si="282"/>
        <v>289900</v>
      </c>
      <c r="AF801" s="54">
        <f t="shared" si="283"/>
        <v>117435.05960460409</v>
      </c>
      <c r="AG801" s="49">
        <f t="shared" si="284"/>
        <v>829430.88749999995</v>
      </c>
      <c r="AH801" s="49">
        <f t="shared" si="285"/>
        <v>1658861.7749999999</v>
      </c>
    </row>
    <row r="802" spans="1:34" s="56" customFormat="1">
      <c r="A802" s="62" t="s">
        <v>904</v>
      </c>
      <c r="B802" s="62"/>
      <c r="C802" s="62"/>
      <c r="D802" s="62"/>
      <c r="E802" s="141">
        <v>1</v>
      </c>
      <c r="F802" s="142"/>
      <c r="G802" s="143">
        <v>0.5</v>
      </c>
      <c r="H802" s="143">
        <v>0</v>
      </c>
      <c r="I802" s="49">
        <v>95313</v>
      </c>
      <c r="J802" s="49">
        <f t="shared" si="275"/>
        <v>98648.954999999987</v>
      </c>
      <c r="K802" s="49">
        <f t="shared" si="276"/>
        <v>49324.477499999994</v>
      </c>
      <c r="L802" s="58"/>
      <c r="M802" s="141">
        <v>0</v>
      </c>
      <c r="N802" s="50">
        <f t="shared" si="277"/>
        <v>0</v>
      </c>
      <c r="O802" s="50">
        <f t="shared" si="278"/>
        <v>0</v>
      </c>
      <c r="P802" s="59"/>
      <c r="Q802" s="141">
        <v>0</v>
      </c>
      <c r="R802" s="50">
        <f t="shared" si="279"/>
        <v>0</v>
      </c>
      <c r="S802" s="51">
        <f t="shared" si="280"/>
        <v>0</v>
      </c>
      <c r="T802" s="60">
        <v>5</v>
      </c>
      <c r="U802" s="61" t="s">
        <v>810</v>
      </c>
      <c r="V802" s="53">
        <f>SUMIF('Avoided Costs 2014-2023'!$A:$A,'2014 Actuals'!U802&amp;ROUNDDOWN('2014 Actuals'!T802,0),'Avoided Costs 2014-2023'!$E:$E)*K802</f>
        <v>40105.622580445699</v>
      </c>
      <c r="W802" s="53">
        <f>SUMIF('Avoided Costs 2014-2023'!$A:$A,'2014 Actuals'!U802&amp;ROUNDDOWN('2014 Actuals'!T802,0),'Avoided Costs 2014-2023'!$K:$K)*O802</f>
        <v>0</v>
      </c>
      <c r="X802" s="53">
        <f>SUMIF('Avoided Costs 2014-2023'!$A:$A,'2014 Actuals'!U802&amp;ROUNDDOWN('2014 Actuals'!T802,0),'Avoided Costs 2014-2023'!$M:$M)*S802</f>
        <v>0</v>
      </c>
      <c r="Y802" s="53">
        <f t="shared" si="286"/>
        <v>40105.622580445699</v>
      </c>
      <c r="Z802" s="55">
        <v>3776</v>
      </c>
      <c r="AA802" s="54">
        <f t="shared" si="281"/>
        <v>1888</v>
      </c>
      <c r="AB802" s="54"/>
      <c r="AC802" s="54"/>
      <c r="AD802" s="54"/>
      <c r="AE802" s="54">
        <f t="shared" si="282"/>
        <v>1888</v>
      </c>
      <c r="AF802" s="54">
        <f t="shared" si="283"/>
        <v>38217.622580445699</v>
      </c>
      <c r="AG802" s="49">
        <f t="shared" si="284"/>
        <v>246622.38749999995</v>
      </c>
      <c r="AH802" s="49">
        <f t="shared" si="285"/>
        <v>493244.77499999991</v>
      </c>
    </row>
    <row r="803" spans="1:34" s="56" customFormat="1">
      <c r="A803" s="62" t="s">
        <v>905</v>
      </c>
      <c r="B803" s="62"/>
      <c r="C803" s="62"/>
      <c r="D803" s="62"/>
      <c r="E803" s="141">
        <v>1</v>
      </c>
      <c r="F803" s="142"/>
      <c r="G803" s="143">
        <v>0.5</v>
      </c>
      <c r="H803" s="143">
        <v>0</v>
      </c>
      <c r="I803" s="49">
        <v>88460</v>
      </c>
      <c r="J803" s="49">
        <f t="shared" si="275"/>
        <v>91556.099999999991</v>
      </c>
      <c r="K803" s="49">
        <f t="shared" si="276"/>
        <v>45778.049999999996</v>
      </c>
      <c r="L803" s="58"/>
      <c r="M803" s="141">
        <v>0</v>
      </c>
      <c r="N803" s="50">
        <f t="shared" si="277"/>
        <v>0</v>
      </c>
      <c r="O803" s="50">
        <f t="shared" si="278"/>
        <v>0</v>
      </c>
      <c r="P803" s="59"/>
      <c r="Q803" s="141">
        <v>0</v>
      </c>
      <c r="R803" s="50">
        <f t="shared" si="279"/>
        <v>0</v>
      </c>
      <c r="S803" s="51">
        <f t="shared" si="280"/>
        <v>0</v>
      </c>
      <c r="T803" s="60">
        <v>18</v>
      </c>
      <c r="U803" s="61" t="s">
        <v>810</v>
      </c>
      <c r="V803" s="53">
        <f>SUMIF('Avoided Costs 2014-2023'!$A:$A,'2014 Actuals'!U803&amp;ROUNDDOWN('2014 Actuals'!T803,0),'Avoided Costs 2014-2023'!$E:$E)*K803</f>
        <v>112993.59049517718</v>
      </c>
      <c r="W803" s="53">
        <f>SUMIF('Avoided Costs 2014-2023'!$A:$A,'2014 Actuals'!U803&amp;ROUNDDOWN('2014 Actuals'!T803,0),'Avoided Costs 2014-2023'!$K:$K)*O803</f>
        <v>0</v>
      </c>
      <c r="X803" s="53">
        <f>SUMIF('Avoided Costs 2014-2023'!$A:$A,'2014 Actuals'!U803&amp;ROUNDDOWN('2014 Actuals'!T803,0),'Avoided Costs 2014-2023'!$M:$M)*S803</f>
        <v>0</v>
      </c>
      <c r="Y803" s="53">
        <f t="shared" si="286"/>
        <v>112993.59049517718</v>
      </c>
      <c r="Z803" s="55">
        <v>147000</v>
      </c>
      <c r="AA803" s="54">
        <f t="shared" si="281"/>
        <v>73500</v>
      </c>
      <c r="AB803" s="54"/>
      <c r="AC803" s="54"/>
      <c r="AD803" s="54"/>
      <c r="AE803" s="54">
        <f t="shared" si="282"/>
        <v>73500</v>
      </c>
      <c r="AF803" s="54">
        <f t="shared" si="283"/>
        <v>39493.590495177181</v>
      </c>
      <c r="AG803" s="49">
        <f t="shared" si="284"/>
        <v>824004.89999999991</v>
      </c>
      <c r="AH803" s="49">
        <f t="shared" si="285"/>
        <v>1648009.7999999998</v>
      </c>
    </row>
    <row r="804" spans="1:34" s="56" customFormat="1">
      <c r="A804" s="62" t="s">
        <v>906</v>
      </c>
      <c r="B804" s="62"/>
      <c r="C804" s="62"/>
      <c r="D804" s="62"/>
      <c r="E804" s="141">
        <v>1</v>
      </c>
      <c r="F804" s="142"/>
      <c r="G804" s="143">
        <v>0.5</v>
      </c>
      <c r="H804" s="143">
        <v>0</v>
      </c>
      <c r="I804" s="49">
        <v>77369</v>
      </c>
      <c r="J804" s="49">
        <f t="shared" si="275"/>
        <v>80076.914999999994</v>
      </c>
      <c r="K804" s="49">
        <f t="shared" si="276"/>
        <v>40038.457499999997</v>
      </c>
      <c r="L804" s="58"/>
      <c r="M804" s="141">
        <v>0</v>
      </c>
      <c r="N804" s="50">
        <f t="shared" si="277"/>
        <v>0</v>
      </c>
      <c r="O804" s="50">
        <f t="shared" si="278"/>
        <v>0</v>
      </c>
      <c r="P804" s="59"/>
      <c r="Q804" s="141">
        <v>0</v>
      </c>
      <c r="R804" s="50">
        <f t="shared" si="279"/>
        <v>0</v>
      </c>
      <c r="S804" s="51">
        <f t="shared" si="280"/>
        <v>0</v>
      </c>
      <c r="T804" s="60">
        <v>15</v>
      </c>
      <c r="U804" s="61" t="s">
        <v>810</v>
      </c>
      <c r="V804" s="53">
        <f>SUMIF('Avoided Costs 2014-2023'!$A:$A,'2014 Actuals'!U804&amp;ROUNDDOWN('2014 Actuals'!T804,0),'Avoided Costs 2014-2023'!$E:$E)*K804</f>
        <v>87369.888959011689</v>
      </c>
      <c r="W804" s="53">
        <f>SUMIF('Avoided Costs 2014-2023'!$A:$A,'2014 Actuals'!U804&amp;ROUNDDOWN('2014 Actuals'!T804,0),'Avoided Costs 2014-2023'!$K:$K)*O804</f>
        <v>0</v>
      </c>
      <c r="X804" s="53">
        <f>SUMIF('Avoided Costs 2014-2023'!$A:$A,'2014 Actuals'!U804&amp;ROUNDDOWN('2014 Actuals'!T804,0),'Avoided Costs 2014-2023'!$M:$M)*S804</f>
        <v>0</v>
      </c>
      <c r="Y804" s="53">
        <f t="shared" si="286"/>
        <v>87369.888959011689</v>
      </c>
      <c r="Z804" s="55">
        <v>12060</v>
      </c>
      <c r="AA804" s="54">
        <f t="shared" si="281"/>
        <v>6030</v>
      </c>
      <c r="AB804" s="54"/>
      <c r="AC804" s="54"/>
      <c r="AD804" s="54"/>
      <c r="AE804" s="54">
        <f t="shared" si="282"/>
        <v>6030</v>
      </c>
      <c r="AF804" s="54">
        <f t="shared" si="283"/>
        <v>81339.888959011689</v>
      </c>
      <c r="AG804" s="49">
        <f t="shared" si="284"/>
        <v>600576.86249999993</v>
      </c>
      <c r="AH804" s="49">
        <f t="shared" si="285"/>
        <v>1201153.7249999999</v>
      </c>
    </row>
    <row r="805" spans="1:34" s="56" customFormat="1">
      <c r="A805" s="62" t="s">
        <v>907</v>
      </c>
      <c r="B805" s="62"/>
      <c r="C805" s="62"/>
      <c r="D805" s="62"/>
      <c r="E805" s="141">
        <v>1</v>
      </c>
      <c r="F805" s="142"/>
      <c r="G805" s="143">
        <v>0.5</v>
      </c>
      <c r="H805" s="143">
        <v>0</v>
      </c>
      <c r="I805" s="49">
        <v>17709</v>
      </c>
      <c r="J805" s="49">
        <f t="shared" si="275"/>
        <v>18328.814999999999</v>
      </c>
      <c r="K805" s="49">
        <f t="shared" si="276"/>
        <v>9164.4074999999993</v>
      </c>
      <c r="L805" s="58"/>
      <c r="M805" s="141">
        <v>0</v>
      </c>
      <c r="N805" s="50">
        <f t="shared" si="277"/>
        <v>0</v>
      </c>
      <c r="O805" s="50">
        <f t="shared" si="278"/>
        <v>0</v>
      </c>
      <c r="P805" s="59"/>
      <c r="Q805" s="141">
        <v>0</v>
      </c>
      <c r="R805" s="50">
        <f t="shared" si="279"/>
        <v>0</v>
      </c>
      <c r="S805" s="51">
        <f t="shared" si="280"/>
        <v>0</v>
      </c>
      <c r="T805" s="60">
        <v>5</v>
      </c>
      <c r="U805" s="61" t="s">
        <v>810</v>
      </c>
      <c r="V805" s="53">
        <f>SUMIF('Avoided Costs 2014-2023'!$A:$A,'2014 Actuals'!U805&amp;ROUNDDOWN('2014 Actuals'!T805,0),'Avoided Costs 2014-2023'!$E:$E)*K805</f>
        <v>7451.559286530829</v>
      </c>
      <c r="W805" s="53">
        <f>SUMIF('Avoided Costs 2014-2023'!$A:$A,'2014 Actuals'!U805&amp;ROUNDDOWN('2014 Actuals'!T805,0),'Avoided Costs 2014-2023'!$K:$K)*O805</f>
        <v>0</v>
      </c>
      <c r="X805" s="53">
        <f>SUMIF('Avoided Costs 2014-2023'!$A:$A,'2014 Actuals'!U805&amp;ROUNDDOWN('2014 Actuals'!T805,0),'Avoided Costs 2014-2023'!$M:$M)*S805</f>
        <v>0</v>
      </c>
      <c r="Y805" s="53">
        <f t="shared" si="286"/>
        <v>7451.559286530829</v>
      </c>
      <c r="Z805" s="55">
        <v>1624</v>
      </c>
      <c r="AA805" s="54">
        <f t="shared" si="281"/>
        <v>812</v>
      </c>
      <c r="AB805" s="54"/>
      <c r="AC805" s="54"/>
      <c r="AD805" s="54"/>
      <c r="AE805" s="54">
        <f t="shared" si="282"/>
        <v>812</v>
      </c>
      <c r="AF805" s="54">
        <f t="shared" si="283"/>
        <v>6639.559286530829</v>
      </c>
      <c r="AG805" s="49">
        <f t="shared" si="284"/>
        <v>45822.037499999999</v>
      </c>
      <c r="AH805" s="49">
        <f t="shared" si="285"/>
        <v>91644.074999999997</v>
      </c>
    </row>
    <row r="806" spans="1:34" s="56" customFormat="1">
      <c r="A806" s="62" t="s">
        <v>908</v>
      </c>
      <c r="B806" s="62"/>
      <c r="C806" s="62"/>
      <c r="D806" s="62"/>
      <c r="E806" s="141">
        <v>1</v>
      </c>
      <c r="F806" s="142"/>
      <c r="G806" s="143">
        <v>0.5</v>
      </c>
      <c r="H806" s="143">
        <v>0</v>
      </c>
      <c r="I806" s="49">
        <v>24819</v>
      </c>
      <c r="J806" s="49">
        <f t="shared" si="275"/>
        <v>25687.664999999997</v>
      </c>
      <c r="K806" s="49">
        <f t="shared" si="276"/>
        <v>12843.832499999999</v>
      </c>
      <c r="L806" s="58"/>
      <c r="M806" s="141">
        <v>7513</v>
      </c>
      <c r="N806" s="50">
        <f t="shared" si="277"/>
        <v>7513</v>
      </c>
      <c r="O806" s="50">
        <f t="shared" si="278"/>
        <v>3756.5</v>
      </c>
      <c r="P806" s="59"/>
      <c r="Q806" s="141">
        <v>0</v>
      </c>
      <c r="R806" s="50">
        <f t="shared" si="279"/>
        <v>0</v>
      </c>
      <c r="S806" s="51">
        <f t="shared" si="280"/>
        <v>0</v>
      </c>
      <c r="T806" s="60">
        <v>15</v>
      </c>
      <c r="U806" s="61" t="s">
        <v>810</v>
      </c>
      <c r="V806" s="53">
        <f>SUMIF('Avoided Costs 2014-2023'!$A:$A,'2014 Actuals'!U806&amp;ROUNDDOWN('2014 Actuals'!T806,0),'Avoided Costs 2014-2023'!$E:$E)*K806</f>
        <v>28027.159121530727</v>
      </c>
      <c r="W806" s="53">
        <f>SUMIF('Avoided Costs 2014-2023'!$A:$A,'2014 Actuals'!U806&amp;ROUNDDOWN('2014 Actuals'!T806,0),'Avoided Costs 2014-2023'!$K:$K)*O806</f>
        <v>4441.9874825769548</v>
      </c>
      <c r="X806" s="53">
        <f>SUMIF('Avoided Costs 2014-2023'!$A:$A,'2014 Actuals'!U806&amp;ROUNDDOWN('2014 Actuals'!T806,0),'Avoided Costs 2014-2023'!$M:$M)*S806</f>
        <v>0</v>
      </c>
      <c r="Y806" s="53">
        <f t="shared" si="286"/>
        <v>32469.146604107682</v>
      </c>
      <c r="Z806" s="55">
        <v>5190</v>
      </c>
      <c r="AA806" s="54">
        <f t="shared" si="281"/>
        <v>2595</v>
      </c>
      <c r="AB806" s="54"/>
      <c r="AC806" s="54"/>
      <c r="AD806" s="54"/>
      <c r="AE806" s="54">
        <f t="shared" si="282"/>
        <v>2595</v>
      </c>
      <c r="AF806" s="54">
        <f t="shared" si="283"/>
        <v>29874.146604107682</v>
      </c>
      <c r="AG806" s="49">
        <f t="shared" si="284"/>
        <v>192657.48749999999</v>
      </c>
      <c r="AH806" s="49">
        <f t="shared" si="285"/>
        <v>385314.97499999998</v>
      </c>
    </row>
    <row r="807" spans="1:34" s="56" customFormat="1">
      <c r="A807" s="62" t="s">
        <v>909</v>
      </c>
      <c r="B807" s="62"/>
      <c r="C807" s="62"/>
      <c r="D807" s="62"/>
      <c r="E807" s="141">
        <v>1</v>
      </c>
      <c r="F807" s="142"/>
      <c r="G807" s="143">
        <v>0.5</v>
      </c>
      <c r="H807" s="143">
        <v>0</v>
      </c>
      <c r="I807" s="49">
        <v>29662</v>
      </c>
      <c r="J807" s="49">
        <f t="shared" si="275"/>
        <v>30700.17</v>
      </c>
      <c r="K807" s="49">
        <f t="shared" si="276"/>
        <v>15350.084999999999</v>
      </c>
      <c r="L807" s="58"/>
      <c r="M807" s="141">
        <v>0</v>
      </c>
      <c r="N807" s="50">
        <f t="shared" si="277"/>
        <v>0</v>
      </c>
      <c r="O807" s="50">
        <f t="shared" si="278"/>
        <v>0</v>
      </c>
      <c r="P807" s="59"/>
      <c r="Q807" s="141">
        <v>0</v>
      </c>
      <c r="R807" s="50">
        <f t="shared" si="279"/>
        <v>0</v>
      </c>
      <c r="S807" s="51">
        <f t="shared" si="280"/>
        <v>0</v>
      </c>
      <c r="T807" s="60">
        <v>5</v>
      </c>
      <c r="U807" s="61" t="s">
        <v>810</v>
      </c>
      <c r="V807" s="53">
        <f>SUMIF('Avoided Costs 2014-2023'!$A:$A,'2014 Actuals'!U807&amp;ROUNDDOWN('2014 Actuals'!T807,0),'Avoided Costs 2014-2023'!$E:$E)*K807</f>
        <v>12481.119857534444</v>
      </c>
      <c r="W807" s="53">
        <f>SUMIF('Avoided Costs 2014-2023'!$A:$A,'2014 Actuals'!U807&amp;ROUNDDOWN('2014 Actuals'!T807,0),'Avoided Costs 2014-2023'!$K:$K)*O807</f>
        <v>0</v>
      </c>
      <c r="X807" s="53">
        <f>SUMIF('Avoided Costs 2014-2023'!$A:$A,'2014 Actuals'!U807&amp;ROUNDDOWN('2014 Actuals'!T807,0),'Avoided Costs 2014-2023'!$M:$M)*S807</f>
        <v>0</v>
      </c>
      <c r="Y807" s="53">
        <f t="shared" si="286"/>
        <v>12481.119857534444</v>
      </c>
      <c r="Z807" s="55">
        <v>1944</v>
      </c>
      <c r="AA807" s="54">
        <f t="shared" si="281"/>
        <v>972</v>
      </c>
      <c r="AB807" s="54"/>
      <c r="AC807" s="54"/>
      <c r="AD807" s="54"/>
      <c r="AE807" s="54">
        <f t="shared" si="282"/>
        <v>972</v>
      </c>
      <c r="AF807" s="54">
        <f t="shared" si="283"/>
        <v>11509.119857534444</v>
      </c>
      <c r="AG807" s="49">
        <f t="shared" si="284"/>
        <v>76750.424999999988</v>
      </c>
      <c r="AH807" s="49">
        <f t="shared" si="285"/>
        <v>153500.84999999998</v>
      </c>
    </row>
    <row r="808" spans="1:34" s="56" customFormat="1">
      <c r="A808" s="62" t="s">
        <v>910</v>
      </c>
      <c r="B808" s="62"/>
      <c r="C808" s="62"/>
      <c r="D808" s="62"/>
      <c r="E808" s="141">
        <v>1</v>
      </c>
      <c r="F808" s="142"/>
      <c r="G808" s="143">
        <v>0.5</v>
      </c>
      <c r="H808" s="143">
        <v>0</v>
      </c>
      <c r="I808" s="49">
        <v>322225</v>
      </c>
      <c r="J808" s="49">
        <f t="shared" si="275"/>
        <v>333502.875</v>
      </c>
      <c r="K808" s="49">
        <f t="shared" si="276"/>
        <v>166751.4375</v>
      </c>
      <c r="L808" s="58"/>
      <c r="M808" s="141">
        <v>0</v>
      </c>
      <c r="N808" s="50">
        <f t="shared" si="277"/>
        <v>0</v>
      </c>
      <c r="O808" s="50">
        <f t="shared" si="278"/>
        <v>0</v>
      </c>
      <c r="P808" s="59"/>
      <c r="Q808" s="141">
        <v>0</v>
      </c>
      <c r="R808" s="50">
        <f t="shared" si="279"/>
        <v>0</v>
      </c>
      <c r="S808" s="51">
        <f t="shared" si="280"/>
        <v>0</v>
      </c>
      <c r="T808" s="60">
        <v>15</v>
      </c>
      <c r="U808" s="61" t="s">
        <v>810</v>
      </c>
      <c r="V808" s="53">
        <f>SUMIF('Avoided Costs 2014-2023'!$A:$A,'2014 Actuals'!U808&amp;ROUNDDOWN('2014 Actuals'!T808,0),'Avoided Costs 2014-2023'!$E:$E)*K808</f>
        <v>363876.51992164226</v>
      </c>
      <c r="W808" s="53">
        <f>SUMIF('Avoided Costs 2014-2023'!$A:$A,'2014 Actuals'!U808&amp;ROUNDDOWN('2014 Actuals'!T808,0),'Avoided Costs 2014-2023'!$K:$K)*O808</f>
        <v>0</v>
      </c>
      <c r="X808" s="53">
        <f>SUMIF('Avoided Costs 2014-2023'!$A:$A,'2014 Actuals'!U808&amp;ROUNDDOWN('2014 Actuals'!T808,0),'Avoided Costs 2014-2023'!$M:$M)*S808</f>
        <v>0</v>
      </c>
      <c r="Y808" s="53">
        <f t="shared" si="286"/>
        <v>363876.51992164226</v>
      </c>
      <c r="Z808" s="55">
        <v>17663</v>
      </c>
      <c r="AA808" s="54">
        <f t="shared" si="281"/>
        <v>8831.5</v>
      </c>
      <c r="AB808" s="54"/>
      <c r="AC808" s="54"/>
      <c r="AD808" s="54"/>
      <c r="AE808" s="54">
        <f t="shared" si="282"/>
        <v>8831.5</v>
      </c>
      <c r="AF808" s="54">
        <f t="shared" si="283"/>
        <v>355045.01992164226</v>
      </c>
      <c r="AG808" s="49">
        <f t="shared" si="284"/>
        <v>2501271.5625</v>
      </c>
      <c r="AH808" s="49">
        <f t="shared" si="285"/>
        <v>5002543.125</v>
      </c>
    </row>
    <row r="809" spans="1:34" s="56" customFormat="1">
      <c r="A809" s="62" t="s">
        <v>911</v>
      </c>
      <c r="B809" s="62"/>
      <c r="C809" s="62"/>
      <c r="D809" s="62"/>
      <c r="E809" s="141">
        <v>1</v>
      </c>
      <c r="F809" s="142"/>
      <c r="G809" s="143">
        <v>0.5</v>
      </c>
      <c r="H809" s="143">
        <v>0</v>
      </c>
      <c r="I809" s="49">
        <v>39862</v>
      </c>
      <c r="J809" s="49">
        <f t="shared" si="275"/>
        <v>41257.17</v>
      </c>
      <c r="K809" s="49">
        <f t="shared" si="276"/>
        <v>20628.584999999999</v>
      </c>
      <c r="L809" s="58"/>
      <c r="M809" s="141">
        <v>0</v>
      </c>
      <c r="N809" s="50">
        <f t="shared" si="277"/>
        <v>0</v>
      </c>
      <c r="O809" s="50">
        <f t="shared" si="278"/>
        <v>0</v>
      </c>
      <c r="P809" s="59"/>
      <c r="Q809" s="141">
        <v>0</v>
      </c>
      <c r="R809" s="50">
        <f t="shared" si="279"/>
        <v>0</v>
      </c>
      <c r="S809" s="51">
        <f t="shared" si="280"/>
        <v>0</v>
      </c>
      <c r="T809" s="60">
        <v>15</v>
      </c>
      <c r="U809" s="61" t="s">
        <v>810</v>
      </c>
      <c r="V809" s="53">
        <f>SUMIF('Avoided Costs 2014-2023'!$A:$A,'2014 Actuals'!U809&amp;ROUNDDOWN('2014 Actuals'!T809,0),'Avoided Costs 2014-2023'!$E:$E)*K809</f>
        <v>45014.650747510292</v>
      </c>
      <c r="W809" s="53">
        <f>SUMIF('Avoided Costs 2014-2023'!$A:$A,'2014 Actuals'!U809&amp;ROUNDDOWN('2014 Actuals'!T809,0),'Avoided Costs 2014-2023'!$K:$K)*O809</f>
        <v>0</v>
      </c>
      <c r="X809" s="53">
        <f>SUMIF('Avoided Costs 2014-2023'!$A:$A,'2014 Actuals'!U809&amp;ROUNDDOWN('2014 Actuals'!T809,0),'Avoided Costs 2014-2023'!$M:$M)*S809</f>
        <v>0</v>
      </c>
      <c r="Y809" s="53">
        <f t="shared" si="286"/>
        <v>45014.650747510292</v>
      </c>
      <c r="Z809" s="55">
        <v>22150</v>
      </c>
      <c r="AA809" s="54">
        <f t="shared" si="281"/>
        <v>11075</v>
      </c>
      <c r="AB809" s="54"/>
      <c r="AC809" s="54"/>
      <c r="AD809" s="54"/>
      <c r="AE809" s="54">
        <f t="shared" si="282"/>
        <v>11075</v>
      </c>
      <c r="AF809" s="54">
        <f t="shared" si="283"/>
        <v>33939.650747510292</v>
      </c>
      <c r="AG809" s="49">
        <f t="shared" si="284"/>
        <v>309428.77499999997</v>
      </c>
      <c r="AH809" s="49">
        <f t="shared" si="285"/>
        <v>618857.54999999993</v>
      </c>
    </row>
    <row r="810" spans="1:34" s="56" customFormat="1">
      <c r="A810" s="62" t="s">
        <v>912</v>
      </c>
      <c r="B810" s="62"/>
      <c r="C810" s="62"/>
      <c r="D810" s="62"/>
      <c r="E810" s="141">
        <v>1</v>
      </c>
      <c r="F810" s="142"/>
      <c r="G810" s="143">
        <v>0.5</v>
      </c>
      <c r="H810" s="143">
        <v>0</v>
      </c>
      <c r="I810" s="49">
        <v>1230655</v>
      </c>
      <c r="J810" s="49">
        <f t="shared" si="275"/>
        <v>1273727.9249999998</v>
      </c>
      <c r="K810" s="49">
        <f t="shared" si="276"/>
        <v>636863.96249999991</v>
      </c>
      <c r="L810" s="58"/>
      <c r="M810" s="141">
        <v>0</v>
      </c>
      <c r="N810" s="50">
        <f t="shared" si="277"/>
        <v>0</v>
      </c>
      <c r="O810" s="50">
        <f t="shared" si="278"/>
        <v>0</v>
      </c>
      <c r="P810" s="59"/>
      <c r="Q810" s="141">
        <v>0</v>
      </c>
      <c r="R810" s="50">
        <f t="shared" si="279"/>
        <v>0</v>
      </c>
      <c r="S810" s="51">
        <f t="shared" si="280"/>
        <v>0</v>
      </c>
      <c r="T810" s="60">
        <v>5</v>
      </c>
      <c r="U810" s="61" t="s">
        <v>810</v>
      </c>
      <c r="V810" s="53">
        <f>SUMIF('Avoided Costs 2014-2023'!$A:$A,'2014 Actuals'!U810&amp;ROUNDDOWN('2014 Actuals'!T810,0),'Avoided Costs 2014-2023'!$E:$E)*K810</f>
        <v>517832.66665343026</v>
      </c>
      <c r="W810" s="53">
        <f>SUMIF('Avoided Costs 2014-2023'!$A:$A,'2014 Actuals'!U810&amp;ROUNDDOWN('2014 Actuals'!T810,0),'Avoided Costs 2014-2023'!$K:$K)*O810</f>
        <v>0</v>
      </c>
      <c r="X810" s="53">
        <f>SUMIF('Avoided Costs 2014-2023'!$A:$A,'2014 Actuals'!U810&amp;ROUNDDOWN('2014 Actuals'!T810,0),'Avoided Costs 2014-2023'!$M:$M)*S810</f>
        <v>0</v>
      </c>
      <c r="Y810" s="53">
        <f t="shared" si="286"/>
        <v>517832.66665343026</v>
      </c>
      <c r="Z810" s="55">
        <v>64233</v>
      </c>
      <c r="AA810" s="54">
        <f t="shared" si="281"/>
        <v>32116.5</v>
      </c>
      <c r="AB810" s="54"/>
      <c r="AC810" s="54"/>
      <c r="AD810" s="54"/>
      <c r="AE810" s="54">
        <f t="shared" si="282"/>
        <v>32116.5</v>
      </c>
      <c r="AF810" s="54">
        <f t="shared" si="283"/>
        <v>485716.16665343026</v>
      </c>
      <c r="AG810" s="49">
        <f t="shared" si="284"/>
        <v>3184319.8124999995</v>
      </c>
      <c r="AH810" s="49">
        <f t="shared" si="285"/>
        <v>6368639.6249999991</v>
      </c>
    </row>
    <row r="811" spans="1:34" s="56" customFormat="1">
      <c r="A811" s="62" t="s">
        <v>913</v>
      </c>
      <c r="B811" s="62"/>
      <c r="C811" s="62"/>
      <c r="D811" s="62"/>
      <c r="E811" s="141">
        <v>1</v>
      </c>
      <c r="F811" s="142"/>
      <c r="G811" s="143">
        <v>0.5</v>
      </c>
      <c r="H811" s="143">
        <v>0</v>
      </c>
      <c r="I811" s="49">
        <v>121754</v>
      </c>
      <c r="J811" s="49">
        <f t="shared" si="275"/>
        <v>126015.38999999998</v>
      </c>
      <c r="K811" s="49">
        <f t="shared" si="276"/>
        <v>63007.694999999992</v>
      </c>
      <c r="L811" s="58"/>
      <c r="M811" s="141">
        <v>0</v>
      </c>
      <c r="N811" s="50">
        <f t="shared" si="277"/>
        <v>0</v>
      </c>
      <c r="O811" s="50">
        <f t="shared" si="278"/>
        <v>0</v>
      </c>
      <c r="P811" s="59"/>
      <c r="Q811" s="141">
        <v>0</v>
      </c>
      <c r="R811" s="50">
        <f t="shared" si="279"/>
        <v>0</v>
      </c>
      <c r="S811" s="51">
        <f t="shared" si="280"/>
        <v>0</v>
      </c>
      <c r="T811" s="60">
        <v>25</v>
      </c>
      <c r="U811" s="61" t="s">
        <v>810</v>
      </c>
      <c r="V811" s="53">
        <f>SUMIF('Avoided Costs 2014-2023'!$A:$A,'2014 Actuals'!U811&amp;ROUNDDOWN('2014 Actuals'!T811,0),'Avoided Costs 2014-2023'!$E:$E)*K811</f>
        <v>188763.66882092578</v>
      </c>
      <c r="W811" s="53">
        <f>SUMIF('Avoided Costs 2014-2023'!$A:$A,'2014 Actuals'!U811&amp;ROUNDDOWN('2014 Actuals'!T811,0),'Avoided Costs 2014-2023'!$K:$K)*O811</f>
        <v>0</v>
      </c>
      <c r="X811" s="53">
        <f>SUMIF('Avoided Costs 2014-2023'!$A:$A,'2014 Actuals'!U811&amp;ROUNDDOWN('2014 Actuals'!T811,0),'Avoided Costs 2014-2023'!$M:$M)*S811</f>
        <v>0</v>
      </c>
      <c r="Y811" s="53">
        <f t="shared" si="286"/>
        <v>188763.66882092578</v>
      </c>
      <c r="Z811" s="55">
        <v>228500</v>
      </c>
      <c r="AA811" s="54">
        <f t="shared" si="281"/>
        <v>114250</v>
      </c>
      <c r="AB811" s="54"/>
      <c r="AC811" s="54"/>
      <c r="AD811" s="54"/>
      <c r="AE811" s="54">
        <f t="shared" si="282"/>
        <v>114250</v>
      </c>
      <c r="AF811" s="54">
        <f t="shared" si="283"/>
        <v>74513.668820925785</v>
      </c>
      <c r="AG811" s="49">
        <f t="shared" si="284"/>
        <v>1575192.3749999998</v>
      </c>
      <c r="AH811" s="49">
        <f t="shared" si="285"/>
        <v>3150384.7499999995</v>
      </c>
    </row>
    <row r="812" spans="1:34" s="56" customFormat="1">
      <c r="A812" s="62" t="s">
        <v>914</v>
      </c>
      <c r="B812" s="62"/>
      <c r="C812" s="62"/>
      <c r="D812" s="62"/>
      <c r="E812" s="141">
        <v>1</v>
      </c>
      <c r="F812" s="142"/>
      <c r="G812" s="143">
        <v>0.5</v>
      </c>
      <c r="H812" s="143">
        <v>0</v>
      </c>
      <c r="I812" s="49">
        <v>383084</v>
      </c>
      <c r="J812" s="49">
        <f t="shared" si="275"/>
        <v>396491.93999999994</v>
      </c>
      <c r="K812" s="49">
        <f t="shared" si="276"/>
        <v>198245.96999999997</v>
      </c>
      <c r="L812" s="58"/>
      <c r="M812" s="141">
        <v>0</v>
      </c>
      <c r="N812" s="50">
        <f t="shared" si="277"/>
        <v>0</v>
      </c>
      <c r="O812" s="50">
        <f t="shared" si="278"/>
        <v>0</v>
      </c>
      <c r="P812" s="59"/>
      <c r="Q812" s="141">
        <v>0</v>
      </c>
      <c r="R812" s="50">
        <f t="shared" si="279"/>
        <v>0</v>
      </c>
      <c r="S812" s="51">
        <f t="shared" si="280"/>
        <v>0</v>
      </c>
      <c r="T812" s="60">
        <v>5</v>
      </c>
      <c r="U812" s="61" t="s">
        <v>810</v>
      </c>
      <c r="V812" s="53">
        <f>SUMIF('Avoided Costs 2014-2023'!$A:$A,'2014 Actuals'!U812&amp;ROUNDDOWN('2014 Actuals'!T812,0),'Avoided Costs 2014-2023'!$E:$E)*K812</f>
        <v>161193.35579204789</v>
      </c>
      <c r="W812" s="53">
        <f>SUMIF('Avoided Costs 2014-2023'!$A:$A,'2014 Actuals'!U812&amp;ROUNDDOWN('2014 Actuals'!T812,0),'Avoided Costs 2014-2023'!$K:$K)*O812</f>
        <v>0</v>
      </c>
      <c r="X812" s="53">
        <f>SUMIF('Avoided Costs 2014-2023'!$A:$A,'2014 Actuals'!U812&amp;ROUNDDOWN('2014 Actuals'!T812,0),'Avoided Costs 2014-2023'!$M:$M)*S812</f>
        <v>0</v>
      </c>
      <c r="Y812" s="53">
        <f t="shared" si="286"/>
        <v>161193.35579204789</v>
      </c>
      <c r="Z812" s="55">
        <v>60000</v>
      </c>
      <c r="AA812" s="54">
        <f t="shared" si="281"/>
        <v>30000</v>
      </c>
      <c r="AB812" s="54"/>
      <c r="AC812" s="54"/>
      <c r="AD812" s="54"/>
      <c r="AE812" s="54">
        <f t="shared" si="282"/>
        <v>30000</v>
      </c>
      <c r="AF812" s="54">
        <f t="shared" si="283"/>
        <v>131193.35579204789</v>
      </c>
      <c r="AG812" s="49">
        <f t="shared" si="284"/>
        <v>991229.84999999986</v>
      </c>
      <c r="AH812" s="49">
        <f t="shared" si="285"/>
        <v>1982459.6999999997</v>
      </c>
    </row>
    <row r="813" spans="1:34" s="56" customFormat="1">
      <c r="A813" s="62" t="s">
        <v>915</v>
      </c>
      <c r="B813" s="62"/>
      <c r="C813" s="62"/>
      <c r="D813" s="62"/>
      <c r="E813" s="141">
        <v>1</v>
      </c>
      <c r="F813" s="142"/>
      <c r="G813" s="143">
        <v>0.5</v>
      </c>
      <c r="H813" s="143">
        <v>0</v>
      </c>
      <c r="I813" s="49">
        <v>272345</v>
      </c>
      <c r="J813" s="49">
        <f t="shared" si="275"/>
        <v>281877.07499999995</v>
      </c>
      <c r="K813" s="49">
        <f t="shared" si="276"/>
        <v>140938.53749999998</v>
      </c>
      <c r="L813" s="58"/>
      <c r="M813" s="141">
        <v>0</v>
      </c>
      <c r="N813" s="50">
        <f t="shared" si="277"/>
        <v>0</v>
      </c>
      <c r="O813" s="50">
        <f t="shared" si="278"/>
        <v>0</v>
      </c>
      <c r="P813" s="59"/>
      <c r="Q813" s="141">
        <v>25825</v>
      </c>
      <c r="R813" s="50">
        <f t="shared" si="279"/>
        <v>25825</v>
      </c>
      <c r="S813" s="51">
        <f t="shared" si="280"/>
        <v>12912.5</v>
      </c>
      <c r="T813" s="60">
        <v>15</v>
      </c>
      <c r="U813" s="61" t="s">
        <v>810</v>
      </c>
      <c r="V813" s="53">
        <f>SUMIF('Avoided Costs 2014-2023'!$A:$A,'2014 Actuals'!U813&amp;ROUNDDOWN('2014 Actuals'!T813,0),'Avoided Costs 2014-2023'!$E:$E)*K813</f>
        <v>307548.92022052803</v>
      </c>
      <c r="W813" s="53">
        <f>SUMIF('Avoided Costs 2014-2023'!$A:$A,'2014 Actuals'!U813&amp;ROUNDDOWN('2014 Actuals'!T813,0),'Avoided Costs 2014-2023'!$K:$K)*O813</f>
        <v>0</v>
      </c>
      <c r="X813" s="53">
        <f>SUMIF('Avoided Costs 2014-2023'!$A:$A,'2014 Actuals'!U813&amp;ROUNDDOWN('2014 Actuals'!T813,0),'Avoided Costs 2014-2023'!$M:$M)*S813</f>
        <v>367868.3782138747</v>
      </c>
      <c r="Y813" s="53">
        <f t="shared" si="286"/>
        <v>675417.29843440279</v>
      </c>
      <c r="Z813" s="55">
        <v>55150</v>
      </c>
      <c r="AA813" s="54">
        <f t="shared" si="281"/>
        <v>27575</v>
      </c>
      <c r="AB813" s="54"/>
      <c r="AC813" s="54"/>
      <c r="AD813" s="54"/>
      <c r="AE813" s="54">
        <f t="shared" si="282"/>
        <v>27575</v>
      </c>
      <c r="AF813" s="54">
        <f t="shared" si="283"/>
        <v>647842.29843440279</v>
      </c>
      <c r="AG813" s="49">
        <f t="shared" si="284"/>
        <v>2114078.0624999995</v>
      </c>
      <c r="AH813" s="49">
        <f t="shared" si="285"/>
        <v>4228156.1249999991</v>
      </c>
    </row>
    <row r="814" spans="1:34" s="56" customFormat="1">
      <c r="A814" s="62" t="s">
        <v>916</v>
      </c>
      <c r="B814" s="62"/>
      <c r="C814" s="62"/>
      <c r="D814" s="62"/>
      <c r="E814" s="141">
        <v>1</v>
      </c>
      <c r="F814" s="142"/>
      <c r="G814" s="143">
        <v>0.5</v>
      </c>
      <c r="H814" s="143">
        <v>0</v>
      </c>
      <c r="I814" s="49">
        <v>933292</v>
      </c>
      <c r="J814" s="49">
        <f t="shared" si="275"/>
        <v>965957.22</v>
      </c>
      <c r="K814" s="49">
        <f t="shared" si="276"/>
        <v>482978.61</v>
      </c>
      <c r="L814" s="58"/>
      <c r="M814" s="141">
        <v>0</v>
      </c>
      <c r="N814" s="50">
        <f t="shared" si="277"/>
        <v>0</v>
      </c>
      <c r="O814" s="50">
        <f t="shared" si="278"/>
        <v>0</v>
      </c>
      <c r="P814" s="59"/>
      <c r="Q814" s="141">
        <v>9722</v>
      </c>
      <c r="R814" s="50">
        <f t="shared" si="279"/>
        <v>9722</v>
      </c>
      <c r="S814" s="51">
        <f t="shared" si="280"/>
        <v>4861</v>
      </c>
      <c r="T814" s="60">
        <v>5</v>
      </c>
      <c r="U814" s="61" t="s">
        <v>810</v>
      </c>
      <c r="V814" s="53">
        <f>SUMIF('Avoided Costs 2014-2023'!$A:$A,'2014 Actuals'!U814&amp;ROUNDDOWN('2014 Actuals'!T814,0),'Avoided Costs 2014-2023'!$E:$E)*K814</f>
        <v>392708.82995340961</v>
      </c>
      <c r="W814" s="53">
        <f>SUMIF('Avoided Costs 2014-2023'!$A:$A,'2014 Actuals'!U814&amp;ROUNDDOWN('2014 Actuals'!T814,0),'Avoided Costs 2014-2023'!$K:$K)*O814</f>
        <v>0</v>
      </c>
      <c r="X814" s="53">
        <f>SUMIF('Avoided Costs 2014-2023'!$A:$A,'2014 Actuals'!U814&amp;ROUNDDOWN('2014 Actuals'!T814,0),'Avoided Costs 2014-2023'!$M:$M)*S814</f>
        <v>57507.208676251867</v>
      </c>
      <c r="Y814" s="53">
        <f t="shared" si="286"/>
        <v>450216.03862966149</v>
      </c>
      <c r="Z814" s="55">
        <v>5602.66</v>
      </c>
      <c r="AA814" s="54">
        <f t="shared" si="281"/>
        <v>2801.33</v>
      </c>
      <c r="AB814" s="54"/>
      <c r="AC814" s="54"/>
      <c r="AD814" s="54"/>
      <c r="AE814" s="54">
        <f t="shared" si="282"/>
        <v>2801.33</v>
      </c>
      <c r="AF814" s="54">
        <f t="shared" si="283"/>
        <v>447414.70862966147</v>
      </c>
      <c r="AG814" s="49">
        <f t="shared" si="284"/>
        <v>2414893.0499999998</v>
      </c>
      <c r="AH814" s="49">
        <f t="shared" si="285"/>
        <v>4829786.0999999996</v>
      </c>
    </row>
    <row r="815" spans="1:34" s="56" customFormat="1">
      <c r="A815" s="62" t="s">
        <v>917</v>
      </c>
      <c r="B815" s="62"/>
      <c r="C815" s="62"/>
      <c r="D815" s="62"/>
      <c r="E815" s="141">
        <v>1</v>
      </c>
      <c r="F815" s="142"/>
      <c r="G815" s="143">
        <v>0.5</v>
      </c>
      <c r="H815" s="143">
        <v>0</v>
      </c>
      <c r="I815" s="49">
        <v>265121</v>
      </c>
      <c r="J815" s="49">
        <f t="shared" si="275"/>
        <v>274400.23499999999</v>
      </c>
      <c r="K815" s="49">
        <f t="shared" si="276"/>
        <v>137200.11749999999</v>
      </c>
      <c r="L815" s="58"/>
      <c r="M815" s="141">
        <v>0</v>
      </c>
      <c r="N815" s="50">
        <f t="shared" si="277"/>
        <v>0</v>
      </c>
      <c r="O815" s="50">
        <f t="shared" si="278"/>
        <v>0</v>
      </c>
      <c r="P815" s="59"/>
      <c r="Q815" s="141">
        <v>0</v>
      </c>
      <c r="R815" s="50">
        <f t="shared" si="279"/>
        <v>0</v>
      </c>
      <c r="S815" s="51">
        <f t="shared" si="280"/>
        <v>0</v>
      </c>
      <c r="T815" s="60">
        <v>15</v>
      </c>
      <c r="U815" s="61" t="s">
        <v>810</v>
      </c>
      <c r="V815" s="53">
        <f>SUMIF('Avoided Costs 2014-2023'!$A:$A,'2014 Actuals'!U815&amp;ROUNDDOWN('2014 Actuals'!T815,0),'Avoided Costs 2014-2023'!$E:$E)*K815</f>
        <v>299391.1299189874</v>
      </c>
      <c r="W815" s="53">
        <f>SUMIF('Avoided Costs 2014-2023'!$A:$A,'2014 Actuals'!U815&amp;ROUNDDOWN('2014 Actuals'!T815,0),'Avoided Costs 2014-2023'!$K:$K)*O815</f>
        <v>0</v>
      </c>
      <c r="X815" s="53">
        <f>SUMIF('Avoided Costs 2014-2023'!$A:$A,'2014 Actuals'!U815&amp;ROUNDDOWN('2014 Actuals'!T815,0),'Avoided Costs 2014-2023'!$M:$M)*S815</f>
        <v>0</v>
      </c>
      <c r="Y815" s="53">
        <f t="shared" si="286"/>
        <v>299391.1299189874</v>
      </c>
      <c r="Z815" s="55">
        <v>73000</v>
      </c>
      <c r="AA815" s="54">
        <f t="shared" si="281"/>
        <v>36500</v>
      </c>
      <c r="AB815" s="54"/>
      <c r="AC815" s="54"/>
      <c r="AD815" s="54"/>
      <c r="AE815" s="54">
        <f t="shared" si="282"/>
        <v>36500</v>
      </c>
      <c r="AF815" s="54">
        <f t="shared" si="283"/>
        <v>262891.1299189874</v>
      </c>
      <c r="AG815" s="49">
        <f t="shared" si="284"/>
        <v>2058001.7625</v>
      </c>
      <c r="AH815" s="49">
        <f t="shared" si="285"/>
        <v>4116003.5249999999</v>
      </c>
    </row>
    <row r="816" spans="1:34" s="56" customFormat="1">
      <c r="A816" s="62" t="s">
        <v>918</v>
      </c>
      <c r="B816" s="62"/>
      <c r="C816" s="62"/>
      <c r="D816" s="62"/>
      <c r="E816" s="141">
        <v>1</v>
      </c>
      <c r="F816" s="142"/>
      <c r="G816" s="143">
        <v>0.5</v>
      </c>
      <c r="H816" s="143">
        <v>0</v>
      </c>
      <c r="I816" s="49">
        <v>163456</v>
      </c>
      <c r="J816" s="49">
        <f t="shared" si="275"/>
        <v>169176.95999999999</v>
      </c>
      <c r="K816" s="49">
        <f t="shared" si="276"/>
        <v>84588.479999999996</v>
      </c>
      <c r="L816" s="58"/>
      <c r="M816" s="141">
        <v>0</v>
      </c>
      <c r="N816" s="50">
        <f t="shared" si="277"/>
        <v>0</v>
      </c>
      <c r="O816" s="50">
        <f t="shared" si="278"/>
        <v>0</v>
      </c>
      <c r="P816" s="59"/>
      <c r="Q816" s="141">
        <v>0</v>
      </c>
      <c r="R816" s="50">
        <f t="shared" si="279"/>
        <v>0</v>
      </c>
      <c r="S816" s="51">
        <f t="shared" si="280"/>
        <v>0</v>
      </c>
      <c r="T816" s="60">
        <v>15</v>
      </c>
      <c r="U816" s="61" t="s">
        <v>810</v>
      </c>
      <c r="V816" s="53">
        <f>SUMIF('Avoided Costs 2014-2023'!$A:$A,'2014 Actuals'!U816&amp;ROUNDDOWN('2014 Actuals'!T816,0),'Avoided Costs 2014-2023'!$E:$E)*K816</f>
        <v>184584.6859812614</v>
      </c>
      <c r="W816" s="53">
        <f>SUMIF('Avoided Costs 2014-2023'!$A:$A,'2014 Actuals'!U816&amp;ROUNDDOWN('2014 Actuals'!T816,0),'Avoided Costs 2014-2023'!$K:$K)*O816</f>
        <v>0</v>
      </c>
      <c r="X816" s="53">
        <f>SUMIF('Avoided Costs 2014-2023'!$A:$A,'2014 Actuals'!U816&amp;ROUNDDOWN('2014 Actuals'!T816,0),'Avoided Costs 2014-2023'!$M:$M)*S816</f>
        <v>0</v>
      </c>
      <c r="Y816" s="53">
        <f t="shared" si="286"/>
        <v>184584.6859812614</v>
      </c>
      <c r="Z816" s="55">
        <v>100000</v>
      </c>
      <c r="AA816" s="54">
        <f t="shared" si="281"/>
        <v>50000</v>
      </c>
      <c r="AB816" s="54"/>
      <c r="AC816" s="54"/>
      <c r="AD816" s="54"/>
      <c r="AE816" s="54">
        <f t="shared" si="282"/>
        <v>50000</v>
      </c>
      <c r="AF816" s="54">
        <f t="shared" si="283"/>
        <v>134584.6859812614</v>
      </c>
      <c r="AG816" s="49">
        <f t="shared" si="284"/>
        <v>1268827.2</v>
      </c>
      <c r="AH816" s="49">
        <f t="shared" si="285"/>
        <v>2537654.4</v>
      </c>
    </row>
    <row r="817" spans="1:34" s="56" customFormat="1">
      <c r="A817" s="62" t="s">
        <v>919</v>
      </c>
      <c r="B817" s="62"/>
      <c r="C817" s="62"/>
      <c r="D817" s="62"/>
      <c r="E817" s="141">
        <v>1</v>
      </c>
      <c r="F817" s="142"/>
      <c r="G817" s="143">
        <v>0.5</v>
      </c>
      <c r="H817" s="143">
        <v>0</v>
      </c>
      <c r="I817" s="49">
        <v>252036</v>
      </c>
      <c r="J817" s="49">
        <f t="shared" si="275"/>
        <v>260857.25999999998</v>
      </c>
      <c r="K817" s="49">
        <f t="shared" si="276"/>
        <v>130428.62999999999</v>
      </c>
      <c r="L817" s="58"/>
      <c r="M817" s="141">
        <v>0</v>
      </c>
      <c r="N817" s="50">
        <f t="shared" si="277"/>
        <v>0</v>
      </c>
      <c r="O817" s="50">
        <f t="shared" si="278"/>
        <v>0</v>
      </c>
      <c r="P817" s="59"/>
      <c r="Q817" s="141">
        <v>31517</v>
      </c>
      <c r="R817" s="50">
        <f t="shared" si="279"/>
        <v>31517</v>
      </c>
      <c r="S817" s="51">
        <f t="shared" si="280"/>
        <v>15758.5</v>
      </c>
      <c r="T817" s="60">
        <v>10</v>
      </c>
      <c r="U817" s="61" t="s">
        <v>810</v>
      </c>
      <c r="V817" s="53">
        <f>SUMIF('Avoided Costs 2014-2023'!$A:$A,'2014 Actuals'!U817&amp;ROUNDDOWN('2014 Actuals'!T817,0),'Avoided Costs 2014-2023'!$E:$E)*K817</f>
        <v>209174.78110144599</v>
      </c>
      <c r="W817" s="53">
        <f>SUMIF('Avoided Costs 2014-2023'!$A:$A,'2014 Actuals'!U817&amp;ROUNDDOWN('2014 Actuals'!T817,0),'Avoided Costs 2014-2023'!$K:$K)*O817</f>
        <v>0</v>
      </c>
      <c r="X817" s="53">
        <f>SUMIF('Avoided Costs 2014-2023'!$A:$A,'2014 Actuals'!U817&amp;ROUNDDOWN('2014 Actuals'!T817,0),'Avoided Costs 2014-2023'!$M:$M)*S817</f>
        <v>333352.23044318135</v>
      </c>
      <c r="Y817" s="53">
        <f t="shared" si="286"/>
        <v>542527.01154462737</v>
      </c>
      <c r="Z817" s="55">
        <v>715</v>
      </c>
      <c r="AA817" s="54">
        <f t="shared" si="281"/>
        <v>357.5</v>
      </c>
      <c r="AB817" s="54"/>
      <c r="AC817" s="54"/>
      <c r="AD817" s="54"/>
      <c r="AE817" s="54">
        <f t="shared" si="282"/>
        <v>357.5</v>
      </c>
      <c r="AF817" s="54">
        <f t="shared" si="283"/>
        <v>542169.51154462737</v>
      </c>
      <c r="AG817" s="49">
        <f t="shared" si="284"/>
        <v>1304286.2999999998</v>
      </c>
      <c r="AH817" s="49">
        <f t="shared" si="285"/>
        <v>2608572.5999999996</v>
      </c>
    </row>
    <row r="818" spans="1:34" s="56" customFormat="1">
      <c r="A818" s="62" t="s">
        <v>920</v>
      </c>
      <c r="B818" s="62"/>
      <c r="C818" s="62"/>
      <c r="D818" s="62"/>
      <c r="E818" s="141">
        <v>1</v>
      </c>
      <c r="F818" s="142"/>
      <c r="G818" s="143">
        <v>0.5</v>
      </c>
      <c r="H818" s="143">
        <v>0</v>
      </c>
      <c r="I818" s="49">
        <v>77622</v>
      </c>
      <c r="J818" s="49">
        <f t="shared" si="275"/>
        <v>80338.76999999999</v>
      </c>
      <c r="K818" s="49">
        <f t="shared" si="276"/>
        <v>40169.384999999995</v>
      </c>
      <c r="L818" s="58"/>
      <c r="M818" s="141">
        <v>27214</v>
      </c>
      <c r="N818" s="50">
        <f t="shared" si="277"/>
        <v>27214</v>
      </c>
      <c r="O818" s="50">
        <f t="shared" si="278"/>
        <v>13607</v>
      </c>
      <c r="P818" s="59"/>
      <c r="Q818" s="141">
        <v>0</v>
      </c>
      <c r="R818" s="50">
        <f t="shared" si="279"/>
        <v>0</v>
      </c>
      <c r="S818" s="51">
        <f t="shared" si="280"/>
        <v>0</v>
      </c>
      <c r="T818" s="60">
        <v>20</v>
      </c>
      <c r="U818" s="61" t="s">
        <v>810</v>
      </c>
      <c r="V818" s="53">
        <f>SUMIF('Avoided Costs 2014-2023'!$A:$A,'2014 Actuals'!U818&amp;ROUNDDOWN('2014 Actuals'!T818,0),'Avoided Costs 2014-2023'!$E:$E)*K818</f>
        <v>105945.25210634762</v>
      </c>
      <c r="W818" s="53">
        <f>SUMIF('Avoided Costs 2014-2023'!$A:$A,'2014 Actuals'!U818&amp;ROUNDDOWN('2014 Actuals'!T818,0),'Avoided Costs 2014-2023'!$K:$K)*O818</f>
        <v>19350.612096019355</v>
      </c>
      <c r="X818" s="53">
        <f>SUMIF('Avoided Costs 2014-2023'!$A:$A,'2014 Actuals'!U818&amp;ROUNDDOWN('2014 Actuals'!T818,0),'Avoided Costs 2014-2023'!$M:$M)*S818</f>
        <v>0</v>
      </c>
      <c r="Y818" s="53">
        <f t="shared" si="286"/>
        <v>125295.86420236697</v>
      </c>
      <c r="Z818" s="55">
        <v>247657</v>
      </c>
      <c r="AA818" s="54">
        <f t="shared" si="281"/>
        <v>123828.5</v>
      </c>
      <c r="AB818" s="54"/>
      <c r="AC818" s="54"/>
      <c r="AD818" s="54"/>
      <c r="AE818" s="54">
        <f t="shared" si="282"/>
        <v>123828.5</v>
      </c>
      <c r="AF818" s="54">
        <f t="shared" si="283"/>
        <v>1467.3642023669672</v>
      </c>
      <c r="AG818" s="49">
        <f t="shared" si="284"/>
        <v>803387.7</v>
      </c>
      <c r="AH818" s="49">
        <f t="shared" si="285"/>
        <v>1606775.4</v>
      </c>
    </row>
    <row r="819" spans="1:34" s="56" customFormat="1">
      <c r="A819" s="62" t="s">
        <v>921</v>
      </c>
      <c r="B819" s="62"/>
      <c r="C819" s="62"/>
      <c r="D819" s="62"/>
      <c r="E819" s="141">
        <v>1</v>
      </c>
      <c r="F819" s="142"/>
      <c r="G819" s="143">
        <v>0.5</v>
      </c>
      <c r="H819" s="143">
        <v>0</v>
      </c>
      <c r="I819" s="49">
        <v>58883</v>
      </c>
      <c r="J819" s="49">
        <f t="shared" si="275"/>
        <v>60943.904999999999</v>
      </c>
      <c r="K819" s="49">
        <f t="shared" si="276"/>
        <v>30471.952499999999</v>
      </c>
      <c r="L819" s="58"/>
      <c r="M819" s="141">
        <v>0</v>
      </c>
      <c r="N819" s="50">
        <f t="shared" si="277"/>
        <v>0</v>
      </c>
      <c r="O819" s="50">
        <f t="shared" si="278"/>
        <v>0</v>
      </c>
      <c r="P819" s="59"/>
      <c r="Q819" s="141">
        <v>0</v>
      </c>
      <c r="R819" s="50">
        <f t="shared" si="279"/>
        <v>0</v>
      </c>
      <c r="S819" s="51">
        <f t="shared" si="280"/>
        <v>0</v>
      </c>
      <c r="T819" s="60">
        <v>15</v>
      </c>
      <c r="U819" s="61" t="s">
        <v>810</v>
      </c>
      <c r="V819" s="53">
        <f>SUMIF('Avoided Costs 2014-2023'!$A:$A,'2014 Actuals'!U819&amp;ROUNDDOWN('2014 Actuals'!T819,0),'Avoided Costs 2014-2023'!$E:$E)*K819</f>
        <v>66494.347498009345</v>
      </c>
      <c r="W819" s="53">
        <f>SUMIF('Avoided Costs 2014-2023'!$A:$A,'2014 Actuals'!U819&amp;ROUNDDOWN('2014 Actuals'!T819,0),'Avoided Costs 2014-2023'!$K:$K)*O819</f>
        <v>0</v>
      </c>
      <c r="X819" s="53">
        <f>SUMIF('Avoided Costs 2014-2023'!$A:$A,'2014 Actuals'!U819&amp;ROUNDDOWN('2014 Actuals'!T819,0),'Avoided Costs 2014-2023'!$M:$M)*S819</f>
        <v>0</v>
      </c>
      <c r="Y819" s="53">
        <f t="shared" si="286"/>
        <v>66494.347498009345</v>
      </c>
      <c r="Z819" s="55">
        <v>53500</v>
      </c>
      <c r="AA819" s="54">
        <f t="shared" si="281"/>
        <v>26750</v>
      </c>
      <c r="AB819" s="54"/>
      <c r="AC819" s="54"/>
      <c r="AD819" s="54"/>
      <c r="AE819" s="54">
        <f t="shared" ref="AE819:AE842" si="287">AA819+AC819</f>
        <v>26750</v>
      </c>
      <c r="AF819" s="54">
        <f t="shared" ref="AF819:AF842" si="288">Y819-AE819</f>
        <v>39744.347498009345</v>
      </c>
      <c r="AG819" s="49">
        <f t="shared" ref="AG819:AG841" si="289">K819*T819</f>
        <v>457079.28749999998</v>
      </c>
      <c r="AH819" s="49">
        <f t="shared" ref="AH819:AH841" si="290">(J819*T819)</f>
        <v>914158.57499999995</v>
      </c>
    </row>
    <row r="820" spans="1:34" s="56" customFormat="1">
      <c r="A820" s="62" t="s">
        <v>922</v>
      </c>
      <c r="B820" s="62"/>
      <c r="C820" s="62"/>
      <c r="D820" s="62"/>
      <c r="E820" s="141">
        <v>1</v>
      </c>
      <c r="F820" s="142"/>
      <c r="G820" s="143">
        <v>0.5</v>
      </c>
      <c r="H820" s="143">
        <v>0</v>
      </c>
      <c r="I820" s="49">
        <v>128160</v>
      </c>
      <c r="J820" s="49">
        <f t="shared" si="275"/>
        <v>132645.59999999998</v>
      </c>
      <c r="K820" s="49">
        <f t="shared" si="276"/>
        <v>66322.799999999988</v>
      </c>
      <c r="L820" s="58"/>
      <c r="M820" s="141">
        <v>0</v>
      </c>
      <c r="N820" s="50">
        <f t="shared" si="277"/>
        <v>0</v>
      </c>
      <c r="O820" s="50">
        <f t="shared" si="278"/>
        <v>0</v>
      </c>
      <c r="P820" s="59"/>
      <c r="Q820" s="141">
        <v>0</v>
      </c>
      <c r="R820" s="50">
        <f t="shared" si="279"/>
        <v>0</v>
      </c>
      <c r="S820" s="51">
        <f t="shared" si="280"/>
        <v>0</v>
      </c>
      <c r="T820" s="60">
        <v>20</v>
      </c>
      <c r="U820" s="61" t="s">
        <v>810</v>
      </c>
      <c r="V820" s="53">
        <f>SUMIF('Avoided Costs 2014-2023'!$A:$A,'2014 Actuals'!U820&amp;ROUNDDOWN('2014 Actuals'!T820,0),'Avoided Costs 2014-2023'!$E:$E)*K820</f>
        <v>174923.90701024851</v>
      </c>
      <c r="W820" s="53">
        <f>SUMIF('Avoided Costs 2014-2023'!$A:$A,'2014 Actuals'!U820&amp;ROUNDDOWN('2014 Actuals'!T820,0),'Avoided Costs 2014-2023'!$K:$K)*O820</f>
        <v>0</v>
      </c>
      <c r="X820" s="53">
        <f>SUMIF('Avoided Costs 2014-2023'!$A:$A,'2014 Actuals'!U820&amp;ROUNDDOWN('2014 Actuals'!T820,0),'Avoided Costs 2014-2023'!$M:$M)*S820</f>
        <v>0</v>
      </c>
      <c r="Y820" s="53">
        <f t="shared" si="286"/>
        <v>174923.90701024851</v>
      </c>
      <c r="Z820" s="55">
        <v>72530</v>
      </c>
      <c r="AA820" s="54">
        <f t="shared" si="281"/>
        <v>36265</v>
      </c>
      <c r="AB820" s="54"/>
      <c r="AC820" s="54"/>
      <c r="AD820" s="54"/>
      <c r="AE820" s="54">
        <f t="shared" si="287"/>
        <v>36265</v>
      </c>
      <c r="AF820" s="54">
        <f t="shared" si="288"/>
        <v>138658.90701024851</v>
      </c>
      <c r="AG820" s="49">
        <f t="shared" si="289"/>
        <v>1326455.9999999998</v>
      </c>
      <c r="AH820" s="49">
        <f t="shared" si="290"/>
        <v>2652911.9999999995</v>
      </c>
    </row>
    <row r="821" spans="1:34" s="56" customFormat="1">
      <c r="A821" s="62" t="s">
        <v>923</v>
      </c>
      <c r="B821" s="62"/>
      <c r="C821" s="62"/>
      <c r="D821" s="62"/>
      <c r="E821" s="141">
        <v>1</v>
      </c>
      <c r="F821" s="142"/>
      <c r="G821" s="143">
        <v>0.5</v>
      </c>
      <c r="H821" s="143">
        <v>0</v>
      </c>
      <c r="I821" s="49">
        <v>103582</v>
      </c>
      <c r="J821" s="49">
        <f t="shared" si="275"/>
        <v>107207.37</v>
      </c>
      <c r="K821" s="49">
        <f t="shared" si="276"/>
        <v>53603.684999999998</v>
      </c>
      <c r="L821" s="58"/>
      <c r="M821" s="141">
        <v>0</v>
      </c>
      <c r="N821" s="50">
        <f t="shared" si="277"/>
        <v>0</v>
      </c>
      <c r="O821" s="50">
        <f t="shared" si="278"/>
        <v>0</v>
      </c>
      <c r="P821" s="59"/>
      <c r="Q821" s="141">
        <v>0</v>
      </c>
      <c r="R821" s="50">
        <f t="shared" si="279"/>
        <v>0</v>
      </c>
      <c r="S821" s="51">
        <f t="shared" si="280"/>
        <v>0</v>
      </c>
      <c r="T821" s="60">
        <v>25</v>
      </c>
      <c r="U821" s="61" t="s">
        <v>810</v>
      </c>
      <c r="V821" s="53">
        <f>SUMIF('Avoided Costs 2014-2023'!$A:$A,'2014 Actuals'!U821&amp;ROUNDDOWN('2014 Actuals'!T821,0),'Avoided Costs 2014-2023'!$E:$E)*K821</f>
        <v>160590.3571448095</v>
      </c>
      <c r="W821" s="53">
        <f>SUMIF('Avoided Costs 2014-2023'!$A:$A,'2014 Actuals'!U821&amp;ROUNDDOWN('2014 Actuals'!T821,0),'Avoided Costs 2014-2023'!$K:$K)*O821</f>
        <v>0</v>
      </c>
      <c r="X821" s="53">
        <f>SUMIF('Avoided Costs 2014-2023'!$A:$A,'2014 Actuals'!U821&amp;ROUNDDOWN('2014 Actuals'!T821,0),'Avoided Costs 2014-2023'!$M:$M)*S821</f>
        <v>0</v>
      </c>
      <c r="Y821" s="53">
        <f t="shared" si="286"/>
        <v>160590.3571448095</v>
      </c>
      <c r="Z821" s="55">
        <v>79898</v>
      </c>
      <c r="AA821" s="54">
        <f t="shared" si="281"/>
        <v>39949</v>
      </c>
      <c r="AB821" s="54"/>
      <c r="AC821" s="54"/>
      <c r="AD821" s="54"/>
      <c r="AE821" s="54">
        <f t="shared" si="287"/>
        <v>39949</v>
      </c>
      <c r="AF821" s="54">
        <f t="shared" si="288"/>
        <v>120641.3571448095</v>
      </c>
      <c r="AG821" s="49">
        <f t="shared" si="289"/>
        <v>1340092.125</v>
      </c>
      <c r="AH821" s="49">
        <f t="shared" si="290"/>
        <v>2680184.25</v>
      </c>
    </row>
    <row r="822" spans="1:34" s="56" customFormat="1">
      <c r="A822" s="62" t="s">
        <v>924</v>
      </c>
      <c r="B822" s="62"/>
      <c r="C822" s="62"/>
      <c r="D822" s="62"/>
      <c r="E822" s="141">
        <v>1</v>
      </c>
      <c r="F822" s="142"/>
      <c r="G822" s="143">
        <v>0.5</v>
      </c>
      <c r="H822" s="143">
        <v>0</v>
      </c>
      <c r="I822" s="49">
        <v>41264</v>
      </c>
      <c r="J822" s="49">
        <f t="shared" si="275"/>
        <v>42708.24</v>
      </c>
      <c r="K822" s="49">
        <f t="shared" si="276"/>
        <v>21354.12</v>
      </c>
      <c r="L822" s="58"/>
      <c r="M822" s="141">
        <v>0</v>
      </c>
      <c r="N822" s="50">
        <f t="shared" si="277"/>
        <v>0</v>
      </c>
      <c r="O822" s="50">
        <f t="shared" si="278"/>
        <v>0</v>
      </c>
      <c r="P822" s="59"/>
      <c r="Q822" s="141">
        <v>0</v>
      </c>
      <c r="R822" s="50">
        <f t="shared" si="279"/>
        <v>0</v>
      </c>
      <c r="S822" s="51">
        <f t="shared" si="280"/>
        <v>0</v>
      </c>
      <c r="T822" s="60">
        <v>15</v>
      </c>
      <c r="U822" s="61" t="s">
        <v>810</v>
      </c>
      <c r="V822" s="53">
        <f>SUMIF('Avoided Costs 2014-2023'!$A:$A,'2014 Actuals'!U822&amp;ROUNDDOWN('2014 Actuals'!T822,0),'Avoided Costs 2014-2023'!$E:$E)*K822</f>
        <v>46597.876384658688</v>
      </c>
      <c r="W822" s="53">
        <f>SUMIF('Avoided Costs 2014-2023'!$A:$A,'2014 Actuals'!U822&amp;ROUNDDOWN('2014 Actuals'!T822,0),'Avoided Costs 2014-2023'!$K:$K)*O822</f>
        <v>0</v>
      </c>
      <c r="X822" s="53">
        <f>SUMIF('Avoided Costs 2014-2023'!$A:$A,'2014 Actuals'!U822&amp;ROUNDDOWN('2014 Actuals'!T822,0),'Avoided Costs 2014-2023'!$M:$M)*S822</f>
        <v>0</v>
      </c>
      <c r="Y822" s="53">
        <f t="shared" si="286"/>
        <v>46597.876384658688</v>
      </c>
      <c r="Z822" s="55">
        <v>18950</v>
      </c>
      <c r="AA822" s="54">
        <f t="shared" si="281"/>
        <v>9475</v>
      </c>
      <c r="AB822" s="54"/>
      <c r="AC822" s="54"/>
      <c r="AD822" s="54"/>
      <c r="AE822" s="54">
        <f t="shared" si="287"/>
        <v>9475</v>
      </c>
      <c r="AF822" s="54">
        <f t="shared" si="288"/>
        <v>37122.876384658688</v>
      </c>
      <c r="AG822" s="49">
        <f t="shared" si="289"/>
        <v>320311.8</v>
      </c>
      <c r="AH822" s="49">
        <f t="shared" si="290"/>
        <v>640623.6</v>
      </c>
    </row>
    <row r="823" spans="1:34" s="56" customFormat="1">
      <c r="A823" s="62" t="s">
        <v>925</v>
      </c>
      <c r="B823" s="62"/>
      <c r="C823" s="62"/>
      <c r="D823" s="62"/>
      <c r="E823" s="141">
        <v>1</v>
      </c>
      <c r="F823" s="142"/>
      <c r="G823" s="143">
        <v>0.5</v>
      </c>
      <c r="H823" s="143">
        <v>0</v>
      </c>
      <c r="I823" s="49">
        <v>6878</v>
      </c>
      <c r="J823" s="49">
        <f t="shared" si="275"/>
        <v>7118.73</v>
      </c>
      <c r="K823" s="49">
        <f t="shared" si="276"/>
        <v>3559.3649999999998</v>
      </c>
      <c r="L823" s="58"/>
      <c r="M823" s="141">
        <v>0</v>
      </c>
      <c r="N823" s="50">
        <f t="shared" si="277"/>
        <v>0</v>
      </c>
      <c r="O823" s="50">
        <f t="shared" si="278"/>
        <v>0</v>
      </c>
      <c r="P823" s="59"/>
      <c r="Q823" s="141">
        <v>0</v>
      </c>
      <c r="R823" s="50">
        <f t="shared" si="279"/>
        <v>0</v>
      </c>
      <c r="S823" s="51">
        <f t="shared" si="280"/>
        <v>0</v>
      </c>
      <c r="T823" s="60">
        <v>20</v>
      </c>
      <c r="U823" s="61" t="s">
        <v>810</v>
      </c>
      <c r="V823" s="53">
        <f>SUMIF('Avoided Costs 2014-2023'!$A:$A,'2014 Actuals'!U823&amp;ROUNDDOWN('2014 Actuals'!T823,0),'Avoided Costs 2014-2023'!$E:$E)*K823</f>
        <v>9387.6922005031938</v>
      </c>
      <c r="W823" s="53">
        <f>SUMIF('Avoided Costs 2014-2023'!$A:$A,'2014 Actuals'!U823&amp;ROUNDDOWN('2014 Actuals'!T823,0),'Avoided Costs 2014-2023'!$K:$K)*O823</f>
        <v>0</v>
      </c>
      <c r="X823" s="53">
        <f>SUMIF('Avoided Costs 2014-2023'!$A:$A,'2014 Actuals'!U823&amp;ROUNDDOWN('2014 Actuals'!T823,0),'Avoided Costs 2014-2023'!$M:$M)*S823</f>
        <v>0</v>
      </c>
      <c r="Y823" s="53">
        <f t="shared" si="286"/>
        <v>9387.6922005031938</v>
      </c>
      <c r="Z823" s="55">
        <v>10800</v>
      </c>
      <c r="AA823" s="54">
        <f t="shared" si="281"/>
        <v>5400</v>
      </c>
      <c r="AB823" s="54"/>
      <c r="AC823" s="54"/>
      <c r="AD823" s="54"/>
      <c r="AE823" s="54">
        <f t="shared" si="287"/>
        <v>5400</v>
      </c>
      <c r="AF823" s="54">
        <f t="shared" si="288"/>
        <v>3987.6922005031938</v>
      </c>
      <c r="AG823" s="49">
        <f t="shared" si="289"/>
        <v>71187.299999999988</v>
      </c>
      <c r="AH823" s="49">
        <f t="shared" si="290"/>
        <v>142374.59999999998</v>
      </c>
    </row>
    <row r="824" spans="1:34" s="56" customFormat="1">
      <c r="A824" s="62" t="s">
        <v>926</v>
      </c>
      <c r="B824" s="62"/>
      <c r="C824" s="62"/>
      <c r="D824" s="62"/>
      <c r="E824" s="141">
        <v>1</v>
      </c>
      <c r="F824" s="142"/>
      <c r="G824" s="143">
        <v>0.5</v>
      </c>
      <c r="H824" s="143">
        <v>0</v>
      </c>
      <c r="I824" s="49">
        <v>51249</v>
      </c>
      <c r="J824" s="49">
        <f t="shared" si="275"/>
        <v>53042.714999999997</v>
      </c>
      <c r="K824" s="49">
        <f t="shared" si="276"/>
        <v>26521.357499999998</v>
      </c>
      <c r="L824" s="58"/>
      <c r="M824" s="141">
        <v>0</v>
      </c>
      <c r="N824" s="50">
        <f t="shared" si="277"/>
        <v>0</v>
      </c>
      <c r="O824" s="50">
        <f t="shared" si="278"/>
        <v>0</v>
      </c>
      <c r="P824" s="59"/>
      <c r="Q824" s="141">
        <v>0</v>
      </c>
      <c r="R824" s="50">
        <f t="shared" si="279"/>
        <v>0</v>
      </c>
      <c r="S824" s="51">
        <f t="shared" si="280"/>
        <v>0</v>
      </c>
      <c r="T824" s="60">
        <v>5</v>
      </c>
      <c r="U824" s="61" t="s">
        <v>810</v>
      </c>
      <c r="V824" s="53">
        <f>SUMIF('Avoided Costs 2014-2023'!$A:$A,'2014 Actuals'!U824&amp;ROUNDDOWN('2014 Actuals'!T824,0),'Avoided Costs 2014-2023'!$E:$E)*K824</f>
        <v>21564.456596951746</v>
      </c>
      <c r="W824" s="53">
        <f>SUMIF('Avoided Costs 2014-2023'!$A:$A,'2014 Actuals'!U824&amp;ROUNDDOWN('2014 Actuals'!T824,0),'Avoided Costs 2014-2023'!$K:$K)*O824</f>
        <v>0</v>
      </c>
      <c r="X824" s="53">
        <f>SUMIF('Avoided Costs 2014-2023'!$A:$A,'2014 Actuals'!U824&amp;ROUNDDOWN('2014 Actuals'!T824,0),'Avoided Costs 2014-2023'!$M:$M)*S824</f>
        <v>0</v>
      </c>
      <c r="Y824" s="53">
        <f t="shared" si="286"/>
        <v>21564.456596951746</v>
      </c>
      <c r="Z824" s="55">
        <v>8668.2000000000007</v>
      </c>
      <c r="AA824" s="54">
        <f t="shared" si="281"/>
        <v>4334.1000000000004</v>
      </c>
      <c r="AB824" s="54"/>
      <c r="AC824" s="54"/>
      <c r="AD824" s="54"/>
      <c r="AE824" s="54">
        <f t="shared" si="287"/>
        <v>4334.1000000000004</v>
      </c>
      <c r="AF824" s="54">
        <f t="shared" si="288"/>
        <v>17230.356596951744</v>
      </c>
      <c r="AG824" s="49">
        <f t="shared" si="289"/>
        <v>132606.78749999998</v>
      </c>
      <c r="AH824" s="49">
        <f t="shared" si="290"/>
        <v>265213.57499999995</v>
      </c>
    </row>
    <row r="825" spans="1:34" s="56" customFormat="1">
      <c r="A825" s="62" t="s">
        <v>927</v>
      </c>
      <c r="B825" s="62"/>
      <c r="C825" s="62"/>
      <c r="D825" s="62"/>
      <c r="E825" s="141">
        <v>1</v>
      </c>
      <c r="F825" s="142"/>
      <c r="G825" s="143">
        <v>0.5</v>
      </c>
      <c r="H825" s="143">
        <v>0</v>
      </c>
      <c r="I825" s="49">
        <v>26989</v>
      </c>
      <c r="J825" s="49">
        <f t="shared" si="275"/>
        <v>27933.614999999998</v>
      </c>
      <c r="K825" s="49">
        <f t="shared" si="276"/>
        <v>13966.807499999999</v>
      </c>
      <c r="L825" s="58"/>
      <c r="M825" s="141">
        <v>0</v>
      </c>
      <c r="N825" s="50">
        <f t="shared" si="277"/>
        <v>0</v>
      </c>
      <c r="O825" s="50">
        <f t="shared" si="278"/>
        <v>0</v>
      </c>
      <c r="P825" s="59"/>
      <c r="Q825" s="141">
        <v>0</v>
      </c>
      <c r="R825" s="50">
        <f t="shared" si="279"/>
        <v>0</v>
      </c>
      <c r="S825" s="51">
        <f t="shared" si="280"/>
        <v>0</v>
      </c>
      <c r="T825" s="60">
        <v>18</v>
      </c>
      <c r="U825" s="61" t="s">
        <v>810</v>
      </c>
      <c r="V825" s="53">
        <f>SUMIF('Avoided Costs 2014-2023'!$A:$A,'2014 Actuals'!U825&amp;ROUNDDOWN('2014 Actuals'!T825,0),'Avoided Costs 2014-2023'!$E:$E)*K825</f>
        <v>34474.15796828326</v>
      </c>
      <c r="W825" s="53">
        <f>SUMIF('Avoided Costs 2014-2023'!$A:$A,'2014 Actuals'!U825&amp;ROUNDDOWN('2014 Actuals'!T825,0),'Avoided Costs 2014-2023'!$K:$K)*O825</f>
        <v>0</v>
      </c>
      <c r="X825" s="53">
        <f>SUMIF('Avoided Costs 2014-2023'!$A:$A,'2014 Actuals'!U825&amp;ROUNDDOWN('2014 Actuals'!T825,0),'Avoided Costs 2014-2023'!$M:$M)*S825</f>
        <v>0</v>
      </c>
      <c r="Y825" s="53">
        <f t="shared" si="286"/>
        <v>34474.15796828326</v>
      </c>
      <c r="Z825" s="55">
        <v>17350</v>
      </c>
      <c r="AA825" s="54">
        <f t="shared" si="281"/>
        <v>8675</v>
      </c>
      <c r="AB825" s="54"/>
      <c r="AC825" s="54"/>
      <c r="AD825" s="54"/>
      <c r="AE825" s="54">
        <f t="shared" si="287"/>
        <v>8675</v>
      </c>
      <c r="AF825" s="54">
        <f t="shared" si="288"/>
        <v>25799.15796828326</v>
      </c>
      <c r="AG825" s="49">
        <f t="shared" si="289"/>
        <v>251402.53499999997</v>
      </c>
      <c r="AH825" s="49">
        <f t="shared" si="290"/>
        <v>502805.06999999995</v>
      </c>
    </row>
    <row r="826" spans="1:34" s="56" customFormat="1">
      <c r="A826" s="62" t="s">
        <v>928</v>
      </c>
      <c r="B826" s="62"/>
      <c r="C826" s="62"/>
      <c r="D826" s="62"/>
      <c r="E826" s="141">
        <v>1</v>
      </c>
      <c r="F826" s="142"/>
      <c r="G826" s="143">
        <v>0.5</v>
      </c>
      <c r="H826" s="143">
        <v>0</v>
      </c>
      <c r="I826" s="49">
        <v>1359184</v>
      </c>
      <c r="J826" s="49">
        <f t="shared" si="275"/>
        <v>1406755.44</v>
      </c>
      <c r="K826" s="49">
        <f t="shared" si="276"/>
        <v>703377.72</v>
      </c>
      <c r="L826" s="58"/>
      <c r="M826" s="141">
        <v>0</v>
      </c>
      <c r="N826" s="50">
        <f t="shared" si="277"/>
        <v>0</v>
      </c>
      <c r="O826" s="50">
        <f t="shared" si="278"/>
        <v>0</v>
      </c>
      <c r="P826" s="59"/>
      <c r="Q826" s="141">
        <v>0</v>
      </c>
      <c r="R826" s="50">
        <f t="shared" si="279"/>
        <v>0</v>
      </c>
      <c r="S826" s="51">
        <f t="shared" si="280"/>
        <v>0</v>
      </c>
      <c r="T826" s="60">
        <v>20</v>
      </c>
      <c r="U826" s="61" t="s">
        <v>810</v>
      </c>
      <c r="V826" s="53">
        <f>SUMIF('Avoided Costs 2014-2023'!$A:$A,'2014 Actuals'!U826&amp;ROUNDDOWN('2014 Actuals'!T826,0),'Avoided Costs 2014-2023'!$E:$E)*K826</f>
        <v>1855132.4565060677</v>
      </c>
      <c r="W826" s="53">
        <f>SUMIF('Avoided Costs 2014-2023'!$A:$A,'2014 Actuals'!U826&amp;ROUNDDOWN('2014 Actuals'!T826,0),'Avoided Costs 2014-2023'!$K:$K)*O826</f>
        <v>0</v>
      </c>
      <c r="X826" s="53">
        <f>SUMIF('Avoided Costs 2014-2023'!$A:$A,'2014 Actuals'!U826&amp;ROUNDDOWN('2014 Actuals'!T826,0),'Avoided Costs 2014-2023'!$M:$M)*S826</f>
        <v>0</v>
      </c>
      <c r="Y826" s="53">
        <f t="shared" si="286"/>
        <v>1855132.4565060677</v>
      </c>
      <c r="Z826" s="55">
        <v>1065000</v>
      </c>
      <c r="AA826" s="54">
        <f t="shared" si="281"/>
        <v>532500</v>
      </c>
      <c r="AB826" s="54"/>
      <c r="AC826" s="54"/>
      <c r="AD826" s="54"/>
      <c r="AE826" s="54">
        <f t="shared" si="287"/>
        <v>532500</v>
      </c>
      <c r="AF826" s="54">
        <f t="shared" si="288"/>
        <v>1322632.4565060677</v>
      </c>
      <c r="AG826" s="49">
        <f t="shared" si="289"/>
        <v>14067554.399999999</v>
      </c>
      <c r="AH826" s="49">
        <f t="shared" si="290"/>
        <v>28135108.799999997</v>
      </c>
    </row>
    <row r="827" spans="1:34" s="56" customFormat="1">
      <c r="A827" s="62" t="s">
        <v>929</v>
      </c>
      <c r="B827" s="62"/>
      <c r="C827" s="62"/>
      <c r="D827" s="62"/>
      <c r="E827" s="141">
        <v>1</v>
      </c>
      <c r="F827" s="142"/>
      <c r="G827" s="143">
        <v>0.5</v>
      </c>
      <c r="H827" s="143">
        <v>0</v>
      </c>
      <c r="I827" s="49">
        <v>81900</v>
      </c>
      <c r="J827" s="49">
        <f t="shared" si="275"/>
        <v>84766.5</v>
      </c>
      <c r="K827" s="49">
        <f t="shared" si="276"/>
        <v>42383.25</v>
      </c>
      <c r="L827" s="58"/>
      <c r="M827" s="141">
        <v>0</v>
      </c>
      <c r="N827" s="50">
        <f t="shared" si="277"/>
        <v>0</v>
      </c>
      <c r="O827" s="50">
        <f t="shared" si="278"/>
        <v>0</v>
      </c>
      <c r="P827" s="59"/>
      <c r="Q827" s="141">
        <v>0</v>
      </c>
      <c r="R827" s="50">
        <f t="shared" si="279"/>
        <v>0</v>
      </c>
      <c r="S827" s="51">
        <f t="shared" si="280"/>
        <v>0</v>
      </c>
      <c r="T827" s="60">
        <v>20</v>
      </c>
      <c r="U827" s="61" t="s">
        <v>810</v>
      </c>
      <c r="V827" s="53">
        <f>SUMIF('Avoided Costs 2014-2023'!$A:$A,'2014 Actuals'!U827&amp;ROUNDDOWN('2014 Actuals'!T827,0),'Avoided Costs 2014-2023'!$E:$E)*K827</f>
        <v>111784.23832817849</v>
      </c>
      <c r="W827" s="53">
        <f>SUMIF('Avoided Costs 2014-2023'!$A:$A,'2014 Actuals'!U827&amp;ROUNDDOWN('2014 Actuals'!T827,0),'Avoided Costs 2014-2023'!$K:$K)*O827</f>
        <v>0</v>
      </c>
      <c r="X827" s="53">
        <f>SUMIF('Avoided Costs 2014-2023'!$A:$A,'2014 Actuals'!U827&amp;ROUNDDOWN('2014 Actuals'!T827,0),'Avoided Costs 2014-2023'!$M:$M)*S827</f>
        <v>0</v>
      </c>
      <c r="Y827" s="53">
        <f t="shared" si="286"/>
        <v>111784.23832817849</v>
      </c>
      <c r="Z827" s="55">
        <v>29655</v>
      </c>
      <c r="AA827" s="54">
        <f t="shared" si="281"/>
        <v>14827.5</v>
      </c>
      <c r="AB827" s="54"/>
      <c r="AC827" s="54"/>
      <c r="AD827" s="54"/>
      <c r="AE827" s="54">
        <f t="shared" si="287"/>
        <v>14827.5</v>
      </c>
      <c r="AF827" s="54">
        <f t="shared" si="288"/>
        <v>96956.738328178486</v>
      </c>
      <c r="AG827" s="49">
        <f t="shared" si="289"/>
        <v>847665</v>
      </c>
      <c r="AH827" s="49">
        <f t="shared" si="290"/>
        <v>1695330</v>
      </c>
    </row>
    <row r="828" spans="1:34" s="56" customFormat="1">
      <c r="A828" s="62" t="s">
        <v>930</v>
      </c>
      <c r="B828" s="62"/>
      <c r="C828" s="62"/>
      <c r="D828" s="62"/>
      <c r="E828" s="141">
        <v>1</v>
      </c>
      <c r="F828" s="142"/>
      <c r="G828" s="143">
        <v>0.5</v>
      </c>
      <c r="H828" s="143">
        <v>0</v>
      </c>
      <c r="I828" s="49">
        <v>286050</v>
      </c>
      <c r="J828" s="49">
        <f t="shared" si="275"/>
        <v>296061.75</v>
      </c>
      <c r="K828" s="49">
        <f t="shared" si="276"/>
        <v>148030.875</v>
      </c>
      <c r="L828" s="58"/>
      <c r="M828" s="141">
        <v>0</v>
      </c>
      <c r="N828" s="50">
        <f t="shared" si="277"/>
        <v>0</v>
      </c>
      <c r="O828" s="50">
        <f t="shared" si="278"/>
        <v>0</v>
      </c>
      <c r="P828" s="59"/>
      <c r="Q828" s="141">
        <v>3116</v>
      </c>
      <c r="R828" s="50">
        <f t="shared" si="279"/>
        <v>3116</v>
      </c>
      <c r="S828" s="51">
        <f t="shared" si="280"/>
        <v>1558</v>
      </c>
      <c r="T828" s="60">
        <v>20</v>
      </c>
      <c r="U828" s="61" t="s">
        <v>810</v>
      </c>
      <c r="V828" s="53">
        <f>SUMIF('Avoided Costs 2014-2023'!$A:$A,'2014 Actuals'!U828&amp;ROUNDDOWN('2014 Actuals'!T828,0),'Avoided Costs 2014-2023'!$E:$E)*K828</f>
        <v>390425.90199970035</v>
      </c>
      <c r="W828" s="53">
        <f>SUMIF('Avoided Costs 2014-2023'!$A:$A,'2014 Actuals'!U828&amp;ROUNDDOWN('2014 Actuals'!T828,0),'Avoided Costs 2014-2023'!$K:$K)*O828</f>
        <v>0</v>
      </c>
      <c r="X828" s="53">
        <f>SUMIF('Avoided Costs 2014-2023'!$A:$A,'2014 Actuals'!U828&amp;ROUNDDOWN('2014 Actuals'!T828,0),'Avoided Costs 2014-2023'!$M:$M)*S828</f>
        <v>53381.154423560984</v>
      </c>
      <c r="Y828" s="53">
        <f t="shared" si="286"/>
        <v>443807.05642326135</v>
      </c>
      <c r="Z828" s="55">
        <v>9887</v>
      </c>
      <c r="AA828" s="54">
        <f t="shared" si="281"/>
        <v>4943.5</v>
      </c>
      <c r="AB828" s="54"/>
      <c r="AC828" s="54"/>
      <c r="AD828" s="54"/>
      <c r="AE828" s="54">
        <f t="shared" si="287"/>
        <v>4943.5</v>
      </c>
      <c r="AF828" s="54">
        <f t="shared" si="288"/>
        <v>438863.55642326135</v>
      </c>
      <c r="AG828" s="49">
        <f t="shared" si="289"/>
        <v>2960617.5</v>
      </c>
      <c r="AH828" s="49">
        <f t="shared" si="290"/>
        <v>5921235</v>
      </c>
    </row>
    <row r="829" spans="1:34" s="56" customFormat="1">
      <c r="A829" s="62" t="s">
        <v>931</v>
      </c>
      <c r="B829" s="62"/>
      <c r="C829" s="62"/>
      <c r="D829" s="62"/>
      <c r="E829" s="141">
        <v>1</v>
      </c>
      <c r="F829" s="142"/>
      <c r="G829" s="143">
        <v>0.5</v>
      </c>
      <c r="H829" s="143">
        <v>0</v>
      </c>
      <c r="I829" s="49">
        <v>170831</v>
      </c>
      <c r="J829" s="49">
        <f t="shared" si="275"/>
        <v>176810.08499999999</v>
      </c>
      <c r="K829" s="49">
        <f t="shared" si="276"/>
        <v>88405.042499999996</v>
      </c>
      <c r="L829" s="58"/>
      <c r="M829" s="141">
        <v>42579</v>
      </c>
      <c r="N829" s="50">
        <f t="shared" si="277"/>
        <v>42579</v>
      </c>
      <c r="O829" s="50">
        <f t="shared" si="278"/>
        <v>21289.5</v>
      </c>
      <c r="P829" s="59"/>
      <c r="Q829" s="141">
        <v>0</v>
      </c>
      <c r="R829" s="50">
        <f t="shared" si="279"/>
        <v>0</v>
      </c>
      <c r="S829" s="51">
        <f t="shared" si="280"/>
        <v>0</v>
      </c>
      <c r="T829" s="60">
        <v>15</v>
      </c>
      <c r="U829" s="61" t="s">
        <v>810</v>
      </c>
      <c r="V829" s="53">
        <f>SUMIF('Avoided Costs 2014-2023'!$A:$A,'2014 Actuals'!U829&amp;ROUNDDOWN('2014 Actuals'!T829,0),'Avoided Costs 2014-2023'!$E:$E)*K829</f>
        <v>192912.99487852919</v>
      </c>
      <c r="W829" s="53">
        <f>SUMIF('Avoided Costs 2014-2023'!$A:$A,'2014 Actuals'!U829&amp;ROUNDDOWN('2014 Actuals'!T829,0),'Avoided Costs 2014-2023'!$K:$K)*O829</f>
        <v>25174.415682236679</v>
      </c>
      <c r="X829" s="53">
        <f>SUMIF('Avoided Costs 2014-2023'!$A:$A,'2014 Actuals'!U829&amp;ROUNDDOWN('2014 Actuals'!T829,0),'Avoided Costs 2014-2023'!$M:$M)*S829</f>
        <v>0</v>
      </c>
      <c r="Y829" s="53">
        <f t="shared" si="286"/>
        <v>218087.41056076589</v>
      </c>
      <c r="Z829" s="55">
        <v>326860</v>
      </c>
      <c r="AA829" s="54">
        <f t="shared" si="281"/>
        <v>163430</v>
      </c>
      <c r="AB829" s="54"/>
      <c r="AC829" s="54"/>
      <c r="AD829" s="54"/>
      <c r="AE829" s="54">
        <f t="shared" si="287"/>
        <v>163430</v>
      </c>
      <c r="AF829" s="54">
        <f t="shared" si="288"/>
        <v>54657.410560765886</v>
      </c>
      <c r="AG829" s="49">
        <f t="shared" si="289"/>
        <v>1326075.6375</v>
      </c>
      <c r="AH829" s="49">
        <f t="shared" si="290"/>
        <v>2652151.2749999999</v>
      </c>
    </row>
    <row r="830" spans="1:34" s="56" customFormat="1">
      <c r="A830" s="62" t="s">
        <v>932</v>
      </c>
      <c r="B830" s="62"/>
      <c r="C830" s="62"/>
      <c r="D830" s="62"/>
      <c r="E830" s="141">
        <v>1</v>
      </c>
      <c r="F830" s="142"/>
      <c r="G830" s="143">
        <v>0.5</v>
      </c>
      <c r="H830" s="143">
        <v>0</v>
      </c>
      <c r="I830" s="49">
        <v>42879</v>
      </c>
      <c r="J830" s="49">
        <f t="shared" si="275"/>
        <v>44379.764999999999</v>
      </c>
      <c r="K830" s="49">
        <f t="shared" si="276"/>
        <v>22189.8825</v>
      </c>
      <c r="L830" s="58"/>
      <c r="M830" s="141">
        <v>0</v>
      </c>
      <c r="N830" s="50">
        <f t="shared" si="277"/>
        <v>0</v>
      </c>
      <c r="O830" s="50">
        <f t="shared" si="278"/>
        <v>0</v>
      </c>
      <c r="P830" s="59"/>
      <c r="Q830" s="141">
        <v>0</v>
      </c>
      <c r="R830" s="50">
        <f t="shared" si="279"/>
        <v>0</v>
      </c>
      <c r="S830" s="51">
        <f t="shared" si="280"/>
        <v>0</v>
      </c>
      <c r="T830" s="60">
        <v>20</v>
      </c>
      <c r="U830" s="61" t="s">
        <v>810</v>
      </c>
      <c r="V830" s="53">
        <f>SUMIF('Avoided Costs 2014-2023'!$A:$A,'2014 Actuals'!U830&amp;ROUNDDOWN('2014 Actuals'!T830,0),'Avoided Costs 2014-2023'!$E:$E)*K830</f>
        <v>58524.986022881138</v>
      </c>
      <c r="W830" s="53">
        <f>SUMIF('Avoided Costs 2014-2023'!$A:$A,'2014 Actuals'!U830&amp;ROUNDDOWN('2014 Actuals'!T830,0),'Avoided Costs 2014-2023'!$K:$K)*O830</f>
        <v>0</v>
      </c>
      <c r="X830" s="53">
        <f>SUMIF('Avoided Costs 2014-2023'!$A:$A,'2014 Actuals'!U830&amp;ROUNDDOWN('2014 Actuals'!T830,0),'Avoided Costs 2014-2023'!$M:$M)*S830</f>
        <v>0</v>
      </c>
      <c r="Y830" s="53">
        <f t="shared" si="286"/>
        <v>58524.986022881138</v>
      </c>
      <c r="Z830" s="55">
        <v>20500</v>
      </c>
      <c r="AA830" s="54">
        <f t="shared" si="281"/>
        <v>10250</v>
      </c>
      <c r="AB830" s="54"/>
      <c r="AC830" s="54"/>
      <c r="AD830" s="54"/>
      <c r="AE830" s="54">
        <f t="shared" si="287"/>
        <v>10250</v>
      </c>
      <c r="AF830" s="54">
        <f t="shared" si="288"/>
        <v>48274.986022881138</v>
      </c>
      <c r="AG830" s="49">
        <f t="shared" si="289"/>
        <v>443797.65</v>
      </c>
      <c r="AH830" s="49">
        <f t="shared" si="290"/>
        <v>887595.3</v>
      </c>
    </row>
    <row r="831" spans="1:34" s="56" customFormat="1">
      <c r="A831" s="62" t="s">
        <v>933</v>
      </c>
      <c r="B831" s="62"/>
      <c r="C831" s="62"/>
      <c r="D831" s="62"/>
      <c r="E831" s="141">
        <v>1</v>
      </c>
      <c r="F831" s="142"/>
      <c r="G831" s="143">
        <v>0.5</v>
      </c>
      <c r="H831" s="143">
        <v>0</v>
      </c>
      <c r="I831" s="49">
        <v>278319</v>
      </c>
      <c r="J831" s="49">
        <f t="shared" si="275"/>
        <v>288060.16499999998</v>
      </c>
      <c r="K831" s="49">
        <f t="shared" si="276"/>
        <v>144030.08249999999</v>
      </c>
      <c r="L831" s="58"/>
      <c r="M831" s="141">
        <v>0</v>
      </c>
      <c r="N831" s="50">
        <f t="shared" si="277"/>
        <v>0</v>
      </c>
      <c r="O831" s="50">
        <f t="shared" si="278"/>
        <v>0</v>
      </c>
      <c r="P831" s="59"/>
      <c r="Q831" s="141">
        <v>0</v>
      </c>
      <c r="R831" s="50">
        <f t="shared" si="279"/>
        <v>0</v>
      </c>
      <c r="S831" s="51">
        <f t="shared" si="280"/>
        <v>0</v>
      </c>
      <c r="T831" s="60">
        <v>20</v>
      </c>
      <c r="U831" s="61" t="s">
        <v>810</v>
      </c>
      <c r="V831" s="53">
        <f>SUMIF('Avoided Costs 2014-2023'!$A:$A,'2014 Actuals'!U831&amp;ROUNDDOWN('2014 Actuals'!T831,0),'Avoided Costs 2014-2023'!$E:$E)*K831</f>
        <v>379873.96126080962</v>
      </c>
      <c r="W831" s="53">
        <f>SUMIF('Avoided Costs 2014-2023'!$A:$A,'2014 Actuals'!U831&amp;ROUNDDOWN('2014 Actuals'!T831,0),'Avoided Costs 2014-2023'!$K:$K)*O831</f>
        <v>0</v>
      </c>
      <c r="X831" s="53">
        <f>SUMIF('Avoided Costs 2014-2023'!$A:$A,'2014 Actuals'!U831&amp;ROUNDDOWN('2014 Actuals'!T831,0),'Avoided Costs 2014-2023'!$M:$M)*S831</f>
        <v>0</v>
      </c>
      <c r="Y831" s="53">
        <f t="shared" si="286"/>
        <v>379873.96126080962</v>
      </c>
      <c r="Z831" s="55">
        <v>140816.56</v>
      </c>
      <c r="AA831" s="54">
        <f t="shared" si="281"/>
        <v>70408.28</v>
      </c>
      <c r="AB831" s="54"/>
      <c r="AC831" s="54"/>
      <c r="AD831" s="54"/>
      <c r="AE831" s="54">
        <f t="shared" si="287"/>
        <v>70408.28</v>
      </c>
      <c r="AF831" s="54">
        <f t="shared" si="288"/>
        <v>309465.68126080965</v>
      </c>
      <c r="AG831" s="49">
        <f t="shared" si="289"/>
        <v>2880601.65</v>
      </c>
      <c r="AH831" s="49">
        <f t="shared" si="290"/>
        <v>5761203.2999999998</v>
      </c>
    </row>
    <row r="832" spans="1:34" s="56" customFormat="1">
      <c r="A832" s="62" t="s">
        <v>934</v>
      </c>
      <c r="B832" s="62"/>
      <c r="C832" s="62"/>
      <c r="D832" s="62"/>
      <c r="E832" s="141">
        <v>1</v>
      </c>
      <c r="F832" s="142"/>
      <c r="G832" s="143">
        <v>0.5</v>
      </c>
      <c r="H832" s="143">
        <v>0</v>
      </c>
      <c r="I832" s="49">
        <v>35667</v>
      </c>
      <c r="J832" s="49">
        <f t="shared" si="275"/>
        <v>36915.344999999994</v>
      </c>
      <c r="K832" s="49">
        <f t="shared" si="276"/>
        <v>18457.672499999997</v>
      </c>
      <c r="L832" s="58"/>
      <c r="M832" s="141">
        <v>0</v>
      </c>
      <c r="N832" s="50">
        <f t="shared" si="277"/>
        <v>0</v>
      </c>
      <c r="O832" s="50">
        <f t="shared" si="278"/>
        <v>0</v>
      </c>
      <c r="P832" s="59"/>
      <c r="Q832" s="141">
        <v>0</v>
      </c>
      <c r="R832" s="50">
        <f t="shared" si="279"/>
        <v>0</v>
      </c>
      <c r="S832" s="51">
        <f t="shared" si="280"/>
        <v>0</v>
      </c>
      <c r="T832" s="60">
        <v>5</v>
      </c>
      <c r="U832" s="61" t="s">
        <v>810</v>
      </c>
      <c r="V832" s="53">
        <f>SUMIF('Avoided Costs 2014-2023'!$A:$A,'2014 Actuals'!U832&amp;ROUNDDOWN('2014 Actuals'!T832,0),'Avoided Costs 2014-2023'!$E:$E)*K832</f>
        <v>15007.89231874725</v>
      </c>
      <c r="W832" s="53">
        <f>SUMIF('Avoided Costs 2014-2023'!$A:$A,'2014 Actuals'!U832&amp;ROUNDDOWN('2014 Actuals'!T832,0),'Avoided Costs 2014-2023'!$K:$K)*O832</f>
        <v>0</v>
      </c>
      <c r="X832" s="53">
        <f>SUMIF('Avoided Costs 2014-2023'!$A:$A,'2014 Actuals'!U832&amp;ROUNDDOWN('2014 Actuals'!T832,0),'Avoided Costs 2014-2023'!$M:$M)*S832</f>
        <v>0</v>
      </c>
      <c r="Y832" s="53">
        <f t="shared" si="286"/>
        <v>15007.89231874725</v>
      </c>
      <c r="Z832" s="55">
        <v>2470</v>
      </c>
      <c r="AA832" s="54">
        <f t="shared" si="281"/>
        <v>1235</v>
      </c>
      <c r="AB832" s="54"/>
      <c r="AC832" s="54"/>
      <c r="AD832" s="54"/>
      <c r="AE832" s="54">
        <f t="shared" si="287"/>
        <v>1235</v>
      </c>
      <c r="AF832" s="54">
        <f t="shared" si="288"/>
        <v>13772.89231874725</v>
      </c>
      <c r="AG832" s="49">
        <f t="shared" si="289"/>
        <v>92288.362499999988</v>
      </c>
      <c r="AH832" s="49">
        <f t="shared" si="290"/>
        <v>184576.72499999998</v>
      </c>
    </row>
    <row r="833" spans="1:34" s="56" customFormat="1">
      <c r="A833" s="62" t="s">
        <v>935</v>
      </c>
      <c r="B833" s="62"/>
      <c r="C833" s="62"/>
      <c r="D833" s="62"/>
      <c r="E833" s="141">
        <v>1</v>
      </c>
      <c r="F833" s="142"/>
      <c r="G833" s="143">
        <v>0.5</v>
      </c>
      <c r="H833" s="143">
        <v>0</v>
      </c>
      <c r="I833" s="49">
        <v>84165</v>
      </c>
      <c r="J833" s="49">
        <f t="shared" si="275"/>
        <v>87110.774999999994</v>
      </c>
      <c r="K833" s="49">
        <f t="shared" si="276"/>
        <v>43555.387499999997</v>
      </c>
      <c r="L833" s="58"/>
      <c r="M833" s="141">
        <v>0</v>
      </c>
      <c r="N833" s="50">
        <f t="shared" si="277"/>
        <v>0</v>
      </c>
      <c r="O833" s="50">
        <f t="shared" si="278"/>
        <v>0</v>
      </c>
      <c r="P833" s="59"/>
      <c r="Q833" s="141">
        <v>0</v>
      </c>
      <c r="R833" s="50">
        <f t="shared" si="279"/>
        <v>0</v>
      </c>
      <c r="S833" s="51">
        <f t="shared" si="280"/>
        <v>0</v>
      </c>
      <c r="T833" s="60">
        <v>5</v>
      </c>
      <c r="U833" s="61" t="s">
        <v>810</v>
      </c>
      <c r="V833" s="53">
        <f>SUMIF('Avoided Costs 2014-2023'!$A:$A,'2014 Actuals'!U833&amp;ROUNDDOWN('2014 Actuals'!T833,0),'Avoided Costs 2014-2023'!$E:$E)*K833</f>
        <v>35414.788376015997</v>
      </c>
      <c r="W833" s="53">
        <f>SUMIF('Avoided Costs 2014-2023'!$A:$A,'2014 Actuals'!U833&amp;ROUNDDOWN('2014 Actuals'!T833,0),'Avoided Costs 2014-2023'!$K:$K)*O833</f>
        <v>0</v>
      </c>
      <c r="X833" s="53">
        <f>SUMIF('Avoided Costs 2014-2023'!$A:$A,'2014 Actuals'!U833&amp;ROUNDDOWN('2014 Actuals'!T833,0),'Avoided Costs 2014-2023'!$M:$M)*S833</f>
        <v>0</v>
      </c>
      <c r="Y833" s="53">
        <f t="shared" si="286"/>
        <v>35414.788376015997</v>
      </c>
      <c r="Z833" s="55">
        <v>22816.97</v>
      </c>
      <c r="AA833" s="54">
        <f t="shared" si="281"/>
        <v>11408.485000000001</v>
      </c>
      <c r="AB833" s="54"/>
      <c r="AC833" s="54"/>
      <c r="AD833" s="54"/>
      <c r="AE833" s="54">
        <f t="shared" si="287"/>
        <v>11408.485000000001</v>
      </c>
      <c r="AF833" s="54">
        <f t="shared" si="288"/>
        <v>24006.303376015996</v>
      </c>
      <c r="AG833" s="49">
        <f t="shared" si="289"/>
        <v>217776.9375</v>
      </c>
      <c r="AH833" s="49">
        <f t="shared" si="290"/>
        <v>435553.875</v>
      </c>
    </row>
    <row r="834" spans="1:34" s="56" customFormat="1">
      <c r="A834" s="62" t="s">
        <v>936</v>
      </c>
      <c r="B834" s="62"/>
      <c r="C834" s="62"/>
      <c r="D834" s="62"/>
      <c r="E834" s="141">
        <v>1</v>
      </c>
      <c r="F834" s="142"/>
      <c r="G834" s="143">
        <v>0.5</v>
      </c>
      <c r="H834" s="143">
        <v>0</v>
      </c>
      <c r="I834" s="49">
        <v>92948</v>
      </c>
      <c r="J834" s="49">
        <f t="shared" si="275"/>
        <v>96201.18</v>
      </c>
      <c r="K834" s="49">
        <f t="shared" si="276"/>
        <v>48100.59</v>
      </c>
      <c r="L834" s="58"/>
      <c r="M834" s="141">
        <v>0</v>
      </c>
      <c r="N834" s="50">
        <f t="shared" si="277"/>
        <v>0</v>
      </c>
      <c r="O834" s="50">
        <f t="shared" si="278"/>
        <v>0</v>
      </c>
      <c r="P834" s="59"/>
      <c r="Q834" s="141">
        <v>0</v>
      </c>
      <c r="R834" s="50">
        <f t="shared" si="279"/>
        <v>0</v>
      </c>
      <c r="S834" s="51">
        <f t="shared" si="280"/>
        <v>0</v>
      </c>
      <c r="T834" s="60">
        <v>20</v>
      </c>
      <c r="U834" s="61" t="s">
        <v>810</v>
      </c>
      <c r="V834" s="53">
        <f>SUMIF('Avoided Costs 2014-2023'!$A:$A,'2014 Actuals'!U834&amp;ROUNDDOWN('2014 Actuals'!T834,0),'Avoided Costs 2014-2023'!$E:$E)*K834</f>
        <v>126863.50896370615</v>
      </c>
      <c r="W834" s="53">
        <f>SUMIF('Avoided Costs 2014-2023'!$A:$A,'2014 Actuals'!U834&amp;ROUNDDOWN('2014 Actuals'!T834,0),'Avoided Costs 2014-2023'!$K:$K)*O834</f>
        <v>0</v>
      </c>
      <c r="X834" s="53">
        <f>SUMIF('Avoided Costs 2014-2023'!$A:$A,'2014 Actuals'!U834&amp;ROUNDDOWN('2014 Actuals'!T834,0),'Avoided Costs 2014-2023'!$M:$M)*S834</f>
        <v>0</v>
      </c>
      <c r="Y834" s="53">
        <f t="shared" si="286"/>
        <v>126863.50896370615</v>
      </c>
      <c r="Z834" s="55">
        <v>57723</v>
      </c>
      <c r="AA834" s="54">
        <f t="shared" si="281"/>
        <v>28861.5</v>
      </c>
      <c r="AB834" s="54"/>
      <c r="AC834" s="54"/>
      <c r="AD834" s="54"/>
      <c r="AE834" s="54">
        <f t="shared" si="287"/>
        <v>28861.5</v>
      </c>
      <c r="AF834" s="54">
        <f t="shared" si="288"/>
        <v>98002.008963706146</v>
      </c>
      <c r="AG834" s="49">
        <f t="shared" si="289"/>
        <v>962011.79999999993</v>
      </c>
      <c r="AH834" s="49">
        <f t="shared" si="290"/>
        <v>1924023.5999999999</v>
      </c>
    </row>
    <row r="835" spans="1:34" s="56" customFormat="1">
      <c r="A835" s="62" t="s">
        <v>937</v>
      </c>
      <c r="B835" s="62"/>
      <c r="C835" s="62"/>
      <c r="D835" s="62"/>
      <c r="E835" s="141">
        <v>1</v>
      </c>
      <c r="F835" s="142"/>
      <c r="G835" s="143">
        <v>0.5</v>
      </c>
      <c r="H835" s="143">
        <v>0</v>
      </c>
      <c r="I835" s="49">
        <v>52599</v>
      </c>
      <c r="J835" s="49">
        <f t="shared" si="275"/>
        <v>54439.964999999997</v>
      </c>
      <c r="K835" s="49">
        <f t="shared" si="276"/>
        <v>27219.982499999998</v>
      </c>
      <c r="L835" s="58"/>
      <c r="M835" s="141">
        <v>0</v>
      </c>
      <c r="N835" s="50">
        <f t="shared" si="277"/>
        <v>0</v>
      </c>
      <c r="O835" s="50">
        <f t="shared" si="278"/>
        <v>0</v>
      </c>
      <c r="P835" s="59"/>
      <c r="Q835" s="141">
        <v>0</v>
      </c>
      <c r="R835" s="50">
        <f t="shared" si="279"/>
        <v>0</v>
      </c>
      <c r="S835" s="51">
        <f t="shared" si="280"/>
        <v>0</v>
      </c>
      <c r="T835" s="60">
        <v>20</v>
      </c>
      <c r="U835" s="61" t="s">
        <v>810</v>
      </c>
      <c r="V835" s="53">
        <f>SUMIF('Avoided Costs 2014-2023'!$A:$A,'2014 Actuals'!U835&amp;ROUNDDOWN('2014 Actuals'!T835,0),'Avoided Costs 2014-2023'!$E:$E)*K835</f>
        <v>71791.686835456159</v>
      </c>
      <c r="W835" s="53">
        <f>SUMIF('Avoided Costs 2014-2023'!$A:$A,'2014 Actuals'!U835&amp;ROUNDDOWN('2014 Actuals'!T835,0),'Avoided Costs 2014-2023'!$K:$K)*O835</f>
        <v>0</v>
      </c>
      <c r="X835" s="53">
        <f>SUMIF('Avoided Costs 2014-2023'!$A:$A,'2014 Actuals'!U835&amp;ROUNDDOWN('2014 Actuals'!T835,0),'Avoided Costs 2014-2023'!$M:$M)*S835</f>
        <v>0</v>
      </c>
      <c r="Y835" s="53">
        <f t="shared" si="286"/>
        <v>71791.686835456159</v>
      </c>
      <c r="Z835" s="55">
        <v>22698</v>
      </c>
      <c r="AA835" s="54">
        <f t="shared" si="281"/>
        <v>11349</v>
      </c>
      <c r="AB835" s="54"/>
      <c r="AC835" s="54"/>
      <c r="AD835" s="54"/>
      <c r="AE835" s="54">
        <f t="shared" si="287"/>
        <v>11349</v>
      </c>
      <c r="AF835" s="54">
        <f t="shared" si="288"/>
        <v>60442.686835456159</v>
      </c>
      <c r="AG835" s="49">
        <f t="shared" si="289"/>
        <v>544399.64999999991</v>
      </c>
      <c r="AH835" s="49">
        <f t="shared" si="290"/>
        <v>1088799.2999999998</v>
      </c>
    </row>
    <row r="836" spans="1:34" s="56" customFormat="1">
      <c r="A836" s="62" t="s">
        <v>938</v>
      </c>
      <c r="B836" s="62"/>
      <c r="C836" s="62"/>
      <c r="D836" s="62"/>
      <c r="E836" s="141">
        <v>1</v>
      </c>
      <c r="F836" s="142"/>
      <c r="G836" s="143">
        <v>0.5</v>
      </c>
      <c r="H836" s="143">
        <v>0</v>
      </c>
      <c r="I836" s="49">
        <v>311510</v>
      </c>
      <c r="J836" s="49">
        <f t="shared" si="275"/>
        <v>322412.84999999998</v>
      </c>
      <c r="K836" s="49">
        <f t="shared" si="276"/>
        <v>161206.42499999999</v>
      </c>
      <c r="L836" s="58"/>
      <c r="M836" s="141">
        <v>581132</v>
      </c>
      <c r="N836" s="50">
        <f t="shared" si="277"/>
        <v>581132</v>
      </c>
      <c r="O836" s="50">
        <f t="shared" si="278"/>
        <v>290566</v>
      </c>
      <c r="P836" s="59"/>
      <c r="Q836" s="141">
        <v>50267</v>
      </c>
      <c r="R836" s="50">
        <f t="shared" si="279"/>
        <v>50267</v>
      </c>
      <c r="S836" s="51">
        <f t="shared" si="280"/>
        <v>25133.5</v>
      </c>
      <c r="T836" s="60">
        <v>20</v>
      </c>
      <c r="U836" s="61" t="s">
        <v>810</v>
      </c>
      <c r="V836" s="53">
        <f>SUMIF('Avoided Costs 2014-2023'!$A:$A,'2014 Actuals'!U836&amp;ROUNDDOWN('2014 Actuals'!T836,0),'Avoided Costs 2014-2023'!$E:$E)*K836</f>
        <v>425175.92285239167</v>
      </c>
      <c r="W836" s="53">
        <f>SUMIF('Avoided Costs 2014-2023'!$A:$A,'2014 Actuals'!U836&amp;ROUNDDOWN('2014 Actuals'!T836,0),'Avoided Costs 2014-2023'!$K:$K)*O836</f>
        <v>413215.98840978614</v>
      </c>
      <c r="X836" s="53">
        <f>SUMIF('Avoided Costs 2014-2023'!$A:$A,'2014 Actuals'!U836&amp;ROUNDDOWN('2014 Actuals'!T836,0),'Avoided Costs 2014-2023'!$M:$M)*S836</f>
        <v>861139.43819292041</v>
      </c>
      <c r="Y836" s="53">
        <f t="shared" si="286"/>
        <v>1699531.3494550982</v>
      </c>
      <c r="Z836" s="55">
        <v>46548</v>
      </c>
      <c r="AA836" s="54">
        <f t="shared" si="281"/>
        <v>23274</v>
      </c>
      <c r="AB836" s="54"/>
      <c r="AC836" s="54"/>
      <c r="AD836" s="54"/>
      <c r="AE836" s="54">
        <f t="shared" si="287"/>
        <v>23274</v>
      </c>
      <c r="AF836" s="54">
        <f t="shared" si="288"/>
        <v>1676257.3494550982</v>
      </c>
      <c r="AG836" s="49">
        <f t="shared" si="289"/>
        <v>3224128.5</v>
      </c>
      <c r="AH836" s="49">
        <f t="shared" si="290"/>
        <v>6448257</v>
      </c>
    </row>
    <row r="837" spans="1:34" s="56" customFormat="1">
      <c r="A837" s="62" t="s">
        <v>939</v>
      </c>
      <c r="B837" s="62"/>
      <c r="C837" s="62"/>
      <c r="D837" s="62"/>
      <c r="E837" s="141">
        <v>1</v>
      </c>
      <c r="F837" s="142"/>
      <c r="G837" s="143">
        <v>0.5</v>
      </c>
      <c r="H837" s="143">
        <v>0</v>
      </c>
      <c r="I837" s="49">
        <v>207673</v>
      </c>
      <c r="J837" s="49">
        <f t="shared" si="275"/>
        <v>214941.55499999999</v>
      </c>
      <c r="K837" s="49">
        <f t="shared" si="276"/>
        <v>107470.7775</v>
      </c>
      <c r="L837" s="58"/>
      <c r="M837" s="141">
        <v>387422</v>
      </c>
      <c r="N837" s="50">
        <f t="shared" si="277"/>
        <v>387422</v>
      </c>
      <c r="O837" s="50">
        <f t="shared" si="278"/>
        <v>193711</v>
      </c>
      <c r="P837" s="59"/>
      <c r="Q837" s="141">
        <v>0</v>
      </c>
      <c r="R837" s="50">
        <f t="shared" si="279"/>
        <v>0</v>
      </c>
      <c r="S837" s="51">
        <f t="shared" si="280"/>
        <v>0</v>
      </c>
      <c r="T837" s="60">
        <v>20</v>
      </c>
      <c r="U837" s="61" t="s">
        <v>810</v>
      </c>
      <c r="V837" s="53">
        <f>SUMIF('Avoided Costs 2014-2023'!$A:$A,'2014 Actuals'!U837&amp;ROUNDDOWN('2014 Actuals'!T837,0),'Avoided Costs 2014-2023'!$E:$E)*K837</f>
        <v>283450.16027262283</v>
      </c>
      <c r="W837" s="53">
        <f>SUMIF('Avoided Costs 2014-2023'!$A:$A,'2014 Actuals'!U837&amp;ROUNDDOWN('2014 Actuals'!T837,0),'Avoided Costs 2014-2023'!$K:$K)*O837</f>
        <v>275477.79964224336</v>
      </c>
      <c r="X837" s="53">
        <f>SUMIF('Avoided Costs 2014-2023'!$A:$A,'2014 Actuals'!U837&amp;ROUNDDOWN('2014 Actuals'!T837,0),'Avoided Costs 2014-2023'!$M:$M)*S837</f>
        <v>0</v>
      </c>
      <c r="Y837" s="53">
        <f t="shared" si="286"/>
        <v>558927.95991486614</v>
      </c>
      <c r="Z837" s="55">
        <v>31032</v>
      </c>
      <c r="AA837" s="54">
        <f t="shared" si="281"/>
        <v>15516</v>
      </c>
      <c r="AB837" s="54"/>
      <c r="AC837" s="54"/>
      <c r="AD837" s="54"/>
      <c r="AE837" s="54">
        <f t="shared" si="287"/>
        <v>15516</v>
      </c>
      <c r="AF837" s="54">
        <f t="shared" si="288"/>
        <v>543411.95991486614</v>
      </c>
      <c r="AG837" s="49">
        <f t="shared" si="289"/>
        <v>2149415.5499999998</v>
      </c>
      <c r="AH837" s="49">
        <f t="shared" si="290"/>
        <v>4298831.0999999996</v>
      </c>
    </row>
    <row r="838" spans="1:34" s="56" customFormat="1">
      <c r="A838" s="62" t="s">
        <v>940</v>
      </c>
      <c r="B838" s="62"/>
      <c r="C838" s="62"/>
      <c r="D838" s="62"/>
      <c r="E838" s="141">
        <v>1</v>
      </c>
      <c r="F838" s="142"/>
      <c r="G838" s="143">
        <v>0.5</v>
      </c>
      <c r="H838" s="143">
        <v>0</v>
      </c>
      <c r="I838" s="49">
        <v>104119</v>
      </c>
      <c r="J838" s="49">
        <f t="shared" si="275"/>
        <v>107763.16499999999</v>
      </c>
      <c r="K838" s="49">
        <f t="shared" si="276"/>
        <v>53881.582499999997</v>
      </c>
      <c r="L838" s="58"/>
      <c r="M838" s="141">
        <v>0</v>
      </c>
      <c r="N838" s="50">
        <f t="shared" si="277"/>
        <v>0</v>
      </c>
      <c r="O838" s="50">
        <f t="shared" si="278"/>
        <v>0</v>
      </c>
      <c r="P838" s="59"/>
      <c r="Q838" s="141">
        <v>0</v>
      </c>
      <c r="R838" s="50">
        <f t="shared" si="279"/>
        <v>0</v>
      </c>
      <c r="S838" s="51">
        <f t="shared" si="280"/>
        <v>0</v>
      </c>
      <c r="T838" s="60">
        <v>10</v>
      </c>
      <c r="U838" s="61" t="s">
        <v>810</v>
      </c>
      <c r="V838" s="53">
        <f>SUMIF('Avoided Costs 2014-2023'!$A:$A,'2014 Actuals'!U838&amp;ROUNDDOWN('2014 Actuals'!T838,0),'Avoided Costs 2014-2023'!$E:$E)*K838</f>
        <v>86412.53246957362</v>
      </c>
      <c r="W838" s="53">
        <f>SUMIF('Avoided Costs 2014-2023'!$A:$A,'2014 Actuals'!U838&amp;ROUNDDOWN('2014 Actuals'!T838,0),'Avoided Costs 2014-2023'!$K:$K)*O838</f>
        <v>0</v>
      </c>
      <c r="X838" s="53">
        <f>SUMIF('Avoided Costs 2014-2023'!$A:$A,'2014 Actuals'!U838&amp;ROUNDDOWN('2014 Actuals'!T838,0),'Avoided Costs 2014-2023'!$M:$M)*S838</f>
        <v>0</v>
      </c>
      <c r="Y838" s="53">
        <f t="shared" si="286"/>
        <v>86412.53246957362</v>
      </c>
      <c r="Z838" s="55">
        <v>9951</v>
      </c>
      <c r="AA838" s="54">
        <f t="shared" si="281"/>
        <v>4975.5</v>
      </c>
      <c r="AB838" s="54"/>
      <c r="AC838" s="54"/>
      <c r="AD838" s="54"/>
      <c r="AE838" s="54">
        <f t="shared" si="287"/>
        <v>4975.5</v>
      </c>
      <c r="AF838" s="54">
        <f t="shared" si="288"/>
        <v>81437.03246957362</v>
      </c>
      <c r="AG838" s="49">
        <f t="shared" si="289"/>
        <v>538815.82499999995</v>
      </c>
      <c r="AH838" s="49">
        <f t="shared" si="290"/>
        <v>1077631.6499999999</v>
      </c>
    </row>
    <row r="839" spans="1:34" s="56" customFormat="1">
      <c r="A839" s="62" t="s">
        <v>941</v>
      </c>
      <c r="B839" s="62"/>
      <c r="C839" s="62"/>
      <c r="D839" s="62"/>
      <c r="E839" s="141">
        <v>1</v>
      </c>
      <c r="F839" s="142"/>
      <c r="G839" s="143">
        <v>0.5</v>
      </c>
      <c r="H839" s="143">
        <v>0</v>
      </c>
      <c r="I839" s="49">
        <v>31040</v>
      </c>
      <c r="J839" s="49">
        <f t="shared" si="275"/>
        <v>32126.399999999998</v>
      </c>
      <c r="K839" s="49">
        <f t="shared" si="276"/>
        <v>16063.199999999999</v>
      </c>
      <c r="L839" s="58"/>
      <c r="M839" s="141">
        <v>0</v>
      </c>
      <c r="N839" s="50">
        <f t="shared" si="277"/>
        <v>0</v>
      </c>
      <c r="O839" s="50">
        <f t="shared" si="278"/>
        <v>0</v>
      </c>
      <c r="P839" s="59"/>
      <c r="Q839" s="141">
        <v>0</v>
      </c>
      <c r="R839" s="50">
        <f t="shared" si="279"/>
        <v>0</v>
      </c>
      <c r="S839" s="51">
        <f t="shared" si="280"/>
        <v>0</v>
      </c>
      <c r="T839" s="60">
        <v>15</v>
      </c>
      <c r="U839" s="61" t="s">
        <v>810</v>
      </c>
      <c r="V839" s="53">
        <f>SUMIF('Avoided Costs 2014-2023'!$A:$A,'2014 Actuals'!U839&amp;ROUNDDOWN('2014 Actuals'!T839,0),'Avoided Costs 2014-2023'!$E:$E)*K839</f>
        <v>35052.299413042987</v>
      </c>
      <c r="W839" s="53">
        <f>SUMIF('Avoided Costs 2014-2023'!$A:$A,'2014 Actuals'!U839&amp;ROUNDDOWN('2014 Actuals'!T839,0),'Avoided Costs 2014-2023'!$K:$K)*O839</f>
        <v>0</v>
      </c>
      <c r="X839" s="53">
        <f>SUMIF('Avoided Costs 2014-2023'!$A:$A,'2014 Actuals'!U839&amp;ROUNDDOWN('2014 Actuals'!T839,0),'Avoided Costs 2014-2023'!$M:$M)*S839</f>
        <v>0</v>
      </c>
      <c r="Y839" s="53">
        <f t="shared" si="286"/>
        <v>35052.299413042987</v>
      </c>
      <c r="Z839" s="55">
        <v>26460</v>
      </c>
      <c r="AA839" s="54">
        <f t="shared" si="281"/>
        <v>13230</v>
      </c>
      <c r="AB839" s="54"/>
      <c r="AC839" s="54"/>
      <c r="AD839" s="54"/>
      <c r="AE839" s="54">
        <f t="shared" si="287"/>
        <v>13230</v>
      </c>
      <c r="AF839" s="54">
        <f t="shared" si="288"/>
        <v>21822.299413042987</v>
      </c>
      <c r="AG839" s="49">
        <f t="shared" si="289"/>
        <v>240947.99999999997</v>
      </c>
      <c r="AH839" s="49">
        <f t="shared" si="290"/>
        <v>481895.99999999994</v>
      </c>
    </row>
    <row r="840" spans="1:34" s="56" customFormat="1">
      <c r="A840" s="62" t="s">
        <v>942</v>
      </c>
      <c r="B840" s="62"/>
      <c r="C840" s="62"/>
      <c r="D840" s="62"/>
      <c r="E840" s="141">
        <v>1</v>
      </c>
      <c r="F840" s="142"/>
      <c r="G840" s="143">
        <v>0.5</v>
      </c>
      <c r="H840" s="143">
        <v>0</v>
      </c>
      <c r="I840" s="49">
        <v>416396</v>
      </c>
      <c r="J840" s="49">
        <f t="shared" si="275"/>
        <v>430969.86</v>
      </c>
      <c r="K840" s="49">
        <f t="shared" si="276"/>
        <v>215484.93</v>
      </c>
      <c r="L840" s="58"/>
      <c r="M840" s="141">
        <v>0</v>
      </c>
      <c r="N840" s="50">
        <f t="shared" si="277"/>
        <v>0</v>
      </c>
      <c r="O840" s="50">
        <f t="shared" si="278"/>
        <v>0</v>
      </c>
      <c r="P840" s="59"/>
      <c r="Q840" s="141">
        <v>0</v>
      </c>
      <c r="R840" s="50">
        <f t="shared" si="279"/>
        <v>0</v>
      </c>
      <c r="S840" s="51">
        <f t="shared" si="280"/>
        <v>0</v>
      </c>
      <c r="T840" s="60">
        <v>20</v>
      </c>
      <c r="U840" s="61" t="s">
        <v>810</v>
      </c>
      <c r="V840" s="53">
        <f>SUMIF('Avoided Costs 2014-2023'!$A:$A,'2014 Actuals'!U840&amp;ROUNDDOWN('2014 Actuals'!T840,0),'Avoided Costs 2014-2023'!$E:$E)*K840</f>
        <v>568333.4518058633</v>
      </c>
      <c r="W840" s="53">
        <f>SUMIF('Avoided Costs 2014-2023'!$A:$A,'2014 Actuals'!U840&amp;ROUNDDOWN('2014 Actuals'!T840,0),'Avoided Costs 2014-2023'!$K:$K)*O840</f>
        <v>0</v>
      </c>
      <c r="X840" s="53">
        <f>SUMIF('Avoided Costs 2014-2023'!$A:$A,'2014 Actuals'!U840&amp;ROUNDDOWN('2014 Actuals'!T840,0),'Avoided Costs 2014-2023'!$M:$M)*S840</f>
        <v>0</v>
      </c>
      <c r="Y840" s="53">
        <f t="shared" si="286"/>
        <v>568333.4518058633</v>
      </c>
      <c r="Z840" s="55">
        <v>469655</v>
      </c>
      <c r="AA840" s="54">
        <f t="shared" si="281"/>
        <v>234827.5</v>
      </c>
      <c r="AB840" s="54"/>
      <c r="AC840" s="54"/>
      <c r="AD840" s="54"/>
      <c r="AE840" s="54">
        <f t="shared" si="287"/>
        <v>234827.5</v>
      </c>
      <c r="AF840" s="54">
        <f t="shared" si="288"/>
        <v>333505.9518058633</v>
      </c>
      <c r="AG840" s="49">
        <f t="shared" si="289"/>
        <v>4309698.5999999996</v>
      </c>
      <c r="AH840" s="49">
        <f t="shared" si="290"/>
        <v>8619397.1999999993</v>
      </c>
    </row>
    <row r="841" spans="1:34" s="56" customFormat="1">
      <c r="A841" s="62" t="s">
        <v>943</v>
      </c>
      <c r="B841" s="62"/>
      <c r="C841" s="62"/>
      <c r="D841" s="62"/>
      <c r="E841" s="141">
        <v>1</v>
      </c>
      <c r="F841" s="142"/>
      <c r="G841" s="143">
        <v>0.5</v>
      </c>
      <c r="H841" s="143">
        <v>0</v>
      </c>
      <c r="I841" s="49">
        <v>120451</v>
      </c>
      <c r="J841" s="49">
        <f t="shared" si="275"/>
        <v>124666.78499999999</v>
      </c>
      <c r="K841" s="49">
        <f t="shared" si="276"/>
        <v>62333.392499999994</v>
      </c>
      <c r="L841" s="58"/>
      <c r="M841" s="141">
        <v>0</v>
      </c>
      <c r="N841" s="50">
        <f t="shared" si="277"/>
        <v>0</v>
      </c>
      <c r="O841" s="50">
        <f t="shared" si="278"/>
        <v>0</v>
      </c>
      <c r="P841" s="59"/>
      <c r="Q841" s="141">
        <v>0</v>
      </c>
      <c r="R841" s="50">
        <f t="shared" si="279"/>
        <v>0</v>
      </c>
      <c r="S841" s="51">
        <f t="shared" si="280"/>
        <v>0</v>
      </c>
      <c r="T841" s="60">
        <v>20</v>
      </c>
      <c r="U841" s="61" t="s">
        <v>810</v>
      </c>
      <c r="V841" s="53">
        <f>SUMIF('Avoided Costs 2014-2023'!$A:$A,'2014 Actuals'!U841&amp;ROUNDDOWN('2014 Actuals'!T841,0),'Avoided Costs 2014-2023'!$E:$E)*K841</f>
        <v>164401.99378348506</v>
      </c>
      <c r="W841" s="53">
        <f>SUMIF('Avoided Costs 2014-2023'!$A:$A,'2014 Actuals'!U841&amp;ROUNDDOWN('2014 Actuals'!T841,0),'Avoided Costs 2014-2023'!$K:$K)*O841</f>
        <v>0</v>
      </c>
      <c r="X841" s="53">
        <f>SUMIF('Avoided Costs 2014-2023'!$A:$A,'2014 Actuals'!U841&amp;ROUNDDOWN('2014 Actuals'!T841,0),'Avoided Costs 2014-2023'!$M:$M)*S841</f>
        <v>0</v>
      </c>
      <c r="Y841" s="53">
        <f t="shared" si="286"/>
        <v>164401.99378348506</v>
      </c>
      <c r="Z841" s="55">
        <v>265000</v>
      </c>
      <c r="AA841" s="54">
        <f t="shared" si="281"/>
        <v>132500</v>
      </c>
      <c r="AB841" s="54"/>
      <c r="AC841" s="54"/>
      <c r="AD841" s="54"/>
      <c r="AE841" s="54">
        <f t="shared" si="287"/>
        <v>132500</v>
      </c>
      <c r="AF841" s="54">
        <f t="shared" si="288"/>
        <v>31901.993783485057</v>
      </c>
      <c r="AG841" s="49">
        <f t="shared" si="289"/>
        <v>1246667.8499999999</v>
      </c>
      <c r="AH841" s="49">
        <f t="shared" si="290"/>
        <v>2493335.6999999997</v>
      </c>
    </row>
    <row r="842" spans="1:34" s="69" customFormat="1" collapsed="1">
      <c r="A842" s="145" t="s">
        <v>35</v>
      </c>
      <c r="B842" s="145" t="s">
        <v>944</v>
      </c>
      <c r="C842" s="65"/>
      <c r="D842" s="65">
        <v>0</v>
      </c>
      <c r="E842" s="51">
        <f>SUM(E723:E841)</f>
        <v>117</v>
      </c>
      <c r="F842" s="105"/>
      <c r="G842" s="147"/>
      <c r="H842" s="211"/>
      <c r="I842" s="49">
        <f>SUM(I723:I841)</f>
        <v>19927991</v>
      </c>
      <c r="J842" s="49">
        <f>SUM(J723:J841)</f>
        <v>20625470.684999991</v>
      </c>
      <c r="K842" s="49">
        <f>SUM(K723:K841)</f>
        <v>10312735.342499996</v>
      </c>
      <c r="L842" s="146"/>
      <c r="M842" s="49">
        <f>SUM(M723:M841)</f>
        <v>1892935</v>
      </c>
      <c r="N842" s="49">
        <f>SUM(N723:N841)</f>
        <v>1892935</v>
      </c>
      <c r="O842" s="49">
        <f>SUM(O723:O841)</f>
        <v>946467.5</v>
      </c>
      <c r="P842" s="148"/>
      <c r="Q842" s="49">
        <f>SUM(Q723:Q841)</f>
        <v>159216</v>
      </c>
      <c r="R842" s="49">
        <f>SUM(R723:R841)</f>
        <v>159216</v>
      </c>
      <c r="S842" s="49">
        <f>SUM(S723:S841)</f>
        <v>79608</v>
      </c>
      <c r="T842" s="103"/>
      <c r="U842" s="65" t="s">
        <v>810</v>
      </c>
      <c r="V842" s="54">
        <f t="shared" ref="V842:AA842" si="291">SUM(V723:V841)</f>
        <v>21903110.464296564</v>
      </c>
      <c r="W842" s="54">
        <f t="shared" si="291"/>
        <v>1265369.2296162175</v>
      </c>
      <c r="X842" s="54">
        <f t="shared" si="291"/>
        <v>2331303.6251687366</v>
      </c>
      <c r="Y842" s="54">
        <f t="shared" si="291"/>
        <v>25499783.319081519</v>
      </c>
      <c r="Z842" s="54"/>
      <c r="AA842" s="54">
        <f t="shared" si="291"/>
        <v>5363378.5900000008</v>
      </c>
      <c r="AB842" s="54">
        <f>567439.4+730958.28+39.98</f>
        <v>1298437.6600000001</v>
      </c>
      <c r="AC842" s="54">
        <f>264321.06+80295.21+305298.43</f>
        <v>649914.69999999995</v>
      </c>
      <c r="AD842" s="54">
        <f>AB842+AC842</f>
        <v>1948352.36</v>
      </c>
      <c r="AE842" s="54">
        <f t="shared" si="287"/>
        <v>6013293.290000001</v>
      </c>
      <c r="AF842" s="54">
        <f t="shared" si="288"/>
        <v>19486490.029081516</v>
      </c>
      <c r="AG842" s="49">
        <f>SUM(AG723:AG841)</f>
        <v>159869467.37249997</v>
      </c>
      <c r="AH842" s="49">
        <f>SUM(AH723:AH841)</f>
        <v>319738934.74499995</v>
      </c>
    </row>
    <row r="843" spans="1:34" s="69" customFormat="1">
      <c r="A843" s="44"/>
      <c r="B843" s="44"/>
      <c r="C843" s="43"/>
      <c r="D843" s="43"/>
      <c r="E843" s="92"/>
      <c r="F843" s="125"/>
      <c r="G843" s="163"/>
      <c r="H843" s="220"/>
      <c r="I843" s="90"/>
      <c r="J843" s="90"/>
      <c r="K843" s="90"/>
      <c r="L843" s="162"/>
      <c r="M843" s="90"/>
      <c r="N843" s="90"/>
      <c r="O843" s="90"/>
      <c r="P843" s="164"/>
      <c r="Q843" s="90"/>
      <c r="R843" s="90"/>
      <c r="S843" s="90"/>
      <c r="T843" s="3"/>
      <c r="U843" s="43"/>
      <c r="V843" s="72"/>
      <c r="W843" s="72"/>
      <c r="X843" s="72"/>
      <c r="Y843" s="72"/>
      <c r="Z843" s="71"/>
      <c r="AA843" s="72"/>
      <c r="AB843" s="72"/>
      <c r="AC843" s="72"/>
      <c r="AD843" s="72"/>
      <c r="AE843" s="72"/>
      <c r="AF843" s="72"/>
      <c r="AG843" s="95"/>
      <c r="AH843" s="95"/>
    </row>
    <row r="844" spans="1:34" s="69" customFormat="1">
      <c r="A844" s="244"/>
      <c r="B844" s="9" t="s">
        <v>945</v>
      </c>
      <c r="C844" s="82"/>
      <c r="D844" s="82"/>
      <c r="E844" s="83"/>
      <c r="F844" s="84"/>
      <c r="G844" s="85"/>
      <c r="H844" s="86"/>
      <c r="I844" s="16"/>
      <c r="J844" s="16"/>
      <c r="K844" s="16"/>
      <c r="L844" s="15"/>
      <c r="M844" s="16"/>
      <c r="N844" s="16"/>
      <c r="O844" s="16"/>
      <c r="P844" s="23"/>
      <c r="Q844" s="16"/>
      <c r="R844" s="16"/>
      <c r="S844" s="83"/>
      <c r="T844" s="87"/>
      <c r="U844" s="82"/>
      <c r="V844" s="73"/>
      <c r="W844" s="73"/>
      <c r="X844" s="73"/>
      <c r="Y844" s="73"/>
      <c r="Z844" s="88"/>
      <c r="AA844" s="73"/>
      <c r="AB844" s="73"/>
      <c r="AC844" s="73"/>
      <c r="AD844" s="73"/>
      <c r="AE844" s="73"/>
      <c r="AF844" s="73"/>
      <c r="AG844" s="89"/>
      <c r="AH844" s="89"/>
    </row>
    <row r="845" spans="1:34" s="56" customFormat="1">
      <c r="A845" s="62" t="s">
        <v>946</v>
      </c>
      <c r="B845" s="62" t="s">
        <v>947</v>
      </c>
      <c r="C845" s="62"/>
      <c r="D845" s="141">
        <v>1</v>
      </c>
      <c r="E845" s="141">
        <v>1</v>
      </c>
      <c r="F845" s="142">
        <f>I845/D845</f>
        <v>667</v>
      </c>
      <c r="G845" s="143">
        <v>0.05</v>
      </c>
      <c r="H845" s="143">
        <v>0</v>
      </c>
      <c r="I845" s="49">
        <v>667</v>
      </c>
      <c r="J845" s="49">
        <f>I845</f>
        <v>667</v>
      </c>
      <c r="K845" s="49">
        <f>J845*(1-G845)</f>
        <v>633.65</v>
      </c>
      <c r="L845" s="50">
        <v>172</v>
      </c>
      <c r="M845" s="141">
        <v>172</v>
      </c>
      <c r="N845" s="50">
        <f>+$M$707*M845</f>
        <v>172</v>
      </c>
      <c r="O845" s="50">
        <f>N845*(1-G845)</f>
        <v>163.4</v>
      </c>
      <c r="P845" s="59">
        <v>0</v>
      </c>
      <c r="Q845" s="141">
        <v>0</v>
      </c>
      <c r="R845" s="50">
        <f>+Q845*$Q$707</f>
        <v>0</v>
      </c>
      <c r="S845" s="51">
        <f>R845*(1-G845)</f>
        <v>0</v>
      </c>
      <c r="T845" s="60">
        <v>15</v>
      </c>
      <c r="U845" s="61" t="s">
        <v>810</v>
      </c>
      <c r="V845" s="53">
        <f>SUMIF('Avoided Costs 2014-2023'!$A:$A,'2014 Actuals'!U845&amp;ROUNDDOWN('2014 Actuals'!T845,0),'Avoided Costs 2014-2023'!$E:$E)*K845</f>
        <v>1382.7188557121051</v>
      </c>
      <c r="W845" s="53">
        <f>SUMIF('Avoided Costs 2014-2023'!$A:$A,'2014 Actuals'!U845&amp;ROUNDDOWN('2014 Actuals'!T845,0),'Avoided Costs 2014-2023'!$K:$K)*O845</f>
        <v>193.21729126928642</v>
      </c>
      <c r="X845" s="53">
        <f>SUMIF('Avoided Costs 2014-2023'!$A:$A,'2014 Actuals'!U845&amp;ROUNDDOWN('2014 Actuals'!T845,0),'Avoided Costs 2014-2023'!$M:$M)*S845</f>
        <v>0</v>
      </c>
      <c r="Y845" s="53">
        <f t="shared" ref="Y845:Y849" si="292">SUM(V845:X845)</f>
        <v>1575.9361469813916</v>
      </c>
      <c r="Z845" s="55">
        <f>1650/D845</f>
        <v>1650</v>
      </c>
      <c r="AA845" s="54">
        <f t="shared" ref="AA845:AA849" si="293">(Z845*D845)*(1-G845)</f>
        <v>1567.5</v>
      </c>
      <c r="AB845" s="54"/>
      <c r="AC845" s="54"/>
      <c r="AD845" s="54"/>
      <c r="AE845" s="54">
        <f t="shared" ref="AE845:AE850" si="294">AA845+AC845</f>
        <v>1567.5</v>
      </c>
      <c r="AF845" s="54">
        <f t="shared" ref="AF845:AF850" si="295">Y845-AE845</f>
        <v>8.4361469813916301</v>
      </c>
      <c r="AG845" s="49">
        <f>K845*T845</f>
        <v>9504.75</v>
      </c>
      <c r="AH845" s="49">
        <f>(J845*T845)</f>
        <v>10005</v>
      </c>
    </row>
    <row r="846" spans="1:34" s="56" customFormat="1">
      <c r="A846" s="62" t="s">
        <v>948</v>
      </c>
      <c r="B846" s="62" t="s">
        <v>949</v>
      </c>
      <c r="C846" s="62"/>
      <c r="D846" s="141">
        <v>1</v>
      </c>
      <c r="E846" s="141">
        <v>1</v>
      </c>
      <c r="F846" s="142">
        <v>7565</v>
      </c>
      <c r="G846" s="143">
        <v>0.05</v>
      </c>
      <c r="H846" s="143">
        <v>0</v>
      </c>
      <c r="I846" s="49">
        <f>F846*D846</f>
        <v>7565</v>
      </c>
      <c r="J846" s="49">
        <f>I846</f>
        <v>7565</v>
      </c>
      <c r="K846" s="49">
        <f>J846*(1-G846)</f>
        <v>7186.75</v>
      </c>
      <c r="L846" s="50">
        <v>-5380</v>
      </c>
      <c r="M846" s="141">
        <f>L846*D846</f>
        <v>-5380</v>
      </c>
      <c r="N846" s="50">
        <f>+$M$707*M846</f>
        <v>-5380</v>
      </c>
      <c r="O846" s="50">
        <f>N846*(1-G846)</f>
        <v>-5111</v>
      </c>
      <c r="P846" s="59">
        <v>0</v>
      </c>
      <c r="Q846" s="141">
        <v>0</v>
      </c>
      <c r="R846" s="50">
        <f>+Q846*$Q$707</f>
        <v>0</v>
      </c>
      <c r="S846" s="51">
        <f>R846*(1-G846)</f>
        <v>0</v>
      </c>
      <c r="T846" s="60">
        <v>15</v>
      </c>
      <c r="U846" s="61" t="s">
        <v>810</v>
      </c>
      <c r="V846" s="53">
        <f>SUMIF('Avoided Costs 2014-2023'!$A:$A,'2014 Actuals'!U846&amp;ROUNDDOWN('2014 Actuals'!T846,0),'Avoided Costs 2014-2023'!$E:$E)*K846</f>
        <v>15682.56093472575</v>
      </c>
      <c r="W846" s="53">
        <f>SUMIF('Avoided Costs 2014-2023'!$A:$A,'2014 Actuals'!U846&amp;ROUNDDOWN('2014 Actuals'!T846,0),'Avoided Costs 2014-2023'!$K:$K)*O846</f>
        <v>-6043.6571338881449</v>
      </c>
      <c r="X846" s="53">
        <f>SUMIF('Avoided Costs 2014-2023'!$A:$A,'2014 Actuals'!U846&amp;ROUNDDOWN('2014 Actuals'!T846,0),'Avoided Costs 2014-2023'!$M:$M)*S846</f>
        <v>0</v>
      </c>
      <c r="Y846" s="53">
        <f t="shared" si="292"/>
        <v>9638.9038008376046</v>
      </c>
      <c r="Z846" s="55">
        <f>8242/D846</f>
        <v>8242</v>
      </c>
      <c r="AA846" s="54">
        <f t="shared" si="293"/>
        <v>7829.9</v>
      </c>
      <c r="AB846" s="54"/>
      <c r="AC846" s="54"/>
      <c r="AD846" s="54"/>
      <c r="AE846" s="54">
        <f t="shared" si="294"/>
        <v>7829.9</v>
      </c>
      <c r="AF846" s="54">
        <f t="shared" si="295"/>
        <v>1809.003800837605</v>
      </c>
      <c r="AG846" s="49">
        <f>K846*T846</f>
        <v>107801.25</v>
      </c>
      <c r="AH846" s="49">
        <f>(J846*T846)</f>
        <v>113475</v>
      </c>
    </row>
    <row r="847" spans="1:34" s="56" customFormat="1">
      <c r="A847" s="62" t="s">
        <v>950</v>
      </c>
      <c r="B847" s="62" t="s">
        <v>951</v>
      </c>
      <c r="C847" s="62"/>
      <c r="D847" s="141">
        <v>10</v>
      </c>
      <c r="E847" s="141">
        <v>3</v>
      </c>
      <c r="F847" s="142">
        <v>9457</v>
      </c>
      <c r="G847" s="143">
        <v>0.05</v>
      </c>
      <c r="H847" s="143">
        <v>0</v>
      </c>
      <c r="I847" s="49">
        <f>F847*D847</f>
        <v>94570</v>
      </c>
      <c r="J847" s="49">
        <f>I847</f>
        <v>94570</v>
      </c>
      <c r="K847" s="49">
        <f>J847*(1-G847)</f>
        <v>89841.5</v>
      </c>
      <c r="L847" s="50">
        <v>-5220</v>
      </c>
      <c r="M847" s="141">
        <f>L847*D847</f>
        <v>-52200</v>
      </c>
      <c r="N847" s="50">
        <f>+$M$707*M847</f>
        <v>-52200</v>
      </c>
      <c r="O847" s="50">
        <f>N847*(1-G847)</f>
        <v>-49590</v>
      </c>
      <c r="P847" s="59">
        <v>0</v>
      </c>
      <c r="Q847" s="141">
        <v>0</v>
      </c>
      <c r="R847" s="50">
        <f>+Q847*$Q$707</f>
        <v>0</v>
      </c>
      <c r="S847" s="51">
        <f>R847*(1-G847)</f>
        <v>0</v>
      </c>
      <c r="T847" s="60">
        <v>15</v>
      </c>
      <c r="U847" s="61" t="s">
        <v>810</v>
      </c>
      <c r="V847" s="53">
        <f>SUMIF('Avoided Costs 2014-2023'!$A:$A,'2014 Actuals'!U847&amp;ROUNDDOWN('2014 Actuals'!T847,0),'Avoided Costs 2014-2023'!$E:$E)*K847</f>
        <v>196047.55949729204</v>
      </c>
      <c r="W847" s="53">
        <f>SUMIF('Avoided Costs 2014-2023'!$A:$A,'2014 Actuals'!U847&amp;ROUNDDOWN('2014 Actuals'!T847,0),'Avoided Costs 2014-2023'!$K:$K)*O847</f>
        <v>-58639.201187539249</v>
      </c>
      <c r="X847" s="53">
        <f>SUMIF('Avoided Costs 2014-2023'!$A:$A,'2014 Actuals'!U847&amp;ROUNDDOWN('2014 Actuals'!T847,0),'Avoided Costs 2014-2023'!$M:$M)*S847</f>
        <v>0</v>
      </c>
      <c r="Y847" s="53">
        <f t="shared" si="292"/>
        <v>137408.35830975277</v>
      </c>
      <c r="Z847" s="55">
        <v>8242</v>
      </c>
      <c r="AA847" s="54">
        <f t="shared" si="293"/>
        <v>78299</v>
      </c>
      <c r="AB847" s="54"/>
      <c r="AC847" s="54"/>
      <c r="AD847" s="54"/>
      <c r="AE847" s="54">
        <f t="shared" si="294"/>
        <v>78299</v>
      </c>
      <c r="AF847" s="54">
        <f t="shared" si="295"/>
        <v>59109.358309752773</v>
      </c>
      <c r="AG847" s="49">
        <f>K847*T847</f>
        <v>1347622.5</v>
      </c>
      <c r="AH847" s="49">
        <f>(J847*T847)</f>
        <v>1418550</v>
      </c>
    </row>
    <row r="848" spans="1:34" s="56" customFormat="1">
      <c r="A848" s="62" t="s">
        <v>952</v>
      </c>
      <c r="B848" s="62" t="s">
        <v>953</v>
      </c>
      <c r="C848" s="62"/>
      <c r="D848" s="141">
        <v>14</v>
      </c>
      <c r="E848" s="141">
        <v>4</v>
      </c>
      <c r="F848" s="142">
        <v>20605</v>
      </c>
      <c r="G848" s="143">
        <v>0.05</v>
      </c>
      <c r="H848" s="143">
        <v>0</v>
      </c>
      <c r="I848" s="49">
        <f>F848*D848</f>
        <v>288470</v>
      </c>
      <c r="J848" s="49">
        <f>I848</f>
        <v>288470</v>
      </c>
      <c r="K848" s="49">
        <f>J848*(1-G848)</f>
        <v>274046.5</v>
      </c>
      <c r="L848" s="50">
        <v>-936</v>
      </c>
      <c r="M848" s="141">
        <v>-13104</v>
      </c>
      <c r="N848" s="50">
        <f>+$M$707*M848</f>
        <v>-13104</v>
      </c>
      <c r="O848" s="50">
        <f>N848*(1-G848)</f>
        <v>-12448.8</v>
      </c>
      <c r="P848" s="59">
        <v>0</v>
      </c>
      <c r="Q848" s="141">
        <v>0</v>
      </c>
      <c r="R848" s="50">
        <f>+Q848*$Q$707</f>
        <v>0</v>
      </c>
      <c r="S848" s="51">
        <f>R848*(1-G848)</f>
        <v>0</v>
      </c>
      <c r="T848" s="60">
        <v>15</v>
      </c>
      <c r="U848" s="61" t="s">
        <v>810</v>
      </c>
      <c r="V848" s="53">
        <f>SUMIF('Avoided Costs 2014-2023'!$A:$A,'2014 Actuals'!U848&amp;ROUNDDOWN('2014 Actuals'!T848,0),'Avoided Costs 2014-2023'!$E:$E)*K848</f>
        <v>598010.35728226532</v>
      </c>
      <c r="W848" s="53">
        <f>SUMIF('Avoided Costs 2014-2023'!$A:$A,'2014 Actuals'!U848&amp;ROUNDDOWN('2014 Actuals'!T848,0),'Avoided Costs 2014-2023'!$K:$K)*O848</f>
        <v>-14720.46153949261</v>
      </c>
      <c r="X848" s="53">
        <f>SUMIF('Avoided Costs 2014-2023'!$A:$A,'2014 Actuals'!U848&amp;ROUNDDOWN('2014 Actuals'!T848,0),'Avoided Costs 2014-2023'!$M:$M)*S848</f>
        <v>0</v>
      </c>
      <c r="Y848" s="53">
        <f t="shared" si="292"/>
        <v>583289.89574277273</v>
      </c>
      <c r="Z848" s="55">
        <v>10170</v>
      </c>
      <c r="AA848" s="54">
        <f t="shared" si="293"/>
        <v>135261</v>
      </c>
      <c r="AB848" s="54"/>
      <c r="AC848" s="54"/>
      <c r="AD848" s="54"/>
      <c r="AE848" s="54">
        <f t="shared" si="294"/>
        <v>135261</v>
      </c>
      <c r="AF848" s="54">
        <f t="shared" si="295"/>
        <v>448028.89574277273</v>
      </c>
      <c r="AG848" s="49">
        <f>K848*T848</f>
        <v>4110697.5</v>
      </c>
      <c r="AH848" s="49">
        <f>(J848*T848)</f>
        <v>4327050</v>
      </c>
    </row>
    <row r="849" spans="1:34" s="56" customFormat="1">
      <c r="A849" s="62" t="s">
        <v>954</v>
      </c>
      <c r="B849" s="62" t="s">
        <v>955</v>
      </c>
      <c r="C849" s="62"/>
      <c r="D849" s="141">
        <v>82</v>
      </c>
      <c r="E849" s="141">
        <v>21</v>
      </c>
      <c r="F849" s="142">
        <f>I849/D849</f>
        <v>1840.7682926829268</v>
      </c>
      <c r="G849" s="143">
        <v>0.33</v>
      </c>
      <c r="H849" s="143">
        <v>0</v>
      </c>
      <c r="I849" s="49">
        <v>150943</v>
      </c>
      <c r="J849" s="49">
        <f>I849</f>
        <v>150943</v>
      </c>
      <c r="K849" s="49">
        <f>J849*(1-G849)</f>
        <v>101131.80999999998</v>
      </c>
      <c r="L849" s="58"/>
      <c r="M849" s="141">
        <v>37659</v>
      </c>
      <c r="N849" s="50">
        <f>+$M$707*M849</f>
        <v>37659</v>
      </c>
      <c r="O849" s="50">
        <f>N849*(1-G849)</f>
        <v>25231.53</v>
      </c>
      <c r="P849" s="59"/>
      <c r="Q849" s="141">
        <v>0</v>
      </c>
      <c r="R849" s="50">
        <f>+Q849*$Q$707</f>
        <v>0</v>
      </c>
      <c r="S849" s="51">
        <f>R849*(1-G849)</f>
        <v>0</v>
      </c>
      <c r="T849" s="60">
        <v>20</v>
      </c>
      <c r="U849" s="61" t="s">
        <v>810</v>
      </c>
      <c r="V849" s="53">
        <f>SUMIF('Avoided Costs 2014-2023'!$A:$A,'2014 Actuals'!U849&amp;ROUNDDOWN('2014 Actuals'!T849,0),'Avoided Costs 2014-2023'!$E:$E)*K849</f>
        <v>266731.3703314414</v>
      </c>
      <c r="W849" s="53">
        <f>SUMIF('Avoided Costs 2014-2023'!$A:$A,'2014 Actuals'!U849&amp;ROUNDDOWN('2014 Actuals'!T849,0),'Avoided Costs 2014-2023'!$K:$K)*O849</f>
        <v>35881.939414939021</v>
      </c>
      <c r="X849" s="53">
        <f>SUMIF('Avoided Costs 2014-2023'!$A:$A,'2014 Actuals'!U849&amp;ROUNDDOWN('2014 Actuals'!T849,0),'Avoided Costs 2014-2023'!$M:$M)*S849</f>
        <v>0</v>
      </c>
      <c r="Y849" s="53">
        <f t="shared" si="292"/>
        <v>302613.30974638043</v>
      </c>
      <c r="Z849" s="55">
        <f>125184/D849</f>
        <v>1526.6341463414635</v>
      </c>
      <c r="AA849" s="54">
        <f t="shared" si="293"/>
        <v>83873.279999999999</v>
      </c>
      <c r="AB849" s="54"/>
      <c r="AC849" s="54">
        <v>0</v>
      </c>
      <c r="AD849" s="54">
        <v>0</v>
      </c>
      <c r="AE849" s="54">
        <f t="shared" si="294"/>
        <v>83873.279999999999</v>
      </c>
      <c r="AF849" s="54">
        <f t="shared" si="295"/>
        <v>218740.02974638043</v>
      </c>
      <c r="AG849" s="49">
        <f>K849*T849</f>
        <v>2022636.1999999997</v>
      </c>
      <c r="AH849" s="49">
        <f>(J849*T849)</f>
        <v>3018860</v>
      </c>
    </row>
    <row r="850" spans="1:34" s="69" customFormat="1" collapsed="1">
      <c r="A850" s="145" t="s">
        <v>35</v>
      </c>
      <c r="B850" s="145" t="s">
        <v>956</v>
      </c>
      <c r="C850" s="65"/>
      <c r="D850" s="51">
        <f>SUM(D845:D849)</f>
        <v>108</v>
      </c>
      <c r="E850" s="51">
        <f>SUM(E845:E849)</f>
        <v>30</v>
      </c>
      <c r="F850" s="105"/>
      <c r="G850" s="147"/>
      <c r="H850" s="211"/>
      <c r="I850" s="49">
        <f>SUM(I845:I849)</f>
        <v>542215</v>
      </c>
      <c r="J850" s="49">
        <f>SUM(J845:J849)</f>
        <v>542215</v>
      </c>
      <c r="K850" s="49">
        <f>SUM(K845:K849)</f>
        <v>472840.21</v>
      </c>
      <c r="L850" s="146"/>
      <c r="M850" s="49">
        <f>SUM(M845:M849)</f>
        <v>-32853</v>
      </c>
      <c r="N850" s="49">
        <f>SUM(N845:N849)</f>
        <v>-32853</v>
      </c>
      <c r="O850" s="49">
        <f>SUM(O845:O849)</f>
        <v>-41754.869999999995</v>
      </c>
      <c r="P850" s="148"/>
      <c r="Q850" s="49">
        <f>SUM(Q845:Q849)</f>
        <v>0</v>
      </c>
      <c r="R850" s="49">
        <f>SUM(R845:R849)</f>
        <v>0</v>
      </c>
      <c r="S850" s="49">
        <f>SUM(S845:S849)</f>
        <v>0</v>
      </c>
      <c r="T850" s="64"/>
      <c r="U850" s="65"/>
      <c r="V850" s="54">
        <f t="shared" ref="V850:AA850" si="296">SUM(V845:V849)</f>
        <v>1077854.5669014365</v>
      </c>
      <c r="W850" s="54">
        <f t="shared" si="296"/>
        <v>-43328.163154711692</v>
      </c>
      <c r="X850" s="54">
        <f t="shared" si="296"/>
        <v>0</v>
      </c>
      <c r="Y850" s="54">
        <f t="shared" si="296"/>
        <v>1034526.4037467249</v>
      </c>
      <c r="Z850" s="54"/>
      <c r="AA850" s="54">
        <f t="shared" si="296"/>
        <v>306830.68</v>
      </c>
      <c r="AB850" s="54">
        <f>24600</f>
        <v>24600</v>
      </c>
      <c r="AC850" s="54">
        <v>0</v>
      </c>
      <c r="AD850" s="54">
        <f>AB850+AC850</f>
        <v>24600</v>
      </c>
      <c r="AE850" s="54">
        <f t="shared" si="294"/>
        <v>306830.68</v>
      </c>
      <c r="AF850" s="212">
        <f t="shared" si="295"/>
        <v>727695.72374672489</v>
      </c>
      <c r="AG850" s="49">
        <f>SUM(AG845:AG849)</f>
        <v>7598262.1999999993</v>
      </c>
      <c r="AH850" s="49">
        <f>SUM(AH845:AH849)</f>
        <v>8887940</v>
      </c>
    </row>
    <row r="851" spans="1:34" s="69" customFormat="1">
      <c r="A851" s="44"/>
      <c r="B851" s="44"/>
      <c r="C851" s="43"/>
      <c r="D851" s="43"/>
      <c r="E851" s="92"/>
      <c r="F851" s="125"/>
      <c r="G851" s="163"/>
      <c r="H851" s="220"/>
      <c r="I851" s="90"/>
      <c r="J851" s="90"/>
      <c r="K851" s="90"/>
      <c r="L851" s="162"/>
      <c r="M851" s="90"/>
      <c r="N851" s="90"/>
      <c r="O851" s="90"/>
      <c r="P851" s="164"/>
      <c r="Q851" s="90"/>
      <c r="R851" s="90"/>
      <c r="S851" s="90"/>
      <c r="T851" s="3"/>
      <c r="U851" s="43"/>
      <c r="V851" s="72"/>
      <c r="W851" s="72"/>
      <c r="X851" s="72"/>
      <c r="Y851" s="72"/>
      <c r="Z851" s="71"/>
      <c r="AA851" s="72"/>
      <c r="AB851" s="72"/>
      <c r="AC851" s="72"/>
      <c r="AD851" s="72"/>
      <c r="AE851" s="72"/>
      <c r="AF851" s="72"/>
      <c r="AG851" s="253"/>
      <c r="AH851" s="95"/>
    </row>
    <row r="852" spans="1:34">
      <c r="A852" s="224" t="s">
        <v>957</v>
      </c>
      <c r="B852" s="202"/>
      <c r="C852" s="121"/>
      <c r="D852" s="207">
        <f>D842+D720+D850</f>
        <v>108</v>
      </c>
      <c r="E852" s="207">
        <f>E842+E720+E850</f>
        <v>158</v>
      </c>
      <c r="F852" s="116"/>
      <c r="G852" s="117"/>
      <c r="H852" s="118"/>
      <c r="I852" s="203">
        <f>I842+I720+I850</f>
        <v>23190285</v>
      </c>
      <c r="J852" s="203">
        <f>J842+J720+J850</f>
        <v>23982967.449999992</v>
      </c>
      <c r="K852" s="203">
        <f>K842+K720+K850</f>
        <v>12474744.611499997</v>
      </c>
      <c r="L852" s="116"/>
      <c r="M852" s="203">
        <f>M842+M720+M850</f>
        <v>1860082</v>
      </c>
      <c r="N852" s="203">
        <f>N842+N720+N850</f>
        <v>1860082</v>
      </c>
      <c r="O852" s="203">
        <f>O842+O720+O850</f>
        <v>904712.63</v>
      </c>
      <c r="P852" s="119"/>
      <c r="Q852" s="203">
        <f>Q842+Q720+Q850</f>
        <v>159216</v>
      </c>
      <c r="R852" s="203">
        <f>R842+R720+R850</f>
        <v>159216</v>
      </c>
      <c r="S852" s="203">
        <f>S842+S720+S850</f>
        <v>79608</v>
      </c>
      <c r="T852" s="120"/>
      <c r="U852" s="243"/>
      <c r="V852" s="204">
        <f>V842+V720+V850</f>
        <v>25780304.859730616</v>
      </c>
      <c r="W852" s="204">
        <f>W842+W720+W850</f>
        <v>1222041.0664615058</v>
      </c>
      <c r="X852" s="204">
        <f>X842+X720+X850</f>
        <v>2331303.6251687366</v>
      </c>
      <c r="Y852" s="204">
        <f>Y842+Y720+Y850</f>
        <v>29333649.551360857</v>
      </c>
      <c r="Z852" s="122"/>
      <c r="AA852" s="204">
        <f>AA842+AA720+AA850</f>
        <v>6911924.3420000002</v>
      </c>
      <c r="AB852" s="205">
        <f t="shared" ref="AB852:AH852" si="297">AB842+AB720+AB850</f>
        <v>1554082.02</v>
      </c>
      <c r="AC852" s="205">
        <f t="shared" si="297"/>
        <v>660773.90999999992</v>
      </c>
      <c r="AD852" s="205">
        <f t="shared" si="297"/>
        <v>2214855.9300000002</v>
      </c>
      <c r="AE852" s="205">
        <f t="shared" si="297"/>
        <v>7572698.2520000003</v>
      </c>
      <c r="AF852" s="205">
        <f t="shared" si="297"/>
        <v>21760951.299360856</v>
      </c>
      <c r="AG852" s="206">
        <f t="shared" si="297"/>
        <v>185261717.63749996</v>
      </c>
      <c r="AH852" s="206">
        <f t="shared" si="297"/>
        <v>358283521.51999992</v>
      </c>
    </row>
    <row r="853" spans="1:34">
      <c r="A853" s="44"/>
      <c r="E853" s="254"/>
      <c r="U853" s="255"/>
      <c r="AG853" s="38"/>
      <c r="AH853" s="38"/>
    </row>
    <row r="854" spans="1:34" ht="13.5" thickBot="1">
      <c r="A854" s="245" t="s">
        <v>958</v>
      </c>
      <c r="B854" s="74"/>
      <c r="C854" s="75"/>
      <c r="D854" s="246">
        <f>D852+D705</f>
        <v>18919</v>
      </c>
      <c r="E854" s="246">
        <f>E852+E705</f>
        <v>1683</v>
      </c>
      <c r="F854" s="76"/>
      <c r="G854" s="77"/>
      <c r="H854" s="78"/>
      <c r="I854" s="247">
        <f>I852+I705</f>
        <v>54115212</v>
      </c>
      <c r="J854" s="247">
        <f>J852+J705</f>
        <v>50889966.414999992</v>
      </c>
      <c r="K854" s="247">
        <f>K852+K705</f>
        <v>34879764.193999998</v>
      </c>
      <c r="L854" s="76"/>
      <c r="M854" s="247">
        <f>M852+M705</f>
        <v>28537812</v>
      </c>
      <c r="N854" s="247">
        <f>N852+N705</f>
        <v>28537812</v>
      </c>
      <c r="O854" s="247">
        <f>O852+O705</f>
        <v>22258631.129999999</v>
      </c>
      <c r="P854" s="79"/>
      <c r="Q854" s="247">
        <f>Q852+Q705</f>
        <v>533343.01699999999</v>
      </c>
      <c r="R854" s="247">
        <f>R852+R705</f>
        <v>533343.01699999999</v>
      </c>
      <c r="S854" s="247">
        <f>S852+S705</f>
        <v>370252.150265</v>
      </c>
      <c r="T854" s="80"/>
      <c r="U854" s="75"/>
      <c r="V854" s="248">
        <f>V852+V705</f>
        <v>81235369.175557673</v>
      </c>
      <c r="W854" s="248">
        <f>W852+W705</f>
        <v>31519295.374847922</v>
      </c>
      <c r="X854" s="248">
        <f>X852+X705</f>
        <v>9093773.0576679017</v>
      </c>
      <c r="Y854" s="248">
        <f>Y852+Y705</f>
        <v>120830929.3933221</v>
      </c>
      <c r="Z854" s="81"/>
      <c r="AA854" s="248">
        <f>AA852+AA705</f>
        <v>32611271.651000008</v>
      </c>
      <c r="AB854" s="249">
        <f t="shared" ref="AB854:AH854" si="298">AB852+AB705</f>
        <v>4896690.1099999994</v>
      </c>
      <c r="AC854" s="249">
        <f t="shared" si="298"/>
        <v>3078287.5300000003</v>
      </c>
      <c r="AD854" s="249">
        <f t="shared" si="298"/>
        <v>7974977.6400000006</v>
      </c>
      <c r="AE854" s="249">
        <f t="shared" si="298"/>
        <v>35685059.181000009</v>
      </c>
      <c r="AF854" s="249">
        <f t="shared" si="298"/>
        <v>85145870.212322056</v>
      </c>
      <c r="AG854" s="256">
        <f t="shared" si="298"/>
        <v>574677434.73766911</v>
      </c>
      <c r="AH854" s="256">
        <f t="shared" si="298"/>
        <v>832345944.33056235</v>
      </c>
    </row>
    <row r="855" spans="1:34" ht="14.25" thickTop="1" thickBot="1">
      <c r="A855" s="257"/>
      <c r="B855" s="69"/>
      <c r="C855" s="43"/>
      <c r="D855" s="43"/>
      <c r="E855" s="11"/>
      <c r="F855" s="12"/>
      <c r="G855" s="13"/>
      <c r="H855" s="14"/>
      <c r="I855" s="11"/>
      <c r="J855" s="11"/>
      <c r="K855" s="11"/>
      <c r="L855" s="12"/>
      <c r="M855" s="11"/>
      <c r="N855" s="11"/>
      <c r="O855" s="11"/>
      <c r="P855" s="23"/>
      <c r="Q855" s="11"/>
      <c r="R855" s="11"/>
      <c r="S855" s="11"/>
      <c r="T855" s="48"/>
      <c r="U855" s="43"/>
      <c r="V855" s="40">
        <v>86029851.858331174</v>
      </c>
      <c r="W855" s="40">
        <v>31680500.841290958</v>
      </c>
      <c r="X855" s="40">
        <v>8537318.753264552</v>
      </c>
      <c r="Y855" s="40">
        <v>126247671.45288667</v>
      </c>
      <c r="Z855" s="66"/>
      <c r="AA855" s="40"/>
      <c r="AB855" s="40"/>
      <c r="AC855" s="40"/>
      <c r="AD855" s="40"/>
      <c r="AE855" s="40"/>
      <c r="AF855" s="40"/>
      <c r="AG855" s="38"/>
      <c r="AH855" s="38"/>
    </row>
    <row r="856" spans="1:34" ht="14.25" thickTop="1" thickBot="1">
      <c r="A856" s="202" t="s">
        <v>959</v>
      </c>
      <c r="B856" s="202" t="s">
        <v>960</v>
      </c>
      <c r="C856" s="121"/>
      <c r="D856" s="121"/>
      <c r="E856" s="203"/>
      <c r="F856" s="116"/>
      <c r="G856" s="117"/>
      <c r="H856" s="118"/>
      <c r="I856" s="203"/>
      <c r="J856" s="203"/>
      <c r="K856" s="203"/>
      <c r="L856" s="116"/>
      <c r="M856" s="203"/>
      <c r="N856" s="203"/>
      <c r="O856" s="203"/>
      <c r="P856" s="119"/>
      <c r="Q856" s="203"/>
      <c r="R856" s="203"/>
      <c r="S856" s="203"/>
      <c r="T856" s="120"/>
      <c r="U856" s="243"/>
      <c r="V856" s="204"/>
      <c r="W856" s="204"/>
      <c r="X856" s="204"/>
      <c r="Y856" s="204"/>
      <c r="Z856" s="122"/>
      <c r="AA856" s="204"/>
      <c r="AB856" s="205">
        <v>0</v>
      </c>
      <c r="AC856" s="205">
        <v>4636554.618475873</v>
      </c>
      <c r="AD856" s="205">
        <f>AB856+AC856</f>
        <v>4636554.618475873</v>
      </c>
      <c r="AE856" s="205">
        <f>AA856+AC856</f>
        <v>4636554.618475873</v>
      </c>
      <c r="AF856" s="205">
        <f>Y856-AE856</f>
        <v>-4636554.618475873</v>
      </c>
      <c r="AG856" s="206"/>
      <c r="AH856" s="206"/>
    </row>
    <row r="857" spans="1:34" ht="14.25" thickTop="1" thickBot="1">
      <c r="A857" s="258" t="s">
        <v>961</v>
      </c>
      <c r="B857" s="149"/>
      <c r="C857" s="113"/>
      <c r="D857" s="113"/>
      <c r="E857" s="259">
        <f>E854+E8</f>
        <v>6896</v>
      </c>
      <c r="F857" s="150"/>
      <c r="G857" s="151"/>
      <c r="H857" s="152"/>
      <c r="I857" s="260">
        <f>I854+I8</f>
        <v>61073896.034615405</v>
      </c>
      <c r="J857" s="260">
        <f>J854+J8</f>
        <v>57848650.449615397</v>
      </c>
      <c r="K857" s="260">
        <f>K854+K8</f>
        <v>40794645.623423092</v>
      </c>
      <c r="L857" s="150"/>
      <c r="M857" s="260">
        <f>M854+M8</f>
        <v>28537812</v>
      </c>
      <c r="N857" s="260">
        <f>N854+N8</f>
        <v>28537812</v>
      </c>
      <c r="O857" s="260">
        <f>O854+O8</f>
        <v>22957859.385001507</v>
      </c>
      <c r="P857" s="153"/>
      <c r="Q857" s="260">
        <f>Q854+Q8</f>
        <v>533343.01699999999</v>
      </c>
      <c r="R857" s="260">
        <f>R854+R8</f>
        <v>533343.01699999999</v>
      </c>
      <c r="S857" s="260">
        <f>S854+S8</f>
        <v>370252.150265</v>
      </c>
      <c r="T857" s="112"/>
      <c r="U857" s="113"/>
      <c r="V857" s="261">
        <f>V854+V8</f>
        <v>95010889.943671912</v>
      </c>
      <c r="W857" s="261">
        <f>W854+W8</f>
        <v>32350082.230078127</v>
      </c>
      <c r="X857" s="261">
        <f>X854+X8</f>
        <v>9093773.0576679017</v>
      </c>
      <c r="Y857" s="261">
        <f>Y854+Y8</f>
        <v>135437237.01666653</v>
      </c>
      <c r="Z857" s="154"/>
      <c r="AA857" s="261">
        <f>AA854+AA8</f>
        <v>39036294.151000008</v>
      </c>
      <c r="AB857" s="262">
        <f>AB854+AB8+AB856</f>
        <v>12478277.59</v>
      </c>
      <c r="AC857" s="262">
        <f>AC854+AC8+AC856</f>
        <v>8738912.0684758723</v>
      </c>
      <c r="AD857" s="262">
        <f>AD854+AD8+AD856</f>
        <v>21217189.658475876</v>
      </c>
      <c r="AE857" s="262">
        <f>AE854+AE8+AE856</f>
        <v>47770706.21947588</v>
      </c>
      <c r="AF857" s="262">
        <f>AF854+AF8+AF856</f>
        <v>87666530.797190636</v>
      </c>
      <c r="AG857" s="260">
        <f>AG854+AG8</f>
        <v>664367996.97901547</v>
      </c>
      <c r="AH857" s="260">
        <f>AH854+AH8</f>
        <v>937864252.84979343</v>
      </c>
    </row>
    <row r="858" spans="1:34" ht="13.5" thickTop="1">
      <c r="A858" s="135"/>
      <c r="AG858" s="38"/>
      <c r="AH858" s="38"/>
    </row>
    <row r="859" spans="1:34">
      <c r="A859" s="135" t="s">
        <v>962</v>
      </c>
      <c r="AG859" s="38"/>
      <c r="AH859" s="38"/>
    </row>
    <row r="860" spans="1:34" s="56" customFormat="1" ht="25.5">
      <c r="A860" s="135" t="s">
        <v>963</v>
      </c>
      <c r="B860" s="9" t="s">
        <v>964</v>
      </c>
      <c r="C860" s="10"/>
      <c r="D860" s="263" t="s">
        <v>965</v>
      </c>
      <c r="E860" s="264" t="s">
        <v>966</v>
      </c>
      <c r="F860" s="15"/>
      <c r="G860" s="36"/>
      <c r="H860" s="37"/>
      <c r="I860" s="16"/>
      <c r="J860" s="90"/>
      <c r="K860" s="90"/>
      <c r="L860" s="12"/>
      <c r="M860" s="155"/>
      <c r="N860" s="70"/>
      <c r="O860" s="70"/>
      <c r="P860" s="91"/>
      <c r="Q860" s="155"/>
      <c r="R860" s="70"/>
      <c r="S860" s="92"/>
      <c r="T860" s="93"/>
      <c r="U860" s="94"/>
      <c r="V860" s="40"/>
      <c r="W860" s="40"/>
      <c r="X860" s="40"/>
      <c r="Y860" s="40"/>
      <c r="Z860" s="71"/>
      <c r="AA860" s="72"/>
      <c r="AB860" s="72"/>
      <c r="AC860" s="72"/>
      <c r="AD860" s="72"/>
      <c r="AE860" s="72"/>
      <c r="AF860" s="72"/>
      <c r="AG860" s="95"/>
      <c r="AH860" s="95"/>
    </row>
    <row r="861" spans="1:34" s="56" customFormat="1">
      <c r="A861" s="145" t="s">
        <v>963</v>
      </c>
      <c r="B861" s="145" t="s">
        <v>967</v>
      </c>
      <c r="C861" s="98"/>
      <c r="D861" s="156">
        <v>1107</v>
      </c>
      <c r="E861" s="51">
        <v>1107</v>
      </c>
      <c r="F861" s="146">
        <f>I861/E861</f>
        <v>911.04565373441767</v>
      </c>
      <c r="G861" s="147">
        <v>0</v>
      </c>
      <c r="H861" s="147">
        <v>0</v>
      </c>
      <c r="I861" s="49">
        <v>1008527.5386840004</v>
      </c>
      <c r="J861" s="49">
        <f t="shared" ref="J861:J866" si="299">I861</f>
        <v>1008527.5386840004</v>
      </c>
      <c r="K861" s="96">
        <f>(F861*E861)*(1-G861)*(1-H861)</f>
        <v>1008527.5386840004</v>
      </c>
      <c r="L861" s="58">
        <v>0</v>
      </c>
      <c r="M861" s="141">
        <v>0</v>
      </c>
      <c r="N861" s="50">
        <f t="shared" ref="N861:N866" si="300">M861</f>
        <v>0</v>
      </c>
      <c r="O861" s="96">
        <f t="shared" ref="O861:O866" si="301">(L861*E861)*(1-G861)</f>
        <v>0</v>
      </c>
      <c r="P861" s="59">
        <v>0</v>
      </c>
      <c r="Q861" s="141">
        <v>0</v>
      </c>
      <c r="R861" s="50">
        <f t="shared" ref="R861:R866" si="302">+Q861</f>
        <v>0</v>
      </c>
      <c r="S861" s="96">
        <f t="shared" ref="S861:S866" si="303">(P861*E861)*(1-G861)*(1-H861)</f>
        <v>0</v>
      </c>
      <c r="T861" s="64">
        <v>25</v>
      </c>
      <c r="U861" s="65" t="s">
        <v>81</v>
      </c>
      <c r="V861" s="53">
        <f>SUMIF('Avoided Costs 2014-2023'!$A:$A,'2014 Actuals'!U861&amp;ROUNDDOWN('2014 Actuals'!T861,0),'Avoided Costs 2014-2023'!$E:$E)*K861</f>
        <v>3203369.4599943766</v>
      </c>
      <c r="W861" s="53">
        <f>SUMIF('Avoided Costs 2014-2023'!$A:$A,'2014 Actuals'!U861&amp;ROUNDDOWN('2014 Actuals'!T861,0),'Avoided Costs 2014-2023'!$K:$K)*O861</f>
        <v>0</v>
      </c>
      <c r="X861" s="53">
        <f>SUMIF('Avoided Costs 2014-2023'!$A:$A,'2014 Actuals'!U861&amp;ROUNDDOWN('2014 Actuals'!T861,0),'Avoided Costs 2014-2023'!$M:$M)*S861</f>
        <v>0</v>
      </c>
      <c r="Y861" s="53">
        <f t="shared" ref="Y861:Y866" si="304">SUM(V861:X861)</f>
        <v>3203369.4599943766</v>
      </c>
      <c r="Z861" s="54">
        <f>AA861/E861</f>
        <v>2668.8414724480576</v>
      </c>
      <c r="AA861" s="53">
        <v>2954407.51</v>
      </c>
      <c r="AB861" s="54">
        <v>4302144.5600000005</v>
      </c>
      <c r="AC861" s="54">
        <v>192385.03</v>
      </c>
      <c r="AD861" s="54">
        <f>AB861+AC861</f>
        <v>4494529.5900000008</v>
      </c>
      <c r="AE861" s="53">
        <f t="shared" ref="AE861:AE867" si="305">AA861+AC861</f>
        <v>3146792.5399999996</v>
      </c>
      <c r="AF861" s="54">
        <f t="shared" ref="AF861:AF867" si="306">Y861-AE861</f>
        <v>56576.919994377065</v>
      </c>
      <c r="AG861" s="49">
        <f t="shared" ref="AG861:AG866" si="307">K861*T861</f>
        <v>25213188.467100009</v>
      </c>
      <c r="AH861" s="49">
        <f t="shared" ref="AH861:AH866" si="308">(J861*T861)</f>
        <v>25213188.467100009</v>
      </c>
    </row>
    <row r="862" spans="1:34" s="56" customFormat="1">
      <c r="A862" s="145" t="s">
        <v>963</v>
      </c>
      <c r="B862" s="97" t="s">
        <v>968</v>
      </c>
      <c r="C862" s="98"/>
      <c r="D862" s="98">
        <v>147</v>
      </c>
      <c r="E862" s="99">
        <v>147</v>
      </c>
      <c r="F862" s="146">
        <f>I862/D862</f>
        <v>143</v>
      </c>
      <c r="G862" s="147">
        <v>0</v>
      </c>
      <c r="H862" s="147">
        <v>0</v>
      </c>
      <c r="I862" s="100">
        <v>21021</v>
      </c>
      <c r="J862" s="49">
        <f>I862</f>
        <v>21021</v>
      </c>
      <c r="K862" s="96">
        <f>J862*(1-G862)</f>
        <v>21021</v>
      </c>
      <c r="L862" s="58">
        <v>0</v>
      </c>
      <c r="M862" s="141">
        <v>0</v>
      </c>
      <c r="N862" s="50">
        <f t="shared" si="300"/>
        <v>0</v>
      </c>
      <c r="O862" s="96">
        <f t="shared" si="301"/>
        <v>0</v>
      </c>
      <c r="P862" s="59">
        <v>0</v>
      </c>
      <c r="Q862" s="141">
        <v>0</v>
      </c>
      <c r="R862" s="50">
        <f t="shared" si="302"/>
        <v>0</v>
      </c>
      <c r="S862" s="96">
        <f t="shared" si="303"/>
        <v>0</v>
      </c>
      <c r="T862" s="64">
        <v>18</v>
      </c>
      <c r="U862" s="65" t="s">
        <v>81</v>
      </c>
      <c r="V862" s="53">
        <f>SUMIF('Avoided Costs 2014-2023'!$A:$A,'2014 Actuals'!U862&amp;ROUNDDOWN('2014 Actuals'!T862,0),'Avoided Costs 2014-2023'!$E:$E)*K862</f>
        <v>55028.357850594148</v>
      </c>
      <c r="W862" s="53">
        <f>SUMIF('Avoided Costs 2014-2023'!$A:$A,'2014 Actuals'!U862&amp;ROUNDDOWN('2014 Actuals'!T862,0),'Avoided Costs 2014-2023'!$K:$K)*O862</f>
        <v>0</v>
      </c>
      <c r="X862" s="53">
        <f>SUMIF('Avoided Costs 2014-2023'!$A:$A,'2014 Actuals'!U862&amp;ROUNDDOWN('2014 Actuals'!T862,0),'Avoided Costs 2014-2023'!$M:$M)*S862</f>
        <v>0</v>
      </c>
      <c r="Y862" s="53">
        <f t="shared" si="304"/>
        <v>55028.357850594148</v>
      </c>
      <c r="Z862" s="157">
        <v>400</v>
      </c>
      <c r="AA862" s="158">
        <v>58800</v>
      </c>
      <c r="AB862" s="54">
        <v>0</v>
      </c>
      <c r="AC862" s="54">
        <v>0</v>
      </c>
      <c r="AD862" s="54">
        <v>0</v>
      </c>
      <c r="AE862" s="53">
        <f t="shared" si="305"/>
        <v>58800</v>
      </c>
      <c r="AF862" s="54">
        <f t="shared" si="306"/>
        <v>-3771.6421494058523</v>
      </c>
      <c r="AG862" s="49">
        <f t="shared" si="307"/>
        <v>378378</v>
      </c>
      <c r="AH862" s="49">
        <f t="shared" si="308"/>
        <v>378378</v>
      </c>
    </row>
    <row r="863" spans="1:34" s="56" customFormat="1">
      <c r="A863" s="145" t="s">
        <v>963</v>
      </c>
      <c r="B863" s="97" t="s">
        <v>969</v>
      </c>
      <c r="C863" s="98"/>
      <c r="D863" s="98">
        <v>31</v>
      </c>
      <c r="E863" s="99">
        <f>AA863/Z863</f>
        <v>31.000000000000004</v>
      </c>
      <c r="F863" s="146">
        <f t="shared" ref="F863:F865" si="309">I863/D863</f>
        <v>53</v>
      </c>
      <c r="G863" s="147">
        <v>0</v>
      </c>
      <c r="H863" s="147">
        <v>0</v>
      </c>
      <c r="I863" s="100">
        <v>1643</v>
      </c>
      <c r="J863" s="49">
        <f t="shared" si="299"/>
        <v>1643</v>
      </c>
      <c r="K863" s="96">
        <f>(F863*E863)*(1-G863)*(1-H863)</f>
        <v>1643.0000000000002</v>
      </c>
      <c r="L863" s="58">
        <v>0</v>
      </c>
      <c r="M863" s="141">
        <v>0</v>
      </c>
      <c r="N863" s="50">
        <f t="shared" si="300"/>
        <v>0</v>
      </c>
      <c r="O863" s="96">
        <f t="shared" si="301"/>
        <v>0</v>
      </c>
      <c r="P863" s="59">
        <v>0</v>
      </c>
      <c r="Q863" s="141">
        <v>0</v>
      </c>
      <c r="R863" s="50">
        <f t="shared" si="302"/>
        <v>0</v>
      </c>
      <c r="S863" s="96">
        <f t="shared" si="303"/>
        <v>0</v>
      </c>
      <c r="T863" s="64">
        <v>15</v>
      </c>
      <c r="U863" s="65" t="s">
        <v>81</v>
      </c>
      <c r="V863" s="53">
        <f>SUMIF('Avoided Costs 2014-2023'!$A:$A,'2014 Actuals'!U863&amp;ROUNDDOWN('2014 Actuals'!T863,0),'Avoided Costs 2014-2023'!$E:$E)*K863</f>
        <v>3803.3345568472801</v>
      </c>
      <c r="W863" s="53">
        <f>SUMIF('Avoided Costs 2014-2023'!$A:$A,'2014 Actuals'!U863&amp;ROUNDDOWN('2014 Actuals'!T863,0),'Avoided Costs 2014-2023'!$K:$K)*O863</f>
        <v>0</v>
      </c>
      <c r="X863" s="53">
        <f>SUMIF('Avoided Costs 2014-2023'!$A:$A,'2014 Actuals'!U863&amp;ROUNDDOWN('2014 Actuals'!T863,0),'Avoided Costs 2014-2023'!$M:$M)*S863</f>
        <v>0</v>
      </c>
      <c r="Y863" s="53">
        <f t="shared" si="304"/>
        <v>3803.3345568472801</v>
      </c>
      <c r="Z863" s="157">
        <v>69.180000000000007</v>
      </c>
      <c r="AA863" s="158">
        <v>2144.5800000000004</v>
      </c>
      <c r="AB863" s="54">
        <v>0</v>
      </c>
      <c r="AC863" s="54">
        <v>0</v>
      </c>
      <c r="AD863" s="54">
        <f t="shared" ref="AD863:AD866" si="310">AB863+AC863</f>
        <v>0</v>
      </c>
      <c r="AE863" s="53">
        <f t="shared" si="305"/>
        <v>2144.5800000000004</v>
      </c>
      <c r="AF863" s="54">
        <f t="shared" si="306"/>
        <v>1658.7545568472797</v>
      </c>
      <c r="AG863" s="49">
        <f t="shared" si="307"/>
        <v>24645.000000000004</v>
      </c>
      <c r="AH863" s="49">
        <f t="shared" si="308"/>
        <v>24645</v>
      </c>
    </row>
    <row r="864" spans="1:34" s="69" customFormat="1">
      <c r="A864" s="145" t="s">
        <v>963</v>
      </c>
      <c r="B864" s="97" t="s">
        <v>970</v>
      </c>
      <c r="C864" s="98"/>
      <c r="D864" s="98">
        <v>131</v>
      </c>
      <c r="E864" s="99">
        <v>127</v>
      </c>
      <c r="F864" s="146">
        <f>I864/D864</f>
        <v>6.3999999999999861</v>
      </c>
      <c r="G864" s="147">
        <v>0</v>
      </c>
      <c r="H864" s="147">
        <v>0.77500000000000002</v>
      </c>
      <c r="I864" s="100">
        <v>838.39999999999816</v>
      </c>
      <c r="J864" s="49">
        <f t="shared" si="299"/>
        <v>838.39999999999816</v>
      </c>
      <c r="K864" s="96">
        <f>(F864*E864)*(1-G864)*(1-H864)</f>
        <v>182.8799999999996</v>
      </c>
      <c r="L864" s="58">
        <v>0</v>
      </c>
      <c r="M864" s="141">
        <f>L864*E864</f>
        <v>0</v>
      </c>
      <c r="N864" s="50">
        <f t="shared" si="300"/>
        <v>0</v>
      </c>
      <c r="O864" s="96">
        <f t="shared" si="301"/>
        <v>0</v>
      </c>
      <c r="P864" s="101">
        <v>2.5009999999999999</v>
      </c>
      <c r="Q864" s="102">
        <f>P864*E864</f>
        <v>317.62700000000001</v>
      </c>
      <c r="R864" s="50">
        <f t="shared" si="302"/>
        <v>317.62700000000001</v>
      </c>
      <c r="S864" s="96">
        <f t="shared" si="303"/>
        <v>71.466074999999989</v>
      </c>
      <c r="T864" s="103">
        <v>10</v>
      </c>
      <c r="U864" s="65" t="s">
        <v>94</v>
      </c>
      <c r="V864" s="53">
        <f>SUMIF('Avoided Costs 2014-2023'!$A:$A,'2014 Actuals'!U864&amp;ROUNDDOWN('2014 Actuals'!T864,0),'Avoided Costs 2014-2023'!$E:$E)*K864</f>
        <v>291.41559895254852</v>
      </c>
      <c r="W864" s="53">
        <f>SUMIF('Avoided Costs 2014-2023'!$A:$A,'2014 Actuals'!U864&amp;ROUNDDOWN('2014 Actuals'!T864,0),'Avoided Costs 2014-2023'!$K:$K)*O864</f>
        <v>0</v>
      </c>
      <c r="X864" s="53">
        <f>SUMIF('Avoided Costs 2014-2023'!$A:$A,'2014 Actuals'!U864&amp;ROUNDDOWN('2014 Actuals'!T864,0),'Avoided Costs 2014-2023'!$M:$M)*S864</f>
        <v>1511.7793890452567</v>
      </c>
      <c r="Y864" s="53">
        <f t="shared" si="304"/>
        <v>1803.1949879978051</v>
      </c>
      <c r="Z864" s="157">
        <v>0.6</v>
      </c>
      <c r="AA864" s="158">
        <v>78.599999999999994</v>
      </c>
      <c r="AB864" s="54">
        <v>0</v>
      </c>
      <c r="AC864" s="54">
        <v>0</v>
      </c>
      <c r="AD864" s="54">
        <f t="shared" si="310"/>
        <v>0</v>
      </c>
      <c r="AE864" s="53">
        <f t="shared" si="305"/>
        <v>78.599999999999994</v>
      </c>
      <c r="AF864" s="54">
        <f t="shared" si="306"/>
        <v>1724.5949879978052</v>
      </c>
      <c r="AG864" s="49">
        <f t="shared" si="307"/>
        <v>1828.7999999999961</v>
      </c>
      <c r="AH864" s="49">
        <f t="shared" si="308"/>
        <v>8383.9999999999818</v>
      </c>
    </row>
    <row r="865" spans="1:34" s="69" customFormat="1">
      <c r="A865" s="145" t="s">
        <v>963</v>
      </c>
      <c r="B865" s="97" t="s">
        <v>971</v>
      </c>
      <c r="C865" s="98"/>
      <c r="D865" s="98">
        <v>149</v>
      </c>
      <c r="E865" s="99">
        <v>148</v>
      </c>
      <c r="F865" s="146">
        <f t="shared" si="309"/>
        <v>11.559999999999961</v>
      </c>
      <c r="G865" s="147">
        <v>0</v>
      </c>
      <c r="H865" s="147">
        <v>0.66900000000000004</v>
      </c>
      <c r="I865" s="100">
        <v>1722.4399999999944</v>
      </c>
      <c r="J865" s="49">
        <f t="shared" si="299"/>
        <v>1722.4399999999944</v>
      </c>
      <c r="K865" s="96">
        <f>(F865*E865)*(1-G865)*(1-H865)</f>
        <v>566.30127999999797</v>
      </c>
      <c r="L865" s="58">
        <v>0</v>
      </c>
      <c r="M865" s="141">
        <v>0</v>
      </c>
      <c r="N865" s="50">
        <f t="shared" si="300"/>
        <v>0</v>
      </c>
      <c r="O865" s="96">
        <f t="shared" si="301"/>
        <v>0</v>
      </c>
      <c r="P865" s="101">
        <v>4.516</v>
      </c>
      <c r="Q865" s="102">
        <f>P865*E865</f>
        <v>668.36800000000005</v>
      </c>
      <c r="R865" s="50">
        <f t="shared" si="302"/>
        <v>668.36800000000005</v>
      </c>
      <c r="S865" s="96">
        <f t="shared" si="303"/>
        <v>221.22980799999999</v>
      </c>
      <c r="T865" s="103">
        <v>10</v>
      </c>
      <c r="U865" s="65" t="s">
        <v>94</v>
      </c>
      <c r="V865" s="53">
        <f>SUMIF('Avoided Costs 2014-2023'!$A:$A,'2014 Actuals'!U865&amp;ROUNDDOWN('2014 Actuals'!T865,0),'Avoided Costs 2014-2023'!$E:$E)*K865</f>
        <v>902.38969104765238</v>
      </c>
      <c r="W865" s="53">
        <f>SUMIF('Avoided Costs 2014-2023'!$A:$A,'2014 Actuals'!U865&amp;ROUNDDOWN('2014 Actuals'!T865,0),'Avoided Costs 2014-2023'!$K:$K)*O865</f>
        <v>0</v>
      </c>
      <c r="X865" s="53">
        <f>SUMIF('Avoided Costs 2014-2023'!$A:$A,'2014 Actuals'!U865&amp;ROUNDDOWN('2014 Actuals'!T865,0),'Avoided Costs 2014-2023'!$M:$M)*S865</f>
        <v>4679.8521393100082</v>
      </c>
      <c r="Y865" s="53">
        <f t="shared" si="304"/>
        <v>5582.2418303576605</v>
      </c>
      <c r="Z865" s="157">
        <v>1.1399999999999999</v>
      </c>
      <c r="AA865" s="158">
        <v>169.85999999999999</v>
      </c>
      <c r="AB865" s="54">
        <v>0</v>
      </c>
      <c r="AC865" s="54">
        <v>0</v>
      </c>
      <c r="AD865" s="54">
        <v>0</v>
      </c>
      <c r="AE865" s="53">
        <f t="shared" si="305"/>
        <v>169.85999999999999</v>
      </c>
      <c r="AF865" s="54">
        <f t="shared" si="306"/>
        <v>5412.3818303576609</v>
      </c>
      <c r="AG865" s="49">
        <f t="shared" si="307"/>
        <v>5663.0127999999795</v>
      </c>
      <c r="AH865" s="49">
        <f t="shared" si="308"/>
        <v>17224.399999999943</v>
      </c>
    </row>
    <row r="866" spans="1:34" s="69" customFormat="1">
      <c r="A866" s="145" t="s">
        <v>963</v>
      </c>
      <c r="B866" s="97" t="s">
        <v>972</v>
      </c>
      <c r="C866" s="98"/>
      <c r="D866" s="98">
        <v>99</v>
      </c>
      <c r="E866" s="99">
        <v>86</v>
      </c>
      <c r="F866" s="146">
        <f>I866/E866</f>
        <v>66</v>
      </c>
      <c r="G866" s="147">
        <v>0</v>
      </c>
      <c r="H866" s="147">
        <v>0.123</v>
      </c>
      <c r="I866" s="100">
        <v>5676</v>
      </c>
      <c r="J866" s="49">
        <f t="shared" si="299"/>
        <v>5676</v>
      </c>
      <c r="K866" s="96">
        <f>(F866*E866)*(1-G866)*(1-H866)</f>
        <v>4977.8519999999999</v>
      </c>
      <c r="L866" s="58">
        <v>0</v>
      </c>
      <c r="M866" s="141">
        <v>0</v>
      </c>
      <c r="N866" s="50">
        <f t="shared" si="300"/>
        <v>0</v>
      </c>
      <c r="O866" s="96">
        <f t="shared" si="301"/>
        <v>0</v>
      </c>
      <c r="P866" s="101">
        <v>20.003</v>
      </c>
      <c r="Q866" s="102">
        <f>P866*E866</f>
        <v>1720.258</v>
      </c>
      <c r="R866" s="50">
        <f t="shared" si="302"/>
        <v>1720.258</v>
      </c>
      <c r="S866" s="96">
        <f t="shared" si="303"/>
        <v>1508.666266</v>
      </c>
      <c r="T866" s="103">
        <v>10</v>
      </c>
      <c r="U866" s="65" t="s">
        <v>94</v>
      </c>
      <c r="V866" s="53">
        <f>SUMIF('Avoided Costs 2014-2023'!$A:$A,'2014 Actuals'!U866&amp;ROUNDDOWN('2014 Actuals'!T866,0),'Avoided Costs 2014-2023'!$E:$E)*K866</f>
        <v>7932.1069667385436</v>
      </c>
      <c r="W866" s="53">
        <f>SUMIF('Avoided Costs 2014-2023'!$A:$A,'2014 Actuals'!U866&amp;ROUNDDOWN('2014 Actuals'!T866,0),'Avoided Costs 2014-2023'!$K:$K)*O866</f>
        <v>0</v>
      </c>
      <c r="X866" s="53">
        <f>SUMIF('Avoided Costs 2014-2023'!$A:$A,'2014 Actuals'!U866&amp;ROUNDDOWN('2014 Actuals'!T866,0),'Avoided Costs 2014-2023'!$M:$M)*S866</f>
        <v>31914.03146019519</v>
      </c>
      <c r="Y866" s="53">
        <f t="shared" si="304"/>
        <v>39846.138426933736</v>
      </c>
      <c r="Z866" s="157">
        <v>18.71</v>
      </c>
      <c r="AA866" s="158">
        <v>1609.0600000000002</v>
      </c>
      <c r="AB866" s="54">
        <v>0</v>
      </c>
      <c r="AC866" s="54">
        <v>0</v>
      </c>
      <c r="AD866" s="54">
        <f t="shared" si="310"/>
        <v>0</v>
      </c>
      <c r="AE866" s="53">
        <f t="shared" si="305"/>
        <v>1609.0600000000002</v>
      </c>
      <c r="AF866" s="54">
        <f t="shared" si="306"/>
        <v>38237.078426933738</v>
      </c>
      <c r="AG866" s="49">
        <f t="shared" si="307"/>
        <v>49778.52</v>
      </c>
      <c r="AH866" s="49">
        <f t="shared" si="308"/>
        <v>56760</v>
      </c>
    </row>
    <row r="867" spans="1:34">
      <c r="A867" s="145" t="s">
        <v>35</v>
      </c>
      <c r="B867" s="145" t="s">
        <v>973</v>
      </c>
      <c r="C867" s="145"/>
      <c r="D867" s="265">
        <f>SUM(D862:D866)</f>
        <v>557</v>
      </c>
      <c r="E867" s="265">
        <f>E861</f>
        <v>1107</v>
      </c>
      <c r="F867" s="105"/>
      <c r="G867" s="147"/>
      <c r="H867" s="211"/>
      <c r="I867" s="110">
        <f>SUM(I861:I866)</f>
        <v>1039428.3786840003</v>
      </c>
      <c r="J867" s="49">
        <f>SUM(J861:J866)</f>
        <v>1039428.3786840003</v>
      </c>
      <c r="K867" s="49">
        <f>SUM(K861:K866)</f>
        <v>1036918.5719640004</v>
      </c>
      <c r="L867" s="146"/>
      <c r="M867" s="49">
        <f>SUM(M861:M866)</f>
        <v>0</v>
      </c>
      <c r="N867" s="49">
        <f>SUM(N861:N866)</f>
        <v>0</v>
      </c>
      <c r="O867" s="49">
        <f>SUM(O861:O866)</f>
        <v>0</v>
      </c>
      <c r="P867" s="148"/>
      <c r="Q867" s="49">
        <f>SUM(Q861:Q866)</f>
        <v>2706.2530000000002</v>
      </c>
      <c r="R867" s="49">
        <f>SUM(R861:R866)</f>
        <v>2706.2530000000002</v>
      </c>
      <c r="S867" s="49">
        <f>SUM(S861:S866)</f>
        <v>1801.362149</v>
      </c>
      <c r="T867" s="64"/>
      <c r="U867" s="65"/>
      <c r="V867" s="223">
        <f>SUM(V861:V866)</f>
        <v>3271327.0646585571</v>
      </c>
      <c r="W867" s="223">
        <f t="shared" ref="W867:Y867" si="311">SUM(W861:W866)</f>
        <v>0</v>
      </c>
      <c r="X867" s="223">
        <f t="shared" si="311"/>
        <v>38105.662988550452</v>
      </c>
      <c r="Y867" s="223">
        <f t="shared" si="311"/>
        <v>3309432.7276471076</v>
      </c>
      <c r="Z867" s="55"/>
      <c r="AA867" s="223">
        <f>SUM(AA861:AA866)</f>
        <v>3017209.61</v>
      </c>
      <c r="AB867" s="223">
        <f>SUM(AB861:AB866)</f>
        <v>4302144.5600000005</v>
      </c>
      <c r="AC867" s="223">
        <f>SUM(AC861:AC866)</f>
        <v>192385.03</v>
      </c>
      <c r="AD867" s="223">
        <f>SUM(AD861:AD866)</f>
        <v>4494529.5900000008</v>
      </c>
      <c r="AE867" s="223">
        <f t="shared" si="305"/>
        <v>3209594.6399999997</v>
      </c>
      <c r="AF867" s="54">
        <f t="shared" si="306"/>
        <v>99838.087647107895</v>
      </c>
      <c r="AG867" s="49">
        <f>SUM(AG861:AG866)</f>
        <v>25673481.79990001</v>
      </c>
      <c r="AH867" s="49">
        <f>SUM(AH861:AH866)</f>
        <v>25698579.867100008</v>
      </c>
    </row>
    <row r="868" spans="1:34" ht="15">
      <c r="A868" s="135"/>
      <c r="AG868" s="19"/>
      <c r="AH868" s="159"/>
    </row>
    <row r="869" spans="1:34" s="56" customFormat="1">
      <c r="A869" s="135" t="s">
        <v>974</v>
      </c>
      <c r="B869" s="9" t="s">
        <v>975</v>
      </c>
      <c r="C869" s="10"/>
      <c r="D869" s="10"/>
      <c r="E869" s="16"/>
      <c r="F869" s="15"/>
      <c r="G869" s="36"/>
      <c r="H869" s="37"/>
      <c r="I869" s="16"/>
      <c r="J869" s="16"/>
      <c r="K869" s="11"/>
      <c r="L869" s="15"/>
      <c r="M869" s="16"/>
      <c r="N869" s="16"/>
      <c r="O869" s="16"/>
      <c r="P869" s="23"/>
      <c r="Q869" s="11"/>
      <c r="R869" s="16"/>
      <c r="S869" s="11"/>
      <c r="T869" s="48"/>
      <c r="U869" s="10"/>
      <c r="V869" s="19"/>
      <c r="W869" s="19"/>
      <c r="X869" s="19"/>
      <c r="Y869" s="19"/>
      <c r="Z869" s="20"/>
      <c r="AA869" s="40"/>
      <c r="AB869" s="40"/>
      <c r="AC869" s="19"/>
      <c r="AD869" s="40"/>
      <c r="AE869" s="40"/>
      <c r="AF869" s="40"/>
      <c r="AG869" s="38"/>
      <c r="AH869" s="38"/>
    </row>
    <row r="870" spans="1:34" s="56" customFormat="1">
      <c r="A870" s="145" t="s">
        <v>976</v>
      </c>
      <c r="B870" s="145"/>
      <c r="C870" s="145"/>
      <c r="D870" s="156"/>
      <c r="E870" s="51">
        <v>1</v>
      </c>
      <c r="F870" s="51"/>
      <c r="G870" s="147">
        <v>0</v>
      </c>
      <c r="H870" s="147">
        <v>0</v>
      </c>
      <c r="I870" s="49">
        <v>13058</v>
      </c>
      <c r="J870" s="49">
        <f t="shared" ref="J870:J933" si="312">+$I$42*I870</f>
        <v>10929.546</v>
      </c>
      <c r="K870" s="49">
        <f t="shared" ref="K870:K933" si="313">J870*(1-G870)</f>
        <v>10929.546</v>
      </c>
      <c r="L870" s="58"/>
      <c r="M870" s="141">
        <v>0</v>
      </c>
      <c r="N870" s="50">
        <f t="shared" ref="N870:N931" si="314">+$M$42*M870</f>
        <v>0</v>
      </c>
      <c r="O870" s="50">
        <f t="shared" ref="O870:O933" si="315">N870*(1-G870)</f>
        <v>0</v>
      </c>
      <c r="P870" s="59"/>
      <c r="Q870" s="141">
        <v>0</v>
      </c>
      <c r="R870" s="50">
        <f t="shared" ref="R870:R931" si="316">+Q870*$Q$42</f>
        <v>0</v>
      </c>
      <c r="S870" s="51">
        <f t="shared" ref="S870:S933" si="317">R870*(1-G870)</f>
        <v>0</v>
      </c>
      <c r="T870" s="64">
        <v>15</v>
      </c>
      <c r="U870" s="65" t="s">
        <v>81</v>
      </c>
      <c r="V870" s="53">
        <f>SUMIF('Avoided Costs 2014-2023'!$A:$A,'2014 Actuals'!U870&amp;ROUNDDOWN('2014 Actuals'!T870,0),'Avoided Costs 2014-2023'!$E:$E)*K870</f>
        <v>25300.499082441849</v>
      </c>
      <c r="W870" s="53">
        <f>SUMIF('Avoided Costs 2014-2023'!$A:$A,'2014 Actuals'!U870&amp;ROUNDDOWN('2014 Actuals'!T870,0),'Avoided Costs 2014-2023'!$K:$K)*O870</f>
        <v>0</v>
      </c>
      <c r="X870" s="53">
        <f>SUMIF('Avoided Costs 2014-2023'!$A:$A,'2014 Actuals'!U870&amp;ROUNDDOWN('2014 Actuals'!T870,0),'Avoided Costs 2014-2023'!$M:$M)*S870</f>
        <v>0</v>
      </c>
      <c r="Y870" s="53">
        <f t="shared" ref="Y870:Y933" si="318">SUM(V870:X870)</f>
        <v>25300.499082441849</v>
      </c>
      <c r="Z870" s="55">
        <v>6661.55</v>
      </c>
      <c r="AA870" s="54">
        <f t="shared" ref="AA870:AA933" si="319">Z870*(1-G870)</f>
        <v>6661.55</v>
      </c>
      <c r="AB870" s="54"/>
      <c r="AC870" s="54"/>
      <c r="AD870" s="54"/>
      <c r="AE870" s="54">
        <f t="shared" ref="AE870:AE901" si="320">AA870+AC870</f>
        <v>6661.55</v>
      </c>
      <c r="AF870" s="54">
        <f t="shared" ref="AF870:AF901" si="321">Y870-AE870</f>
        <v>18638.94908244185</v>
      </c>
      <c r="AG870" s="49">
        <f t="shared" ref="AG870:AG901" si="322">K870*T870</f>
        <v>163943.19</v>
      </c>
      <c r="AH870" s="49">
        <f t="shared" ref="AH870:AH901" si="323">(J870*T870)</f>
        <v>163943.19</v>
      </c>
    </row>
    <row r="871" spans="1:34" s="56" customFormat="1">
      <c r="A871" s="145" t="s">
        <v>977</v>
      </c>
      <c r="B871" s="145"/>
      <c r="C871" s="145"/>
      <c r="D871" s="156">
        <f t="shared" ref="D871:D890" si="324">E871</f>
        <v>1</v>
      </c>
      <c r="E871" s="51">
        <v>1</v>
      </c>
      <c r="F871" s="51"/>
      <c r="G871" s="147">
        <v>0</v>
      </c>
      <c r="H871" s="147">
        <v>0</v>
      </c>
      <c r="I871" s="49">
        <v>3496</v>
      </c>
      <c r="J871" s="49">
        <f>I871</f>
        <v>3496</v>
      </c>
      <c r="K871" s="49">
        <f t="shared" si="313"/>
        <v>3496</v>
      </c>
      <c r="L871" s="58"/>
      <c r="M871" s="141">
        <v>0</v>
      </c>
      <c r="N871" s="50">
        <f t="shared" si="314"/>
        <v>0</v>
      </c>
      <c r="O871" s="50">
        <f t="shared" si="315"/>
        <v>0</v>
      </c>
      <c r="P871" s="59"/>
      <c r="Q871" s="141">
        <v>0</v>
      </c>
      <c r="R871" s="50">
        <f t="shared" si="316"/>
        <v>0</v>
      </c>
      <c r="S871" s="51">
        <f t="shared" si="317"/>
        <v>0</v>
      </c>
      <c r="T871" s="64">
        <v>25</v>
      </c>
      <c r="U871" s="65" t="s">
        <v>81</v>
      </c>
      <c r="V871" s="53">
        <f>SUMIF('Avoided Costs 2014-2023'!$A:$A,'2014 Actuals'!U871&amp;ROUNDDOWN('2014 Actuals'!T871,0),'Avoided Costs 2014-2023'!$E:$E)*K871</f>
        <v>11104.287391848098</v>
      </c>
      <c r="W871" s="53">
        <f>SUMIF('Avoided Costs 2014-2023'!$A:$A,'2014 Actuals'!U871&amp;ROUNDDOWN('2014 Actuals'!T871,0),'Avoided Costs 2014-2023'!$K:$K)*O871</f>
        <v>0</v>
      </c>
      <c r="X871" s="53">
        <f>SUMIF('Avoided Costs 2014-2023'!$A:$A,'2014 Actuals'!U871&amp;ROUNDDOWN('2014 Actuals'!T871,0),'Avoided Costs 2014-2023'!$M:$M)*S871</f>
        <v>0</v>
      </c>
      <c r="Y871" s="53">
        <f t="shared" si="318"/>
        <v>11104.287391848098</v>
      </c>
      <c r="Z871" s="55">
        <v>4500</v>
      </c>
      <c r="AA871" s="54">
        <f t="shared" si="319"/>
        <v>4500</v>
      </c>
      <c r="AB871" s="54"/>
      <c r="AC871" s="54"/>
      <c r="AD871" s="54"/>
      <c r="AE871" s="54">
        <f t="shared" si="320"/>
        <v>4500</v>
      </c>
      <c r="AF871" s="54">
        <f t="shared" si="321"/>
        <v>6604.2873918480982</v>
      </c>
      <c r="AG871" s="49">
        <f t="shared" si="322"/>
        <v>87400</v>
      </c>
      <c r="AH871" s="49">
        <f t="shared" si="323"/>
        <v>87400</v>
      </c>
    </row>
    <row r="872" spans="1:34" s="56" customFormat="1">
      <c r="A872" s="145" t="s">
        <v>978</v>
      </c>
      <c r="B872" s="145"/>
      <c r="C872" s="145"/>
      <c r="D872" s="156"/>
      <c r="E872" s="51">
        <v>1</v>
      </c>
      <c r="F872" s="51"/>
      <c r="G872" s="147">
        <v>0</v>
      </c>
      <c r="H872" s="147">
        <v>0</v>
      </c>
      <c r="I872" s="49">
        <v>9142</v>
      </c>
      <c r="J872" s="49">
        <f t="shared" si="312"/>
        <v>7651.8539999999994</v>
      </c>
      <c r="K872" s="49">
        <f t="shared" si="313"/>
        <v>7651.8539999999994</v>
      </c>
      <c r="L872" s="58"/>
      <c r="M872" s="141">
        <v>15654</v>
      </c>
      <c r="N872" s="50">
        <f t="shared" si="314"/>
        <v>15654</v>
      </c>
      <c r="O872" s="50">
        <f t="shared" si="315"/>
        <v>15654</v>
      </c>
      <c r="P872" s="59"/>
      <c r="Q872" s="141">
        <v>0</v>
      </c>
      <c r="R872" s="50">
        <f t="shared" si="316"/>
        <v>0</v>
      </c>
      <c r="S872" s="51">
        <f t="shared" si="317"/>
        <v>0</v>
      </c>
      <c r="T872" s="64">
        <v>15</v>
      </c>
      <c r="U872" s="65" t="s">
        <v>81</v>
      </c>
      <c r="V872" s="53">
        <f>SUMIF('Avoided Costs 2014-2023'!$A:$A,'2014 Actuals'!U872&amp;ROUNDDOWN('2014 Actuals'!T872,0),'Avoided Costs 2014-2023'!$E:$E)*K872</f>
        <v>17713.061924619647</v>
      </c>
      <c r="W872" s="53">
        <f>SUMIF('Avoided Costs 2014-2023'!$A:$A,'2014 Actuals'!U872&amp;ROUNDDOWN('2014 Actuals'!T872,0),'Avoided Costs 2014-2023'!$K:$K)*O872</f>
        <v>18510.547598099201</v>
      </c>
      <c r="X872" s="53">
        <f>SUMIF('Avoided Costs 2014-2023'!$A:$A,'2014 Actuals'!U872&amp;ROUNDDOWN('2014 Actuals'!T872,0),'Avoided Costs 2014-2023'!$M:$M)*S872</f>
        <v>0</v>
      </c>
      <c r="Y872" s="53">
        <f t="shared" si="318"/>
        <v>36223.609522718849</v>
      </c>
      <c r="Z872" s="55">
        <v>48720</v>
      </c>
      <c r="AA872" s="54">
        <f t="shared" si="319"/>
        <v>48720</v>
      </c>
      <c r="AB872" s="54"/>
      <c r="AC872" s="54"/>
      <c r="AD872" s="54"/>
      <c r="AE872" s="54">
        <f t="shared" si="320"/>
        <v>48720</v>
      </c>
      <c r="AF872" s="54">
        <f t="shared" si="321"/>
        <v>-12496.390477281151</v>
      </c>
      <c r="AG872" s="49">
        <f t="shared" si="322"/>
        <v>114777.81</v>
      </c>
      <c r="AH872" s="49">
        <f t="shared" si="323"/>
        <v>114777.81</v>
      </c>
    </row>
    <row r="873" spans="1:34" s="56" customFormat="1">
      <c r="A873" s="145" t="s">
        <v>979</v>
      </c>
      <c r="B873" s="145"/>
      <c r="C873" s="145"/>
      <c r="D873" s="156"/>
      <c r="E873" s="51">
        <v>0</v>
      </c>
      <c r="F873" s="51"/>
      <c r="G873" s="147">
        <v>0</v>
      </c>
      <c r="H873" s="147">
        <v>0</v>
      </c>
      <c r="I873" s="49">
        <v>3621</v>
      </c>
      <c r="J873" s="49">
        <f t="shared" si="312"/>
        <v>3030.777</v>
      </c>
      <c r="K873" s="49">
        <f t="shared" si="313"/>
        <v>3030.777</v>
      </c>
      <c r="L873" s="58"/>
      <c r="M873" s="141">
        <v>0</v>
      </c>
      <c r="N873" s="50">
        <f t="shared" si="314"/>
        <v>0</v>
      </c>
      <c r="O873" s="50">
        <f t="shared" si="315"/>
        <v>0</v>
      </c>
      <c r="P873" s="59"/>
      <c r="Q873" s="141">
        <v>0</v>
      </c>
      <c r="R873" s="50">
        <f t="shared" si="316"/>
        <v>0</v>
      </c>
      <c r="S873" s="51">
        <f t="shared" si="317"/>
        <v>0</v>
      </c>
      <c r="T873" s="64">
        <v>25</v>
      </c>
      <c r="U873" s="65" t="s">
        <v>94</v>
      </c>
      <c r="V873" s="53">
        <f>SUMIF('Avoided Costs 2014-2023'!$A:$A,'2014 Actuals'!U873&amp;ROUNDDOWN('2014 Actuals'!T873,0),'Avoided Costs 2014-2023'!$E:$E)*K873</f>
        <v>9018.8256694062129</v>
      </c>
      <c r="W873" s="53">
        <f>SUMIF('Avoided Costs 2014-2023'!$A:$A,'2014 Actuals'!U873&amp;ROUNDDOWN('2014 Actuals'!T873,0),'Avoided Costs 2014-2023'!$K:$K)*O873</f>
        <v>0</v>
      </c>
      <c r="X873" s="53">
        <f>SUMIF('Avoided Costs 2014-2023'!$A:$A,'2014 Actuals'!U873&amp;ROUNDDOWN('2014 Actuals'!T873,0),'Avoided Costs 2014-2023'!$M:$M)*S873</f>
        <v>0</v>
      </c>
      <c r="Y873" s="53">
        <f t="shared" si="318"/>
        <v>9018.8256694062129</v>
      </c>
      <c r="Z873" s="55">
        <v>29760</v>
      </c>
      <c r="AA873" s="54">
        <f t="shared" si="319"/>
        <v>29760</v>
      </c>
      <c r="AB873" s="54"/>
      <c r="AC873" s="54"/>
      <c r="AD873" s="54"/>
      <c r="AE873" s="54">
        <f t="shared" si="320"/>
        <v>29760</v>
      </c>
      <c r="AF873" s="54">
        <f t="shared" si="321"/>
        <v>-20741.174330593785</v>
      </c>
      <c r="AG873" s="49">
        <f t="shared" si="322"/>
        <v>75769.425000000003</v>
      </c>
      <c r="AH873" s="49">
        <f t="shared" si="323"/>
        <v>75769.425000000003</v>
      </c>
    </row>
    <row r="874" spans="1:34" s="56" customFormat="1">
      <c r="A874" s="145" t="s">
        <v>980</v>
      </c>
      <c r="B874" s="145"/>
      <c r="C874" s="145"/>
      <c r="D874" s="156"/>
      <c r="E874" s="51">
        <v>1</v>
      </c>
      <c r="F874" s="51"/>
      <c r="G874" s="147">
        <v>0</v>
      </c>
      <c r="H874" s="147">
        <v>0</v>
      </c>
      <c r="I874" s="49">
        <v>8953</v>
      </c>
      <c r="J874" s="49">
        <f t="shared" si="312"/>
        <v>7493.6610000000001</v>
      </c>
      <c r="K874" s="49">
        <f t="shared" si="313"/>
        <v>7493.6610000000001</v>
      </c>
      <c r="L874" s="58"/>
      <c r="M874" s="141">
        <v>36608</v>
      </c>
      <c r="N874" s="50">
        <f t="shared" si="314"/>
        <v>36608</v>
      </c>
      <c r="O874" s="50">
        <f t="shared" si="315"/>
        <v>36608</v>
      </c>
      <c r="P874" s="59"/>
      <c r="Q874" s="141">
        <v>0</v>
      </c>
      <c r="R874" s="50">
        <f t="shared" si="316"/>
        <v>0</v>
      </c>
      <c r="S874" s="51">
        <f t="shared" si="317"/>
        <v>0</v>
      </c>
      <c r="T874" s="64">
        <v>15</v>
      </c>
      <c r="U874" s="65" t="s">
        <v>81</v>
      </c>
      <c r="V874" s="53">
        <f>SUMIF('Avoided Costs 2014-2023'!$A:$A,'2014 Actuals'!U874&amp;ROUNDDOWN('2014 Actuals'!T874,0),'Avoided Costs 2014-2023'!$E:$E)*K874</f>
        <v>17346.865391721691</v>
      </c>
      <c r="W874" s="53">
        <f>SUMIF('Avoided Costs 2014-2023'!$A:$A,'2014 Actuals'!U874&amp;ROUNDDOWN('2014 Actuals'!T874,0),'Avoided Costs 2014-2023'!$K:$K)*O874</f>
        <v>43288.241118641599</v>
      </c>
      <c r="X874" s="53">
        <f>SUMIF('Avoided Costs 2014-2023'!$A:$A,'2014 Actuals'!U874&amp;ROUNDDOWN('2014 Actuals'!T874,0),'Avoided Costs 2014-2023'!$M:$M)*S874</f>
        <v>0</v>
      </c>
      <c r="Y874" s="53">
        <f t="shared" si="318"/>
        <v>60635.106510363286</v>
      </c>
      <c r="Z874" s="55">
        <v>46895</v>
      </c>
      <c r="AA874" s="54">
        <f t="shared" si="319"/>
        <v>46895</v>
      </c>
      <c r="AB874" s="54"/>
      <c r="AC874" s="54"/>
      <c r="AD874" s="54"/>
      <c r="AE874" s="54">
        <f t="shared" si="320"/>
        <v>46895</v>
      </c>
      <c r="AF874" s="54">
        <f t="shared" si="321"/>
        <v>13740.106510363286</v>
      </c>
      <c r="AG874" s="49">
        <f t="shared" si="322"/>
        <v>112404.91500000001</v>
      </c>
      <c r="AH874" s="49">
        <f t="shared" si="323"/>
        <v>112404.91500000001</v>
      </c>
    </row>
    <row r="875" spans="1:34" s="56" customFormat="1">
      <c r="A875" s="145" t="s">
        <v>981</v>
      </c>
      <c r="B875" s="145"/>
      <c r="C875" s="145"/>
      <c r="D875" s="156"/>
      <c r="E875" s="51">
        <v>1</v>
      </c>
      <c r="F875" s="51"/>
      <c r="G875" s="147">
        <v>0</v>
      </c>
      <c r="H875" s="147">
        <v>0</v>
      </c>
      <c r="I875" s="49">
        <v>7883</v>
      </c>
      <c r="J875" s="49">
        <f t="shared" si="312"/>
        <v>6598.0709999999999</v>
      </c>
      <c r="K875" s="49">
        <f t="shared" si="313"/>
        <v>6598.0709999999999</v>
      </c>
      <c r="L875" s="58"/>
      <c r="M875" s="141">
        <v>0</v>
      </c>
      <c r="N875" s="50">
        <f t="shared" si="314"/>
        <v>0</v>
      </c>
      <c r="O875" s="50">
        <f t="shared" si="315"/>
        <v>0</v>
      </c>
      <c r="P875" s="59"/>
      <c r="Q875" s="141">
        <v>0</v>
      </c>
      <c r="R875" s="50">
        <f t="shared" si="316"/>
        <v>0</v>
      </c>
      <c r="S875" s="51">
        <f t="shared" si="317"/>
        <v>0</v>
      </c>
      <c r="T875" s="64">
        <v>25</v>
      </c>
      <c r="U875" s="65" t="s">
        <v>94</v>
      </c>
      <c r="V875" s="53">
        <f>SUMIF('Avoided Costs 2014-2023'!$A:$A,'2014 Actuals'!U875&amp;ROUNDDOWN('2014 Actuals'!T875,0),'Avoided Costs 2014-2023'!$E:$E)*K875</f>
        <v>19634.190210419547</v>
      </c>
      <c r="W875" s="53">
        <f>SUMIF('Avoided Costs 2014-2023'!$A:$A,'2014 Actuals'!U875&amp;ROUNDDOWN('2014 Actuals'!T875,0),'Avoided Costs 2014-2023'!$K:$K)*O875</f>
        <v>0</v>
      </c>
      <c r="X875" s="53">
        <f>SUMIF('Avoided Costs 2014-2023'!$A:$A,'2014 Actuals'!U875&amp;ROUNDDOWN('2014 Actuals'!T875,0),'Avoided Costs 2014-2023'!$M:$M)*S875</f>
        <v>0</v>
      </c>
      <c r="Y875" s="53">
        <f t="shared" si="318"/>
        <v>19634.190210419547</v>
      </c>
      <c r="Z875" s="55">
        <v>8884</v>
      </c>
      <c r="AA875" s="54">
        <f t="shared" si="319"/>
        <v>8884</v>
      </c>
      <c r="AB875" s="54"/>
      <c r="AC875" s="54"/>
      <c r="AD875" s="54"/>
      <c r="AE875" s="54">
        <f t="shared" si="320"/>
        <v>8884</v>
      </c>
      <c r="AF875" s="54">
        <f t="shared" si="321"/>
        <v>10750.190210419547</v>
      </c>
      <c r="AG875" s="49">
        <f t="shared" si="322"/>
        <v>164951.77499999999</v>
      </c>
      <c r="AH875" s="49">
        <f t="shared" si="323"/>
        <v>164951.77499999999</v>
      </c>
    </row>
    <row r="876" spans="1:34" s="56" customFormat="1">
      <c r="A876" s="145" t="s">
        <v>982</v>
      </c>
      <c r="B876" s="145"/>
      <c r="C876" s="145"/>
      <c r="D876" s="156"/>
      <c r="E876" s="51">
        <v>1</v>
      </c>
      <c r="F876" s="51"/>
      <c r="G876" s="147">
        <v>0</v>
      </c>
      <c r="H876" s="147">
        <v>0</v>
      </c>
      <c r="I876" s="49">
        <v>20132</v>
      </c>
      <c r="J876" s="49">
        <f t="shared" si="312"/>
        <v>16850.484</v>
      </c>
      <c r="K876" s="49">
        <f t="shared" si="313"/>
        <v>16850.484</v>
      </c>
      <c r="L876" s="58"/>
      <c r="M876" s="141">
        <v>32527</v>
      </c>
      <c r="N876" s="50">
        <f t="shared" si="314"/>
        <v>32527</v>
      </c>
      <c r="O876" s="50">
        <f t="shared" si="315"/>
        <v>32527</v>
      </c>
      <c r="P876" s="59"/>
      <c r="Q876" s="141">
        <v>0</v>
      </c>
      <c r="R876" s="50">
        <f t="shared" si="316"/>
        <v>0</v>
      </c>
      <c r="S876" s="51">
        <f t="shared" si="317"/>
        <v>0</v>
      </c>
      <c r="T876" s="64">
        <v>15</v>
      </c>
      <c r="U876" s="65" t="s">
        <v>81</v>
      </c>
      <c r="V876" s="53">
        <f>SUMIF('Avoided Costs 2014-2023'!$A:$A,'2014 Actuals'!U876&amp;ROUNDDOWN('2014 Actuals'!T876,0),'Avoided Costs 2014-2023'!$E:$E)*K876</f>
        <v>39006.712170908198</v>
      </c>
      <c r="W876" s="53">
        <f>SUMIF('Avoided Costs 2014-2023'!$A:$A,'2014 Actuals'!U876&amp;ROUNDDOWN('2014 Actuals'!T876,0),'Avoided Costs 2014-2023'!$K:$K)*O876</f>
        <v>38462.538758360337</v>
      </c>
      <c r="X876" s="53">
        <f>SUMIF('Avoided Costs 2014-2023'!$A:$A,'2014 Actuals'!U876&amp;ROUNDDOWN('2014 Actuals'!T876,0),'Avoided Costs 2014-2023'!$M:$M)*S876</f>
        <v>0</v>
      </c>
      <c r="Y876" s="53">
        <f t="shared" si="318"/>
        <v>77469.250929268543</v>
      </c>
      <c r="Z876" s="55">
        <v>55000</v>
      </c>
      <c r="AA876" s="54">
        <f t="shared" si="319"/>
        <v>55000</v>
      </c>
      <c r="AB876" s="54"/>
      <c r="AC876" s="54"/>
      <c r="AD876" s="54"/>
      <c r="AE876" s="54">
        <f t="shared" si="320"/>
        <v>55000</v>
      </c>
      <c r="AF876" s="54">
        <f t="shared" si="321"/>
        <v>22469.250929268543</v>
      </c>
      <c r="AG876" s="49">
        <f t="shared" si="322"/>
        <v>252757.26</v>
      </c>
      <c r="AH876" s="49">
        <f t="shared" si="323"/>
        <v>252757.26</v>
      </c>
    </row>
    <row r="877" spans="1:34" s="56" customFormat="1">
      <c r="A877" s="145" t="s">
        <v>983</v>
      </c>
      <c r="B877" s="145"/>
      <c r="C877" s="145"/>
      <c r="D877" s="156"/>
      <c r="E877" s="51">
        <v>1</v>
      </c>
      <c r="F877" s="51"/>
      <c r="G877" s="147">
        <v>0</v>
      </c>
      <c r="H877" s="147">
        <v>0</v>
      </c>
      <c r="I877" s="49">
        <v>10854</v>
      </c>
      <c r="J877" s="49">
        <f t="shared" si="312"/>
        <v>9084.7979999999989</v>
      </c>
      <c r="K877" s="49">
        <f t="shared" si="313"/>
        <v>9084.7979999999989</v>
      </c>
      <c r="L877" s="58"/>
      <c r="M877" s="141">
        <v>0</v>
      </c>
      <c r="N877" s="50">
        <f t="shared" si="314"/>
        <v>0</v>
      </c>
      <c r="O877" s="50">
        <f t="shared" si="315"/>
        <v>0</v>
      </c>
      <c r="P877" s="59"/>
      <c r="Q877" s="141">
        <v>0</v>
      </c>
      <c r="R877" s="50">
        <f t="shared" si="316"/>
        <v>0</v>
      </c>
      <c r="S877" s="51">
        <f t="shared" si="317"/>
        <v>0</v>
      </c>
      <c r="T877" s="64">
        <v>15</v>
      </c>
      <c r="U877" s="65" t="s">
        <v>81</v>
      </c>
      <c r="V877" s="53">
        <f>SUMIF('Avoided Costs 2014-2023'!$A:$A,'2014 Actuals'!U877&amp;ROUNDDOWN('2014 Actuals'!T877,0),'Avoided Costs 2014-2023'!$E:$E)*K877</f>
        <v>21030.14374642547</v>
      </c>
      <c r="W877" s="53">
        <f>SUMIF('Avoided Costs 2014-2023'!$A:$A,'2014 Actuals'!U877&amp;ROUNDDOWN('2014 Actuals'!T877,0),'Avoided Costs 2014-2023'!$K:$K)*O877</f>
        <v>0</v>
      </c>
      <c r="X877" s="53">
        <f>SUMIF('Avoided Costs 2014-2023'!$A:$A,'2014 Actuals'!U877&amp;ROUNDDOWN('2014 Actuals'!T877,0),'Avoided Costs 2014-2023'!$M:$M)*S877</f>
        <v>0</v>
      </c>
      <c r="Y877" s="53">
        <f t="shared" si="318"/>
        <v>21030.14374642547</v>
      </c>
      <c r="Z877" s="55">
        <v>4487.25</v>
      </c>
      <c r="AA877" s="54">
        <f t="shared" si="319"/>
        <v>4487.25</v>
      </c>
      <c r="AB877" s="54"/>
      <c r="AC877" s="54"/>
      <c r="AD877" s="54"/>
      <c r="AE877" s="54">
        <f t="shared" si="320"/>
        <v>4487.25</v>
      </c>
      <c r="AF877" s="54">
        <f t="shared" si="321"/>
        <v>16542.89374642547</v>
      </c>
      <c r="AG877" s="49">
        <f t="shared" si="322"/>
        <v>136271.96999999997</v>
      </c>
      <c r="AH877" s="49">
        <f t="shared" si="323"/>
        <v>136271.96999999997</v>
      </c>
    </row>
    <row r="878" spans="1:34" s="56" customFormat="1">
      <c r="A878" s="145" t="s">
        <v>984</v>
      </c>
      <c r="B878" s="145"/>
      <c r="C878" s="145"/>
      <c r="D878" s="156"/>
      <c r="E878" s="51">
        <v>1</v>
      </c>
      <c r="F878" s="51"/>
      <c r="G878" s="147">
        <v>0</v>
      </c>
      <c r="H878" s="147">
        <v>0</v>
      </c>
      <c r="I878" s="49">
        <v>13133</v>
      </c>
      <c r="J878" s="49">
        <f t="shared" si="312"/>
        <v>10992.321</v>
      </c>
      <c r="K878" s="49">
        <f t="shared" si="313"/>
        <v>10992.321</v>
      </c>
      <c r="L878" s="58"/>
      <c r="M878" s="141">
        <v>0</v>
      </c>
      <c r="N878" s="50">
        <f t="shared" si="314"/>
        <v>0</v>
      </c>
      <c r="O878" s="50">
        <f t="shared" si="315"/>
        <v>0</v>
      </c>
      <c r="P878" s="59"/>
      <c r="Q878" s="141">
        <v>0</v>
      </c>
      <c r="R878" s="50">
        <f t="shared" si="316"/>
        <v>0</v>
      </c>
      <c r="S878" s="51">
        <f t="shared" si="317"/>
        <v>0</v>
      </c>
      <c r="T878" s="64">
        <v>15</v>
      </c>
      <c r="U878" s="65" t="s">
        <v>81</v>
      </c>
      <c r="V878" s="53">
        <f>SUMIF('Avoided Costs 2014-2023'!$A:$A,'2014 Actuals'!U878&amp;ROUNDDOWN('2014 Actuals'!T878,0),'Avoided Costs 2014-2023'!$E:$E)*K878</f>
        <v>25445.815166925164</v>
      </c>
      <c r="W878" s="53">
        <f>SUMIF('Avoided Costs 2014-2023'!$A:$A,'2014 Actuals'!U878&amp;ROUNDDOWN('2014 Actuals'!T878,0),'Avoided Costs 2014-2023'!$K:$K)*O878</f>
        <v>0</v>
      </c>
      <c r="X878" s="53">
        <f>SUMIF('Avoided Costs 2014-2023'!$A:$A,'2014 Actuals'!U878&amp;ROUNDDOWN('2014 Actuals'!T878,0),'Avoided Costs 2014-2023'!$M:$M)*S878</f>
        <v>0</v>
      </c>
      <c r="Y878" s="53">
        <f t="shared" si="318"/>
        <v>25445.815166925164</v>
      </c>
      <c r="Z878" s="55">
        <v>6692.4</v>
      </c>
      <c r="AA878" s="54">
        <f t="shared" si="319"/>
        <v>6692.4</v>
      </c>
      <c r="AB878" s="54"/>
      <c r="AC878" s="54"/>
      <c r="AD878" s="54"/>
      <c r="AE878" s="54">
        <f t="shared" si="320"/>
        <v>6692.4</v>
      </c>
      <c r="AF878" s="54">
        <f t="shared" si="321"/>
        <v>18753.415166925166</v>
      </c>
      <c r="AG878" s="49">
        <f t="shared" si="322"/>
        <v>164884.815</v>
      </c>
      <c r="AH878" s="49">
        <f t="shared" si="323"/>
        <v>164884.815</v>
      </c>
    </row>
    <row r="879" spans="1:34" s="56" customFormat="1">
      <c r="A879" s="145" t="s">
        <v>985</v>
      </c>
      <c r="B879" s="145"/>
      <c r="C879" s="145"/>
      <c r="D879" s="156"/>
      <c r="E879" s="51">
        <v>1</v>
      </c>
      <c r="F879" s="51"/>
      <c r="G879" s="147">
        <v>0</v>
      </c>
      <c r="H879" s="147">
        <v>0</v>
      </c>
      <c r="I879" s="49">
        <v>12411</v>
      </c>
      <c r="J879" s="49">
        <f t="shared" si="312"/>
        <v>10388.007</v>
      </c>
      <c r="K879" s="49">
        <f t="shared" si="313"/>
        <v>10388.007</v>
      </c>
      <c r="L879" s="58"/>
      <c r="M879" s="141">
        <v>0</v>
      </c>
      <c r="N879" s="50">
        <f t="shared" si="314"/>
        <v>0</v>
      </c>
      <c r="O879" s="50">
        <f t="shared" si="315"/>
        <v>0</v>
      </c>
      <c r="P879" s="59"/>
      <c r="Q879" s="141">
        <v>0</v>
      </c>
      <c r="R879" s="50">
        <f t="shared" si="316"/>
        <v>0</v>
      </c>
      <c r="S879" s="51">
        <f t="shared" si="317"/>
        <v>0</v>
      </c>
      <c r="T879" s="64">
        <v>15</v>
      </c>
      <c r="U879" s="65" t="s">
        <v>81</v>
      </c>
      <c r="V879" s="53">
        <f>SUMIF('Avoided Costs 2014-2023'!$A:$A,'2014 Actuals'!U879&amp;ROUNDDOWN('2014 Actuals'!T879,0),'Avoided Costs 2014-2023'!$E:$E)*K879</f>
        <v>24046.905660299108</v>
      </c>
      <c r="W879" s="53">
        <f>SUMIF('Avoided Costs 2014-2023'!$A:$A,'2014 Actuals'!U879&amp;ROUNDDOWN('2014 Actuals'!T879,0),'Avoided Costs 2014-2023'!$K:$K)*O879</f>
        <v>0</v>
      </c>
      <c r="X879" s="53">
        <f>SUMIF('Avoided Costs 2014-2023'!$A:$A,'2014 Actuals'!U879&amp;ROUNDDOWN('2014 Actuals'!T879,0),'Avoided Costs 2014-2023'!$M:$M)*S879</f>
        <v>0</v>
      </c>
      <c r="Y879" s="53">
        <f t="shared" si="318"/>
        <v>24046.905660299108</v>
      </c>
      <c r="Z879" s="55">
        <v>6861.65</v>
      </c>
      <c r="AA879" s="54">
        <f t="shared" si="319"/>
        <v>6861.65</v>
      </c>
      <c r="AB879" s="54"/>
      <c r="AC879" s="54"/>
      <c r="AD879" s="54"/>
      <c r="AE879" s="54">
        <f t="shared" si="320"/>
        <v>6861.65</v>
      </c>
      <c r="AF879" s="54">
        <f t="shared" si="321"/>
        <v>17185.25566029911</v>
      </c>
      <c r="AG879" s="49">
        <f t="shared" si="322"/>
        <v>155820.10499999998</v>
      </c>
      <c r="AH879" s="49">
        <f t="shared" si="323"/>
        <v>155820.10499999998</v>
      </c>
    </row>
    <row r="880" spans="1:34" s="56" customFormat="1">
      <c r="A880" s="145" t="s">
        <v>986</v>
      </c>
      <c r="B880" s="145"/>
      <c r="C880" s="145"/>
      <c r="D880" s="156"/>
      <c r="E880" s="51">
        <v>1</v>
      </c>
      <c r="F880" s="51"/>
      <c r="G880" s="147">
        <v>0</v>
      </c>
      <c r="H880" s="147">
        <v>0</v>
      </c>
      <c r="I880" s="49">
        <v>14223</v>
      </c>
      <c r="J880" s="49">
        <f t="shared" si="312"/>
        <v>11904.651</v>
      </c>
      <c r="K880" s="49">
        <f t="shared" si="313"/>
        <v>11904.651</v>
      </c>
      <c r="L880" s="58"/>
      <c r="M880" s="141">
        <v>0</v>
      </c>
      <c r="N880" s="50">
        <f t="shared" si="314"/>
        <v>0</v>
      </c>
      <c r="O880" s="50">
        <f t="shared" si="315"/>
        <v>0</v>
      </c>
      <c r="P880" s="59"/>
      <c r="Q880" s="141">
        <v>0</v>
      </c>
      <c r="R880" s="50">
        <f t="shared" si="316"/>
        <v>0</v>
      </c>
      <c r="S880" s="51">
        <f t="shared" si="317"/>
        <v>0</v>
      </c>
      <c r="T880" s="64">
        <v>15</v>
      </c>
      <c r="U880" s="65" t="s">
        <v>81</v>
      </c>
      <c r="V880" s="53">
        <f>SUMIF('Avoided Costs 2014-2023'!$A:$A,'2014 Actuals'!U880&amp;ROUNDDOWN('2014 Actuals'!T880,0),'Avoided Costs 2014-2023'!$E:$E)*K880</f>
        <v>27557.74226141602</v>
      </c>
      <c r="W880" s="53">
        <f>SUMIF('Avoided Costs 2014-2023'!$A:$A,'2014 Actuals'!U880&amp;ROUNDDOWN('2014 Actuals'!T880,0),'Avoided Costs 2014-2023'!$K:$K)*O880</f>
        <v>0</v>
      </c>
      <c r="X880" s="53">
        <f>SUMIF('Avoided Costs 2014-2023'!$A:$A,'2014 Actuals'!U880&amp;ROUNDDOWN('2014 Actuals'!T880,0),'Avoided Costs 2014-2023'!$M:$M)*S880</f>
        <v>0</v>
      </c>
      <c r="Y880" s="53">
        <f t="shared" si="318"/>
        <v>27557.74226141602</v>
      </c>
      <c r="Z880" s="55">
        <v>5802.75</v>
      </c>
      <c r="AA880" s="54">
        <f t="shared" si="319"/>
        <v>5802.75</v>
      </c>
      <c r="AB880" s="54"/>
      <c r="AC880" s="54"/>
      <c r="AD880" s="54"/>
      <c r="AE880" s="54">
        <f t="shared" si="320"/>
        <v>5802.75</v>
      </c>
      <c r="AF880" s="54">
        <f t="shared" si="321"/>
        <v>21754.99226141602</v>
      </c>
      <c r="AG880" s="49">
        <f t="shared" si="322"/>
        <v>178569.76499999998</v>
      </c>
      <c r="AH880" s="49">
        <f t="shared" si="323"/>
        <v>178569.76499999998</v>
      </c>
    </row>
    <row r="881" spans="1:34" s="56" customFormat="1">
      <c r="A881" s="145" t="s">
        <v>987</v>
      </c>
      <c r="B881" s="145"/>
      <c r="C881" s="145"/>
      <c r="D881" s="156"/>
      <c r="E881" s="51">
        <v>1</v>
      </c>
      <c r="F881" s="51"/>
      <c r="G881" s="147">
        <v>0</v>
      </c>
      <c r="H881" s="147">
        <v>0</v>
      </c>
      <c r="I881" s="49">
        <v>6596</v>
      </c>
      <c r="J881" s="49">
        <f t="shared" si="312"/>
        <v>5520.8519999999999</v>
      </c>
      <c r="K881" s="49">
        <f t="shared" si="313"/>
        <v>5520.8519999999999</v>
      </c>
      <c r="L881" s="58"/>
      <c r="M881" s="141">
        <v>0</v>
      </c>
      <c r="N881" s="50">
        <f t="shared" si="314"/>
        <v>0</v>
      </c>
      <c r="O881" s="50">
        <f t="shared" si="315"/>
        <v>0</v>
      </c>
      <c r="P881" s="59"/>
      <c r="Q881" s="141">
        <v>0</v>
      </c>
      <c r="R881" s="50">
        <f t="shared" si="316"/>
        <v>0</v>
      </c>
      <c r="S881" s="51">
        <f t="shared" si="317"/>
        <v>0</v>
      </c>
      <c r="T881" s="64">
        <v>25</v>
      </c>
      <c r="U881" s="65" t="s">
        <v>81</v>
      </c>
      <c r="V881" s="53">
        <f>SUMIF('Avoided Costs 2014-2023'!$A:$A,'2014 Actuals'!U881&amp;ROUNDDOWN('2014 Actuals'!T881,0),'Avoided Costs 2014-2023'!$E:$E)*K881</f>
        <v>17535.791549158854</v>
      </c>
      <c r="W881" s="53">
        <f>SUMIF('Avoided Costs 2014-2023'!$A:$A,'2014 Actuals'!U881&amp;ROUNDDOWN('2014 Actuals'!T881,0),'Avoided Costs 2014-2023'!$K:$K)*O881</f>
        <v>0</v>
      </c>
      <c r="X881" s="53">
        <f>SUMIF('Avoided Costs 2014-2023'!$A:$A,'2014 Actuals'!U881&amp;ROUNDDOWN('2014 Actuals'!T881,0),'Avoided Costs 2014-2023'!$M:$M)*S881</f>
        <v>0</v>
      </c>
      <c r="Y881" s="53">
        <f t="shared" si="318"/>
        <v>17535.791549158854</v>
      </c>
      <c r="Z881" s="55">
        <v>9527</v>
      </c>
      <c r="AA881" s="54">
        <f t="shared" si="319"/>
        <v>9527</v>
      </c>
      <c r="AB881" s="54"/>
      <c r="AC881" s="54"/>
      <c r="AD881" s="54"/>
      <c r="AE881" s="54">
        <f t="shared" si="320"/>
        <v>9527</v>
      </c>
      <c r="AF881" s="54">
        <f t="shared" si="321"/>
        <v>8008.7915491588537</v>
      </c>
      <c r="AG881" s="49">
        <f t="shared" si="322"/>
        <v>138021.29999999999</v>
      </c>
      <c r="AH881" s="49">
        <f t="shared" si="323"/>
        <v>138021.29999999999</v>
      </c>
    </row>
    <row r="882" spans="1:34" s="56" customFormat="1">
      <c r="A882" s="145" t="s">
        <v>988</v>
      </c>
      <c r="B882" s="145"/>
      <c r="C882" s="145"/>
      <c r="D882" s="156">
        <f t="shared" si="324"/>
        <v>1</v>
      </c>
      <c r="E882" s="51">
        <v>1</v>
      </c>
      <c r="F882" s="51"/>
      <c r="G882" s="147">
        <v>0</v>
      </c>
      <c r="H882" s="147">
        <v>0</v>
      </c>
      <c r="I882" s="49">
        <v>3496</v>
      </c>
      <c r="J882" s="49">
        <f>I882</f>
        <v>3496</v>
      </c>
      <c r="K882" s="49">
        <f t="shared" si="313"/>
        <v>3496</v>
      </c>
      <c r="L882" s="58"/>
      <c r="M882" s="141">
        <v>0</v>
      </c>
      <c r="N882" s="50">
        <f t="shared" si="314"/>
        <v>0</v>
      </c>
      <c r="O882" s="50">
        <f t="shared" si="315"/>
        <v>0</v>
      </c>
      <c r="P882" s="59"/>
      <c r="Q882" s="141">
        <v>0</v>
      </c>
      <c r="R882" s="50">
        <f t="shared" si="316"/>
        <v>0</v>
      </c>
      <c r="S882" s="51">
        <f t="shared" si="317"/>
        <v>0</v>
      </c>
      <c r="T882" s="64">
        <v>25</v>
      </c>
      <c r="U882" s="65" t="s">
        <v>81</v>
      </c>
      <c r="V882" s="53">
        <f>SUMIF('Avoided Costs 2014-2023'!$A:$A,'2014 Actuals'!U882&amp;ROUNDDOWN('2014 Actuals'!T882,0),'Avoided Costs 2014-2023'!$E:$E)*K882</f>
        <v>11104.287391848098</v>
      </c>
      <c r="W882" s="53">
        <f>SUMIF('Avoided Costs 2014-2023'!$A:$A,'2014 Actuals'!U882&amp;ROUNDDOWN('2014 Actuals'!T882,0),'Avoided Costs 2014-2023'!$K:$K)*O882</f>
        <v>0</v>
      </c>
      <c r="X882" s="53">
        <f>SUMIF('Avoided Costs 2014-2023'!$A:$A,'2014 Actuals'!U882&amp;ROUNDDOWN('2014 Actuals'!T882,0),'Avoided Costs 2014-2023'!$M:$M)*S882</f>
        <v>0</v>
      </c>
      <c r="Y882" s="53">
        <f t="shared" si="318"/>
        <v>11104.287391848098</v>
      </c>
      <c r="Z882" s="55">
        <v>4500</v>
      </c>
      <c r="AA882" s="54">
        <f t="shared" si="319"/>
        <v>4500</v>
      </c>
      <c r="AB882" s="54"/>
      <c r="AC882" s="54"/>
      <c r="AD882" s="54"/>
      <c r="AE882" s="54">
        <f t="shared" si="320"/>
        <v>4500</v>
      </c>
      <c r="AF882" s="54">
        <f t="shared" si="321"/>
        <v>6604.2873918480982</v>
      </c>
      <c r="AG882" s="49">
        <f t="shared" si="322"/>
        <v>87400</v>
      </c>
      <c r="AH882" s="49">
        <f t="shared" si="323"/>
        <v>87400</v>
      </c>
    </row>
    <row r="883" spans="1:34" s="56" customFormat="1">
      <c r="A883" s="145" t="s">
        <v>989</v>
      </c>
      <c r="B883" s="145"/>
      <c r="C883" s="145"/>
      <c r="D883" s="156"/>
      <c r="E883" s="51">
        <v>1</v>
      </c>
      <c r="F883" s="51"/>
      <c r="G883" s="147">
        <v>0</v>
      </c>
      <c r="H883" s="147">
        <v>0</v>
      </c>
      <c r="I883" s="49">
        <v>42929</v>
      </c>
      <c r="J883" s="49">
        <f t="shared" si="312"/>
        <v>35931.572999999997</v>
      </c>
      <c r="K883" s="49">
        <f t="shared" si="313"/>
        <v>35931.572999999997</v>
      </c>
      <c r="L883" s="58"/>
      <c r="M883" s="141">
        <v>0</v>
      </c>
      <c r="N883" s="50">
        <f t="shared" si="314"/>
        <v>0</v>
      </c>
      <c r="O883" s="50">
        <f t="shared" si="315"/>
        <v>0</v>
      </c>
      <c r="P883" s="59"/>
      <c r="Q883" s="141">
        <v>0</v>
      </c>
      <c r="R883" s="50">
        <f t="shared" si="316"/>
        <v>0</v>
      </c>
      <c r="S883" s="51">
        <f t="shared" si="317"/>
        <v>0</v>
      </c>
      <c r="T883" s="64">
        <v>15</v>
      </c>
      <c r="U883" s="65" t="s">
        <v>81</v>
      </c>
      <c r="V883" s="53">
        <f>SUMIF('Avoided Costs 2014-2023'!$A:$A,'2014 Actuals'!U883&amp;ROUNDDOWN('2014 Actuals'!T883,0),'Avoided Costs 2014-2023'!$E:$E)*K883</f>
        <v>83176.989210456886</v>
      </c>
      <c r="W883" s="53">
        <f>SUMIF('Avoided Costs 2014-2023'!$A:$A,'2014 Actuals'!U883&amp;ROUNDDOWN('2014 Actuals'!T883,0),'Avoided Costs 2014-2023'!$K:$K)*O883</f>
        <v>0</v>
      </c>
      <c r="X883" s="53">
        <f>SUMIF('Avoided Costs 2014-2023'!$A:$A,'2014 Actuals'!U883&amp;ROUNDDOWN('2014 Actuals'!T883,0),'Avoided Costs 2014-2023'!$M:$M)*S883</f>
        <v>0</v>
      </c>
      <c r="Y883" s="53">
        <f t="shared" si="318"/>
        <v>83176.989210456886</v>
      </c>
      <c r="Z883" s="55">
        <v>34872</v>
      </c>
      <c r="AA883" s="54">
        <f t="shared" si="319"/>
        <v>34872</v>
      </c>
      <c r="AB883" s="54"/>
      <c r="AC883" s="54"/>
      <c r="AD883" s="54"/>
      <c r="AE883" s="54">
        <f t="shared" si="320"/>
        <v>34872</v>
      </c>
      <c r="AF883" s="54">
        <f t="shared" si="321"/>
        <v>48304.989210456886</v>
      </c>
      <c r="AG883" s="49">
        <f t="shared" si="322"/>
        <v>538973.59499999997</v>
      </c>
      <c r="AH883" s="49">
        <f t="shared" si="323"/>
        <v>538973.59499999997</v>
      </c>
    </row>
    <row r="884" spans="1:34" s="56" customFormat="1">
      <c r="A884" s="145" t="s">
        <v>990</v>
      </c>
      <c r="B884" s="145"/>
      <c r="C884" s="145"/>
      <c r="D884" s="156"/>
      <c r="E884" s="51">
        <v>0</v>
      </c>
      <c r="F884" s="51"/>
      <c r="G884" s="147">
        <v>0</v>
      </c>
      <c r="H884" s="147">
        <v>0</v>
      </c>
      <c r="I884" s="49">
        <v>1461</v>
      </c>
      <c r="J884" s="49">
        <f t="shared" si="312"/>
        <v>1222.857</v>
      </c>
      <c r="K884" s="49">
        <f t="shared" si="313"/>
        <v>1222.857</v>
      </c>
      <c r="L884" s="58"/>
      <c r="M884" s="141">
        <v>0</v>
      </c>
      <c r="N884" s="50">
        <f t="shared" si="314"/>
        <v>0</v>
      </c>
      <c r="O884" s="50">
        <f t="shared" si="315"/>
        <v>0</v>
      </c>
      <c r="P884" s="59"/>
      <c r="Q884" s="141">
        <v>0</v>
      </c>
      <c r="R884" s="50">
        <f t="shared" si="316"/>
        <v>0</v>
      </c>
      <c r="S884" s="51">
        <f t="shared" si="317"/>
        <v>0</v>
      </c>
      <c r="T884" s="64">
        <v>15</v>
      </c>
      <c r="U884" s="65" t="s">
        <v>94</v>
      </c>
      <c r="V884" s="53">
        <f>SUMIF('Avoided Costs 2014-2023'!$A:$A,'2014 Actuals'!U884&amp;ROUNDDOWN('2014 Actuals'!T884,0),'Avoided Costs 2014-2023'!$E:$E)*K884</f>
        <v>2650.8858683412509</v>
      </c>
      <c r="W884" s="53">
        <f>SUMIF('Avoided Costs 2014-2023'!$A:$A,'2014 Actuals'!U884&amp;ROUNDDOWN('2014 Actuals'!T884,0),'Avoided Costs 2014-2023'!$K:$K)*O884</f>
        <v>0</v>
      </c>
      <c r="X884" s="53">
        <f>SUMIF('Avoided Costs 2014-2023'!$A:$A,'2014 Actuals'!U884&amp;ROUNDDOWN('2014 Actuals'!T884,0),'Avoided Costs 2014-2023'!$M:$M)*S884</f>
        <v>0</v>
      </c>
      <c r="Y884" s="53">
        <f t="shared" si="318"/>
        <v>2650.8858683412509</v>
      </c>
      <c r="Z884" s="55">
        <v>19000</v>
      </c>
      <c r="AA884" s="54">
        <f t="shared" si="319"/>
        <v>19000</v>
      </c>
      <c r="AB884" s="54"/>
      <c r="AC884" s="54"/>
      <c r="AD884" s="54"/>
      <c r="AE884" s="54">
        <f t="shared" si="320"/>
        <v>19000</v>
      </c>
      <c r="AF884" s="54">
        <f t="shared" si="321"/>
        <v>-16349.114131658749</v>
      </c>
      <c r="AG884" s="49">
        <f t="shared" si="322"/>
        <v>18342.855</v>
      </c>
      <c r="AH884" s="49">
        <f t="shared" si="323"/>
        <v>18342.855</v>
      </c>
    </row>
    <row r="885" spans="1:34" s="56" customFormat="1">
      <c r="A885" s="145" t="s">
        <v>991</v>
      </c>
      <c r="B885" s="145"/>
      <c r="C885" s="145"/>
      <c r="D885" s="156"/>
      <c r="E885" s="51">
        <v>1</v>
      </c>
      <c r="F885" s="51"/>
      <c r="G885" s="147">
        <v>0</v>
      </c>
      <c r="H885" s="147">
        <v>0</v>
      </c>
      <c r="I885" s="49">
        <v>57002</v>
      </c>
      <c r="J885" s="49">
        <f t="shared" si="312"/>
        <v>47710.673999999999</v>
      </c>
      <c r="K885" s="49">
        <f t="shared" si="313"/>
        <v>47710.673999999999</v>
      </c>
      <c r="L885" s="58"/>
      <c r="M885" s="141">
        <v>54573</v>
      </c>
      <c r="N885" s="50">
        <f t="shared" si="314"/>
        <v>54573</v>
      </c>
      <c r="O885" s="50">
        <f t="shared" si="315"/>
        <v>54573</v>
      </c>
      <c r="P885" s="59"/>
      <c r="Q885" s="141">
        <v>0</v>
      </c>
      <c r="R885" s="50">
        <f t="shared" si="316"/>
        <v>0</v>
      </c>
      <c r="S885" s="51">
        <f t="shared" si="317"/>
        <v>0</v>
      </c>
      <c r="T885" s="64">
        <v>15</v>
      </c>
      <c r="U885" s="65" t="s">
        <v>81</v>
      </c>
      <c r="V885" s="53">
        <f>SUMIF('Avoided Costs 2014-2023'!$A:$A,'2014 Actuals'!U885&amp;ROUNDDOWN('2014 Actuals'!T885,0),'Avoided Costs 2014-2023'!$E:$E)*K885</f>
        <v>110444.09930290628</v>
      </c>
      <c r="W885" s="53">
        <f>SUMIF('Avoided Costs 2014-2023'!$A:$A,'2014 Actuals'!U885&amp;ROUNDDOWN('2014 Actuals'!T885,0),'Avoided Costs 2014-2023'!$K:$K)*O885</f>
        <v>64531.500834998573</v>
      </c>
      <c r="X885" s="53">
        <f>SUMIF('Avoided Costs 2014-2023'!$A:$A,'2014 Actuals'!U885&amp;ROUNDDOWN('2014 Actuals'!T885,0),'Avoided Costs 2014-2023'!$M:$M)*S885</f>
        <v>0</v>
      </c>
      <c r="Y885" s="53">
        <f t="shared" si="318"/>
        <v>174975.60013790487</v>
      </c>
      <c r="Z885" s="55">
        <v>23000</v>
      </c>
      <c r="AA885" s="54">
        <f t="shared" si="319"/>
        <v>23000</v>
      </c>
      <c r="AB885" s="54"/>
      <c r="AC885" s="54"/>
      <c r="AD885" s="54"/>
      <c r="AE885" s="54">
        <f t="shared" si="320"/>
        <v>23000</v>
      </c>
      <c r="AF885" s="54">
        <f t="shared" si="321"/>
        <v>151975.60013790487</v>
      </c>
      <c r="AG885" s="49">
        <f t="shared" si="322"/>
        <v>715660.11</v>
      </c>
      <c r="AH885" s="49">
        <f t="shared" si="323"/>
        <v>715660.11</v>
      </c>
    </row>
    <row r="886" spans="1:34" s="56" customFormat="1">
      <c r="A886" s="145" t="s">
        <v>992</v>
      </c>
      <c r="B886" s="145"/>
      <c r="C886" s="145"/>
      <c r="D886" s="156"/>
      <c r="E886" s="51">
        <v>1</v>
      </c>
      <c r="F886" s="51"/>
      <c r="G886" s="147">
        <v>0</v>
      </c>
      <c r="H886" s="147">
        <v>0</v>
      </c>
      <c r="I886" s="49">
        <v>45353</v>
      </c>
      <c r="J886" s="49">
        <f t="shared" si="312"/>
        <v>37960.460999999996</v>
      </c>
      <c r="K886" s="49">
        <f t="shared" si="313"/>
        <v>37960.460999999996</v>
      </c>
      <c r="L886" s="58"/>
      <c r="M886" s="141">
        <v>0</v>
      </c>
      <c r="N886" s="50">
        <f t="shared" si="314"/>
        <v>0</v>
      </c>
      <c r="O886" s="50">
        <f t="shared" si="315"/>
        <v>0</v>
      </c>
      <c r="P886" s="59"/>
      <c r="Q886" s="141">
        <v>0</v>
      </c>
      <c r="R886" s="50">
        <f t="shared" si="316"/>
        <v>0</v>
      </c>
      <c r="S886" s="51">
        <f t="shared" si="317"/>
        <v>0</v>
      </c>
      <c r="T886" s="64">
        <v>25</v>
      </c>
      <c r="U886" s="65" t="s">
        <v>81</v>
      </c>
      <c r="V886" s="53">
        <f>SUMIF('Avoided Costs 2014-2023'!$A:$A,'2014 Actuals'!U886&amp;ROUNDDOWN('2014 Actuals'!T886,0),'Avoided Costs 2014-2023'!$E:$E)*K886</f>
        <v>120573.1889219226</v>
      </c>
      <c r="W886" s="53">
        <f>SUMIF('Avoided Costs 2014-2023'!$A:$A,'2014 Actuals'!U886&amp;ROUNDDOWN('2014 Actuals'!T886,0),'Avoided Costs 2014-2023'!$K:$K)*O886</f>
        <v>0</v>
      </c>
      <c r="X886" s="53">
        <f>SUMIF('Avoided Costs 2014-2023'!$A:$A,'2014 Actuals'!U886&amp;ROUNDDOWN('2014 Actuals'!T886,0),'Avoided Costs 2014-2023'!$M:$M)*S886</f>
        <v>0</v>
      </c>
      <c r="Y886" s="53">
        <f t="shared" si="318"/>
        <v>120573.1889219226</v>
      </c>
      <c r="Z886" s="55">
        <v>25550</v>
      </c>
      <c r="AA886" s="54">
        <f t="shared" si="319"/>
        <v>25550</v>
      </c>
      <c r="AB886" s="54"/>
      <c r="AC886" s="54"/>
      <c r="AD886" s="54"/>
      <c r="AE886" s="54">
        <f t="shared" si="320"/>
        <v>25550</v>
      </c>
      <c r="AF886" s="54">
        <f t="shared" si="321"/>
        <v>95023.1889219226</v>
      </c>
      <c r="AG886" s="49">
        <f t="shared" si="322"/>
        <v>949011.52499999991</v>
      </c>
      <c r="AH886" s="49">
        <f t="shared" si="323"/>
        <v>949011.52499999991</v>
      </c>
    </row>
    <row r="887" spans="1:34" s="56" customFormat="1">
      <c r="A887" s="145" t="s">
        <v>993</v>
      </c>
      <c r="B887" s="145"/>
      <c r="C887" s="145"/>
      <c r="D887" s="156"/>
      <c r="E887" s="51">
        <v>0</v>
      </c>
      <c r="F887" s="51"/>
      <c r="G887" s="147">
        <v>0</v>
      </c>
      <c r="H887" s="147">
        <v>0</v>
      </c>
      <c r="I887" s="49">
        <v>5411</v>
      </c>
      <c r="J887" s="49">
        <f t="shared" si="312"/>
        <v>4529.0069999999996</v>
      </c>
      <c r="K887" s="49">
        <f t="shared" si="313"/>
        <v>4529.0069999999996</v>
      </c>
      <c r="L887" s="58"/>
      <c r="M887" s="141">
        <v>992</v>
      </c>
      <c r="N887" s="50">
        <f t="shared" si="314"/>
        <v>992</v>
      </c>
      <c r="O887" s="50">
        <f t="shared" si="315"/>
        <v>992</v>
      </c>
      <c r="P887" s="59"/>
      <c r="Q887" s="141">
        <v>0</v>
      </c>
      <c r="R887" s="50">
        <f t="shared" si="316"/>
        <v>0</v>
      </c>
      <c r="S887" s="51">
        <f t="shared" si="317"/>
        <v>0</v>
      </c>
      <c r="T887" s="64">
        <v>15</v>
      </c>
      <c r="U887" s="65" t="s">
        <v>81</v>
      </c>
      <c r="V887" s="53">
        <f>SUMIF('Avoided Costs 2014-2023'!$A:$A,'2014 Actuals'!U887&amp;ROUNDDOWN('2014 Actuals'!T887,0),'Avoided Costs 2014-2023'!$E:$E)*K887</f>
        <v>10484.071108522961</v>
      </c>
      <c r="W887" s="53">
        <f>SUMIF('Avoided Costs 2014-2023'!$A:$A,'2014 Actuals'!U887&amp;ROUNDDOWN('2014 Actuals'!T887,0),'Avoided Costs 2014-2023'!$K:$K)*O887</f>
        <v>1173.02051982333</v>
      </c>
      <c r="X887" s="53">
        <f>SUMIF('Avoided Costs 2014-2023'!$A:$A,'2014 Actuals'!U887&amp;ROUNDDOWN('2014 Actuals'!T887,0),'Avoided Costs 2014-2023'!$M:$M)*S887</f>
        <v>0</v>
      </c>
      <c r="Y887" s="53">
        <f t="shared" si="318"/>
        <v>11657.091628346292</v>
      </c>
      <c r="Z887" s="55">
        <v>57000</v>
      </c>
      <c r="AA887" s="54">
        <f t="shared" si="319"/>
        <v>57000</v>
      </c>
      <c r="AB887" s="54"/>
      <c r="AC887" s="54"/>
      <c r="AD887" s="54"/>
      <c r="AE887" s="54">
        <f t="shared" si="320"/>
        <v>57000</v>
      </c>
      <c r="AF887" s="54">
        <f t="shared" si="321"/>
        <v>-45342.908371653706</v>
      </c>
      <c r="AG887" s="49">
        <f t="shared" si="322"/>
        <v>67935.104999999996</v>
      </c>
      <c r="AH887" s="49">
        <f t="shared" si="323"/>
        <v>67935.104999999996</v>
      </c>
    </row>
    <row r="888" spans="1:34" s="56" customFormat="1">
      <c r="A888" s="145" t="s">
        <v>994</v>
      </c>
      <c r="B888" s="145"/>
      <c r="C888" s="145"/>
      <c r="D888" s="156"/>
      <c r="E888" s="51">
        <v>1</v>
      </c>
      <c r="F888" s="51"/>
      <c r="G888" s="147">
        <v>0</v>
      </c>
      <c r="H888" s="147">
        <v>0</v>
      </c>
      <c r="I888" s="49">
        <v>7567</v>
      </c>
      <c r="J888" s="49">
        <f t="shared" si="312"/>
        <v>6333.5789999999997</v>
      </c>
      <c r="K888" s="49">
        <f t="shared" si="313"/>
        <v>6333.5789999999997</v>
      </c>
      <c r="L888" s="58"/>
      <c r="M888" s="141">
        <v>0</v>
      </c>
      <c r="N888" s="50">
        <f t="shared" si="314"/>
        <v>0</v>
      </c>
      <c r="O888" s="50">
        <f t="shared" si="315"/>
        <v>0</v>
      </c>
      <c r="P888" s="59"/>
      <c r="Q888" s="141">
        <v>0</v>
      </c>
      <c r="R888" s="50">
        <f t="shared" si="316"/>
        <v>0</v>
      </c>
      <c r="S888" s="51">
        <f t="shared" si="317"/>
        <v>0</v>
      </c>
      <c r="T888" s="64">
        <v>25</v>
      </c>
      <c r="U888" s="65" t="s">
        <v>94</v>
      </c>
      <c r="V888" s="53">
        <f>SUMIF('Avoided Costs 2014-2023'!$A:$A,'2014 Actuals'!U888&amp;ROUNDDOWN('2014 Actuals'!T888,0),'Avoided Costs 2014-2023'!$E:$E)*K888</f>
        <v>18847.128925820714</v>
      </c>
      <c r="W888" s="53">
        <f>SUMIF('Avoided Costs 2014-2023'!$A:$A,'2014 Actuals'!U888&amp;ROUNDDOWN('2014 Actuals'!T888,0),'Avoided Costs 2014-2023'!$K:$K)*O888</f>
        <v>0</v>
      </c>
      <c r="X888" s="53">
        <f>SUMIF('Avoided Costs 2014-2023'!$A:$A,'2014 Actuals'!U888&amp;ROUNDDOWN('2014 Actuals'!T888,0),'Avoided Costs 2014-2023'!$M:$M)*S888</f>
        <v>0</v>
      </c>
      <c r="Y888" s="53">
        <f t="shared" si="318"/>
        <v>18847.128925820714</v>
      </c>
      <c r="Z888" s="55">
        <v>22202</v>
      </c>
      <c r="AA888" s="54">
        <f t="shared" si="319"/>
        <v>22202</v>
      </c>
      <c r="AB888" s="54"/>
      <c r="AC888" s="54"/>
      <c r="AD888" s="54"/>
      <c r="AE888" s="54">
        <f t="shared" si="320"/>
        <v>22202</v>
      </c>
      <c r="AF888" s="54">
        <f t="shared" si="321"/>
        <v>-3354.8710741792856</v>
      </c>
      <c r="AG888" s="49">
        <f t="shared" si="322"/>
        <v>158339.47500000001</v>
      </c>
      <c r="AH888" s="49">
        <f t="shared" si="323"/>
        <v>158339.47500000001</v>
      </c>
    </row>
    <row r="889" spans="1:34" s="56" customFormat="1">
      <c r="A889" s="145" t="s">
        <v>995</v>
      </c>
      <c r="B889" s="145"/>
      <c r="C889" s="145"/>
      <c r="D889" s="156"/>
      <c r="E889" s="51">
        <v>1</v>
      </c>
      <c r="F889" s="51"/>
      <c r="G889" s="147">
        <v>0</v>
      </c>
      <c r="H889" s="147">
        <v>0</v>
      </c>
      <c r="I889" s="49">
        <v>4156</v>
      </c>
      <c r="J889" s="49">
        <f t="shared" si="312"/>
        <v>3478.5719999999997</v>
      </c>
      <c r="K889" s="49">
        <f t="shared" si="313"/>
        <v>3478.5719999999997</v>
      </c>
      <c r="L889" s="58"/>
      <c r="M889" s="141">
        <v>0</v>
      </c>
      <c r="N889" s="50">
        <f t="shared" si="314"/>
        <v>0</v>
      </c>
      <c r="O889" s="50">
        <f t="shared" si="315"/>
        <v>0</v>
      </c>
      <c r="P889" s="59"/>
      <c r="Q889" s="141">
        <v>0</v>
      </c>
      <c r="R889" s="50">
        <f t="shared" si="316"/>
        <v>0</v>
      </c>
      <c r="S889" s="51">
        <f t="shared" si="317"/>
        <v>0</v>
      </c>
      <c r="T889" s="64">
        <v>25</v>
      </c>
      <c r="U889" s="65" t="s">
        <v>94</v>
      </c>
      <c r="V889" s="53">
        <f>SUMIF('Avoided Costs 2014-2023'!$A:$A,'2014 Actuals'!U889&amp;ROUNDDOWN('2014 Actuals'!T889,0),'Avoided Costs 2014-2023'!$E:$E)*K889</f>
        <v>10351.350312635244</v>
      </c>
      <c r="W889" s="53">
        <f>SUMIF('Avoided Costs 2014-2023'!$A:$A,'2014 Actuals'!U889&amp;ROUNDDOWN('2014 Actuals'!T889,0),'Avoided Costs 2014-2023'!$K:$K)*O889</f>
        <v>0</v>
      </c>
      <c r="X889" s="53">
        <f>SUMIF('Avoided Costs 2014-2023'!$A:$A,'2014 Actuals'!U889&amp;ROUNDDOWN('2014 Actuals'!T889,0),'Avoided Costs 2014-2023'!$M:$M)*S889</f>
        <v>0</v>
      </c>
      <c r="Y889" s="53">
        <f t="shared" si="318"/>
        <v>10351.350312635244</v>
      </c>
      <c r="Z889" s="55">
        <v>6948</v>
      </c>
      <c r="AA889" s="54">
        <f t="shared" si="319"/>
        <v>6948</v>
      </c>
      <c r="AB889" s="54"/>
      <c r="AC889" s="54"/>
      <c r="AD889" s="54"/>
      <c r="AE889" s="54">
        <f t="shared" si="320"/>
        <v>6948</v>
      </c>
      <c r="AF889" s="54">
        <f t="shared" si="321"/>
        <v>3403.3503126352443</v>
      </c>
      <c r="AG889" s="49">
        <f t="shared" si="322"/>
        <v>86964.299999999988</v>
      </c>
      <c r="AH889" s="49">
        <f t="shared" si="323"/>
        <v>86964.299999999988</v>
      </c>
    </row>
    <row r="890" spans="1:34" s="56" customFormat="1">
      <c r="A890" s="145" t="s">
        <v>996</v>
      </c>
      <c r="B890" s="145"/>
      <c r="C890" s="145"/>
      <c r="D890" s="156">
        <f t="shared" si="324"/>
        <v>1</v>
      </c>
      <c r="E890" s="51">
        <v>1</v>
      </c>
      <c r="F890" s="51"/>
      <c r="G890" s="147">
        <v>0</v>
      </c>
      <c r="H890" s="147">
        <v>0</v>
      </c>
      <c r="I890" s="49">
        <v>3496</v>
      </c>
      <c r="J890" s="49">
        <f>I890</f>
        <v>3496</v>
      </c>
      <c r="K890" s="49">
        <f t="shared" si="313"/>
        <v>3496</v>
      </c>
      <c r="L890" s="58"/>
      <c r="M890" s="141">
        <v>0</v>
      </c>
      <c r="N890" s="50">
        <f t="shared" si="314"/>
        <v>0</v>
      </c>
      <c r="O890" s="50">
        <f t="shared" si="315"/>
        <v>0</v>
      </c>
      <c r="P890" s="59"/>
      <c r="Q890" s="141">
        <v>0</v>
      </c>
      <c r="R890" s="50">
        <f t="shared" si="316"/>
        <v>0</v>
      </c>
      <c r="S890" s="51">
        <f t="shared" si="317"/>
        <v>0</v>
      </c>
      <c r="T890" s="64">
        <v>25</v>
      </c>
      <c r="U890" s="65" t="s">
        <v>81</v>
      </c>
      <c r="V890" s="53">
        <f>SUMIF('Avoided Costs 2014-2023'!$A:$A,'2014 Actuals'!U890&amp;ROUNDDOWN('2014 Actuals'!T890,0),'Avoided Costs 2014-2023'!$E:$E)*K890</f>
        <v>11104.287391848098</v>
      </c>
      <c r="W890" s="53">
        <f>SUMIF('Avoided Costs 2014-2023'!$A:$A,'2014 Actuals'!U890&amp;ROUNDDOWN('2014 Actuals'!T890,0),'Avoided Costs 2014-2023'!$K:$K)*O890</f>
        <v>0</v>
      </c>
      <c r="X890" s="53">
        <f>SUMIF('Avoided Costs 2014-2023'!$A:$A,'2014 Actuals'!U890&amp;ROUNDDOWN('2014 Actuals'!T890,0),'Avoided Costs 2014-2023'!$M:$M)*S890</f>
        <v>0</v>
      </c>
      <c r="Y890" s="53">
        <f t="shared" si="318"/>
        <v>11104.287391848098</v>
      </c>
      <c r="Z890" s="55">
        <v>4500</v>
      </c>
      <c r="AA890" s="54">
        <f t="shared" si="319"/>
        <v>4500</v>
      </c>
      <c r="AB890" s="54"/>
      <c r="AC890" s="54"/>
      <c r="AD890" s="54"/>
      <c r="AE890" s="54">
        <f t="shared" si="320"/>
        <v>4500</v>
      </c>
      <c r="AF890" s="54">
        <f t="shared" si="321"/>
        <v>6604.2873918480982</v>
      </c>
      <c r="AG890" s="49">
        <f t="shared" si="322"/>
        <v>87400</v>
      </c>
      <c r="AH890" s="49">
        <f t="shared" si="323"/>
        <v>87400</v>
      </c>
    </row>
    <row r="891" spans="1:34" s="56" customFormat="1">
      <c r="A891" s="145" t="s">
        <v>997</v>
      </c>
      <c r="B891" s="145"/>
      <c r="C891" s="145"/>
      <c r="D891" s="156"/>
      <c r="E891" s="51">
        <v>0</v>
      </c>
      <c r="F891" s="51"/>
      <c r="G891" s="147">
        <v>0</v>
      </c>
      <c r="H891" s="147">
        <v>0</v>
      </c>
      <c r="I891" s="49">
        <v>22919</v>
      </c>
      <c r="J891" s="49">
        <f t="shared" si="312"/>
        <v>19183.202999999998</v>
      </c>
      <c r="K891" s="49">
        <f t="shared" si="313"/>
        <v>19183.202999999998</v>
      </c>
      <c r="L891" s="58"/>
      <c r="M891" s="141">
        <v>29964</v>
      </c>
      <c r="N891" s="50">
        <f t="shared" si="314"/>
        <v>29964</v>
      </c>
      <c r="O891" s="50">
        <f t="shared" si="315"/>
        <v>29964</v>
      </c>
      <c r="P891" s="59"/>
      <c r="Q891" s="141">
        <v>0</v>
      </c>
      <c r="R891" s="50">
        <f t="shared" si="316"/>
        <v>0</v>
      </c>
      <c r="S891" s="51">
        <f t="shared" si="317"/>
        <v>0</v>
      </c>
      <c r="T891" s="64">
        <v>15</v>
      </c>
      <c r="U891" s="65" t="s">
        <v>81</v>
      </c>
      <c r="V891" s="53">
        <f>SUMIF('Avoided Costs 2014-2023'!$A:$A,'2014 Actuals'!U891&amp;ROUNDDOWN('2014 Actuals'!T891,0),'Avoided Costs 2014-2023'!$E:$E)*K891</f>
        <v>44406.657870308212</v>
      </c>
      <c r="W891" s="53">
        <f>SUMIF('Avoided Costs 2014-2023'!$A:$A,'2014 Actuals'!U891&amp;ROUNDDOWN('2014 Actuals'!T891,0),'Avoided Costs 2014-2023'!$K:$K)*O891</f>
        <v>35431.841588695825</v>
      </c>
      <c r="X891" s="53">
        <f>SUMIF('Avoided Costs 2014-2023'!$A:$A,'2014 Actuals'!U891&amp;ROUNDDOWN('2014 Actuals'!T891,0),'Avoided Costs 2014-2023'!$M:$M)*S891</f>
        <v>0</v>
      </c>
      <c r="Y891" s="53">
        <f t="shared" si="318"/>
        <v>79838.49945900403</v>
      </c>
      <c r="Z891" s="55">
        <v>3200</v>
      </c>
      <c r="AA891" s="54">
        <f t="shared" si="319"/>
        <v>3200</v>
      </c>
      <c r="AB891" s="54"/>
      <c r="AC891" s="54"/>
      <c r="AD891" s="54"/>
      <c r="AE891" s="54">
        <f t="shared" si="320"/>
        <v>3200</v>
      </c>
      <c r="AF891" s="54">
        <f t="shared" si="321"/>
        <v>76638.49945900403</v>
      </c>
      <c r="AG891" s="49">
        <f t="shared" si="322"/>
        <v>287748.04499999998</v>
      </c>
      <c r="AH891" s="49">
        <f t="shared" si="323"/>
        <v>287748.04499999998</v>
      </c>
    </row>
    <row r="892" spans="1:34" s="56" customFormat="1">
      <c r="A892" s="145" t="s">
        <v>998</v>
      </c>
      <c r="B892" s="145"/>
      <c r="C892" s="145"/>
      <c r="D892" s="156"/>
      <c r="E892" s="51">
        <v>1</v>
      </c>
      <c r="F892" s="51"/>
      <c r="G892" s="147">
        <v>0</v>
      </c>
      <c r="H892" s="147">
        <v>0</v>
      </c>
      <c r="I892" s="49">
        <v>31518</v>
      </c>
      <c r="J892" s="49">
        <f t="shared" si="312"/>
        <v>26380.565999999999</v>
      </c>
      <c r="K892" s="49">
        <f t="shared" si="313"/>
        <v>26380.565999999999</v>
      </c>
      <c r="L892" s="58"/>
      <c r="M892" s="141">
        <v>0</v>
      </c>
      <c r="N892" s="50">
        <f t="shared" si="314"/>
        <v>0</v>
      </c>
      <c r="O892" s="50">
        <f t="shared" si="315"/>
        <v>0</v>
      </c>
      <c r="P892" s="59"/>
      <c r="Q892" s="141">
        <v>0</v>
      </c>
      <c r="R892" s="50">
        <f t="shared" si="316"/>
        <v>0</v>
      </c>
      <c r="S892" s="51">
        <f t="shared" si="317"/>
        <v>0</v>
      </c>
      <c r="T892" s="64">
        <v>25</v>
      </c>
      <c r="U892" s="65" t="s">
        <v>81</v>
      </c>
      <c r="V892" s="53">
        <f>SUMIF('Avoided Costs 2014-2023'!$A:$A,'2014 Actuals'!U892&amp;ROUNDDOWN('2014 Actuals'!T892,0),'Avoided Costs 2014-2023'!$E:$E)*K892</f>
        <v>83792.158587991027</v>
      </c>
      <c r="W892" s="53">
        <f>SUMIF('Avoided Costs 2014-2023'!$A:$A,'2014 Actuals'!U892&amp;ROUNDDOWN('2014 Actuals'!T892,0),'Avoided Costs 2014-2023'!$K:$K)*O892</f>
        <v>0</v>
      </c>
      <c r="X892" s="53">
        <f>SUMIF('Avoided Costs 2014-2023'!$A:$A,'2014 Actuals'!U892&amp;ROUNDDOWN('2014 Actuals'!T892,0),'Avoided Costs 2014-2023'!$M:$M)*S892</f>
        <v>0</v>
      </c>
      <c r="Y892" s="53">
        <f t="shared" si="318"/>
        <v>83792.158587991027</v>
      </c>
      <c r="Z892" s="55">
        <v>31450</v>
      </c>
      <c r="AA892" s="54">
        <f t="shared" si="319"/>
        <v>31450</v>
      </c>
      <c r="AB892" s="54"/>
      <c r="AC892" s="54"/>
      <c r="AD892" s="54"/>
      <c r="AE892" s="54">
        <f t="shared" si="320"/>
        <v>31450</v>
      </c>
      <c r="AF892" s="54">
        <f t="shared" si="321"/>
        <v>52342.158587991027</v>
      </c>
      <c r="AG892" s="49">
        <f t="shared" si="322"/>
        <v>659514.15</v>
      </c>
      <c r="AH892" s="49">
        <f t="shared" si="323"/>
        <v>659514.15</v>
      </c>
    </row>
    <row r="893" spans="1:34" s="56" customFormat="1">
      <c r="A893" s="145" t="s">
        <v>999</v>
      </c>
      <c r="B893" s="145"/>
      <c r="C893" s="145"/>
      <c r="D893" s="156"/>
      <c r="E893" s="51">
        <v>1</v>
      </c>
      <c r="F893" s="51"/>
      <c r="G893" s="147">
        <v>0</v>
      </c>
      <c r="H893" s="147">
        <v>0</v>
      </c>
      <c r="I893" s="49">
        <v>43412</v>
      </c>
      <c r="J893" s="49">
        <f t="shared" si="312"/>
        <v>36335.843999999997</v>
      </c>
      <c r="K893" s="49">
        <f t="shared" si="313"/>
        <v>36335.843999999997</v>
      </c>
      <c r="L893" s="58"/>
      <c r="M893" s="141">
        <v>0</v>
      </c>
      <c r="N893" s="50">
        <f t="shared" si="314"/>
        <v>0</v>
      </c>
      <c r="O893" s="50">
        <f t="shared" si="315"/>
        <v>0</v>
      </c>
      <c r="P893" s="59"/>
      <c r="Q893" s="141">
        <v>0</v>
      </c>
      <c r="R893" s="50">
        <f t="shared" si="316"/>
        <v>0</v>
      </c>
      <c r="S893" s="51">
        <f t="shared" si="317"/>
        <v>0</v>
      </c>
      <c r="T893" s="64">
        <v>15</v>
      </c>
      <c r="U893" s="65" t="s">
        <v>81</v>
      </c>
      <c r="V893" s="53">
        <f>SUMIF('Avoided Costs 2014-2023'!$A:$A,'2014 Actuals'!U893&amp;ROUNDDOWN('2014 Actuals'!T893,0),'Avoided Costs 2014-2023'!$E:$E)*K893</f>
        <v>84112.824794529442</v>
      </c>
      <c r="W893" s="53">
        <f>SUMIF('Avoided Costs 2014-2023'!$A:$A,'2014 Actuals'!U893&amp;ROUNDDOWN('2014 Actuals'!T893,0),'Avoided Costs 2014-2023'!$K:$K)*O893</f>
        <v>0</v>
      </c>
      <c r="X893" s="53">
        <f>SUMIF('Avoided Costs 2014-2023'!$A:$A,'2014 Actuals'!U893&amp;ROUNDDOWN('2014 Actuals'!T893,0),'Avoided Costs 2014-2023'!$M:$M)*S893</f>
        <v>0</v>
      </c>
      <c r="Y893" s="53">
        <f t="shared" si="318"/>
        <v>84112.824794529442</v>
      </c>
      <c r="Z893" s="55">
        <v>24001</v>
      </c>
      <c r="AA893" s="54">
        <f t="shared" si="319"/>
        <v>24001</v>
      </c>
      <c r="AB893" s="54"/>
      <c r="AC893" s="54"/>
      <c r="AD893" s="54"/>
      <c r="AE893" s="54">
        <f t="shared" si="320"/>
        <v>24001</v>
      </c>
      <c r="AF893" s="54">
        <f t="shared" si="321"/>
        <v>60111.824794529442</v>
      </c>
      <c r="AG893" s="49">
        <f t="shared" si="322"/>
        <v>545037.65999999992</v>
      </c>
      <c r="AH893" s="49">
        <f t="shared" si="323"/>
        <v>545037.65999999992</v>
      </c>
    </row>
    <row r="894" spans="1:34" s="56" customFormat="1">
      <c r="A894" s="145" t="s">
        <v>1000</v>
      </c>
      <c r="B894" s="145"/>
      <c r="C894" s="145"/>
      <c r="D894" s="156"/>
      <c r="E894" s="51">
        <v>1</v>
      </c>
      <c r="F894" s="51"/>
      <c r="G894" s="147">
        <v>0</v>
      </c>
      <c r="H894" s="147">
        <v>0</v>
      </c>
      <c r="I894" s="49">
        <v>43654</v>
      </c>
      <c r="J894" s="49">
        <f t="shared" si="312"/>
        <v>36538.398000000001</v>
      </c>
      <c r="K894" s="49">
        <f t="shared" si="313"/>
        <v>36538.398000000001</v>
      </c>
      <c r="L894" s="58"/>
      <c r="M894" s="141">
        <v>0</v>
      </c>
      <c r="N894" s="50">
        <f t="shared" si="314"/>
        <v>0</v>
      </c>
      <c r="O894" s="50">
        <f t="shared" si="315"/>
        <v>0</v>
      </c>
      <c r="P894" s="59"/>
      <c r="Q894" s="141">
        <v>0</v>
      </c>
      <c r="R894" s="50">
        <f t="shared" si="316"/>
        <v>0</v>
      </c>
      <c r="S894" s="51">
        <f t="shared" si="317"/>
        <v>0</v>
      </c>
      <c r="T894" s="64">
        <v>15</v>
      </c>
      <c r="U894" s="65" t="s">
        <v>81</v>
      </c>
      <c r="V894" s="53">
        <f>SUMIF('Avoided Costs 2014-2023'!$A:$A,'2014 Actuals'!U894&amp;ROUNDDOWN('2014 Actuals'!T894,0),'Avoided Costs 2014-2023'!$E:$E)*K894</f>
        <v>84581.711360462272</v>
      </c>
      <c r="W894" s="53">
        <f>SUMIF('Avoided Costs 2014-2023'!$A:$A,'2014 Actuals'!U894&amp;ROUNDDOWN('2014 Actuals'!T894,0),'Avoided Costs 2014-2023'!$K:$K)*O894</f>
        <v>0</v>
      </c>
      <c r="X894" s="53">
        <f>SUMIF('Avoided Costs 2014-2023'!$A:$A,'2014 Actuals'!U894&amp;ROUNDDOWN('2014 Actuals'!T894,0),'Avoided Costs 2014-2023'!$M:$M)*S894</f>
        <v>0</v>
      </c>
      <c r="Y894" s="53">
        <f t="shared" si="318"/>
        <v>84581.711360462272</v>
      </c>
      <c r="Z894" s="55">
        <v>28101</v>
      </c>
      <c r="AA894" s="54">
        <f t="shared" si="319"/>
        <v>28101</v>
      </c>
      <c r="AB894" s="54"/>
      <c r="AC894" s="54"/>
      <c r="AD894" s="54"/>
      <c r="AE894" s="54">
        <f t="shared" si="320"/>
        <v>28101</v>
      </c>
      <c r="AF894" s="54">
        <f t="shared" si="321"/>
        <v>56480.711360462272</v>
      </c>
      <c r="AG894" s="49">
        <f t="shared" si="322"/>
        <v>548075.97</v>
      </c>
      <c r="AH894" s="49">
        <f t="shared" si="323"/>
        <v>548075.97</v>
      </c>
    </row>
    <row r="895" spans="1:34" s="56" customFormat="1">
      <c r="A895" s="145" t="s">
        <v>1001</v>
      </c>
      <c r="B895" s="145"/>
      <c r="C895" s="145"/>
      <c r="D895" s="156"/>
      <c r="E895" s="51">
        <v>0</v>
      </c>
      <c r="F895" s="51"/>
      <c r="G895" s="147">
        <v>0</v>
      </c>
      <c r="H895" s="147">
        <v>0</v>
      </c>
      <c r="I895" s="49">
        <v>5981</v>
      </c>
      <c r="J895" s="49">
        <f t="shared" si="312"/>
        <v>5006.0969999999998</v>
      </c>
      <c r="K895" s="49">
        <f t="shared" si="313"/>
        <v>5006.0969999999998</v>
      </c>
      <c r="L895" s="58"/>
      <c r="M895" s="141">
        <v>0</v>
      </c>
      <c r="N895" s="50">
        <f t="shared" si="314"/>
        <v>0</v>
      </c>
      <c r="O895" s="50">
        <f t="shared" si="315"/>
        <v>0</v>
      </c>
      <c r="P895" s="59"/>
      <c r="Q895" s="141">
        <v>0</v>
      </c>
      <c r="R895" s="50">
        <f t="shared" si="316"/>
        <v>0</v>
      </c>
      <c r="S895" s="51">
        <f t="shared" si="317"/>
        <v>0</v>
      </c>
      <c r="T895" s="64">
        <v>25</v>
      </c>
      <c r="U895" s="65" t="s">
        <v>81</v>
      </c>
      <c r="V895" s="53">
        <f>SUMIF('Avoided Costs 2014-2023'!$A:$A,'2014 Actuals'!U895&amp;ROUNDDOWN('2014 Actuals'!T895,0),'Avoided Costs 2014-2023'!$E:$E)*K895</f>
        <v>15900.783695500168</v>
      </c>
      <c r="W895" s="53">
        <f>SUMIF('Avoided Costs 2014-2023'!$A:$A,'2014 Actuals'!U895&amp;ROUNDDOWN('2014 Actuals'!T895,0),'Avoided Costs 2014-2023'!$K:$K)*O895</f>
        <v>0</v>
      </c>
      <c r="X895" s="53">
        <f>SUMIF('Avoided Costs 2014-2023'!$A:$A,'2014 Actuals'!U895&amp;ROUNDDOWN('2014 Actuals'!T895,0),'Avoided Costs 2014-2023'!$M:$M)*S895</f>
        <v>0</v>
      </c>
      <c r="Y895" s="53">
        <f t="shared" si="318"/>
        <v>15900.783695500168</v>
      </c>
      <c r="Z895" s="55">
        <v>12724</v>
      </c>
      <c r="AA895" s="54">
        <f t="shared" si="319"/>
        <v>12724</v>
      </c>
      <c r="AB895" s="54"/>
      <c r="AC895" s="54"/>
      <c r="AD895" s="54"/>
      <c r="AE895" s="54">
        <f t="shared" si="320"/>
        <v>12724</v>
      </c>
      <c r="AF895" s="54">
        <f t="shared" si="321"/>
        <v>3176.7836955001676</v>
      </c>
      <c r="AG895" s="49">
        <f t="shared" si="322"/>
        <v>125152.42499999999</v>
      </c>
      <c r="AH895" s="49">
        <f t="shared" si="323"/>
        <v>125152.42499999999</v>
      </c>
    </row>
    <row r="896" spans="1:34" s="56" customFormat="1">
      <c r="A896" s="145" t="s">
        <v>1002</v>
      </c>
      <c r="B896" s="145"/>
      <c r="C896" s="145"/>
      <c r="D896" s="156"/>
      <c r="E896" s="51">
        <v>0</v>
      </c>
      <c r="F896" s="51"/>
      <c r="G896" s="147">
        <v>0</v>
      </c>
      <c r="H896" s="147">
        <v>0</v>
      </c>
      <c r="I896" s="49">
        <v>10980</v>
      </c>
      <c r="J896" s="49">
        <f t="shared" si="312"/>
        <v>9190.26</v>
      </c>
      <c r="K896" s="49">
        <f t="shared" si="313"/>
        <v>9190.26</v>
      </c>
      <c r="L896" s="58"/>
      <c r="M896" s="141">
        <v>0</v>
      </c>
      <c r="N896" s="50">
        <f t="shared" si="314"/>
        <v>0</v>
      </c>
      <c r="O896" s="50">
        <f t="shared" si="315"/>
        <v>0</v>
      </c>
      <c r="P896" s="59"/>
      <c r="Q896" s="141">
        <v>0</v>
      </c>
      <c r="R896" s="50">
        <f t="shared" si="316"/>
        <v>0</v>
      </c>
      <c r="S896" s="51">
        <f t="shared" si="317"/>
        <v>0</v>
      </c>
      <c r="T896" s="64">
        <v>25</v>
      </c>
      <c r="U896" s="65" t="s">
        <v>94</v>
      </c>
      <c r="V896" s="53">
        <f>SUMIF('Avoided Costs 2014-2023'!$A:$A,'2014 Actuals'!U896&amp;ROUNDDOWN('2014 Actuals'!T896,0),'Avoided Costs 2014-2023'!$E:$E)*K896</f>
        <v>27347.888939541623</v>
      </c>
      <c r="W896" s="53">
        <f>SUMIF('Avoided Costs 2014-2023'!$A:$A,'2014 Actuals'!U896&amp;ROUNDDOWN('2014 Actuals'!T896,0),'Avoided Costs 2014-2023'!$K:$K)*O896</f>
        <v>0</v>
      </c>
      <c r="X896" s="53">
        <f>SUMIF('Avoided Costs 2014-2023'!$A:$A,'2014 Actuals'!U896&amp;ROUNDDOWN('2014 Actuals'!T896,0),'Avoided Costs 2014-2023'!$M:$M)*S896</f>
        <v>0</v>
      </c>
      <c r="Y896" s="53">
        <f t="shared" si="318"/>
        <v>27347.888939541623</v>
      </c>
      <c r="Z896" s="55">
        <v>13172</v>
      </c>
      <c r="AA896" s="54">
        <f t="shared" si="319"/>
        <v>13172</v>
      </c>
      <c r="AB896" s="54"/>
      <c r="AC896" s="54"/>
      <c r="AD896" s="54"/>
      <c r="AE896" s="54">
        <f t="shared" si="320"/>
        <v>13172</v>
      </c>
      <c r="AF896" s="54">
        <f t="shared" si="321"/>
        <v>14175.888939541623</v>
      </c>
      <c r="AG896" s="49">
        <f t="shared" si="322"/>
        <v>229756.5</v>
      </c>
      <c r="AH896" s="49">
        <f t="shared" si="323"/>
        <v>229756.5</v>
      </c>
    </row>
    <row r="897" spans="1:34" s="56" customFormat="1">
      <c r="A897" s="145" t="s">
        <v>1003</v>
      </c>
      <c r="B897" s="145"/>
      <c r="C897" s="145"/>
      <c r="D897" s="156"/>
      <c r="E897" s="51">
        <v>1</v>
      </c>
      <c r="F897" s="51"/>
      <c r="G897" s="147">
        <v>0</v>
      </c>
      <c r="H897" s="147">
        <v>0</v>
      </c>
      <c r="I897" s="49">
        <v>57101</v>
      </c>
      <c r="J897" s="49">
        <f t="shared" si="312"/>
        <v>47793.536999999997</v>
      </c>
      <c r="K897" s="49">
        <f t="shared" si="313"/>
        <v>47793.536999999997</v>
      </c>
      <c r="L897" s="58"/>
      <c r="M897" s="141">
        <v>40311</v>
      </c>
      <c r="N897" s="50">
        <f t="shared" si="314"/>
        <v>40311</v>
      </c>
      <c r="O897" s="50">
        <f t="shared" si="315"/>
        <v>40311</v>
      </c>
      <c r="P897" s="59"/>
      <c r="Q897" s="141">
        <v>0</v>
      </c>
      <c r="R897" s="50">
        <f t="shared" si="316"/>
        <v>0</v>
      </c>
      <c r="S897" s="51">
        <f t="shared" si="317"/>
        <v>0</v>
      </c>
      <c r="T897" s="64">
        <v>15</v>
      </c>
      <c r="U897" s="65" t="s">
        <v>81</v>
      </c>
      <c r="V897" s="53">
        <f>SUMIF('Avoided Costs 2014-2023'!$A:$A,'2014 Actuals'!U897&amp;ROUNDDOWN('2014 Actuals'!T897,0),'Avoided Costs 2014-2023'!$E:$E)*K897</f>
        <v>110635.91653442425</v>
      </c>
      <c r="W897" s="53">
        <f>SUMIF('Avoided Costs 2014-2023'!$A:$A,'2014 Actuals'!U897&amp;ROUNDDOWN('2014 Actuals'!T897,0),'Avoided Costs 2014-2023'!$K:$K)*O897</f>
        <v>47666.965901812757</v>
      </c>
      <c r="X897" s="53">
        <f>SUMIF('Avoided Costs 2014-2023'!$A:$A,'2014 Actuals'!U897&amp;ROUNDDOWN('2014 Actuals'!T897,0),'Avoided Costs 2014-2023'!$M:$M)*S897</f>
        <v>0</v>
      </c>
      <c r="Y897" s="53">
        <f t="shared" si="318"/>
        <v>158302.88243623701</v>
      </c>
      <c r="Z897" s="55">
        <v>47645</v>
      </c>
      <c r="AA897" s="54">
        <f t="shared" si="319"/>
        <v>47645</v>
      </c>
      <c r="AB897" s="54"/>
      <c r="AC897" s="54"/>
      <c r="AD897" s="54"/>
      <c r="AE897" s="54">
        <f t="shared" si="320"/>
        <v>47645</v>
      </c>
      <c r="AF897" s="54">
        <f t="shared" si="321"/>
        <v>110657.88243623701</v>
      </c>
      <c r="AG897" s="49">
        <f t="shared" si="322"/>
        <v>716903.05499999993</v>
      </c>
      <c r="AH897" s="49">
        <f t="shared" si="323"/>
        <v>716903.05499999993</v>
      </c>
    </row>
    <row r="898" spans="1:34" s="56" customFormat="1">
      <c r="A898" s="145" t="s">
        <v>1004</v>
      </c>
      <c r="B898" s="145"/>
      <c r="C898" s="145"/>
      <c r="D898" s="156"/>
      <c r="E898" s="51">
        <v>0</v>
      </c>
      <c r="F898" s="51"/>
      <c r="G898" s="147">
        <v>0</v>
      </c>
      <c r="H898" s="147">
        <v>0</v>
      </c>
      <c r="I898" s="49">
        <v>12609</v>
      </c>
      <c r="J898" s="49">
        <f t="shared" si="312"/>
        <v>10553.733</v>
      </c>
      <c r="K898" s="49">
        <f t="shared" si="313"/>
        <v>10553.733</v>
      </c>
      <c r="L898" s="58"/>
      <c r="M898" s="141">
        <v>0</v>
      </c>
      <c r="N898" s="50">
        <f t="shared" si="314"/>
        <v>0</v>
      </c>
      <c r="O898" s="50">
        <f t="shared" si="315"/>
        <v>0</v>
      </c>
      <c r="P898" s="59"/>
      <c r="Q898" s="141">
        <v>0</v>
      </c>
      <c r="R898" s="50">
        <f t="shared" si="316"/>
        <v>0</v>
      </c>
      <c r="S898" s="51">
        <f t="shared" si="317"/>
        <v>0</v>
      </c>
      <c r="T898" s="64">
        <v>25</v>
      </c>
      <c r="U898" s="65" t="s">
        <v>94</v>
      </c>
      <c r="V898" s="53">
        <f>SUMIF('Avoided Costs 2014-2023'!$A:$A,'2014 Actuals'!U898&amp;ROUNDDOWN('2014 Actuals'!T898,0),'Avoided Costs 2014-2023'!$E:$E)*K898</f>
        <v>31405.239675653946</v>
      </c>
      <c r="W898" s="53">
        <f>SUMIF('Avoided Costs 2014-2023'!$A:$A,'2014 Actuals'!U898&amp;ROUNDDOWN('2014 Actuals'!T898,0),'Avoided Costs 2014-2023'!$K:$K)*O898</f>
        <v>0</v>
      </c>
      <c r="X898" s="53">
        <f>SUMIF('Avoided Costs 2014-2023'!$A:$A,'2014 Actuals'!U898&amp;ROUNDDOWN('2014 Actuals'!T898,0),'Avoided Costs 2014-2023'!$M:$M)*S898</f>
        <v>0</v>
      </c>
      <c r="Y898" s="53">
        <f t="shared" si="318"/>
        <v>31405.239675653946</v>
      </c>
      <c r="Z898" s="55">
        <v>39000</v>
      </c>
      <c r="AA898" s="54">
        <f t="shared" si="319"/>
        <v>39000</v>
      </c>
      <c r="AB898" s="54"/>
      <c r="AC898" s="54"/>
      <c r="AD898" s="54"/>
      <c r="AE898" s="54">
        <f t="shared" si="320"/>
        <v>39000</v>
      </c>
      <c r="AF898" s="54">
        <f t="shared" si="321"/>
        <v>-7594.7603243460544</v>
      </c>
      <c r="AG898" s="49">
        <f t="shared" si="322"/>
        <v>263843.32500000001</v>
      </c>
      <c r="AH898" s="49">
        <f t="shared" si="323"/>
        <v>263843.32500000001</v>
      </c>
    </row>
    <row r="899" spans="1:34" s="56" customFormat="1">
      <c r="A899" s="145" t="s">
        <v>1005</v>
      </c>
      <c r="B899" s="145"/>
      <c r="C899" s="145"/>
      <c r="D899" s="156"/>
      <c r="E899" s="51">
        <v>0</v>
      </c>
      <c r="F899" s="51"/>
      <c r="G899" s="147">
        <v>0</v>
      </c>
      <c r="H899" s="147">
        <v>0</v>
      </c>
      <c r="I899" s="49">
        <v>6804</v>
      </c>
      <c r="J899" s="49">
        <f t="shared" si="312"/>
        <v>5694.9479999999994</v>
      </c>
      <c r="K899" s="49">
        <f t="shared" si="313"/>
        <v>5694.9479999999994</v>
      </c>
      <c r="L899" s="58"/>
      <c r="M899" s="141">
        <v>0</v>
      </c>
      <c r="N899" s="50">
        <f t="shared" si="314"/>
        <v>0</v>
      </c>
      <c r="O899" s="50">
        <f t="shared" si="315"/>
        <v>0</v>
      </c>
      <c r="P899" s="59"/>
      <c r="Q899" s="141">
        <v>0</v>
      </c>
      <c r="R899" s="50">
        <f t="shared" si="316"/>
        <v>0</v>
      </c>
      <c r="S899" s="51">
        <f t="shared" si="317"/>
        <v>0</v>
      </c>
      <c r="T899" s="64">
        <v>25</v>
      </c>
      <c r="U899" s="65" t="s">
        <v>81</v>
      </c>
      <c r="V899" s="53">
        <f>SUMIF('Avoided Costs 2014-2023'!$A:$A,'2014 Actuals'!U899&amp;ROUNDDOWN('2014 Actuals'!T899,0),'Avoided Costs 2014-2023'!$E:$E)*K899</f>
        <v>18088.769815111711</v>
      </c>
      <c r="W899" s="53">
        <f>SUMIF('Avoided Costs 2014-2023'!$A:$A,'2014 Actuals'!U899&amp;ROUNDDOWN('2014 Actuals'!T899,0),'Avoided Costs 2014-2023'!$K:$K)*O899</f>
        <v>0</v>
      </c>
      <c r="X899" s="53">
        <f>SUMIF('Avoided Costs 2014-2023'!$A:$A,'2014 Actuals'!U899&amp;ROUNDDOWN('2014 Actuals'!T899,0),'Avoided Costs 2014-2023'!$M:$M)*S899</f>
        <v>0</v>
      </c>
      <c r="Y899" s="53">
        <f t="shared" si="318"/>
        <v>18088.769815111711</v>
      </c>
      <c r="Z899" s="55">
        <v>50000</v>
      </c>
      <c r="AA899" s="54">
        <f t="shared" si="319"/>
        <v>50000</v>
      </c>
      <c r="AB899" s="54"/>
      <c r="AC899" s="54"/>
      <c r="AD899" s="54"/>
      <c r="AE899" s="54">
        <f t="shared" si="320"/>
        <v>50000</v>
      </c>
      <c r="AF899" s="54">
        <f t="shared" si="321"/>
        <v>-31911.230184888289</v>
      </c>
      <c r="AG899" s="49">
        <f t="shared" si="322"/>
        <v>142373.69999999998</v>
      </c>
      <c r="AH899" s="49">
        <f t="shared" si="323"/>
        <v>142373.69999999998</v>
      </c>
    </row>
    <row r="900" spans="1:34" s="56" customFormat="1">
      <c r="A900" s="145" t="s">
        <v>1006</v>
      </c>
      <c r="B900" s="145"/>
      <c r="C900" s="145"/>
      <c r="D900" s="156"/>
      <c r="E900" s="51">
        <v>1</v>
      </c>
      <c r="F900" s="51"/>
      <c r="G900" s="147">
        <v>0</v>
      </c>
      <c r="H900" s="147">
        <v>0</v>
      </c>
      <c r="I900" s="49">
        <v>23092</v>
      </c>
      <c r="J900" s="49">
        <f t="shared" si="312"/>
        <v>19328.004000000001</v>
      </c>
      <c r="K900" s="49">
        <f t="shared" si="313"/>
        <v>19328.004000000001</v>
      </c>
      <c r="L900" s="58"/>
      <c r="M900" s="141">
        <v>19297</v>
      </c>
      <c r="N900" s="50">
        <f t="shared" si="314"/>
        <v>19297</v>
      </c>
      <c r="O900" s="50">
        <f t="shared" si="315"/>
        <v>19297</v>
      </c>
      <c r="P900" s="59"/>
      <c r="Q900" s="141">
        <v>0</v>
      </c>
      <c r="R900" s="50">
        <f t="shared" si="316"/>
        <v>0</v>
      </c>
      <c r="S900" s="51">
        <f t="shared" si="317"/>
        <v>0</v>
      </c>
      <c r="T900" s="64">
        <v>15</v>
      </c>
      <c r="U900" s="65" t="s">
        <v>81</v>
      </c>
      <c r="V900" s="53">
        <f>SUMIF('Avoided Costs 2014-2023'!$A:$A,'2014 Actuals'!U900&amp;ROUNDDOWN('2014 Actuals'!T900,0),'Avoided Costs 2014-2023'!$E:$E)*K900</f>
        <v>44741.853638516397</v>
      </c>
      <c r="W900" s="53">
        <f>SUMIF('Avoided Costs 2014-2023'!$A:$A,'2014 Actuals'!U900&amp;ROUNDDOWN('2014 Actuals'!T900,0),'Avoided Costs 2014-2023'!$K:$K)*O900</f>
        <v>22818.323559506855</v>
      </c>
      <c r="X900" s="53">
        <f>SUMIF('Avoided Costs 2014-2023'!$A:$A,'2014 Actuals'!U900&amp;ROUNDDOWN('2014 Actuals'!T900,0),'Avoided Costs 2014-2023'!$M:$M)*S900</f>
        <v>0</v>
      </c>
      <c r="Y900" s="53">
        <f t="shared" si="318"/>
        <v>67560.177198023244</v>
      </c>
      <c r="Z900" s="55">
        <v>66000</v>
      </c>
      <c r="AA900" s="54">
        <f t="shared" si="319"/>
        <v>66000</v>
      </c>
      <c r="AB900" s="54"/>
      <c r="AC900" s="54"/>
      <c r="AD900" s="54"/>
      <c r="AE900" s="54">
        <f t="shared" si="320"/>
        <v>66000</v>
      </c>
      <c r="AF900" s="54">
        <f t="shared" si="321"/>
        <v>1560.1771980232443</v>
      </c>
      <c r="AG900" s="49">
        <f t="shared" si="322"/>
        <v>289920.06</v>
      </c>
      <c r="AH900" s="49">
        <f t="shared" si="323"/>
        <v>289920.06</v>
      </c>
    </row>
    <row r="901" spans="1:34" s="56" customFormat="1">
      <c r="A901" s="145" t="s">
        <v>1007</v>
      </c>
      <c r="B901" s="145"/>
      <c r="C901" s="145"/>
      <c r="D901" s="156"/>
      <c r="E901" s="51">
        <v>1</v>
      </c>
      <c r="F901" s="51"/>
      <c r="G901" s="147">
        <v>0</v>
      </c>
      <c r="H901" s="147">
        <v>0</v>
      </c>
      <c r="I901" s="49">
        <v>7802</v>
      </c>
      <c r="J901" s="49">
        <f t="shared" si="312"/>
        <v>6530.2739999999994</v>
      </c>
      <c r="K901" s="49">
        <f t="shared" si="313"/>
        <v>6530.2739999999994</v>
      </c>
      <c r="L901" s="58"/>
      <c r="M901" s="141">
        <v>0</v>
      </c>
      <c r="N901" s="50">
        <f t="shared" si="314"/>
        <v>0</v>
      </c>
      <c r="O901" s="50">
        <f t="shared" si="315"/>
        <v>0</v>
      </c>
      <c r="P901" s="59"/>
      <c r="Q901" s="141">
        <v>0</v>
      </c>
      <c r="R901" s="50">
        <f t="shared" si="316"/>
        <v>0</v>
      </c>
      <c r="S901" s="51">
        <f t="shared" si="317"/>
        <v>0</v>
      </c>
      <c r="T901" s="103">
        <v>25</v>
      </c>
      <c r="U901" s="65" t="s">
        <v>81</v>
      </c>
      <c r="V901" s="53">
        <f>SUMIF('Avoided Costs 2014-2023'!$A:$A,'2014 Actuals'!U901&amp;ROUNDDOWN('2014 Actuals'!T901,0),'Avoided Costs 2014-2023'!$E:$E)*K901</f>
        <v>20742.002071943203</v>
      </c>
      <c r="W901" s="53">
        <f>SUMIF('Avoided Costs 2014-2023'!$A:$A,'2014 Actuals'!U901&amp;ROUNDDOWN('2014 Actuals'!T901,0),'Avoided Costs 2014-2023'!$K:$K)*O901</f>
        <v>0</v>
      </c>
      <c r="X901" s="53">
        <f>SUMIF('Avoided Costs 2014-2023'!$A:$A,'2014 Actuals'!U901&amp;ROUNDDOWN('2014 Actuals'!T901,0),'Avoided Costs 2014-2023'!$M:$M)*S901</f>
        <v>0</v>
      </c>
      <c r="Y901" s="53">
        <f t="shared" si="318"/>
        <v>20742.002071943203</v>
      </c>
      <c r="Z901" s="55">
        <v>27438</v>
      </c>
      <c r="AA901" s="54">
        <f t="shared" si="319"/>
        <v>27438</v>
      </c>
      <c r="AB901" s="54"/>
      <c r="AC901" s="54"/>
      <c r="AD901" s="54"/>
      <c r="AE901" s="54">
        <f t="shared" si="320"/>
        <v>27438</v>
      </c>
      <c r="AF901" s="54">
        <f t="shared" si="321"/>
        <v>-6695.9979280567968</v>
      </c>
      <c r="AG901" s="49">
        <f t="shared" si="322"/>
        <v>163256.84999999998</v>
      </c>
      <c r="AH901" s="49">
        <f t="shared" si="323"/>
        <v>163256.84999999998</v>
      </c>
    </row>
    <row r="902" spans="1:34" s="56" customFormat="1">
      <c r="A902" s="145" t="s">
        <v>1008</v>
      </c>
      <c r="B902" s="145"/>
      <c r="C902" s="145"/>
      <c r="D902" s="156"/>
      <c r="E902" s="51">
        <v>1</v>
      </c>
      <c r="F902" s="51"/>
      <c r="G902" s="147">
        <v>0</v>
      </c>
      <c r="H902" s="147">
        <v>0</v>
      </c>
      <c r="I902" s="49">
        <v>21922</v>
      </c>
      <c r="J902" s="49">
        <f t="shared" si="312"/>
        <v>18348.714</v>
      </c>
      <c r="K902" s="49">
        <f t="shared" si="313"/>
        <v>18348.714</v>
      </c>
      <c r="L902" s="58"/>
      <c r="M902" s="141">
        <v>0</v>
      </c>
      <c r="N902" s="50">
        <f t="shared" si="314"/>
        <v>0</v>
      </c>
      <c r="O902" s="50">
        <f t="shared" si="315"/>
        <v>0</v>
      </c>
      <c r="P902" s="59"/>
      <c r="Q902" s="141">
        <v>0</v>
      </c>
      <c r="R902" s="50">
        <f t="shared" si="316"/>
        <v>0</v>
      </c>
      <c r="S902" s="51">
        <f t="shared" si="317"/>
        <v>0</v>
      </c>
      <c r="T902" s="103">
        <v>23.830998999999998</v>
      </c>
      <c r="U902" s="65" t="s">
        <v>81</v>
      </c>
      <c r="V902" s="53">
        <f>SUMIF('Avoided Costs 2014-2023'!$A:$A,'2014 Actuals'!U902&amp;ROUNDDOWN('2014 Actuals'!T902,0),'Avoided Costs 2014-2023'!$E:$E)*K902</f>
        <v>55694.04712394705</v>
      </c>
      <c r="W902" s="53">
        <f>SUMIF('Avoided Costs 2014-2023'!$A:$A,'2014 Actuals'!U902&amp;ROUNDDOWN('2014 Actuals'!T902,0),'Avoided Costs 2014-2023'!$K:$K)*O902</f>
        <v>0</v>
      </c>
      <c r="X902" s="53">
        <f>SUMIF('Avoided Costs 2014-2023'!$A:$A,'2014 Actuals'!U902&amp;ROUNDDOWN('2014 Actuals'!T902,0),'Avoided Costs 2014-2023'!$M:$M)*S902</f>
        <v>0</v>
      </c>
      <c r="Y902" s="53">
        <f t="shared" si="318"/>
        <v>55694.04712394705</v>
      </c>
      <c r="Z902" s="55">
        <v>31800</v>
      </c>
      <c r="AA902" s="54">
        <f t="shared" si="319"/>
        <v>31800</v>
      </c>
      <c r="AB902" s="54"/>
      <c r="AC902" s="54"/>
      <c r="AD902" s="54"/>
      <c r="AE902" s="54">
        <f t="shared" ref="AE902:AE933" si="325">AA902+AC902</f>
        <v>31800</v>
      </c>
      <c r="AF902" s="54">
        <f t="shared" ref="AF902:AF933" si="326">Y902-AE902</f>
        <v>23894.04712394705</v>
      </c>
      <c r="AG902" s="49">
        <f t="shared" ref="AG902:AG933" si="327">K902*T902</f>
        <v>437268.18498528597</v>
      </c>
      <c r="AH902" s="49">
        <f t="shared" ref="AH902:AH933" si="328">(J902*T902)</f>
        <v>437268.18498528597</v>
      </c>
    </row>
    <row r="903" spans="1:34" s="56" customFormat="1">
      <c r="A903" s="145" t="s">
        <v>1009</v>
      </c>
      <c r="B903" s="145"/>
      <c r="C903" s="145"/>
      <c r="D903" s="156"/>
      <c r="E903" s="51">
        <v>1</v>
      </c>
      <c r="F903" s="51"/>
      <c r="G903" s="147">
        <v>0</v>
      </c>
      <c r="H903" s="147">
        <v>0</v>
      </c>
      <c r="I903" s="49">
        <v>24532</v>
      </c>
      <c r="J903" s="49">
        <f t="shared" si="312"/>
        <v>20533.284</v>
      </c>
      <c r="K903" s="49">
        <f t="shared" si="313"/>
        <v>20533.284</v>
      </c>
      <c r="L903" s="58"/>
      <c r="M903" s="141">
        <v>0</v>
      </c>
      <c r="N903" s="50">
        <f t="shared" si="314"/>
        <v>0</v>
      </c>
      <c r="O903" s="50">
        <f t="shared" si="315"/>
        <v>0</v>
      </c>
      <c r="P903" s="59"/>
      <c r="Q903" s="141">
        <v>0</v>
      </c>
      <c r="R903" s="50">
        <f t="shared" si="316"/>
        <v>0</v>
      </c>
      <c r="S903" s="51">
        <f t="shared" si="317"/>
        <v>0</v>
      </c>
      <c r="T903" s="103">
        <v>24.181999000000001</v>
      </c>
      <c r="U903" s="65" t="s">
        <v>81</v>
      </c>
      <c r="V903" s="53">
        <f>SUMIF('Avoided Costs 2014-2023'!$A:$A,'2014 Actuals'!U903&amp;ROUNDDOWN('2014 Actuals'!T903,0),'Avoided Costs 2014-2023'!$E:$E)*K903</f>
        <v>63806.839101999081</v>
      </c>
      <c r="W903" s="53">
        <f>SUMIF('Avoided Costs 2014-2023'!$A:$A,'2014 Actuals'!U903&amp;ROUNDDOWN('2014 Actuals'!T903,0),'Avoided Costs 2014-2023'!$K:$K)*O903</f>
        <v>0</v>
      </c>
      <c r="X903" s="53">
        <f>SUMIF('Avoided Costs 2014-2023'!$A:$A,'2014 Actuals'!U903&amp;ROUNDDOWN('2014 Actuals'!T903,0),'Avoided Costs 2014-2023'!$M:$M)*S903</f>
        <v>0</v>
      </c>
      <c r="Y903" s="53">
        <f t="shared" si="318"/>
        <v>63806.839101999081</v>
      </c>
      <c r="Z903" s="55">
        <v>31800</v>
      </c>
      <c r="AA903" s="54">
        <f t="shared" si="319"/>
        <v>31800</v>
      </c>
      <c r="AB903" s="54"/>
      <c r="AC903" s="54"/>
      <c r="AD903" s="54"/>
      <c r="AE903" s="54">
        <f t="shared" si="325"/>
        <v>31800</v>
      </c>
      <c r="AF903" s="54">
        <f t="shared" si="326"/>
        <v>32006.839101999081</v>
      </c>
      <c r="AG903" s="49">
        <f t="shared" si="327"/>
        <v>496535.85315471602</v>
      </c>
      <c r="AH903" s="49">
        <f t="shared" si="328"/>
        <v>496535.85315471602</v>
      </c>
    </row>
    <row r="904" spans="1:34" s="56" customFormat="1">
      <c r="A904" s="145" t="s">
        <v>1010</v>
      </c>
      <c r="B904" s="145"/>
      <c r="C904" s="145"/>
      <c r="D904" s="156"/>
      <c r="E904" s="51">
        <v>1</v>
      </c>
      <c r="F904" s="51"/>
      <c r="G904" s="147">
        <v>0</v>
      </c>
      <c r="H904" s="147">
        <v>0</v>
      </c>
      <c r="I904" s="49">
        <v>38710</v>
      </c>
      <c r="J904" s="49">
        <f t="shared" si="312"/>
        <v>32400.27</v>
      </c>
      <c r="K904" s="49">
        <f t="shared" si="313"/>
        <v>32400.27</v>
      </c>
      <c r="L904" s="58"/>
      <c r="M904" s="141">
        <v>0</v>
      </c>
      <c r="N904" s="50">
        <f t="shared" si="314"/>
        <v>0</v>
      </c>
      <c r="O904" s="50">
        <f t="shared" si="315"/>
        <v>0</v>
      </c>
      <c r="P904" s="59"/>
      <c r="Q904" s="141">
        <v>0</v>
      </c>
      <c r="R904" s="50">
        <f t="shared" si="316"/>
        <v>0</v>
      </c>
      <c r="S904" s="51">
        <f t="shared" si="317"/>
        <v>0</v>
      </c>
      <c r="T904" s="103">
        <v>19.372</v>
      </c>
      <c r="U904" s="65" t="s">
        <v>81</v>
      </c>
      <c r="V904" s="53">
        <f>SUMIF('Avoided Costs 2014-2023'!$A:$A,'2014 Actuals'!U904&amp;ROUNDDOWN('2014 Actuals'!T904,0),'Avoided Costs 2014-2023'!$E:$E)*K904</f>
        <v>87787.356134779489</v>
      </c>
      <c r="W904" s="53">
        <f>SUMIF('Avoided Costs 2014-2023'!$A:$A,'2014 Actuals'!U904&amp;ROUNDDOWN('2014 Actuals'!T904,0),'Avoided Costs 2014-2023'!$K:$K)*O904</f>
        <v>0</v>
      </c>
      <c r="X904" s="53">
        <f>SUMIF('Avoided Costs 2014-2023'!$A:$A,'2014 Actuals'!U904&amp;ROUNDDOWN('2014 Actuals'!T904,0),'Avoided Costs 2014-2023'!$M:$M)*S904</f>
        <v>0</v>
      </c>
      <c r="Y904" s="53">
        <f t="shared" si="318"/>
        <v>87787.356134779489</v>
      </c>
      <c r="Z904" s="55">
        <v>63600</v>
      </c>
      <c r="AA904" s="54">
        <f t="shared" si="319"/>
        <v>63600</v>
      </c>
      <c r="AB904" s="54"/>
      <c r="AC904" s="54"/>
      <c r="AD904" s="54"/>
      <c r="AE904" s="54">
        <f t="shared" si="325"/>
        <v>63600</v>
      </c>
      <c r="AF904" s="54">
        <f t="shared" si="326"/>
        <v>24187.356134779489</v>
      </c>
      <c r="AG904" s="49">
        <f t="shared" si="327"/>
        <v>627658.03044</v>
      </c>
      <c r="AH904" s="49">
        <f t="shared" si="328"/>
        <v>627658.03044</v>
      </c>
    </row>
    <row r="905" spans="1:34" s="56" customFormat="1">
      <c r="A905" s="145" t="s">
        <v>1011</v>
      </c>
      <c r="B905" s="145"/>
      <c r="C905" s="145"/>
      <c r="D905" s="156"/>
      <c r="E905" s="51">
        <v>1</v>
      </c>
      <c r="F905" s="51"/>
      <c r="G905" s="147">
        <v>0</v>
      </c>
      <c r="H905" s="147">
        <v>0</v>
      </c>
      <c r="I905" s="49">
        <v>17585</v>
      </c>
      <c r="J905" s="49">
        <f t="shared" si="312"/>
        <v>14718.644999999999</v>
      </c>
      <c r="K905" s="49">
        <f t="shared" si="313"/>
        <v>14718.644999999999</v>
      </c>
      <c r="L905" s="58"/>
      <c r="M905" s="141">
        <v>0</v>
      </c>
      <c r="N905" s="50">
        <f t="shared" si="314"/>
        <v>0</v>
      </c>
      <c r="O905" s="50">
        <f t="shared" si="315"/>
        <v>0</v>
      </c>
      <c r="P905" s="59"/>
      <c r="Q905" s="141">
        <v>0</v>
      </c>
      <c r="R905" s="50">
        <f t="shared" si="316"/>
        <v>0</v>
      </c>
      <c r="S905" s="51">
        <f t="shared" si="317"/>
        <v>0</v>
      </c>
      <c r="T905" s="103">
        <v>19.731000000000002</v>
      </c>
      <c r="U905" s="65" t="s">
        <v>94</v>
      </c>
      <c r="V905" s="53">
        <f>SUMIF('Avoided Costs 2014-2023'!$A:$A,'2014 Actuals'!U905&amp;ROUNDDOWN('2014 Actuals'!T905,0),'Avoided Costs 2014-2023'!$E:$E)*K905</f>
        <v>37354.309685907385</v>
      </c>
      <c r="W905" s="53">
        <f>SUMIF('Avoided Costs 2014-2023'!$A:$A,'2014 Actuals'!U905&amp;ROUNDDOWN('2014 Actuals'!T905,0),'Avoided Costs 2014-2023'!$K:$K)*O905</f>
        <v>0</v>
      </c>
      <c r="X905" s="53">
        <f>SUMIF('Avoided Costs 2014-2023'!$A:$A,'2014 Actuals'!U905&amp;ROUNDDOWN('2014 Actuals'!T905,0),'Avoided Costs 2014-2023'!$M:$M)*S905</f>
        <v>0</v>
      </c>
      <c r="Y905" s="53">
        <f t="shared" si="318"/>
        <v>37354.309685907385</v>
      </c>
      <c r="Z905" s="55">
        <v>30801</v>
      </c>
      <c r="AA905" s="54">
        <f t="shared" si="319"/>
        <v>30801</v>
      </c>
      <c r="AB905" s="54"/>
      <c r="AC905" s="54"/>
      <c r="AD905" s="54"/>
      <c r="AE905" s="54">
        <f t="shared" si="325"/>
        <v>30801</v>
      </c>
      <c r="AF905" s="54">
        <f t="shared" si="326"/>
        <v>6553.3096859073848</v>
      </c>
      <c r="AG905" s="49">
        <f t="shared" si="327"/>
        <v>290413.58449500002</v>
      </c>
      <c r="AH905" s="49">
        <f t="shared" si="328"/>
        <v>290413.58449500002</v>
      </c>
    </row>
    <row r="906" spans="1:34" s="56" customFormat="1">
      <c r="A906" s="145" t="s">
        <v>1012</v>
      </c>
      <c r="B906" s="145"/>
      <c r="C906" s="145"/>
      <c r="D906" s="156"/>
      <c r="E906" s="51">
        <v>1</v>
      </c>
      <c r="F906" s="51"/>
      <c r="G906" s="147">
        <v>0</v>
      </c>
      <c r="H906" s="147">
        <v>0</v>
      </c>
      <c r="I906" s="49">
        <v>48904</v>
      </c>
      <c r="J906" s="49">
        <f t="shared" si="312"/>
        <v>40932.648000000001</v>
      </c>
      <c r="K906" s="49">
        <f t="shared" si="313"/>
        <v>40932.648000000001</v>
      </c>
      <c r="L906" s="58"/>
      <c r="M906" s="141">
        <v>0</v>
      </c>
      <c r="N906" s="50">
        <f t="shared" si="314"/>
        <v>0</v>
      </c>
      <c r="O906" s="50">
        <f t="shared" si="315"/>
        <v>0</v>
      </c>
      <c r="P906" s="59"/>
      <c r="Q906" s="141">
        <v>0</v>
      </c>
      <c r="R906" s="50">
        <f t="shared" si="316"/>
        <v>0</v>
      </c>
      <c r="S906" s="51">
        <f t="shared" si="317"/>
        <v>0</v>
      </c>
      <c r="T906" s="103">
        <v>15</v>
      </c>
      <c r="U906" s="65" t="s">
        <v>81</v>
      </c>
      <c r="V906" s="53">
        <f>SUMIF('Avoided Costs 2014-2023'!$A:$A,'2014 Actuals'!U906&amp;ROUNDDOWN('2014 Actuals'!T906,0),'Avoided Costs 2014-2023'!$E:$E)*K906</f>
        <v>94753.83727429439</v>
      </c>
      <c r="W906" s="53">
        <f>SUMIF('Avoided Costs 2014-2023'!$A:$A,'2014 Actuals'!U906&amp;ROUNDDOWN('2014 Actuals'!T906,0),'Avoided Costs 2014-2023'!$K:$K)*O906</f>
        <v>0</v>
      </c>
      <c r="X906" s="53">
        <f>SUMIF('Avoided Costs 2014-2023'!$A:$A,'2014 Actuals'!U906&amp;ROUNDDOWN('2014 Actuals'!T906,0),'Avoided Costs 2014-2023'!$M:$M)*S906</f>
        <v>0</v>
      </c>
      <c r="Y906" s="53">
        <f t="shared" si="318"/>
        <v>94753.83727429439</v>
      </c>
      <c r="Z906" s="55">
        <v>54013</v>
      </c>
      <c r="AA906" s="54">
        <f t="shared" si="319"/>
        <v>54013</v>
      </c>
      <c r="AB906" s="54"/>
      <c r="AC906" s="54"/>
      <c r="AD906" s="54"/>
      <c r="AE906" s="54">
        <f t="shared" si="325"/>
        <v>54013</v>
      </c>
      <c r="AF906" s="54">
        <f t="shared" si="326"/>
        <v>40740.83727429439</v>
      </c>
      <c r="AG906" s="49">
        <f t="shared" si="327"/>
        <v>613989.72</v>
      </c>
      <c r="AH906" s="49">
        <f t="shared" si="328"/>
        <v>613989.72</v>
      </c>
    </row>
    <row r="907" spans="1:34" s="56" customFormat="1">
      <c r="A907" s="145" t="s">
        <v>1013</v>
      </c>
      <c r="B907" s="145"/>
      <c r="C907" s="145"/>
      <c r="D907" s="156"/>
      <c r="E907" s="51">
        <v>0</v>
      </c>
      <c r="F907" s="51"/>
      <c r="G907" s="147">
        <v>0</v>
      </c>
      <c r="H907" s="147">
        <v>0</v>
      </c>
      <c r="I907" s="49">
        <v>8926</v>
      </c>
      <c r="J907" s="49">
        <f t="shared" si="312"/>
        <v>7471.0619999999999</v>
      </c>
      <c r="K907" s="49">
        <f t="shared" si="313"/>
        <v>7471.0619999999999</v>
      </c>
      <c r="L907" s="58"/>
      <c r="M907" s="141">
        <v>0</v>
      </c>
      <c r="N907" s="50">
        <f t="shared" si="314"/>
        <v>0</v>
      </c>
      <c r="O907" s="50">
        <f t="shared" si="315"/>
        <v>0</v>
      </c>
      <c r="P907" s="59"/>
      <c r="Q907" s="141">
        <v>0</v>
      </c>
      <c r="R907" s="50">
        <f t="shared" si="316"/>
        <v>0</v>
      </c>
      <c r="S907" s="51">
        <f t="shared" si="317"/>
        <v>0</v>
      </c>
      <c r="T907" s="64">
        <v>15</v>
      </c>
      <c r="U907" s="65" t="s">
        <v>81</v>
      </c>
      <c r="V907" s="53">
        <f>SUMIF('Avoided Costs 2014-2023'!$A:$A,'2014 Actuals'!U907&amp;ROUNDDOWN('2014 Actuals'!T907,0),'Avoided Costs 2014-2023'!$E:$E)*K907</f>
        <v>17294.551601307699</v>
      </c>
      <c r="W907" s="53">
        <f>SUMIF('Avoided Costs 2014-2023'!$A:$A,'2014 Actuals'!U907&amp;ROUNDDOWN('2014 Actuals'!T907,0),'Avoided Costs 2014-2023'!$K:$K)*O907</f>
        <v>0</v>
      </c>
      <c r="X907" s="53">
        <f>SUMIF('Avoided Costs 2014-2023'!$A:$A,'2014 Actuals'!U907&amp;ROUNDDOWN('2014 Actuals'!T907,0),'Avoided Costs 2014-2023'!$M:$M)*S907</f>
        <v>0</v>
      </c>
      <c r="Y907" s="53">
        <f t="shared" si="318"/>
        <v>17294.551601307699</v>
      </c>
      <c r="Z907" s="55">
        <v>5063</v>
      </c>
      <c r="AA907" s="54">
        <f t="shared" si="319"/>
        <v>5063</v>
      </c>
      <c r="AB907" s="54"/>
      <c r="AC907" s="54"/>
      <c r="AD907" s="54"/>
      <c r="AE907" s="54">
        <f t="shared" si="325"/>
        <v>5063</v>
      </c>
      <c r="AF907" s="54">
        <f t="shared" si="326"/>
        <v>12231.551601307699</v>
      </c>
      <c r="AG907" s="49">
        <f t="shared" si="327"/>
        <v>112065.93</v>
      </c>
      <c r="AH907" s="49">
        <f t="shared" si="328"/>
        <v>112065.93</v>
      </c>
    </row>
    <row r="908" spans="1:34" s="56" customFormat="1">
      <c r="A908" s="145" t="s">
        <v>1014</v>
      </c>
      <c r="B908" s="145"/>
      <c r="C908" s="145"/>
      <c r="D908" s="156"/>
      <c r="E908" s="51">
        <v>1</v>
      </c>
      <c r="F908" s="51"/>
      <c r="G908" s="147">
        <v>0</v>
      </c>
      <c r="H908" s="147">
        <v>0</v>
      </c>
      <c r="I908" s="49">
        <v>11885</v>
      </c>
      <c r="J908" s="49">
        <f t="shared" si="312"/>
        <v>9947.744999999999</v>
      </c>
      <c r="K908" s="49">
        <f t="shared" si="313"/>
        <v>9947.744999999999</v>
      </c>
      <c r="L908" s="58"/>
      <c r="M908" s="141">
        <v>0</v>
      </c>
      <c r="N908" s="50">
        <f t="shared" si="314"/>
        <v>0</v>
      </c>
      <c r="O908" s="50">
        <f t="shared" si="315"/>
        <v>0</v>
      </c>
      <c r="P908" s="59"/>
      <c r="Q908" s="141">
        <v>0</v>
      </c>
      <c r="R908" s="50">
        <f t="shared" si="316"/>
        <v>0</v>
      </c>
      <c r="S908" s="51">
        <f t="shared" si="317"/>
        <v>0</v>
      </c>
      <c r="T908" s="64">
        <v>25</v>
      </c>
      <c r="U908" s="65" t="s">
        <v>94</v>
      </c>
      <c r="V908" s="53">
        <f>SUMIF('Avoided Costs 2014-2023'!$A:$A,'2014 Actuals'!U908&amp;ROUNDDOWN('2014 Actuals'!T908,0),'Avoided Costs 2014-2023'!$E:$E)*K908</f>
        <v>29601.972681826242</v>
      </c>
      <c r="W908" s="53">
        <f>SUMIF('Avoided Costs 2014-2023'!$A:$A,'2014 Actuals'!U908&amp;ROUNDDOWN('2014 Actuals'!T908,0),'Avoided Costs 2014-2023'!$K:$K)*O908</f>
        <v>0</v>
      </c>
      <c r="X908" s="53">
        <f>SUMIF('Avoided Costs 2014-2023'!$A:$A,'2014 Actuals'!U908&amp;ROUNDDOWN('2014 Actuals'!T908,0),'Avoided Costs 2014-2023'!$M:$M)*S908</f>
        <v>0</v>
      </c>
      <c r="Y908" s="53">
        <f t="shared" si="318"/>
        <v>29601.972681826242</v>
      </c>
      <c r="Z908" s="55">
        <v>21988</v>
      </c>
      <c r="AA908" s="54">
        <f t="shared" si="319"/>
        <v>21988</v>
      </c>
      <c r="AB908" s="54"/>
      <c r="AC908" s="54"/>
      <c r="AD908" s="54"/>
      <c r="AE908" s="54">
        <f t="shared" si="325"/>
        <v>21988</v>
      </c>
      <c r="AF908" s="54">
        <f t="shared" si="326"/>
        <v>7613.9726818262425</v>
      </c>
      <c r="AG908" s="49">
        <f t="shared" si="327"/>
        <v>248693.62499999997</v>
      </c>
      <c r="AH908" s="49">
        <f t="shared" si="328"/>
        <v>248693.62499999997</v>
      </c>
    </row>
    <row r="909" spans="1:34" s="56" customFormat="1">
      <c r="A909" s="145" t="s">
        <v>1015</v>
      </c>
      <c r="B909" s="145"/>
      <c r="C909" s="145"/>
      <c r="D909" s="156"/>
      <c r="E909" s="51">
        <v>1</v>
      </c>
      <c r="F909" s="51"/>
      <c r="G909" s="147">
        <v>0</v>
      </c>
      <c r="H909" s="147">
        <v>0</v>
      </c>
      <c r="I909" s="49">
        <v>15550</v>
      </c>
      <c r="J909" s="49">
        <f t="shared" si="312"/>
        <v>13015.35</v>
      </c>
      <c r="K909" s="49">
        <f t="shared" si="313"/>
        <v>13015.35</v>
      </c>
      <c r="L909" s="58"/>
      <c r="M909" s="141">
        <v>0</v>
      </c>
      <c r="N909" s="50">
        <f t="shared" si="314"/>
        <v>0</v>
      </c>
      <c r="O909" s="50">
        <f t="shared" si="315"/>
        <v>0</v>
      </c>
      <c r="P909" s="59"/>
      <c r="Q909" s="141">
        <v>0</v>
      </c>
      <c r="R909" s="50">
        <f t="shared" si="316"/>
        <v>0</v>
      </c>
      <c r="S909" s="51">
        <f t="shared" si="317"/>
        <v>0</v>
      </c>
      <c r="T909" s="64">
        <v>15</v>
      </c>
      <c r="U909" s="65" t="s">
        <v>81</v>
      </c>
      <c r="V909" s="53">
        <f>SUMIF('Avoided Costs 2014-2023'!$A:$A,'2014 Actuals'!U909&amp;ROUNDDOWN('2014 Actuals'!T909,0),'Avoided Costs 2014-2023'!$E:$E)*K909</f>
        <v>30128.868182874157</v>
      </c>
      <c r="W909" s="53">
        <f>SUMIF('Avoided Costs 2014-2023'!$A:$A,'2014 Actuals'!U909&amp;ROUNDDOWN('2014 Actuals'!T909,0),'Avoided Costs 2014-2023'!$K:$K)*O909</f>
        <v>0</v>
      </c>
      <c r="X909" s="53">
        <f>SUMIF('Avoided Costs 2014-2023'!$A:$A,'2014 Actuals'!U909&amp;ROUNDDOWN('2014 Actuals'!T909,0),'Avoided Costs 2014-2023'!$M:$M)*S909</f>
        <v>0</v>
      </c>
      <c r="Y909" s="53">
        <f t="shared" si="318"/>
        <v>30128.868182874157</v>
      </c>
      <c r="Z909" s="55">
        <v>7585.1</v>
      </c>
      <c r="AA909" s="54">
        <f t="shared" si="319"/>
        <v>7585.1</v>
      </c>
      <c r="AB909" s="54"/>
      <c r="AC909" s="54"/>
      <c r="AD909" s="54"/>
      <c r="AE909" s="54">
        <f t="shared" si="325"/>
        <v>7585.1</v>
      </c>
      <c r="AF909" s="54">
        <f t="shared" si="326"/>
        <v>22543.768182874155</v>
      </c>
      <c r="AG909" s="49">
        <f t="shared" si="327"/>
        <v>195230.25</v>
      </c>
      <c r="AH909" s="49">
        <f t="shared" si="328"/>
        <v>195230.25</v>
      </c>
    </row>
    <row r="910" spans="1:34" s="56" customFormat="1">
      <c r="A910" s="145" t="s">
        <v>1016</v>
      </c>
      <c r="B910" s="145"/>
      <c r="C910" s="145"/>
      <c r="D910" s="156"/>
      <c r="E910" s="51">
        <v>1</v>
      </c>
      <c r="F910" s="51"/>
      <c r="G910" s="147">
        <v>0</v>
      </c>
      <c r="H910" s="147">
        <v>0</v>
      </c>
      <c r="I910" s="49">
        <v>6528</v>
      </c>
      <c r="J910" s="49">
        <f t="shared" si="312"/>
        <v>5463.9359999999997</v>
      </c>
      <c r="K910" s="49">
        <f t="shared" si="313"/>
        <v>5463.9359999999997</v>
      </c>
      <c r="L910" s="58"/>
      <c r="M910" s="141">
        <v>0</v>
      </c>
      <c r="N910" s="50">
        <f t="shared" si="314"/>
        <v>0</v>
      </c>
      <c r="O910" s="50">
        <f t="shared" si="315"/>
        <v>0</v>
      </c>
      <c r="P910" s="59"/>
      <c r="Q910" s="141">
        <v>0</v>
      </c>
      <c r="R910" s="50">
        <f t="shared" si="316"/>
        <v>0</v>
      </c>
      <c r="S910" s="51">
        <f t="shared" si="317"/>
        <v>0</v>
      </c>
      <c r="T910" s="64">
        <v>15</v>
      </c>
      <c r="U910" s="65" t="s">
        <v>81</v>
      </c>
      <c r="V910" s="53">
        <f>SUMIF('Avoided Costs 2014-2023'!$A:$A,'2014 Actuals'!U910&amp;ROUNDDOWN('2014 Actuals'!T910,0),'Avoided Costs 2014-2023'!$E:$E)*K910</f>
        <v>12648.311993427811</v>
      </c>
      <c r="W910" s="53">
        <f>SUMIF('Avoided Costs 2014-2023'!$A:$A,'2014 Actuals'!U910&amp;ROUNDDOWN('2014 Actuals'!T910,0),'Avoided Costs 2014-2023'!$K:$K)*O910</f>
        <v>0</v>
      </c>
      <c r="X910" s="53">
        <f>SUMIF('Avoided Costs 2014-2023'!$A:$A,'2014 Actuals'!U910&amp;ROUNDDOWN('2014 Actuals'!T910,0),'Avoided Costs 2014-2023'!$M:$M)*S910</f>
        <v>0</v>
      </c>
      <c r="Y910" s="53">
        <f t="shared" si="318"/>
        <v>12648.311993427811</v>
      </c>
      <c r="Z910" s="55">
        <v>13500</v>
      </c>
      <c r="AA910" s="54">
        <f t="shared" si="319"/>
        <v>13500</v>
      </c>
      <c r="AB910" s="54"/>
      <c r="AC910" s="54"/>
      <c r="AD910" s="54"/>
      <c r="AE910" s="54">
        <f t="shared" si="325"/>
        <v>13500</v>
      </c>
      <c r="AF910" s="54">
        <f t="shared" si="326"/>
        <v>-851.6880065721889</v>
      </c>
      <c r="AG910" s="49">
        <f t="shared" si="327"/>
        <v>81959.039999999994</v>
      </c>
      <c r="AH910" s="49">
        <f t="shared" si="328"/>
        <v>81959.039999999994</v>
      </c>
    </row>
    <row r="911" spans="1:34" s="56" customFormat="1">
      <c r="A911" s="145" t="s">
        <v>1017</v>
      </c>
      <c r="B911" s="145"/>
      <c r="C911" s="145"/>
      <c r="D911" s="156"/>
      <c r="E911" s="51">
        <v>1</v>
      </c>
      <c r="F911" s="51"/>
      <c r="G911" s="147">
        <v>0</v>
      </c>
      <c r="H911" s="147">
        <v>0</v>
      </c>
      <c r="I911" s="49">
        <v>25227</v>
      </c>
      <c r="J911" s="49">
        <f t="shared" si="312"/>
        <v>21114.999</v>
      </c>
      <c r="K911" s="49">
        <f t="shared" si="313"/>
        <v>21114.999</v>
      </c>
      <c r="L911" s="58"/>
      <c r="M911" s="141">
        <v>0</v>
      </c>
      <c r="N911" s="50">
        <f t="shared" si="314"/>
        <v>0</v>
      </c>
      <c r="O911" s="50">
        <f t="shared" si="315"/>
        <v>0</v>
      </c>
      <c r="P911" s="59"/>
      <c r="Q911" s="141">
        <v>0</v>
      </c>
      <c r="R911" s="50">
        <f t="shared" si="316"/>
        <v>0</v>
      </c>
      <c r="S911" s="51">
        <f t="shared" si="317"/>
        <v>0</v>
      </c>
      <c r="T911" s="64">
        <v>15</v>
      </c>
      <c r="U911" s="65" t="s">
        <v>81</v>
      </c>
      <c r="V911" s="53">
        <f>SUMIF('Avoided Costs 2014-2023'!$A:$A,'2014 Actuals'!U911&amp;ROUNDDOWN('2014 Actuals'!T911,0),'Avoided Costs 2014-2023'!$E:$E)*K911</f>
        <v>48878.518176808124</v>
      </c>
      <c r="W911" s="53">
        <f>SUMIF('Avoided Costs 2014-2023'!$A:$A,'2014 Actuals'!U911&amp;ROUNDDOWN('2014 Actuals'!T911,0),'Avoided Costs 2014-2023'!$K:$K)*O911</f>
        <v>0</v>
      </c>
      <c r="X911" s="53">
        <f>SUMIF('Avoided Costs 2014-2023'!$A:$A,'2014 Actuals'!U911&amp;ROUNDDOWN('2014 Actuals'!T911,0),'Avoided Costs 2014-2023'!$M:$M)*S911</f>
        <v>0</v>
      </c>
      <c r="Y911" s="53">
        <f t="shared" si="318"/>
        <v>48878.518176808124</v>
      </c>
      <c r="Z911" s="55">
        <v>21588</v>
      </c>
      <c r="AA911" s="54">
        <f t="shared" si="319"/>
        <v>21588</v>
      </c>
      <c r="AB911" s="54"/>
      <c r="AC911" s="54"/>
      <c r="AD911" s="54"/>
      <c r="AE911" s="54">
        <f t="shared" si="325"/>
        <v>21588</v>
      </c>
      <c r="AF911" s="54">
        <f t="shared" si="326"/>
        <v>27290.518176808124</v>
      </c>
      <c r="AG911" s="49">
        <f t="shared" si="327"/>
        <v>316724.98499999999</v>
      </c>
      <c r="AH911" s="49">
        <f t="shared" si="328"/>
        <v>316724.98499999999</v>
      </c>
    </row>
    <row r="912" spans="1:34" s="56" customFormat="1">
      <c r="A912" s="145" t="s">
        <v>1018</v>
      </c>
      <c r="B912" s="145"/>
      <c r="C912" s="145"/>
      <c r="D912" s="156"/>
      <c r="E912" s="51">
        <v>1</v>
      </c>
      <c r="F912" s="51"/>
      <c r="G912" s="147">
        <v>0</v>
      </c>
      <c r="H912" s="147">
        <v>0</v>
      </c>
      <c r="I912" s="49">
        <v>20564</v>
      </c>
      <c r="J912" s="49">
        <f t="shared" si="312"/>
        <v>17212.067999999999</v>
      </c>
      <c r="K912" s="49">
        <f t="shared" si="313"/>
        <v>17212.067999999999</v>
      </c>
      <c r="L912" s="58"/>
      <c r="M912" s="141">
        <v>33345</v>
      </c>
      <c r="N912" s="50">
        <f t="shared" si="314"/>
        <v>33345</v>
      </c>
      <c r="O912" s="50">
        <f t="shared" si="315"/>
        <v>33345</v>
      </c>
      <c r="P912" s="59"/>
      <c r="Q912" s="141">
        <v>0</v>
      </c>
      <c r="R912" s="50">
        <f t="shared" si="316"/>
        <v>0</v>
      </c>
      <c r="S912" s="51">
        <f t="shared" si="317"/>
        <v>0</v>
      </c>
      <c r="T912" s="64">
        <v>15</v>
      </c>
      <c r="U912" s="65" t="s">
        <v>81</v>
      </c>
      <c r="V912" s="53">
        <f>SUMIF('Avoided Costs 2014-2023'!$A:$A,'2014 Actuals'!U912&amp;ROUNDDOWN('2014 Actuals'!T912,0),'Avoided Costs 2014-2023'!$E:$E)*K912</f>
        <v>39843.732817532094</v>
      </c>
      <c r="W912" s="53">
        <f>SUMIF('Avoided Costs 2014-2023'!$A:$A,'2014 Actuals'!U912&amp;ROUNDDOWN('2014 Actuals'!T912,0),'Avoided Costs 2014-2023'!$K:$K)*O912</f>
        <v>39429.807695069496</v>
      </c>
      <c r="X912" s="53">
        <f>SUMIF('Avoided Costs 2014-2023'!$A:$A,'2014 Actuals'!U912&amp;ROUNDDOWN('2014 Actuals'!T912,0),'Avoided Costs 2014-2023'!$M:$M)*S912</f>
        <v>0</v>
      </c>
      <c r="Y912" s="53">
        <f t="shared" si="318"/>
        <v>79273.540512601583</v>
      </c>
      <c r="Z912" s="55">
        <v>20000</v>
      </c>
      <c r="AA912" s="54">
        <f t="shared" si="319"/>
        <v>20000</v>
      </c>
      <c r="AB912" s="54"/>
      <c r="AC912" s="54"/>
      <c r="AD912" s="54"/>
      <c r="AE912" s="54">
        <f t="shared" si="325"/>
        <v>20000</v>
      </c>
      <c r="AF912" s="54">
        <f t="shared" si="326"/>
        <v>59273.540512601583</v>
      </c>
      <c r="AG912" s="49">
        <f t="shared" si="327"/>
        <v>258181.02</v>
      </c>
      <c r="AH912" s="49">
        <f t="shared" si="328"/>
        <v>258181.02</v>
      </c>
    </row>
    <row r="913" spans="1:34" s="56" customFormat="1">
      <c r="A913" s="145" t="s">
        <v>1019</v>
      </c>
      <c r="B913" s="145"/>
      <c r="C913" s="145"/>
      <c r="D913" s="156"/>
      <c r="E913" s="51">
        <v>1</v>
      </c>
      <c r="F913" s="51"/>
      <c r="G913" s="147">
        <v>0</v>
      </c>
      <c r="H913" s="147">
        <v>0</v>
      </c>
      <c r="I913" s="49">
        <v>10907</v>
      </c>
      <c r="J913" s="49">
        <f t="shared" si="312"/>
        <v>9129.1589999999997</v>
      </c>
      <c r="K913" s="49">
        <f t="shared" si="313"/>
        <v>9129.1589999999997</v>
      </c>
      <c r="L913" s="58"/>
      <c r="M913" s="141">
        <v>0</v>
      </c>
      <c r="N913" s="50">
        <f t="shared" si="314"/>
        <v>0</v>
      </c>
      <c r="O913" s="50">
        <f t="shared" si="315"/>
        <v>0</v>
      </c>
      <c r="P913" s="59"/>
      <c r="Q913" s="141">
        <v>0</v>
      </c>
      <c r="R913" s="50">
        <f t="shared" si="316"/>
        <v>0</v>
      </c>
      <c r="S913" s="51">
        <f t="shared" si="317"/>
        <v>0</v>
      </c>
      <c r="T913" s="64">
        <v>15</v>
      </c>
      <c r="U913" s="65" t="s">
        <v>81</v>
      </c>
      <c r="V913" s="53">
        <f>SUMIF('Avoided Costs 2014-2023'!$A:$A,'2014 Actuals'!U913&amp;ROUNDDOWN('2014 Actuals'!T913,0),'Avoided Costs 2014-2023'!$E:$E)*K913</f>
        <v>21132.833779460347</v>
      </c>
      <c r="W913" s="53">
        <f>SUMIF('Avoided Costs 2014-2023'!$A:$A,'2014 Actuals'!U913&amp;ROUNDDOWN('2014 Actuals'!T913,0),'Avoided Costs 2014-2023'!$K:$K)*O913</f>
        <v>0</v>
      </c>
      <c r="X913" s="53">
        <f>SUMIF('Avoided Costs 2014-2023'!$A:$A,'2014 Actuals'!U913&amp;ROUNDDOWN('2014 Actuals'!T913,0),'Avoided Costs 2014-2023'!$M:$M)*S913</f>
        <v>0</v>
      </c>
      <c r="Y913" s="53">
        <f t="shared" si="318"/>
        <v>21132.833779460347</v>
      </c>
      <c r="Z913" s="55">
        <v>43200</v>
      </c>
      <c r="AA913" s="54">
        <f t="shared" si="319"/>
        <v>43200</v>
      </c>
      <c r="AB913" s="54"/>
      <c r="AC913" s="54"/>
      <c r="AD913" s="54"/>
      <c r="AE913" s="54">
        <f t="shared" si="325"/>
        <v>43200</v>
      </c>
      <c r="AF913" s="54">
        <f t="shared" si="326"/>
        <v>-22067.166220539653</v>
      </c>
      <c r="AG913" s="49">
        <f t="shared" si="327"/>
        <v>136937.38500000001</v>
      </c>
      <c r="AH913" s="49">
        <f t="shared" si="328"/>
        <v>136937.38500000001</v>
      </c>
    </row>
    <row r="914" spans="1:34" s="56" customFormat="1">
      <c r="A914" s="145" t="s">
        <v>1020</v>
      </c>
      <c r="B914" s="145"/>
      <c r="C914" s="145"/>
      <c r="D914" s="156"/>
      <c r="E914" s="51">
        <v>0</v>
      </c>
      <c r="F914" s="51"/>
      <c r="G914" s="147">
        <v>0</v>
      </c>
      <c r="H914" s="147">
        <v>0</v>
      </c>
      <c r="I914" s="49">
        <v>10896</v>
      </c>
      <c r="J914" s="49">
        <f t="shared" si="312"/>
        <v>9119.9519999999993</v>
      </c>
      <c r="K914" s="49">
        <f t="shared" si="313"/>
        <v>9119.9519999999993</v>
      </c>
      <c r="L914" s="58"/>
      <c r="M914" s="141">
        <v>0</v>
      </c>
      <c r="N914" s="50">
        <f t="shared" si="314"/>
        <v>0</v>
      </c>
      <c r="O914" s="50">
        <f t="shared" si="315"/>
        <v>0</v>
      </c>
      <c r="P914" s="59"/>
      <c r="Q914" s="141">
        <v>0</v>
      </c>
      <c r="R914" s="50">
        <f t="shared" si="316"/>
        <v>0</v>
      </c>
      <c r="S914" s="51">
        <f t="shared" si="317"/>
        <v>0</v>
      </c>
      <c r="T914" s="64">
        <v>25</v>
      </c>
      <c r="U914" s="65" t="s">
        <v>94</v>
      </c>
      <c r="V914" s="53">
        <f>SUMIF('Avoided Costs 2014-2023'!$A:$A,'2014 Actuals'!U914&amp;ROUNDDOWN('2014 Actuals'!T914,0),'Avoided Costs 2014-2023'!$E:$E)*K914</f>
        <v>27138.670117053323</v>
      </c>
      <c r="W914" s="53">
        <f>SUMIF('Avoided Costs 2014-2023'!$A:$A,'2014 Actuals'!U914&amp;ROUNDDOWN('2014 Actuals'!T914,0),'Avoided Costs 2014-2023'!$K:$K)*O914</f>
        <v>0</v>
      </c>
      <c r="X914" s="53">
        <f>SUMIF('Avoided Costs 2014-2023'!$A:$A,'2014 Actuals'!U914&amp;ROUNDDOWN('2014 Actuals'!T914,0),'Avoided Costs 2014-2023'!$M:$M)*S914</f>
        <v>0</v>
      </c>
      <c r="Y914" s="53">
        <f t="shared" si="318"/>
        <v>27138.670117053323</v>
      </c>
      <c r="Z914" s="55">
        <v>36567</v>
      </c>
      <c r="AA914" s="54">
        <f t="shared" si="319"/>
        <v>36567</v>
      </c>
      <c r="AB914" s="54"/>
      <c r="AC914" s="54"/>
      <c r="AD914" s="54"/>
      <c r="AE914" s="54">
        <f t="shared" si="325"/>
        <v>36567</v>
      </c>
      <c r="AF914" s="54">
        <f t="shared" si="326"/>
        <v>-9428.3298829466767</v>
      </c>
      <c r="AG914" s="49">
        <f t="shared" si="327"/>
        <v>227998.8</v>
      </c>
      <c r="AH914" s="49">
        <f t="shared" si="328"/>
        <v>227998.8</v>
      </c>
    </row>
    <row r="915" spans="1:34" s="56" customFormat="1">
      <c r="A915" s="145" t="s">
        <v>1021</v>
      </c>
      <c r="B915" s="145"/>
      <c r="C915" s="145"/>
      <c r="D915" s="156"/>
      <c r="E915" s="51">
        <v>1</v>
      </c>
      <c r="F915" s="51"/>
      <c r="G915" s="147">
        <v>0</v>
      </c>
      <c r="H915" s="147">
        <v>0</v>
      </c>
      <c r="I915" s="49">
        <v>18274</v>
      </c>
      <c r="J915" s="49">
        <f t="shared" si="312"/>
        <v>15295.338</v>
      </c>
      <c r="K915" s="49">
        <f t="shared" si="313"/>
        <v>15295.338</v>
      </c>
      <c r="L915" s="58"/>
      <c r="M915" s="141">
        <v>0</v>
      </c>
      <c r="N915" s="50">
        <f t="shared" si="314"/>
        <v>0</v>
      </c>
      <c r="O915" s="50">
        <f t="shared" si="315"/>
        <v>0</v>
      </c>
      <c r="P915" s="59"/>
      <c r="Q915" s="141">
        <v>0</v>
      </c>
      <c r="R915" s="50">
        <f t="shared" si="316"/>
        <v>0</v>
      </c>
      <c r="S915" s="51">
        <f t="shared" si="317"/>
        <v>0</v>
      </c>
      <c r="T915" s="64">
        <v>25</v>
      </c>
      <c r="U915" s="65" t="s">
        <v>81</v>
      </c>
      <c r="V915" s="53">
        <f>SUMIF('Avoided Costs 2014-2023'!$A:$A,'2014 Actuals'!U915&amp;ROUNDDOWN('2014 Actuals'!T915,0),'Avoided Costs 2014-2023'!$E:$E)*K915</f>
        <v>48582.330923185102</v>
      </c>
      <c r="W915" s="53">
        <f>SUMIF('Avoided Costs 2014-2023'!$A:$A,'2014 Actuals'!U915&amp;ROUNDDOWN('2014 Actuals'!T915,0),'Avoided Costs 2014-2023'!$K:$K)*O915</f>
        <v>0</v>
      </c>
      <c r="X915" s="53">
        <f>SUMIF('Avoided Costs 2014-2023'!$A:$A,'2014 Actuals'!U915&amp;ROUNDDOWN('2014 Actuals'!T915,0),'Avoided Costs 2014-2023'!$M:$M)*S915</f>
        <v>0</v>
      </c>
      <c r="Y915" s="53">
        <f t="shared" si="318"/>
        <v>48582.330923185102</v>
      </c>
      <c r="Z915" s="55">
        <v>44173</v>
      </c>
      <c r="AA915" s="54">
        <f t="shared" si="319"/>
        <v>44173</v>
      </c>
      <c r="AB915" s="54"/>
      <c r="AC915" s="54"/>
      <c r="AD915" s="54"/>
      <c r="AE915" s="54">
        <f t="shared" si="325"/>
        <v>44173</v>
      </c>
      <c r="AF915" s="54">
        <f t="shared" si="326"/>
        <v>4409.3309231851017</v>
      </c>
      <c r="AG915" s="49">
        <f t="shared" si="327"/>
        <v>382383.45</v>
      </c>
      <c r="AH915" s="49">
        <f t="shared" si="328"/>
        <v>382383.45</v>
      </c>
    </row>
    <row r="916" spans="1:34" s="56" customFormat="1">
      <c r="A916" s="145" t="s">
        <v>1022</v>
      </c>
      <c r="B916" s="145"/>
      <c r="C916" s="145"/>
      <c r="D916" s="156"/>
      <c r="E916" s="51">
        <v>1</v>
      </c>
      <c r="F916" s="51"/>
      <c r="G916" s="147">
        <v>0</v>
      </c>
      <c r="H916" s="147">
        <v>0</v>
      </c>
      <c r="I916" s="49">
        <v>9340</v>
      </c>
      <c r="J916" s="49">
        <f t="shared" si="312"/>
        <v>7817.58</v>
      </c>
      <c r="K916" s="49">
        <f t="shared" si="313"/>
        <v>7817.58</v>
      </c>
      <c r="L916" s="58"/>
      <c r="M916" s="141">
        <v>0</v>
      </c>
      <c r="N916" s="50">
        <f t="shared" si="314"/>
        <v>0</v>
      </c>
      <c r="O916" s="50">
        <f t="shared" si="315"/>
        <v>0</v>
      </c>
      <c r="P916" s="59"/>
      <c r="Q916" s="141">
        <v>0</v>
      </c>
      <c r="R916" s="50">
        <f t="shared" si="316"/>
        <v>0</v>
      </c>
      <c r="S916" s="51">
        <f t="shared" si="317"/>
        <v>0</v>
      </c>
      <c r="T916" s="64">
        <v>25</v>
      </c>
      <c r="U916" s="65" t="s">
        <v>81</v>
      </c>
      <c r="V916" s="53">
        <f>SUMIF('Avoided Costs 2014-2023'!$A:$A,'2014 Actuals'!U916&amp;ROUNDDOWN('2014 Actuals'!T916,0),'Avoided Costs 2014-2023'!$E:$E)*K916</f>
        <v>24830.850980767693</v>
      </c>
      <c r="W916" s="53">
        <f>SUMIF('Avoided Costs 2014-2023'!$A:$A,'2014 Actuals'!U916&amp;ROUNDDOWN('2014 Actuals'!T916,0),'Avoided Costs 2014-2023'!$K:$K)*O916</f>
        <v>0</v>
      </c>
      <c r="X916" s="53">
        <f>SUMIF('Avoided Costs 2014-2023'!$A:$A,'2014 Actuals'!U916&amp;ROUNDDOWN('2014 Actuals'!T916,0),'Avoided Costs 2014-2023'!$M:$M)*S916</f>
        <v>0</v>
      </c>
      <c r="Y916" s="53">
        <f t="shared" si="318"/>
        <v>24830.850980767693</v>
      </c>
      <c r="Z916" s="55">
        <v>6144</v>
      </c>
      <c r="AA916" s="54">
        <f t="shared" si="319"/>
        <v>6144</v>
      </c>
      <c r="AB916" s="54"/>
      <c r="AC916" s="54"/>
      <c r="AD916" s="54"/>
      <c r="AE916" s="54">
        <f t="shared" si="325"/>
        <v>6144</v>
      </c>
      <c r="AF916" s="54">
        <f t="shared" si="326"/>
        <v>18686.850980767693</v>
      </c>
      <c r="AG916" s="49">
        <f t="shared" si="327"/>
        <v>195439.5</v>
      </c>
      <c r="AH916" s="49">
        <f t="shared" si="328"/>
        <v>195439.5</v>
      </c>
    </row>
    <row r="917" spans="1:34" s="56" customFormat="1">
      <c r="A917" s="145" t="s">
        <v>1023</v>
      </c>
      <c r="B917" s="145"/>
      <c r="C917" s="145"/>
      <c r="D917" s="156"/>
      <c r="E917" s="51">
        <v>1</v>
      </c>
      <c r="F917" s="51"/>
      <c r="G917" s="147">
        <v>0</v>
      </c>
      <c r="H917" s="147">
        <v>0</v>
      </c>
      <c r="I917" s="49">
        <v>40886</v>
      </c>
      <c r="J917" s="49">
        <f t="shared" si="312"/>
        <v>34221.582000000002</v>
      </c>
      <c r="K917" s="49">
        <f t="shared" si="313"/>
        <v>34221.582000000002</v>
      </c>
      <c r="L917" s="58"/>
      <c r="M917" s="141">
        <v>0</v>
      </c>
      <c r="N917" s="50">
        <f t="shared" si="314"/>
        <v>0</v>
      </c>
      <c r="O917" s="50">
        <f t="shared" si="315"/>
        <v>0</v>
      </c>
      <c r="P917" s="59"/>
      <c r="Q917" s="141">
        <v>0</v>
      </c>
      <c r="R917" s="50">
        <f t="shared" si="316"/>
        <v>0</v>
      </c>
      <c r="S917" s="51">
        <f t="shared" si="317"/>
        <v>0</v>
      </c>
      <c r="T917" s="64">
        <v>15</v>
      </c>
      <c r="U917" s="65" t="s">
        <v>81</v>
      </c>
      <c r="V917" s="53">
        <f>SUMIF('Avoided Costs 2014-2023'!$A:$A,'2014 Actuals'!U917&amp;ROUNDDOWN('2014 Actuals'!T917,0),'Avoided Costs 2014-2023'!$E:$E)*K917</f>
        <v>79218.579069131374</v>
      </c>
      <c r="W917" s="53">
        <f>SUMIF('Avoided Costs 2014-2023'!$A:$A,'2014 Actuals'!U917&amp;ROUNDDOWN('2014 Actuals'!T917,0),'Avoided Costs 2014-2023'!$K:$K)*O917</f>
        <v>0</v>
      </c>
      <c r="X917" s="53">
        <f>SUMIF('Avoided Costs 2014-2023'!$A:$A,'2014 Actuals'!U917&amp;ROUNDDOWN('2014 Actuals'!T917,0),'Avoided Costs 2014-2023'!$M:$M)*S917</f>
        <v>0</v>
      </c>
      <c r="Y917" s="53">
        <f t="shared" si="318"/>
        <v>79218.579069131374</v>
      </c>
      <c r="Z917" s="55">
        <v>37654</v>
      </c>
      <c r="AA917" s="54">
        <f t="shared" si="319"/>
        <v>37654</v>
      </c>
      <c r="AB917" s="54"/>
      <c r="AC917" s="54"/>
      <c r="AD917" s="54"/>
      <c r="AE917" s="54">
        <f t="shared" si="325"/>
        <v>37654</v>
      </c>
      <c r="AF917" s="54">
        <f t="shared" si="326"/>
        <v>41564.579069131374</v>
      </c>
      <c r="AG917" s="49">
        <f t="shared" si="327"/>
        <v>513323.73000000004</v>
      </c>
      <c r="AH917" s="49">
        <f t="shared" si="328"/>
        <v>513323.73000000004</v>
      </c>
    </row>
    <row r="918" spans="1:34" s="56" customFormat="1">
      <c r="A918" s="145" t="s">
        <v>1024</v>
      </c>
      <c r="B918" s="145"/>
      <c r="C918" s="145"/>
      <c r="D918" s="156"/>
      <c r="E918" s="51">
        <v>1</v>
      </c>
      <c r="F918" s="51"/>
      <c r="G918" s="147">
        <v>0</v>
      </c>
      <c r="H918" s="147">
        <v>0</v>
      </c>
      <c r="I918" s="49">
        <v>7613</v>
      </c>
      <c r="J918" s="49">
        <f t="shared" si="312"/>
        <v>6372.0810000000001</v>
      </c>
      <c r="K918" s="49">
        <f t="shared" si="313"/>
        <v>6372.0810000000001</v>
      </c>
      <c r="L918" s="58"/>
      <c r="M918" s="141">
        <v>7296</v>
      </c>
      <c r="N918" s="50">
        <f t="shared" si="314"/>
        <v>7296</v>
      </c>
      <c r="O918" s="50">
        <f t="shared" si="315"/>
        <v>7296</v>
      </c>
      <c r="P918" s="59"/>
      <c r="Q918" s="141">
        <v>0</v>
      </c>
      <c r="R918" s="50">
        <f t="shared" si="316"/>
        <v>0</v>
      </c>
      <c r="S918" s="51">
        <f t="shared" si="317"/>
        <v>0</v>
      </c>
      <c r="T918" s="64">
        <v>15</v>
      </c>
      <c r="U918" s="65" t="s">
        <v>81</v>
      </c>
      <c r="V918" s="53">
        <f>SUMIF('Avoided Costs 2014-2023'!$A:$A,'2014 Actuals'!U918&amp;ROUNDDOWN('2014 Actuals'!T918,0),'Avoided Costs 2014-2023'!$E:$E)*K918</f>
        <v>14750.551348953115</v>
      </c>
      <c r="W918" s="53">
        <f>SUMIF('Avoided Costs 2014-2023'!$A:$A,'2014 Actuals'!U918&amp;ROUNDDOWN('2014 Actuals'!T918,0),'Avoided Costs 2014-2023'!$K:$K)*O918</f>
        <v>8627.3767264425551</v>
      </c>
      <c r="X918" s="53">
        <f>SUMIF('Avoided Costs 2014-2023'!$A:$A,'2014 Actuals'!U918&amp;ROUNDDOWN('2014 Actuals'!T918,0),'Avoided Costs 2014-2023'!$M:$M)*S918</f>
        <v>0</v>
      </c>
      <c r="Y918" s="53">
        <f t="shared" si="318"/>
        <v>23377.92807539567</v>
      </c>
      <c r="Z918" s="55">
        <v>27600</v>
      </c>
      <c r="AA918" s="54">
        <f t="shared" si="319"/>
        <v>27600</v>
      </c>
      <c r="AB918" s="54"/>
      <c r="AC918" s="54"/>
      <c r="AD918" s="54"/>
      <c r="AE918" s="54">
        <f t="shared" si="325"/>
        <v>27600</v>
      </c>
      <c r="AF918" s="54">
        <f t="shared" si="326"/>
        <v>-4222.07192460433</v>
      </c>
      <c r="AG918" s="49">
        <f t="shared" si="327"/>
        <v>95581.214999999997</v>
      </c>
      <c r="AH918" s="49">
        <f t="shared" si="328"/>
        <v>95581.214999999997</v>
      </c>
    </row>
    <row r="919" spans="1:34" s="56" customFormat="1">
      <c r="A919" s="145" t="s">
        <v>1025</v>
      </c>
      <c r="B919" s="145"/>
      <c r="C919" s="145"/>
      <c r="D919" s="156"/>
      <c r="E919" s="51">
        <v>1</v>
      </c>
      <c r="F919" s="51"/>
      <c r="G919" s="147">
        <v>0</v>
      </c>
      <c r="H919" s="147">
        <v>0</v>
      </c>
      <c r="I919" s="49">
        <v>12821</v>
      </c>
      <c r="J919" s="49">
        <f t="shared" si="312"/>
        <v>10731.177</v>
      </c>
      <c r="K919" s="49">
        <f t="shared" si="313"/>
        <v>10731.177</v>
      </c>
      <c r="L919" s="58"/>
      <c r="M919" s="141">
        <v>0</v>
      </c>
      <c r="N919" s="50">
        <f t="shared" si="314"/>
        <v>0</v>
      </c>
      <c r="O919" s="50">
        <f t="shared" si="315"/>
        <v>0</v>
      </c>
      <c r="P919" s="59"/>
      <c r="Q919" s="141">
        <v>0</v>
      </c>
      <c r="R919" s="50">
        <f t="shared" si="316"/>
        <v>0</v>
      </c>
      <c r="S919" s="51">
        <f t="shared" si="317"/>
        <v>0</v>
      </c>
      <c r="T919" s="64">
        <v>15</v>
      </c>
      <c r="U919" s="65" t="s">
        <v>81</v>
      </c>
      <c r="V919" s="53">
        <f>SUMIF('Avoided Costs 2014-2023'!$A:$A,'2014 Actuals'!U919&amp;ROUNDDOWN('2014 Actuals'!T919,0),'Avoided Costs 2014-2023'!$E:$E)*K919</f>
        <v>24841.300255474569</v>
      </c>
      <c r="W919" s="53">
        <f>SUMIF('Avoided Costs 2014-2023'!$A:$A,'2014 Actuals'!U919&amp;ROUNDDOWN('2014 Actuals'!T919,0),'Avoided Costs 2014-2023'!$K:$K)*O919</f>
        <v>0</v>
      </c>
      <c r="X919" s="53">
        <f>SUMIF('Avoided Costs 2014-2023'!$A:$A,'2014 Actuals'!U919&amp;ROUNDDOWN('2014 Actuals'!T919,0),'Avoided Costs 2014-2023'!$M:$M)*S919</f>
        <v>0</v>
      </c>
      <c r="Y919" s="53">
        <f t="shared" si="318"/>
        <v>24841.300255474569</v>
      </c>
      <c r="Z919" s="55">
        <v>7036.25</v>
      </c>
      <c r="AA919" s="54">
        <f t="shared" si="319"/>
        <v>7036.25</v>
      </c>
      <c r="AB919" s="54"/>
      <c r="AC919" s="54"/>
      <c r="AD919" s="54"/>
      <c r="AE919" s="54">
        <f t="shared" si="325"/>
        <v>7036.25</v>
      </c>
      <c r="AF919" s="54">
        <f t="shared" si="326"/>
        <v>17805.050255474569</v>
      </c>
      <c r="AG919" s="49">
        <f t="shared" si="327"/>
        <v>160967.655</v>
      </c>
      <c r="AH919" s="49">
        <f t="shared" si="328"/>
        <v>160967.655</v>
      </c>
    </row>
    <row r="920" spans="1:34" s="56" customFormat="1">
      <c r="A920" s="145" t="s">
        <v>1026</v>
      </c>
      <c r="B920" s="145"/>
      <c r="C920" s="145"/>
      <c r="D920" s="156"/>
      <c r="E920" s="51">
        <v>1</v>
      </c>
      <c r="F920" s="51"/>
      <c r="G920" s="147">
        <v>0</v>
      </c>
      <c r="H920" s="147">
        <v>0</v>
      </c>
      <c r="I920" s="49">
        <v>10331</v>
      </c>
      <c r="J920" s="49">
        <f t="shared" si="312"/>
        <v>8647.0470000000005</v>
      </c>
      <c r="K920" s="49">
        <f t="shared" si="313"/>
        <v>8647.0470000000005</v>
      </c>
      <c r="L920" s="58"/>
      <c r="M920" s="141">
        <v>0</v>
      </c>
      <c r="N920" s="50">
        <f t="shared" si="314"/>
        <v>0</v>
      </c>
      <c r="O920" s="50">
        <f t="shared" si="315"/>
        <v>0</v>
      </c>
      <c r="P920" s="59"/>
      <c r="Q920" s="141">
        <v>0</v>
      </c>
      <c r="R920" s="50">
        <f t="shared" si="316"/>
        <v>0</v>
      </c>
      <c r="S920" s="51">
        <f t="shared" si="317"/>
        <v>0</v>
      </c>
      <c r="T920" s="64">
        <v>15</v>
      </c>
      <c r="U920" s="65" t="s">
        <v>81</v>
      </c>
      <c r="V920" s="53">
        <f>SUMIF('Avoided Costs 2014-2023'!$A:$A,'2014 Actuals'!U920&amp;ROUNDDOWN('2014 Actuals'!T920,0),'Avoided Costs 2014-2023'!$E:$E)*K920</f>
        <v>20016.806250628484</v>
      </c>
      <c r="W920" s="53">
        <f>SUMIF('Avoided Costs 2014-2023'!$A:$A,'2014 Actuals'!U920&amp;ROUNDDOWN('2014 Actuals'!T920,0),'Avoided Costs 2014-2023'!$K:$K)*O920</f>
        <v>0</v>
      </c>
      <c r="X920" s="53">
        <f>SUMIF('Avoided Costs 2014-2023'!$A:$A,'2014 Actuals'!U920&amp;ROUNDDOWN('2014 Actuals'!T920,0),'Avoided Costs 2014-2023'!$M:$M)*S920</f>
        <v>0</v>
      </c>
      <c r="Y920" s="53">
        <f t="shared" si="318"/>
        <v>20016.806250628484</v>
      </c>
      <c r="Z920" s="55">
        <v>7799.15</v>
      </c>
      <c r="AA920" s="54">
        <f t="shared" si="319"/>
        <v>7799.15</v>
      </c>
      <c r="AB920" s="54"/>
      <c r="AC920" s="54"/>
      <c r="AD920" s="54"/>
      <c r="AE920" s="54">
        <f t="shared" si="325"/>
        <v>7799.15</v>
      </c>
      <c r="AF920" s="54">
        <f t="shared" si="326"/>
        <v>12217.656250628484</v>
      </c>
      <c r="AG920" s="49">
        <f t="shared" si="327"/>
        <v>129705.705</v>
      </c>
      <c r="AH920" s="49">
        <f t="shared" si="328"/>
        <v>129705.705</v>
      </c>
    </row>
    <row r="921" spans="1:34" s="56" customFormat="1">
      <c r="A921" s="145" t="s">
        <v>1027</v>
      </c>
      <c r="B921" s="145"/>
      <c r="C921" s="145"/>
      <c r="D921" s="156"/>
      <c r="E921" s="51">
        <v>1</v>
      </c>
      <c r="F921" s="51"/>
      <c r="G921" s="147">
        <v>0</v>
      </c>
      <c r="H921" s="147">
        <v>0</v>
      </c>
      <c r="I921" s="49">
        <v>8764</v>
      </c>
      <c r="J921" s="49">
        <f t="shared" si="312"/>
        <v>7335.4679999999998</v>
      </c>
      <c r="K921" s="49">
        <f t="shared" si="313"/>
        <v>7335.4679999999998</v>
      </c>
      <c r="L921" s="58"/>
      <c r="M921" s="141">
        <v>0</v>
      </c>
      <c r="N921" s="50">
        <f t="shared" si="314"/>
        <v>0</v>
      </c>
      <c r="O921" s="50">
        <f t="shared" si="315"/>
        <v>0</v>
      </c>
      <c r="P921" s="59"/>
      <c r="Q921" s="141">
        <v>0</v>
      </c>
      <c r="R921" s="50">
        <f t="shared" si="316"/>
        <v>0</v>
      </c>
      <c r="S921" s="51">
        <f t="shared" si="317"/>
        <v>0</v>
      </c>
      <c r="T921" s="64">
        <v>15</v>
      </c>
      <c r="U921" s="65" t="s">
        <v>81</v>
      </c>
      <c r="V921" s="53">
        <f>SUMIF('Avoided Costs 2014-2023'!$A:$A,'2014 Actuals'!U921&amp;ROUNDDOWN('2014 Actuals'!T921,0),'Avoided Costs 2014-2023'!$E:$E)*K921</f>
        <v>16980.668858823738</v>
      </c>
      <c r="W921" s="53">
        <f>SUMIF('Avoided Costs 2014-2023'!$A:$A,'2014 Actuals'!U921&amp;ROUNDDOWN('2014 Actuals'!T921,0),'Avoided Costs 2014-2023'!$K:$K)*O921</f>
        <v>0</v>
      </c>
      <c r="X921" s="53">
        <f>SUMIF('Avoided Costs 2014-2023'!$A:$A,'2014 Actuals'!U921&amp;ROUNDDOWN('2014 Actuals'!T921,0),'Avoided Costs 2014-2023'!$M:$M)*S921</f>
        <v>0</v>
      </c>
      <c r="Y921" s="53">
        <f t="shared" si="318"/>
        <v>16980.668858823738</v>
      </c>
      <c r="Z921" s="55">
        <v>7799.15</v>
      </c>
      <c r="AA921" s="54">
        <f t="shared" si="319"/>
        <v>7799.15</v>
      </c>
      <c r="AB921" s="54"/>
      <c r="AC921" s="54"/>
      <c r="AD921" s="54"/>
      <c r="AE921" s="54">
        <f t="shared" si="325"/>
        <v>7799.15</v>
      </c>
      <c r="AF921" s="54">
        <f t="shared" si="326"/>
        <v>9181.5188588237379</v>
      </c>
      <c r="AG921" s="49">
        <f t="shared" si="327"/>
        <v>110032.02</v>
      </c>
      <c r="AH921" s="49">
        <f t="shared" si="328"/>
        <v>110032.02</v>
      </c>
    </row>
    <row r="922" spans="1:34" s="56" customFormat="1">
      <c r="A922" s="145" t="s">
        <v>1028</v>
      </c>
      <c r="B922" s="145"/>
      <c r="C922" s="145"/>
      <c r="D922" s="156"/>
      <c r="E922" s="51">
        <v>1</v>
      </c>
      <c r="F922" s="51"/>
      <c r="G922" s="147">
        <v>0</v>
      </c>
      <c r="H922" s="147">
        <v>0</v>
      </c>
      <c r="I922" s="49">
        <v>12321</v>
      </c>
      <c r="J922" s="49">
        <f t="shared" si="312"/>
        <v>10312.677</v>
      </c>
      <c r="K922" s="49">
        <f t="shared" si="313"/>
        <v>10312.677</v>
      </c>
      <c r="L922" s="58"/>
      <c r="M922" s="141">
        <v>0</v>
      </c>
      <c r="N922" s="50">
        <f t="shared" si="314"/>
        <v>0</v>
      </c>
      <c r="O922" s="50">
        <f t="shared" si="315"/>
        <v>0</v>
      </c>
      <c r="P922" s="59"/>
      <c r="Q922" s="141">
        <v>0</v>
      </c>
      <c r="R922" s="50">
        <f t="shared" si="316"/>
        <v>0</v>
      </c>
      <c r="S922" s="51">
        <f t="shared" si="317"/>
        <v>0</v>
      </c>
      <c r="T922" s="64">
        <v>15</v>
      </c>
      <c r="U922" s="65" t="s">
        <v>81</v>
      </c>
      <c r="V922" s="53">
        <f>SUMIF('Avoided Costs 2014-2023'!$A:$A,'2014 Actuals'!U922&amp;ROUNDDOWN('2014 Actuals'!T922,0),'Avoided Costs 2014-2023'!$E:$E)*K922</f>
        <v>23872.526358919131</v>
      </c>
      <c r="W922" s="53">
        <f>SUMIF('Avoided Costs 2014-2023'!$A:$A,'2014 Actuals'!U922&amp;ROUNDDOWN('2014 Actuals'!T922,0),'Avoided Costs 2014-2023'!$K:$K)*O922</f>
        <v>0</v>
      </c>
      <c r="X922" s="53">
        <f>SUMIF('Avoided Costs 2014-2023'!$A:$A,'2014 Actuals'!U922&amp;ROUNDDOWN('2014 Actuals'!T922,0),'Avoided Costs 2014-2023'!$M:$M)*S922</f>
        <v>0</v>
      </c>
      <c r="Y922" s="53">
        <f t="shared" si="318"/>
        <v>23872.526358919131</v>
      </c>
      <c r="Z922" s="55">
        <v>7530</v>
      </c>
      <c r="AA922" s="54">
        <f t="shared" si="319"/>
        <v>7530</v>
      </c>
      <c r="AB922" s="54"/>
      <c r="AC922" s="54"/>
      <c r="AD922" s="54"/>
      <c r="AE922" s="54">
        <f t="shared" si="325"/>
        <v>7530</v>
      </c>
      <c r="AF922" s="54">
        <f t="shared" si="326"/>
        <v>16342.526358919131</v>
      </c>
      <c r="AG922" s="49">
        <f t="shared" si="327"/>
        <v>154690.155</v>
      </c>
      <c r="AH922" s="49">
        <f t="shared" si="328"/>
        <v>154690.155</v>
      </c>
    </row>
    <row r="923" spans="1:34" s="56" customFormat="1">
      <c r="A923" s="145" t="s">
        <v>1029</v>
      </c>
      <c r="B923" s="145"/>
      <c r="C923" s="145"/>
      <c r="D923" s="156"/>
      <c r="E923" s="51">
        <v>1</v>
      </c>
      <c r="F923" s="51"/>
      <c r="G923" s="147">
        <v>0</v>
      </c>
      <c r="H923" s="147">
        <v>0</v>
      </c>
      <c r="I923" s="49">
        <v>11414</v>
      </c>
      <c r="J923" s="49">
        <f t="shared" si="312"/>
        <v>9553.518</v>
      </c>
      <c r="K923" s="49">
        <f t="shared" si="313"/>
        <v>9553.518</v>
      </c>
      <c r="L923" s="58"/>
      <c r="M923" s="141">
        <v>0</v>
      </c>
      <c r="N923" s="50">
        <f t="shared" si="314"/>
        <v>0</v>
      </c>
      <c r="O923" s="50">
        <f t="shared" si="315"/>
        <v>0</v>
      </c>
      <c r="P923" s="59"/>
      <c r="Q923" s="141">
        <v>0</v>
      </c>
      <c r="R923" s="50">
        <f t="shared" si="316"/>
        <v>0</v>
      </c>
      <c r="S923" s="51">
        <f t="shared" si="317"/>
        <v>0</v>
      </c>
      <c r="T923" s="64">
        <v>15</v>
      </c>
      <c r="U923" s="65" t="s">
        <v>81</v>
      </c>
      <c r="V923" s="53">
        <f>SUMIF('Avoided Costs 2014-2023'!$A:$A,'2014 Actuals'!U923&amp;ROUNDDOWN('2014 Actuals'!T923,0),'Avoided Costs 2014-2023'!$E:$E)*K923</f>
        <v>22115.170510567565</v>
      </c>
      <c r="W923" s="53">
        <f>SUMIF('Avoided Costs 2014-2023'!$A:$A,'2014 Actuals'!U923&amp;ROUNDDOWN('2014 Actuals'!T923,0),'Avoided Costs 2014-2023'!$K:$K)*O923</f>
        <v>0</v>
      </c>
      <c r="X923" s="53">
        <f>SUMIF('Avoided Costs 2014-2023'!$A:$A,'2014 Actuals'!U923&amp;ROUNDDOWN('2014 Actuals'!T923,0),'Avoided Costs 2014-2023'!$M:$M)*S923</f>
        <v>0</v>
      </c>
      <c r="Y923" s="53">
        <f t="shared" si="318"/>
        <v>22115.170510567565</v>
      </c>
      <c r="Z923" s="55">
        <v>8087</v>
      </c>
      <c r="AA923" s="54">
        <f t="shared" si="319"/>
        <v>8087</v>
      </c>
      <c r="AB923" s="54"/>
      <c r="AC923" s="54"/>
      <c r="AD923" s="54"/>
      <c r="AE923" s="54">
        <f t="shared" si="325"/>
        <v>8087</v>
      </c>
      <c r="AF923" s="54">
        <f t="shared" si="326"/>
        <v>14028.170510567565</v>
      </c>
      <c r="AG923" s="49">
        <f t="shared" si="327"/>
        <v>143302.76999999999</v>
      </c>
      <c r="AH923" s="49">
        <f t="shared" si="328"/>
        <v>143302.76999999999</v>
      </c>
    </row>
    <row r="924" spans="1:34" s="56" customFormat="1">
      <c r="A924" s="145" t="s">
        <v>1030</v>
      </c>
      <c r="B924" s="145"/>
      <c r="C924" s="145"/>
      <c r="D924" s="156"/>
      <c r="E924" s="51">
        <v>1</v>
      </c>
      <c r="F924" s="51"/>
      <c r="G924" s="147">
        <v>0</v>
      </c>
      <c r="H924" s="147">
        <v>0</v>
      </c>
      <c r="I924" s="49">
        <v>20894</v>
      </c>
      <c r="J924" s="49">
        <f t="shared" si="312"/>
        <v>17488.277999999998</v>
      </c>
      <c r="K924" s="49">
        <f t="shared" si="313"/>
        <v>17488.277999999998</v>
      </c>
      <c r="L924" s="58"/>
      <c r="M924" s="141">
        <v>0</v>
      </c>
      <c r="N924" s="50">
        <f t="shared" si="314"/>
        <v>0</v>
      </c>
      <c r="O924" s="50">
        <f t="shared" si="315"/>
        <v>0</v>
      </c>
      <c r="P924" s="59"/>
      <c r="Q924" s="141">
        <v>0</v>
      </c>
      <c r="R924" s="50">
        <f t="shared" si="316"/>
        <v>0</v>
      </c>
      <c r="S924" s="51">
        <f t="shared" si="317"/>
        <v>0</v>
      </c>
      <c r="T924" s="64">
        <v>15</v>
      </c>
      <c r="U924" s="65" t="s">
        <v>81</v>
      </c>
      <c r="V924" s="53">
        <f>SUMIF('Avoided Costs 2014-2023'!$A:$A,'2014 Actuals'!U924&amp;ROUNDDOWN('2014 Actuals'!T924,0),'Avoided Costs 2014-2023'!$E:$E)*K924</f>
        <v>40483.123589258685</v>
      </c>
      <c r="W924" s="53">
        <f>SUMIF('Avoided Costs 2014-2023'!$A:$A,'2014 Actuals'!U924&amp;ROUNDDOWN('2014 Actuals'!T924,0),'Avoided Costs 2014-2023'!$K:$K)*O924</f>
        <v>0</v>
      </c>
      <c r="X924" s="53">
        <f>SUMIF('Avoided Costs 2014-2023'!$A:$A,'2014 Actuals'!U924&amp;ROUNDDOWN('2014 Actuals'!T924,0),'Avoided Costs 2014-2023'!$M:$M)*S924</f>
        <v>0</v>
      </c>
      <c r="Y924" s="53">
        <f t="shared" si="318"/>
        <v>40483.123589258685</v>
      </c>
      <c r="Z924" s="55">
        <v>16036</v>
      </c>
      <c r="AA924" s="54">
        <f t="shared" si="319"/>
        <v>16036</v>
      </c>
      <c r="AB924" s="54"/>
      <c r="AC924" s="54"/>
      <c r="AD924" s="54"/>
      <c r="AE924" s="54">
        <f t="shared" si="325"/>
        <v>16036</v>
      </c>
      <c r="AF924" s="54">
        <f t="shared" si="326"/>
        <v>24447.123589258685</v>
      </c>
      <c r="AG924" s="49">
        <f t="shared" si="327"/>
        <v>262324.17</v>
      </c>
      <c r="AH924" s="49">
        <f t="shared" si="328"/>
        <v>262324.17</v>
      </c>
    </row>
    <row r="925" spans="1:34" s="56" customFormat="1">
      <c r="A925" s="145" t="s">
        <v>1031</v>
      </c>
      <c r="B925" s="145"/>
      <c r="C925" s="145"/>
      <c r="D925" s="156"/>
      <c r="E925" s="51">
        <v>1</v>
      </c>
      <c r="F925" s="51"/>
      <c r="G925" s="147">
        <v>0</v>
      </c>
      <c r="H925" s="147">
        <v>0</v>
      </c>
      <c r="I925" s="49">
        <v>32923</v>
      </c>
      <c r="J925" s="49">
        <f t="shared" si="312"/>
        <v>27556.550999999999</v>
      </c>
      <c r="K925" s="49">
        <f t="shared" si="313"/>
        <v>27556.550999999999</v>
      </c>
      <c r="L925" s="58"/>
      <c r="M925" s="141">
        <v>0</v>
      </c>
      <c r="N925" s="50">
        <f t="shared" si="314"/>
        <v>0</v>
      </c>
      <c r="O925" s="50">
        <f t="shared" si="315"/>
        <v>0</v>
      </c>
      <c r="P925" s="59"/>
      <c r="Q925" s="141">
        <v>0</v>
      </c>
      <c r="R925" s="50">
        <f t="shared" si="316"/>
        <v>0</v>
      </c>
      <c r="S925" s="51">
        <f t="shared" si="317"/>
        <v>0</v>
      </c>
      <c r="T925" s="64">
        <v>15</v>
      </c>
      <c r="U925" s="65" t="s">
        <v>81</v>
      </c>
      <c r="V925" s="53">
        <f>SUMIF('Avoided Costs 2014-2023'!$A:$A,'2014 Actuals'!U925&amp;ROUNDDOWN('2014 Actuals'!T925,0),'Avoided Costs 2014-2023'!$E:$E)*K925</f>
        <v>63789.885992589443</v>
      </c>
      <c r="W925" s="53">
        <f>SUMIF('Avoided Costs 2014-2023'!$A:$A,'2014 Actuals'!U925&amp;ROUNDDOWN('2014 Actuals'!T925,0),'Avoided Costs 2014-2023'!$K:$K)*O925</f>
        <v>0</v>
      </c>
      <c r="X925" s="53">
        <f>SUMIF('Avoided Costs 2014-2023'!$A:$A,'2014 Actuals'!U925&amp;ROUNDDOWN('2014 Actuals'!T925,0),'Avoided Costs 2014-2023'!$M:$M)*S925</f>
        <v>0</v>
      </c>
      <c r="Y925" s="53">
        <f t="shared" si="318"/>
        <v>63789.885992589443</v>
      </c>
      <c r="Z925" s="55">
        <v>23940.5</v>
      </c>
      <c r="AA925" s="54">
        <f t="shared" si="319"/>
        <v>23940.5</v>
      </c>
      <c r="AB925" s="54"/>
      <c r="AC925" s="54"/>
      <c r="AD925" s="54"/>
      <c r="AE925" s="54">
        <f t="shared" si="325"/>
        <v>23940.5</v>
      </c>
      <c r="AF925" s="54">
        <f t="shared" si="326"/>
        <v>39849.385992589443</v>
      </c>
      <c r="AG925" s="49">
        <f t="shared" si="327"/>
        <v>413348.26500000001</v>
      </c>
      <c r="AH925" s="49">
        <f t="shared" si="328"/>
        <v>413348.26500000001</v>
      </c>
    </row>
    <row r="926" spans="1:34" s="56" customFormat="1">
      <c r="A926" s="145" t="s">
        <v>1032</v>
      </c>
      <c r="B926" s="145"/>
      <c r="C926" s="145"/>
      <c r="D926" s="156"/>
      <c r="E926" s="51">
        <v>1</v>
      </c>
      <c r="F926" s="51"/>
      <c r="G926" s="147">
        <v>0</v>
      </c>
      <c r="H926" s="147">
        <v>0</v>
      </c>
      <c r="I926" s="49">
        <v>48334</v>
      </c>
      <c r="J926" s="49">
        <f t="shared" si="312"/>
        <v>40455.557999999997</v>
      </c>
      <c r="K926" s="49">
        <f t="shared" si="313"/>
        <v>40455.557999999997</v>
      </c>
      <c r="L926" s="58"/>
      <c r="M926" s="141">
        <v>0</v>
      </c>
      <c r="N926" s="50">
        <f t="shared" si="314"/>
        <v>0</v>
      </c>
      <c r="O926" s="50">
        <f t="shared" si="315"/>
        <v>0</v>
      </c>
      <c r="P926" s="59"/>
      <c r="Q926" s="141">
        <v>0</v>
      </c>
      <c r="R926" s="50">
        <f t="shared" si="316"/>
        <v>0</v>
      </c>
      <c r="S926" s="51">
        <f t="shared" si="317"/>
        <v>0</v>
      </c>
      <c r="T926" s="64">
        <v>15</v>
      </c>
      <c r="U926" s="65" t="s">
        <v>81</v>
      </c>
      <c r="V926" s="53">
        <f>SUMIF('Avoided Costs 2014-2023'!$A:$A,'2014 Actuals'!U926&amp;ROUNDDOWN('2014 Actuals'!T926,0),'Avoided Costs 2014-2023'!$E:$E)*K926</f>
        <v>93649.435032221183</v>
      </c>
      <c r="W926" s="53">
        <f>SUMIF('Avoided Costs 2014-2023'!$A:$A,'2014 Actuals'!U926&amp;ROUNDDOWN('2014 Actuals'!T926,0),'Avoided Costs 2014-2023'!$K:$K)*O926</f>
        <v>0</v>
      </c>
      <c r="X926" s="53">
        <f>SUMIF('Avoided Costs 2014-2023'!$A:$A,'2014 Actuals'!U926&amp;ROUNDDOWN('2014 Actuals'!T926,0),'Avoided Costs 2014-2023'!$M:$M)*S926</f>
        <v>0</v>
      </c>
      <c r="Y926" s="53">
        <f t="shared" si="318"/>
        <v>93649.435032221183</v>
      </c>
      <c r="Z926" s="55">
        <v>40585</v>
      </c>
      <c r="AA926" s="54">
        <f t="shared" si="319"/>
        <v>40585</v>
      </c>
      <c r="AB926" s="54"/>
      <c r="AC926" s="54"/>
      <c r="AD926" s="54"/>
      <c r="AE926" s="54">
        <f t="shared" si="325"/>
        <v>40585</v>
      </c>
      <c r="AF926" s="54">
        <f t="shared" si="326"/>
        <v>53064.435032221183</v>
      </c>
      <c r="AG926" s="49">
        <f t="shared" si="327"/>
        <v>606833.37</v>
      </c>
      <c r="AH926" s="49">
        <f t="shared" si="328"/>
        <v>606833.37</v>
      </c>
    </row>
    <row r="927" spans="1:34" s="56" customFormat="1">
      <c r="A927" s="145" t="s">
        <v>1033</v>
      </c>
      <c r="B927" s="145"/>
      <c r="C927" s="145"/>
      <c r="D927" s="156"/>
      <c r="E927" s="51">
        <v>0</v>
      </c>
      <c r="F927" s="51"/>
      <c r="G927" s="147">
        <v>0</v>
      </c>
      <c r="H927" s="147">
        <v>0</v>
      </c>
      <c r="I927" s="49">
        <v>12975</v>
      </c>
      <c r="J927" s="49">
        <f t="shared" si="312"/>
        <v>10860.074999999999</v>
      </c>
      <c r="K927" s="49">
        <f t="shared" si="313"/>
        <v>10860.074999999999</v>
      </c>
      <c r="L927" s="58"/>
      <c r="M927" s="141">
        <v>0</v>
      </c>
      <c r="N927" s="50">
        <f t="shared" si="314"/>
        <v>0</v>
      </c>
      <c r="O927" s="50">
        <f t="shared" si="315"/>
        <v>0</v>
      </c>
      <c r="P927" s="59"/>
      <c r="Q927" s="141">
        <v>0</v>
      </c>
      <c r="R927" s="50">
        <f t="shared" si="316"/>
        <v>0</v>
      </c>
      <c r="S927" s="51">
        <f t="shared" si="317"/>
        <v>0</v>
      </c>
      <c r="T927" s="64">
        <v>25</v>
      </c>
      <c r="U927" s="65" t="s">
        <v>94</v>
      </c>
      <c r="V927" s="53">
        <f>SUMIF('Avoided Costs 2014-2023'!$A:$A,'2014 Actuals'!U927&amp;ROUNDDOWN('2014 Actuals'!T927,0),'Avoided Costs 2014-2023'!$E:$E)*K927</f>
        <v>32316.835973638663</v>
      </c>
      <c r="W927" s="53">
        <f>SUMIF('Avoided Costs 2014-2023'!$A:$A,'2014 Actuals'!U927&amp;ROUNDDOWN('2014 Actuals'!T927,0),'Avoided Costs 2014-2023'!$K:$K)*O927</f>
        <v>0</v>
      </c>
      <c r="X927" s="53">
        <f>SUMIF('Avoided Costs 2014-2023'!$A:$A,'2014 Actuals'!U927&amp;ROUNDDOWN('2014 Actuals'!T927,0),'Avoided Costs 2014-2023'!$M:$M)*S927</f>
        <v>0</v>
      </c>
      <c r="Y927" s="53">
        <f t="shared" si="318"/>
        <v>32316.835973638663</v>
      </c>
      <c r="Z927" s="55">
        <v>27483</v>
      </c>
      <c r="AA927" s="54">
        <f t="shared" si="319"/>
        <v>27483</v>
      </c>
      <c r="AB927" s="54"/>
      <c r="AC927" s="54"/>
      <c r="AD927" s="54"/>
      <c r="AE927" s="54">
        <f t="shared" si="325"/>
        <v>27483</v>
      </c>
      <c r="AF927" s="54">
        <f t="shared" si="326"/>
        <v>4833.8359736386628</v>
      </c>
      <c r="AG927" s="49">
        <f t="shared" si="327"/>
        <v>271501.875</v>
      </c>
      <c r="AH927" s="49">
        <f t="shared" si="328"/>
        <v>271501.875</v>
      </c>
    </row>
    <row r="928" spans="1:34" s="56" customFormat="1">
      <c r="A928" s="145" t="s">
        <v>1034</v>
      </c>
      <c r="B928" s="145"/>
      <c r="C928" s="145"/>
      <c r="D928" s="156"/>
      <c r="E928" s="51">
        <v>1</v>
      </c>
      <c r="F928" s="51"/>
      <c r="G928" s="147">
        <v>0</v>
      </c>
      <c r="H928" s="147">
        <v>0</v>
      </c>
      <c r="I928" s="49">
        <v>19963</v>
      </c>
      <c r="J928" s="49">
        <f t="shared" si="312"/>
        <v>16709.030999999999</v>
      </c>
      <c r="K928" s="49">
        <f t="shared" si="313"/>
        <v>16709.030999999999</v>
      </c>
      <c r="L928" s="58"/>
      <c r="M928" s="141">
        <v>0</v>
      </c>
      <c r="N928" s="50">
        <f t="shared" si="314"/>
        <v>0</v>
      </c>
      <c r="O928" s="50">
        <f t="shared" si="315"/>
        <v>0</v>
      </c>
      <c r="P928" s="59"/>
      <c r="Q928" s="141">
        <v>0</v>
      </c>
      <c r="R928" s="50">
        <f t="shared" si="316"/>
        <v>0</v>
      </c>
      <c r="S928" s="51">
        <f t="shared" si="317"/>
        <v>0</v>
      </c>
      <c r="T928" s="64">
        <v>25</v>
      </c>
      <c r="U928" s="65" t="s">
        <v>81</v>
      </c>
      <c r="V928" s="53">
        <f>SUMIF('Avoided Costs 2014-2023'!$A:$A,'2014 Actuals'!U928&amp;ROUNDDOWN('2014 Actuals'!T928,0),'Avoided Costs 2014-2023'!$E:$E)*K928</f>
        <v>53072.620784696512</v>
      </c>
      <c r="W928" s="53">
        <f>SUMIF('Avoided Costs 2014-2023'!$A:$A,'2014 Actuals'!U928&amp;ROUNDDOWN('2014 Actuals'!T928,0),'Avoided Costs 2014-2023'!$K:$K)*O928</f>
        <v>0</v>
      </c>
      <c r="X928" s="53">
        <f>SUMIF('Avoided Costs 2014-2023'!$A:$A,'2014 Actuals'!U928&amp;ROUNDDOWN('2014 Actuals'!T928,0),'Avoided Costs 2014-2023'!$M:$M)*S928</f>
        <v>0</v>
      </c>
      <c r="Y928" s="53">
        <f t="shared" si="318"/>
        <v>53072.620784696512</v>
      </c>
      <c r="Z928" s="55">
        <v>4846</v>
      </c>
      <c r="AA928" s="54">
        <f t="shared" si="319"/>
        <v>4846</v>
      </c>
      <c r="AB928" s="54"/>
      <c r="AC928" s="54"/>
      <c r="AD928" s="54"/>
      <c r="AE928" s="54">
        <f t="shared" si="325"/>
        <v>4846</v>
      </c>
      <c r="AF928" s="54">
        <f t="shared" si="326"/>
        <v>48226.620784696512</v>
      </c>
      <c r="AG928" s="49">
        <f t="shared" si="327"/>
        <v>417725.77499999997</v>
      </c>
      <c r="AH928" s="49">
        <f t="shared" si="328"/>
        <v>417725.77499999997</v>
      </c>
    </row>
    <row r="929" spans="1:34" s="56" customFormat="1">
      <c r="A929" s="145" t="s">
        <v>1035</v>
      </c>
      <c r="B929" s="145"/>
      <c r="C929" s="145"/>
      <c r="D929" s="156"/>
      <c r="E929" s="51">
        <v>1</v>
      </c>
      <c r="F929" s="51"/>
      <c r="G929" s="147">
        <v>0</v>
      </c>
      <c r="H929" s="147">
        <v>0</v>
      </c>
      <c r="I929" s="49">
        <v>105760</v>
      </c>
      <c r="J929" s="49">
        <f t="shared" si="312"/>
        <v>88521.12</v>
      </c>
      <c r="K929" s="49">
        <f t="shared" si="313"/>
        <v>88521.12</v>
      </c>
      <c r="L929" s="58"/>
      <c r="M929" s="141">
        <v>0</v>
      </c>
      <c r="N929" s="50">
        <f t="shared" si="314"/>
        <v>0</v>
      </c>
      <c r="O929" s="50">
        <f t="shared" si="315"/>
        <v>0</v>
      </c>
      <c r="P929" s="59"/>
      <c r="Q929" s="141">
        <v>0</v>
      </c>
      <c r="R929" s="50">
        <f t="shared" si="316"/>
        <v>0</v>
      </c>
      <c r="S929" s="51">
        <f t="shared" si="317"/>
        <v>0</v>
      </c>
      <c r="T929" s="64">
        <v>25</v>
      </c>
      <c r="U929" s="65" t="s">
        <v>81</v>
      </c>
      <c r="V929" s="53">
        <f>SUMIF('Avoided Costs 2014-2023'!$A:$A,'2014 Actuals'!U929&amp;ROUNDDOWN('2014 Actuals'!T929,0),'Avoided Costs 2014-2023'!$E:$E)*K929</f>
        <v>281168.17984218319</v>
      </c>
      <c r="W929" s="53">
        <f>SUMIF('Avoided Costs 2014-2023'!$A:$A,'2014 Actuals'!U929&amp;ROUNDDOWN('2014 Actuals'!T929,0),'Avoided Costs 2014-2023'!$K:$K)*O929</f>
        <v>0</v>
      </c>
      <c r="X929" s="53">
        <f>SUMIF('Avoided Costs 2014-2023'!$A:$A,'2014 Actuals'!U929&amp;ROUNDDOWN('2014 Actuals'!T929,0),'Avoided Costs 2014-2023'!$M:$M)*S929</f>
        <v>0</v>
      </c>
      <c r="Y929" s="53">
        <f t="shared" si="318"/>
        <v>281168.17984218319</v>
      </c>
      <c r="Z929" s="55">
        <v>120780</v>
      </c>
      <c r="AA929" s="54">
        <f t="shared" si="319"/>
        <v>120780</v>
      </c>
      <c r="AB929" s="54"/>
      <c r="AC929" s="54"/>
      <c r="AD929" s="54"/>
      <c r="AE929" s="54">
        <f t="shared" si="325"/>
        <v>120780</v>
      </c>
      <c r="AF929" s="54">
        <f t="shared" si="326"/>
        <v>160388.17984218319</v>
      </c>
      <c r="AG929" s="49">
        <f t="shared" si="327"/>
        <v>2213028</v>
      </c>
      <c r="AH929" s="49">
        <f t="shared" si="328"/>
        <v>2213028</v>
      </c>
    </row>
    <row r="930" spans="1:34" s="56" customFormat="1">
      <c r="A930" s="145" t="s">
        <v>1036</v>
      </c>
      <c r="B930" s="145"/>
      <c r="C930" s="145"/>
      <c r="D930" s="156"/>
      <c r="E930" s="51">
        <v>1</v>
      </c>
      <c r="F930" s="51"/>
      <c r="G930" s="147">
        <v>0</v>
      </c>
      <c r="H930" s="147">
        <v>0</v>
      </c>
      <c r="I930" s="49">
        <v>37450</v>
      </c>
      <c r="J930" s="49">
        <f t="shared" si="312"/>
        <v>31345.649999999998</v>
      </c>
      <c r="K930" s="49">
        <f t="shared" si="313"/>
        <v>31345.649999999998</v>
      </c>
      <c r="L930" s="58"/>
      <c r="M930" s="141">
        <v>0</v>
      </c>
      <c r="N930" s="50">
        <f t="shared" si="314"/>
        <v>0</v>
      </c>
      <c r="O930" s="50">
        <f t="shared" si="315"/>
        <v>0</v>
      </c>
      <c r="P930" s="59"/>
      <c r="Q930" s="141">
        <v>0</v>
      </c>
      <c r="R930" s="50">
        <f t="shared" si="316"/>
        <v>0</v>
      </c>
      <c r="S930" s="51">
        <f t="shared" si="317"/>
        <v>0</v>
      </c>
      <c r="T930" s="64">
        <v>25</v>
      </c>
      <c r="U930" s="65" t="s">
        <v>81</v>
      </c>
      <c r="V930" s="53">
        <f>SUMIF('Avoided Costs 2014-2023'!$A:$A,'2014 Actuals'!U930&amp;ROUNDDOWN('2014 Actuals'!T930,0),'Avoided Costs 2014-2023'!$E:$E)*K930</f>
        <v>99562.673365069597</v>
      </c>
      <c r="W930" s="53">
        <f>SUMIF('Avoided Costs 2014-2023'!$A:$A,'2014 Actuals'!U930&amp;ROUNDDOWN('2014 Actuals'!T930,0),'Avoided Costs 2014-2023'!$K:$K)*O930</f>
        <v>0</v>
      </c>
      <c r="X930" s="53">
        <f>SUMIF('Avoided Costs 2014-2023'!$A:$A,'2014 Actuals'!U930&amp;ROUNDDOWN('2014 Actuals'!T930,0),'Avoided Costs 2014-2023'!$M:$M)*S930</f>
        <v>0</v>
      </c>
      <c r="Y930" s="53">
        <f t="shared" si="318"/>
        <v>99562.673365069597</v>
      </c>
      <c r="Z930" s="55">
        <v>21312</v>
      </c>
      <c r="AA930" s="54">
        <f t="shared" si="319"/>
        <v>21312</v>
      </c>
      <c r="AB930" s="54"/>
      <c r="AC930" s="54"/>
      <c r="AD930" s="54"/>
      <c r="AE930" s="54">
        <f t="shared" si="325"/>
        <v>21312</v>
      </c>
      <c r="AF930" s="54">
        <f t="shared" si="326"/>
        <v>78250.673365069597</v>
      </c>
      <c r="AG930" s="49">
        <f t="shared" si="327"/>
        <v>783641.25</v>
      </c>
      <c r="AH930" s="49">
        <f t="shared" si="328"/>
        <v>783641.25</v>
      </c>
    </row>
    <row r="931" spans="1:34" s="56" customFormat="1">
      <c r="A931" s="145" t="s">
        <v>1037</v>
      </c>
      <c r="B931" s="145"/>
      <c r="C931" s="145"/>
      <c r="D931" s="156"/>
      <c r="E931" s="51">
        <v>1</v>
      </c>
      <c r="F931" s="51"/>
      <c r="G931" s="147">
        <v>0</v>
      </c>
      <c r="H931" s="147">
        <v>0</v>
      </c>
      <c r="I931" s="49">
        <v>10963</v>
      </c>
      <c r="J931" s="49">
        <f t="shared" si="312"/>
        <v>9176.030999999999</v>
      </c>
      <c r="K931" s="49">
        <f t="shared" si="313"/>
        <v>9176.030999999999</v>
      </c>
      <c r="L931" s="58"/>
      <c r="M931" s="141">
        <v>7296</v>
      </c>
      <c r="N931" s="50">
        <f t="shared" si="314"/>
        <v>7296</v>
      </c>
      <c r="O931" s="50">
        <f t="shared" si="315"/>
        <v>7296</v>
      </c>
      <c r="P931" s="59"/>
      <c r="Q931" s="141">
        <v>0</v>
      </c>
      <c r="R931" s="50">
        <f t="shared" si="316"/>
        <v>0</v>
      </c>
      <c r="S931" s="51">
        <f t="shared" si="317"/>
        <v>0</v>
      </c>
      <c r="T931" s="64">
        <v>15</v>
      </c>
      <c r="U931" s="65" t="s">
        <v>81</v>
      </c>
      <c r="V931" s="53">
        <f>SUMIF('Avoided Costs 2014-2023'!$A:$A,'2014 Actuals'!U931&amp;ROUNDDOWN('2014 Actuals'!T931,0),'Avoided Costs 2014-2023'!$E:$E)*K931</f>
        <v>21241.336455874556</v>
      </c>
      <c r="W931" s="53">
        <f>SUMIF('Avoided Costs 2014-2023'!$A:$A,'2014 Actuals'!U931&amp;ROUNDDOWN('2014 Actuals'!T931,0),'Avoided Costs 2014-2023'!$K:$K)*O931</f>
        <v>8627.3767264425551</v>
      </c>
      <c r="X931" s="53">
        <f>SUMIF('Avoided Costs 2014-2023'!$A:$A,'2014 Actuals'!U931&amp;ROUNDDOWN('2014 Actuals'!T931,0),'Avoided Costs 2014-2023'!$M:$M)*S931</f>
        <v>0</v>
      </c>
      <c r="Y931" s="53">
        <f t="shared" si="318"/>
        <v>29868.713182317111</v>
      </c>
      <c r="Z931" s="55">
        <v>5000</v>
      </c>
      <c r="AA931" s="54">
        <f t="shared" si="319"/>
        <v>5000</v>
      </c>
      <c r="AB931" s="54"/>
      <c r="AC931" s="54"/>
      <c r="AD931" s="54"/>
      <c r="AE931" s="54">
        <f t="shared" si="325"/>
        <v>5000</v>
      </c>
      <c r="AF931" s="54">
        <f t="shared" si="326"/>
        <v>24868.713182317111</v>
      </c>
      <c r="AG931" s="49">
        <f t="shared" si="327"/>
        <v>137640.465</v>
      </c>
      <c r="AH931" s="49">
        <f t="shared" si="328"/>
        <v>137640.465</v>
      </c>
    </row>
    <row r="932" spans="1:34" s="56" customFormat="1">
      <c r="A932" s="145" t="s">
        <v>1038</v>
      </c>
      <c r="B932" s="145"/>
      <c r="C932" s="145"/>
      <c r="D932" s="156"/>
      <c r="E932" s="51">
        <v>1</v>
      </c>
      <c r="F932" s="51"/>
      <c r="G932" s="147">
        <v>0</v>
      </c>
      <c r="H932" s="147">
        <v>0</v>
      </c>
      <c r="I932" s="49">
        <v>23902</v>
      </c>
      <c r="J932" s="49">
        <f t="shared" si="312"/>
        <v>20005.973999999998</v>
      </c>
      <c r="K932" s="49">
        <f t="shared" si="313"/>
        <v>20005.973999999998</v>
      </c>
      <c r="L932" s="58"/>
      <c r="M932" s="141">
        <v>0</v>
      </c>
      <c r="N932" s="50">
        <f>M932</f>
        <v>0</v>
      </c>
      <c r="O932" s="50">
        <f t="shared" si="315"/>
        <v>0</v>
      </c>
      <c r="P932" s="59"/>
      <c r="Q932" s="141">
        <v>0</v>
      </c>
      <c r="R932" s="50">
        <f>+Q932</f>
        <v>0</v>
      </c>
      <c r="S932" s="51">
        <f t="shared" si="317"/>
        <v>0</v>
      </c>
      <c r="T932" s="64">
        <v>15</v>
      </c>
      <c r="U932" s="65" t="s">
        <v>81</v>
      </c>
      <c r="V932" s="53">
        <f>SUMIF('Avoided Costs 2014-2023'!$A:$A,'2014 Actuals'!U932&amp;ROUNDDOWN('2014 Actuals'!T932,0),'Avoided Costs 2014-2023'!$E:$E)*K932</f>
        <v>46311.267350936207</v>
      </c>
      <c r="W932" s="53">
        <f>SUMIF('Avoided Costs 2014-2023'!$A:$A,'2014 Actuals'!U932&amp;ROUNDDOWN('2014 Actuals'!T932,0),'Avoided Costs 2014-2023'!$K:$K)*O932</f>
        <v>0</v>
      </c>
      <c r="X932" s="53">
        <f>SUMIF('Avoided Costs 2014-2023'!$A:$A,'2014 Actuals'!U932&amp;ROUNDDOWN('2014 Actuals'!T932,0),'Avoided Costs 2014-2023'!$M:$M)*S932</f>
        <v>0</v>
      </c>
      <c r="Y932" s="53">
        <f t="shared" si="318"/>
        <v>46311.267350936207</v>
      </c>
      <c r="Z932" s="55">
        <v>21512</v>
      </c>
      <c r="AA932" s="54">
        <f t="shared" si="319"/>
        <v>21512</v>
      </c>
      <c r="AB932" s="54"/>
      <c r="AC932" s="54"/>
      <c r="AD932" s="54"/>
      <c r="AE932" s="54">
        <f t="shared" si="325"/>
        <v>21512</v>
      </c>
      <c r="AF932" s="54">
        <f t="shared" si="326"/>
        <v>24799.267350936207</v>
      </c>
      <c r="AG932" s="49">
        <f t="shared" si="327"/>
        <v>300089.61</v>
      </c>
      <c r="AH932" s="49">
        <f t="shared" si="328"/>
        <v>300089.61</v>
      </c>
    </row>
    <row r="933" spans="1:34" s="56" customFormat="1">
      <c r="A933" s="145" t="s">
        <v>1039</v>
      </c>
      <c r="B933" s="145"/>
      <c r="C933" s="145"/>
      <c r="D933" s="156"/>
      <c r="E933" s="51">
        <v>1</v>
      </c>
      <c r="F933" s="51"/>
      <c r="G933" s="147">
        <v>0</v>
      </c>
      <c r="H933" s="147">
        <v>0</v>
      </c>
      <c r="I933" s="49">
        <v>39242</v>
      </c>
      <c r="J933" s="49">
        <f t="shared" si="312"/>
        <v>32845.553999999996</v>
      </c>
      <c r="K933" s="49">
        <f t="shared" si="313"/>
        <v>32845.553999999996</v>
      </c>
      <c r="L933" s="58"/>
      <c r="M933" s="141">
        <v>0</v>
      </c>
      <c r="N933" s="50">
        <f>M933</f>
        <v>0</v>
      </c>
      <c r="O933" s="50">
        <f t="shared" si="315"/>
        <v>0</v>
      </c>
      <c r="P933" s="59"/>
      <c r="Q933" s="141">
        <v>0</v>
      </c>
      <c r="R933" s="50">
        <f>+Q933</f>
        <v>0</v>
      </c>
      <c r="S933" s="51">
        <f t="shared" si="317"/>
        <v>0</v>
      </c>
      <c r="T933" s="64">
        <v>15</v>
      </c>
      <c r="U933" s="65" t="s">
        <v>81</v>
      </c>
      <c r="V933" s="53">
        <f>SUMIF('Avoided Costs 2014-2023'!$A:$A,'2014 Actuals'!U933&amp;ROUNDDOWN('2014 Actuals'!T933,0),'Avoided Costs 2014-2023'!$E:$E)*K933</f>
        <v>76033.250497257075</v>
      </c>
      <c r="W933" s="53">
        <f>SUMIF('Avoided Costs 2014-2023'!$A:$A,'2014 Actuals'!U933&amp;ROUNDDOWN('2014 Actuals'!T933,0),'Avoided Costs 2014-2023'!$K:$K)*O933</f>
        <v>0</v>
      </c>
      <c r="X933" s="53">
        <f>SUMIF('Avoided Costs 2014-2023'!$A:$A,'2014 Actuals'!U933&amp;ROUNDDOWN('2014 Actuals'!T933,0),'Avoided Costs 2014-2023'!$M:$M)*S933</f>
        <v>0</v>
      </c>
      <c r="Y933" s="53">
        <f t="shared" si="318"/>
        <v>76033.250497257075</v>
      </c>
      <c r="Z933" s="55">
        <v>35558.19</v>
      </c>
      <c r="AA933" s="54">
        <f t="shared" si="319"/>
        <v>35558.19</v>
      </c>
      <c r="AB933" s="54"/>
      <c r="AC933" s="54"/>
      <c r="AD933" s="54"/>
      <c r="AE933" s="54">
        <f t="shared" si="325"/>
        <v>35558.19</v>
      </c>
      <c r="AF933" s="54">
        <f t="shared" si="326"/>
        <v>40475.060497257073</v>
      </c>
      <c r="AG933" s="49">
        <f t="shared" si="327"/>
        <v>492683.30999999994</v>
      </c>
      <c r="AH933" s="49">
        <f t="shared" si="328"/>
        <v>492683.30999999994</v>
      </c>
    </row>
    <row r="934" spans="1:34" s="56" customFormat="1">
      <c r="A934" s="145" t="s">
        <v>1040</v>
      </c>
      <c r="B934" s="145"/>
      <c r="C934" s="145"/>
      <c r="D934" s="156"/>
      <c r="E934" s="51">
        <v>1</v>
      </c>
      <c r="F934" s="51"/>
      <c r="G934" s="147">
        <v>0</v>
      </c>
      <c r="H934" s="147">
        <v>0</v>
      </c>
      <c r="I934" s="49">
        <v>8741</v>
      </c>
      <c r="J934" s="49">
        <f t="shared" ref="J934:J954" si="329">+$I$42*I934</f>
        <v>7316.2169999999996</v>
      </c>
      <c r="K934" s="49">
        <f t="shared" ref="K934:K956" si="330">J934*(1-G934)</f>
        <v>7316.2169999999996</v>
      </c>
      <c r="L934" s="58"/>
      <c r="M934" s="141">
        <v>0</v>
      </c>
      <c r="N934" s="50">
        <f>M934</f>
        <v>0</v>
      </c>
      <c r="O934" s="50">
        <f t="shared" ref="O934:O956" si="331">N934*(1-G934)</f>
        <v>0</v>
      </c>
      <c r="P934" s="59"/>
      <c r="Q934" s="141">
        <v>0</v>
      </c>
      <c r="R934" s="50">
        <f>+Q934</f>
        <v>0</v>
      </c>
      <c r="S934" s="51">
        <f t="shared" ref="S934:S956" si="332">R934*(1-G934)</f>
        <v>0</v>
      </c>
      <c r="T934" s="64">
        <v>15</v>
      </c>
      <c r="U934" s="65" t="s">
        <v>81</v>
      </c>
      <c r="V934" s="53">
        <f>SUMIF('Avoided Costs 2014-2023'!$A:$A,'2014 Actuals'!U934&amp;ROUNDDOWN('2014 Actuals'!T934,0),'Avoided Costs 2014-2023'!$E:$E)*K934</f>
        <v>16936.105259582186</v>
      </c>
      <c r="W934" s="53">
        <f>SUMIF('Avoided Costs 2014-2023'!$A:$A,'2014 Actuals'!U934&amp;ROUNDDOWN('2014 Actuals'!T934,0),'Avoided Costs 2014-2023'!$K:$K)*O934</f>
        <v>0</v>
      </c>
      <c r="X934" s="53">
        <f>SUMIF('Avoided Costs 2014-2023'!$A:$A,'2014 Actuals'!U934&amp;ROUNDDOWN('2014 Actuals'!T934,0),'Avoided Costs 2014-2023'!$M:$M)*S934</f>
        <v>0</v>
      </c>
      <c r="Y934" s="53">
        <f t="shared" ref="Y934:Y957" si="333">SUM(V934:X934)</f>
        <v>16936.105259582186</v>
      </c>
      <c r="Z934" s="55">
        <v>7131</v>
      </c>
      <c r="AA934" s="54">
        <f t="shared" ref="AA934:AA956" si="334">Z934*(1-G934)</f>
        <v>7131</v>
      </c>
      <c r="AB934" s="54"/>
      <c r="AC934" s="54"/>
      <c r="AD934" s="54"/>
      <c r="AE934" s="54">
        <f t="shared" ref="AE934:AE958" si="335">AA934+AC934</f>
        <v>7131</v>
      </c>
      <c r="AF934" s="54">
        <f t="shared" ref="AF934:AF958" si="336">Y934-AE934</f>
        <v>9805.1052595821857</v>
      </c>
      <c r="AG934" s="49">
        <f t="shared" ref="AG934:AG957" si="337">K934*T934</f>
        <v>109743.25499999999</v>
      </c>
      <c r="AH934" s="49">
        <f t="shared" ref="AH934:AH957" si="338">(J934*T934)</f>
        <v>109743.25499999999</v>
      </c>
    </row>
    <row r="935" spans="1:34" s="56" customFormat="1">
      <c r="A935" s="145" t="s">
        <v>1041</v>
      </c>
      <c r="B935" s="145"/>
      <c r="C935" s="145"/>
      <c r="D935" s="156"/>
      <c r="E935" s="51">
        <v>1</v>
      </c>
      <c r="F935" s="51"/>
      <c r="G935" s="147">
        <v>0</v>
      </c>
      <c r="H935" s="147">
        <v>0</v>
      </c>
      <c r="I935" s="49">
        <v>46700</v>
      </c>
      <c r="J935" s="49">
        <f t="shared" si="329"/>
        <v>39087.9</v>
      </c>
      <c r="K935" s="49">
        <f t="shared" si="330"/>
        <v>39087.9</v>
      </c>
      <c r="L935" s="58"/>
      <c r="M935" s="141">
        <v>0</v>
      </c>
      <c r="N935" s="50">
        <f t="shared" ref="N935:N956" si="339">+$M$42*M935</f>
        <v>0</v>
      </c>
      <c r="O935" s="50">
        <f t="shared" si="331"/>
        <v>0</v>
      </c>
      <c r="P935" s="59"/>
      <c r="Q935" s="141">
        <v>0</v>
      </c>
      <c r="R935" s="50">
        <f t="shared" ref="R935:R956" si="340">+Q935*$Q$42</f>
        <v>0</v>
      </c>
      <c r="S935" s="51">
        <f t="shared" si="332"/>
        <v>0</v>
      </c>
      <c r="T935" s="64">
        <v>15</v>
      </c>
      <c r="U935" s="65" t="s">
        <v>81</v>
      </c>
      <c r="V935" s="53">
        <f>SUMIF('Avoided Costs 2014-2023'!$A:$A,'2014 Actuals'!U935&amp;ROUNDDOWN('2014 Actuals'!T935,0),'Avoided Costs 2014-2023'!$E:$E)*K935</f>
        <v>90483.481938278012</v>
      </c>
      <c r="W935" s="53">
        <f>SUMIF('Avoided Costs 2014-2023'!$A:$A,'2014 Actuals'!U935&amp;ROUNDDOWN('2014 Actuals'!T935,0),'Avoided Costs 2014-2023'!$K:$K)*O935</f>
        <v>0</v>
      </c>
      <c r="X935" s="53">
        <f>SUMIF('Avoided Costs 2014-2023'!$A:$A,'2014 Actuals'!U935&amp;ROUNDDOWN('2014 Actuals'!T935,0),'Avoided Costs 2014-2023'!$M:$M)*S935</f>
        <v>0</v>
      </c>
      <c r="Y935" s="53">
        <f t="shared" si="333"/>
        <v>90483.481938278012</v>
      </c>
      <c r="Z935" s="55">
        <v>49681</v>
      </c>
      <c r="AA935" s="54">
        <f t="shared" si="334"/>
        <v>49681</v>
      </c>
      <c r="AB935" s="54"/>
      <c r="AC935" s="54"/>
      <c r="AD935" s="54"/>
      <c r="AE935" s="54">
        <f t="shared" si="335"/>
        <v>49681</v>
      </c>
      <c r="AF935" s="54">
        <f t="shared" si="336"/>
        <v>40802.481938278012</v>
      </c>
      <c r="AG935" s="49">
        <f t="shared" si="337"/>
        <v>586318.5</v>
      </c>
      <c r="AH935" s="49">
        <f t="shared" si="338"/>
        <v>586318.5</v>
      </c>
    </row>
    <row r="936" spans="1:34" s="56" customFormat="1">
      <c r="A936" s="145" t="s">
        <v>1042</v>
      </c>
      <c r="B936" s="145"/>
      <c r="C936" s="145"/>
      <c r="D936" s="156"/>
      <c r="E936" s="51">
        <v>1</v>
      </c>
      <c r="F936" s="51"/>
      <c r="G936" s="147">
        <v>0</v>
      </c>
      <c r="H936" s="147">
        <v>0</v>
      </c>
      <c r="I936" s="49">
        <v>39596</v>
      </c>
      <c r="J936" s="49">
        <f t="shared" si="329"/>
        <v>33141.851999999999</v>
      </c>
      <c r="K936" s="49">
        <f t="shared" si="330"/>
        <v>33141.851999999999</v>
      </c>
      <c r="L936" s="58"/>
      <c r="M936" s="141">
        <v>0</v>
      </c>
      <c r="N936" s="50">
        <f t="shared" si="339"/>
        <v>0</v>
      </c>
      <c r="O936" s="50">
        <f t="shared" si="331"/>
        <v>0</v>
      </c>
      <c r="P936" s="59"/>
      <c r="Q936" s="141">
        <v>0</v>
      </c>
      <c r="R936" s="50">
        <f t="shared" si="340"/>
        <v>0</v>
      </c>
      <c r="S936" s="51">
        <f t="shared" si="332"/>
        <v>0</v>
      </c>
      <c r="T936" s="64">
        <v>15</v>
      </c>
      <c r="U936" s="65" t="s">
        <v>81</v>
      </c>
      <c r="V936" s="53">
        <f>SUMIF('Avoided Costs 2014-2023'!$A:$A,'2014 Actuals'!U936&amp;ROUNDDOWN('2014 Actuals'!T936,0),'Avoided Costs 2014-2023'!$E:$E)*K936</f>
        <v>76719.142416018323</v>
      </c>
      <c r="W936" s="53">
        <f>SUMIF('Avoided Costs 2014-2023'!$A:$A,'2014 Actuals'!U936&amp;ROUNDDOWN('2014 Actuals'!T936,0),'Avoided Costs 2014-2023'!$K:$K)*O936</f>
        <v>0</v>
      </c>
      <c r="X936" s="53">
        <f>SUMIF('Avoided Costs 2014-2023'!$A:$A,'2014 Actuals'!U936&amp;ROUNDDOWN('2014 Actuals'!T936,0),'Avoided Costs 2014-2023'!$M:$M)*S936</f>
        <v>0</v>
      </c>
      <c r="Y936" s="53">
        <f t="shared" si="333"/>
        <v>76719.142416018323</v>
      </c>
      <c r="Z936" s="55">
        <v>36465.660000000003</v>
      </c>
      <c r="AA936" s="54">
        <f t="shared" si="334"/>
        <v>36465.660000000003</v>
      </c>
      <c r="AB936" s="54"/>
      <c r="AC936" s="54"/>
      <c r="AD936" s="54"/>
      <c r="AE936" s="54">
        <f t="shared" si="335"/>
        <v>36465.660000000003</v>
      </c>
      <c r="AF936" s="54">
        <f t="shared" si="336"/>
        <v>40253.48241601832</v>
      </c>
      <c r="AG936" s="49">
        <f t="shared" si="337"/>
        <v>497127.77999999997</v>
      </c>
      <c r="AH936" s="49">
        <f t="shared" si="338"/>
        <v>497127.77999999997</v>
      </c>
    </row>
    <row r="937" spans="1:34" s="56" customFormat="1">
      <c r="A937" s="145" t="s">
        <v>1043</v>
      </c>
      <c r="B937" s="145"/>
      <c r="C937" s="145"/>
      <c r="D937" s="156"/>
      <c r="E937" s="51">
        <v>1</v>
      </c>
      <c r="F937" s="51"/>
      <c r="G937" s="147">
        <v>0</v>
      </c>
      <c r="H937" s="147">
        <v>0</v>
      </c>
      <c r="I937" s="49">
        <v>12124</v>
      </c>
      <c r="J937" s="49">
        <f t="shared" si="329"/>
        <v>10147.788</v>
      </c>
      <c r="K937" s="49">
        <f t="shared" si="330"/>
        <v>10147.788</v>
      </c>
      <c r="L937" s="58"/>
      <c r="M937" s="141">
        <v>0</v>
      </c>
      <c r="N937" s="50">
        <f t="shared" si="339"/>
        <v>0</v>
      </c>
      <c r="O937" s="50">
        <f t="shared" si="331"/>
        <v>0</v>
      </c>
      <c r="P937" s="59"/>
      <c r="Q937" s="141">
        <v>0</v>
      </c>
      <c r="R937" s="50">
        <f t="shared" si="340"/>
        <v>0</v>
      </c>
      <c r="S937" s="51">
        <f t="shared" si="332"/>
        <v>0</v>
      </c>
      <c r="T937" s="64">
        <v>15</v>
      </c>
      <c r="U937" s="65" t="s">
        <v>81</v>
      </c>
      <c r="V937" s="53">
        <f>SUMIF('Avoided Costs 2014-2023'!$A:$A,'2014 Actuals'!U937&amp;ROUNDDOWN('2014 Actuals'!T937,0),'Avoided Costs 2014-2023'!$E:$E)*K937</f>
        <v>23490.829443676288</v>
      </c>
      <c r="W937" s="53">
        <f>SUMIF('Avoided Costs 2014-2023'!$A:$A,'2014 Actuals'!U937&amp;ROUNDDOWN('2014 Actuals'!T937,0),'Avoided Costs 2014-2023'!$K:$K)*O937</f>
        <v>0</v>
      </c>
      <c r="X937" s="53">
        <f>SUMIF('Avoided Costs 2014-2023'!$A:$A,'2014 Actuals'!U937&amp;ROUNDDOWN('2014 Actuals'!T937,0),'Avoided Costs 2014-2023'!$M:$M)*S937</f>
        <v>0</v>
      </c>
      <c r="Y937" s="53">
        <f t="shared" si="333"/>
        <v>23490.829443676288</v>
      </c>
      <c r="Z937" s="55">
        <v>14166</v>
      </c>
      <c r="AA937" s="54">
        <f t="shared" si="334"/>
        <v>14166</v>
      </c>
      <c r="AB937" s="54"/>
      <c r="AC937" s="54"/>
      <c r="AD937" s="54"/>
      <c r="AE937" s="54">
        <f t="shared" si="335"/>
        <v>14166</v>
      </c>
      <c r="AF937" s="54">
        <f t="shared" si="336"/>
        <v>9324.8294436762881</v>
      </c>
      <c r="AG937" s="49">
        <f t="shared" si="337"/>
        <v>152216.82</v>
      </c>
      <c r="AH937" s="49">
        <f t="shared" si="338"/>
        <v>152216.82</v>
      </c>
    </row>
    <row r="938" spans="1:34" s="56" customFormat="1">
      <c r="A938" s="145" t="s">
        <v>1044</v>
      </c>
      <c r="B938" s="145"/>
      <c r="C938" s="145"/>
      <c r="D938" s="156"/>
      <c r="E938" s="51">
        <v>1</v>
      </c>
      <c r="F938" s="51"/>
      <c r="G938" s="147">
        <v>0</v>
      </c>
      <c r="H938" s="147">
        <v>0</v>
      </c>
      <c r="I938" s="49">
        <v>24074</v>
      </c>
      <c r="J938" s="49">
        <f t="shared" si="329"/>
        <v>20149.937999999998</v>
      </c>
      <c r="K938" s="49">
        <f t="shared" si="330"/>
        <v>20149.937999999998</v>
      </c>
      <c r="L938" s="58"/>
      <c r="M938" s="141">
        <v>0</v>
      </c>
      <c r="N938" s="50">
        <f t="shared" si="339"/>
        <v>0</v>
      </c>
      <c r="O938" s="50">
        <f t="shared" si="331"/>
        <v>0</v>
      </c>
      <c r="P938" s="59"/>
      <c r="Q938" s="141">
        <v>0</v>
      </c>
      <c r="R938" s="50">
        <f t="shared" si="340"/>
        <v>0</v>
      </c>
      <c r="S938" s="51">
        <f t="shared" si="332"/>
        <v>0</v>
      </c>
      <c r="T938" s="64">
        <v>15</v>
      </c>
      <c r="U938" s="65" t="s">
        <v>81</v>
      </c>
      <c r="V938" s="53">
        <f>SUMIF('Avoided Costs 2014-2023'!$A:$A,'2014 Actuals'!U938&amp;ROUNDDOWN('2014 Actuals'!T938,0),'Avoided Costs 2014-2023'!$E:$E)*K938</f>
        <v>46644.525571351274</v>
      </c>
      <c r="W938" s="53">
        <f>SUMIF('Avoided Costs 2014-2023'!$A:$A,'2014 Actuals'!U938&amp;ROUNDDOWN('2014 Actuals'!T938,0),'Avoided Costs 2014-2023'!$K:$K)*O938</f>
        <v>0</v>
      </c>
      <c r="X938" s="53">
        <f>SUMIF('Avoided Costs 2014-2023'!$A:$A,'2014 Actuals'!U938&amp;ROUNDDOWN('2014 Actuals'!T938,0),'Avoided Costs 2014-2023'!$M:$M)*S938</f>
        <v>0</v>
      </c>
      <c r="Y938" s="53">
        <f t="shared" si="333"/>
        <v>46644.525571351274</v>
      </c>
      <c r="Z938" s="55">
        <v>22171</v>
      </c>
      <c r="AA938" s="54">
        <f t="shared" si="334"/>
        <v>22171</v>
      </c>
      <c r="AB938" s="54"/>
      <c r="AC938" s="54"/>
      <c r="AD938" s="54"/>
      <c r="AE938" s="54">
        <f t="shared" si="335"/>
        <v>22171</v>
      </c>
      <c r="AF938" s="54">
        <f t="shared" si="336"/>
        <v>24473.525571351274</v>
      </c>
      <c r="AG938" s="49">
        <f t="shared" si="337"/>
        <v>302249.06999999995</v>
      </c>
      <c r="AH938" s="49">
        <f t="shared" si="338"/>
        <v>302249.06999999995</v>
      </c>
    </row>
    <row r="939" spans="1:34" s="56" customFormat="1">
      <c r="A939" s="145" t="s">
        <v>1045</v>
      </c>
      <c r="B939" s="145"/>
      <c r="C939" s="145"/>
      <c r="D939" s="156"/>
      <c r="E939" s="51">
        <v>1</v>
      </c>
      <c r="F939" s="51"/>
      <c r="G939" s="147">
        <v>0</v>
      </c>
      <c r="H939" s="147">
        <v>0</v>
      </c>
      <c r="I939" s="49">
        <v>33791</v>
      </c>
      <c r="J939" s="49">
        <f t="shared" si="329"/>
        <v>28283.066999999999</v>
      </c>
      <c r="K939" s="49">
        <f t="shared" si="330"/>
        <v>28283.066999999999</v>
      </c>
      <c r="L939" s="58"/>
      <c r="M939" s="141">
        <v>21187</v>
      </c>
      <c r="N939" s="50">
        <f t="shared" si="339"/>
        <v>21187</v>
      </c>
      <c r="O939" s="50">
        <f t="shared" si="331"/>
        <v>21187</v>
      </c>
      <c r="P939" s="59"/>
      <c r="Q939" s="141">
        <v>0</v>
      </c>
      <c r="R939" s="50">
        <f t="shared" si="340"/>
        <v>0</v>
      </c>
      <c r="S939" s="51">
        <f t="shared" si="332"/>
        <v>0</v>
      </c>
      <c r="T939" s="64">
        <v>15</v>
      </c>
      <c r="U939" s="65" t="s">
        <v>81</v>
      </c>
      <c r="V939" s="53">
        <f>SUMIF('Avoided Costs 2014-2023'!$A:$A,'2014 Actuals'!U939&amp;ROUNDDOWN('2014 Actuals'!T939,0),'Avoided Costs 2014-2023'!$E:$E)*K939</f>
        <v>65471.677477009682</v>
      </c>
      <c r="W939" s="53">
        <f>SUMIF('Avoided Costs 2014-2023'!$A:$A,'2014 Actuals'!U939&amp;ROUNDDOWN('2014 Actuals'!T939,0),'Avoided Costs 2014-2023'!$K:$K)*O939</f>
        <v>25053.21144505735</v>
      </c>
      <c r="X939" s="53">
        <f>SUMIF('Avoided Costs 2014-2023'!$A:$A,'2014 Actuals'!U939&amp;ROUNDDOWN('2014 Actuals'!T939,0),'Avoided Costs 2014-2023'!$M:$M)*S939</f>
        <v>0</v>
      </c>
      <c r="Y939" s="53">
        <f t="shared" si="333"/>
        <v>90524.888922067039</v>
      </c>
      <c r="Z939" s="55">
        <v>7000</v>
      </c>
      <c r="AA939" s="54">
        <f t="shared" si="334"/>
        <v>7000</v>
      </c>
      <c r="AB939" s="54"/>
      <c r="AC939" s="54"/>
      <c r="AD939" s="54"/>
      <c r="AE939" s="54">
        <f t="shared" si="335"/>
        <v>7000</v>
      </c>
      <c r="AF939" s="54">
        <f t="shared" si="336"/>
        <v>83524.888922067039</v>
      </c>
      <c r="AG939" s="49">
        <f t="shared" si="337"/>
        <v>424246.005</v>
      </c>
      <c r="AH939" s="49">
        <f t="shared" si="338"/>
        <v>424246.005</v>
      </c>
    </row>
    <row r="940" spans="1:34" s="56" customFormat="1">
      <c r="A940" s="145" t="s">
        <v>1046</v>
      </c>
      <c r="B940" s="145"/>
      <c r="C940" s="145"/>
      <c r="D940" s="156"/>
      <c r="E940" s="51">
        <v>1</v>
      </c>
      <c r="F940" s="51"/>
      <c r="G940" s="147">
        <v>0</v>
      </c>
      <c r="H940" s="147">
        <v>0</v>
      </c>
      <c r="I940" s="49">
        <v>11954</v>
      </c>
      <c r="J940" s="49">
        <f t="shared" si="329"/>
        <v>10005.498</v>
      </c>
      <c r="K940" s="49">
        <f t="shared" si="330"/>
        <v>10005.498</v>
      </c>
      <c r="L940" s="58"/>
      <c r="M940" s="141">
        <v>0</v>
      </c>
      <c r="N940" s="50">
        <f t="shared" si="339"/>
        <v>0</v>
      </c>
      <c r="O940" s="50">
        <f t="shared" si="331"/>
        <v>0</v>
      </c>
      <c r="P940" s="59"/>
      <c r="Q940" s="141">
        <v>0</v>
      </c>
      <c r="R940" s="50">
        <f t="shared" si="340"/>
        <v>0</v>
      </c>
      <c r="S940" s="51">
        <f t="shared" si="332"/>
        <v>0</v>
      </c>
      <c r="T940" s="64">
        <v>15</v>
      </c>
      <c r="U940" s="65" t="s">
        <v>81</v>
      </c>
      <c r="V940" s="53">
        <f>SUMIF('Avoided Costs 2014-2023'!$A:$A,'2014 Actuals'!U940&amp;ROUNDDOWN('2014 Actuals'!T940,0),'Avoided Costs 2014-2023'!$E:$E)*K940</f>
        <v>23161.446318847436</v>
      </c>
      <c r="W940" s="53">
        <f>SUMIF('Avoided Costs 2014-2023'!$A:$A,'2014 Actuals'!U940&amp;ROUNDDOWN('2014 Actuals'!T940,0),'Avoided Costs 2014-2023'!$K:$K)*O940</f>
        <v>0</v>
      </c>
      <c r="X940" s="53">
        <f>SUMIF('Avoided Costs 2014-2023'!$A:$A,'2014 Actuals'!U940&amp;ROUNDDOWN('2014 Actuals'!T940,0),'Avoided Costs 2014-2023'!$M:$M)*S940</f>
        <v>0</v>
      </c>
      <c r="Y940" s="53">
        <f t="shared" si="333"/>
        <v>23161.446318847436</v>
      </c>
      <c r="Z940" s="55">
        <v>10758.96</v>
      </c>
      <c r="AA940" s="54">
        <f t="shared" si="334"/>
        <v>10758.96</v>
      </c>
      <c r="AB940" s="54"/>
      <c r="AC940" s="54"/>
      <c r="AD940" s="54"/>
      <c r="AE940" s="54">
        <f t="shared" si="335"/>
        <v>10758.96</v>
      </c>
      <c r="AF940" s="54">
        <f t="shared" si="336"/>
        <v>12402.486318847437</v>
      </c>
      <c r="AG940" s="49">
        <f t="shared" si="337"/>
        <v>150082.47</v>
      </c>
      <c r="AH940" s="49">
        <f t="shared" si="338"/>
        <v>150082.47</v>
      </c>
    </row>
    <row r="941" spans="1:34" s="56" customFormat="1">
      <c r="A941" s="145" t="s">
        <v>1047</v>
      </c>
      <c r="B941" s="145"/>
      <c r="C941" s="145"/>
      <c r="D941" s="156"/>
      <c r="E941" s="51">
        <v>0</v>
      </c>
      <c r="F941" s="51"/>
      <c r="G941" s="147">
        <v>0</v>
      </c>
      <c r="H941" s="147">
        <v>0</v>
      </c>
      <c r="I941" s="49">
        <v>8564</v>
      </c>
      <c r="J941" s="49">
        <f t="shared" si="329"/>
        <v>7168.0679999999993</v>
      </c>
      <c r="K941" s="49">
        <f t="shared" si="330"/>
        <v>7168.0679999999993</v>
      </c>
      <c r="L941" s="58"/>
      <c r="M941" s="141">
        <v>0</v>
      </c>
      <c r="N941" s="50">
        <f t="shared" si="339"/>
        <v>0</v>
      </c>
      <c r="O941" s="50">
        <f t="shared" si="331"/>
        <v>0</v>
      </c>
      <c r="P941" s="59"/>
      <c r="Q941" s="141">
        <v>0</v>
      </c>
      <c r="R941" s="50">
        <f t="shared" si="340"/>
        <v>0</v>
      </c>
      <c r="S941" s="51">
        <f t="shared" si="332"/>
        <v>0</v>
      </c>
      <c r="T941" s="64">
        <v>25</v>
      </c>
      <c r="U941" s="65" t="s">
        <v>94</v>
      </c>
      <c r="V941" s="53">
        <f>SUMIF('Avoided Costs 2014-2023'!$A:$A,'2014 Actuals'!U941&amp;ROUNDDOWN('2014 Actuals'!T941,0),'Avoided Costs 2014-2023'!$E:$E)*K941</f>
        <v>21330.357092735376</v>
      </c>
      <c r="W941" s="53">
        <f>SUMIF('Avoided Costs 2014-2023'!$A:$A,'2014 Actuals'!U941&amp;ROUNDDOWN('2014 Actuals'!T941,0),'Avoided Costs 2014-2023'!$K:$K)*O941</f>
        <v>0</v>
      </c>
      <c r="X941" s="53">
        <f>SUMIF('Avoided Costs 2014-2023'!$A:$A,'2014 Actuals'!U941&amp;ROUNDDOWN('2014 Actuals'!T941,0),'Avoided Costs 2014-2023'!$M:$M)*S941</f>
        <v>0</v>
      </c>
      <c r="Y941" s="53">
        <f t="shared" si="333"/>
        <v>21330.357092735376</v>
      </c>
      <c r="Z941" s="55">
        <v>11300</v>
      </c>
      <c r="AA941" s="54">
        <f t="shared" si="334"/>
        <v>11300</v>
      </c>
      <c r="AB941" s="54"/>
      <c r="AC941" s="54"/>
      <c r="AD941" s="54"/>
      <c r="AE941" s="54">
        <f t="shared" si="335"/>
        <v>11300</v>
      </c>
      <c r="AF941" s="54">
        <f t="shared" si="336"/>
        <v>10030.357092735376</v>
      </c>
      <c r="AG941" s="49">
        <f t="shared" si="337"/>
        <v>179201.69999999998</v>
      </c>
      <c r="AH941" s="49">
        <f t="shared" si="338"/>
        <v>179201.69999999998</v>
      </c>
    </row>
    <row r="942" spans="1:34" s="56" customFormat="1">
      <c r="A942" s="145" t="s">
        <v>1048</v>
      </c>
      <c r="B942" s="145"/>
      <c r="C942" s="145"/>
      <c r="D942" s="156"/>
      <c r="E942" s="51">
        <v>1</v>
      </c>
      <c r="F942" s="51"/>
      <c r="G942" s="147">
        <v>0</v>
      </c>
      <c r="H942" s="147">
        <v>0</v>
      </c>
      <c r="I942" s="49">
        <v>10703</v>
      </c>
      <c r="J942" s="49">
        <f t="shared" si="329"/>
        <v>8958.4110000000001</v>
      </c>
      <c r="K942" s="49">
        <f t="shared" si="330"/>
        <v>8958.4110000000001</v>
      </c>
      <c r="L942" s="58"/>
      <c r="M942" s="141">
        <v>0</v>
      </c>
      <c r="N942" s="50">
        <f t="shared" si="339"/>
        <v>0</v>
      </c>
      <c r="O942" s="50">
        <f t="shared" si="331"/>
        <v>0</v>
      </c>
      <c r="P942" s="59"/>
      <c r="Q942" s="141">
        <v>0</v>
      </c>
      <c r="R942" s="50">
        <f t="shared" si="340"/>
        <v>0</v>
      </c>
      <c r="S942" s="51">
        <f t="shared" si="332"/>
        <v>0</v>
      </c>
      <c r="T942" s="64">
        <v>25</v>
      </c>
      <c r="U942" s="65" t="s">
        <v>81</v>
      </c>
      <c r="V942" s="53">
        <f>SUMIF('Avoided Costs 2014-2023'!$A:$A,'2014 Actuals'!U942&amp;ROUNDDOWN('2014 Actuals'!T942,0),'Avoided Costs 2014-2023'!$E:$E)*K942</f>
        <v>28454.453752372228</v>
      </c>
      <c r="W942" s="53">
        <f>SUMIF('Avoided Costs 2014-2023'!$A:$A,'2014 Actuals'!U942&amp;ROUNDDOWN('2014 Actuals'!T942,0),'Avoided Costs 2014-2023'!$K:$K)*O942</f>
        <v>0</v>
      </c>
      <c r="X942" s="53">
        <f>SUMIF('Avoided Costs 2014-2023'!$A:$A,'2014 Actuals'!U942&amp;ROUNDDOWN('2014 Actuals'!T942,0),'Avoided Costs 2014-2023'!$M:$M)*S942</f>
        <v>0</v>
      </c>
      <c r="Y942" s="53">
        <f t="shared" si="333"/>
        <v>28454.453752372228</v>
      </c>
      <c r="Z942" s="55">
        <v>7994</v>
      </c>
      <c r="AA942" s="54">
        <f t="shared" si="334"/>
        <v>7994</v>
      </c>
      <c r="AB942" s="54"/>
      <c r="AC942" s="54"/>
      <c r="AD942" s="54"/>
      <c r="AE942" s="54">
        <f t="shared" si="335"/>
        <v>7994</v>
      </c>
      <c r="AF942" s="54">
        <f t="shared" si="336"/>
        <v>20460.453752372228</v>
      </c>
      <c r="AG942" s="49">
        <f t="shared" si="337"/>
        <v>223960.27499999999</v>
      </c>
      <c r="AH942" s="49">
        <f t="shared" si="338"/>
        <v>223960.27499999999</v>
      </c>
    </row>
    <row r="943" spans="1:34" s="56" customFormat="1">
      <c r="A943" s="145" t="s">
        <v>1049</v>
      </c>
      <c r="B943" s="145"/>
      <c r="C943" s="145"/>
      <c r="D943" s="156"/>
      <c r="E943" s="51">
        <v>1</v>
      </c>
      <c r="F943" s="51"/>
      <c r="G943" s="147">
        <v>0</v>
      </c>
      <c r="H943" s="147">
        <v>0</v>
      </c>
      <c r="I943" s="49">
        <v>13035</v>
      </c>
      <c r="J943" s="49">
        <f t="shared" si="329"/>
        <v>10910.295</v>
      </c>
      <c r="K943" s="49">
        <f t="shared" si="330"/>
        <v>10910.295</v>
      </c>
      <c r="L943" s="58"/>
      <c r="M943" s="141">
        <v>0</v>
      </c>
      <c r="N943" s="50">
        <f t="shared" si="339"/>
        <v>0</v>
      </c>
      <c r="O943" s="50">
        <f t="shared" si="331"/>
        <v>0</v>
      </c>
      <c r="P943" s="59"/>
      <c r="Q943" s="141">
        <v>0</v>
      </c>
      <c r="R943" s="50">
        <f t="shared" si="340"/>
        <v>0</v>
      </c>
      <c r="S943" s="51">
        <f t="shared" si="332"/>
        <v>0</v>
      </c>
      <c r="T943" s="64">
        <v>15</v>
      </c>
      <c r="U943" s="65" t="s">
        <v>81</v>
      </c>
      <c r="V943" s="53">
        <f>SUMIF('Avoided Costs 2014-2023'!$A:$A,'2014 Actuals'!U943&amp;ROUNDDOWN('2014 Actuals'!T943,0),'Avoided Costs 2014-2023'!$E:$E)*K943</f>
        <v>25255.935483200297</v>
      </c>
      <c r="W943" s="53">
        <f>SUMIF('Avoided Costs 2014-2023'!$A:$A,'2014 Actuals'!U943&amp;ROUNDDOWN('2014 Actuals'!T943,0),'Avoided Costs 2014-2023'!$K:$K)*O943</f>
        <v>0</v>
      </c>
      <c r="X943" s="53">
        <f>SUMIF('Avoided Costs 2014-2023'!$A:$A,'2014 Actuals'!U943&amp;ROUNDDOWN('2014 Actuals'!T943,0),'Avoided Costs 2014-2023'!$M:$M)*S943</f>
        <v>0</v>
      </c>
      <c r="Y943" s="53">
        <f t="shared" si="333"/>
        <v>25255.935483200297</v>
      </c>
      <c r="Z943" s="55">
        <v>7074</v>
      </c>
      <c r="AA943" s="54">
        <f t="shared" si="334"/>
        <v>7074</v>
      </c>
      <c r="AB943" s="54"/>
      <c r="AC943" s="54"/>
      <c r="AD943" s="54"/>
      <c r="AE943" s="54">
        <f t="shared" si="335"/>
        <v>7074</v>
      </c>
      <c r="AF943" s="54">
        <f t="shared" si="336"/>
        <v>18181.935483200297</v>
      </c>
      <c r="AG943" s="49">
        <f t="shared" si="337"/>
        <v>163654.42499999999</v>
      </c>
      <c r="AH943" s="49">
        <f t="shared" si="338"/>
        <v>163654.42499999999</v>
      </c>
    </row>
    <row r="944" spans="1:34" s="56" customFormat="1">
      <c r="A944" s="145" t="s">
        <v>1050</v>
      </c>
      <c r="B944" s="145"/>
      <c r="C944" s="145"/>
      <c r="D944" s="156"/>
      <c r="E944" s="51">
        <v>1</v>
      </c>
      <c r="F944" s="51"/>
      <c r="G944" s="147">
        <v>0</v>
      </c>
      <c r="H944" s="147">
        <v>0</v>
      </c>
      <c r="I944" s="49">
        <v>53426</v>
      </c>
      <c r="J944" s="49">
        <f t="shared" si="329"/>
        <v>44717.561999999998</v>
      </c>
      <c r="K944" s="49">
        <f t="shared" si="330"/>
        <v>44717.561999999998</v>
      </c>
      <c r="L944" s="58"/>
      <c r="M944" s="141">
        <v>0</v>
      </c>
      <c r="N944" s="50">
        <f t="shared" si="339"/>
        <v>0</v>
      </c>
      <c r="O944" s="50">
        <f t="shared" si="331"/>
        <v>0</v>
      </c>
      <c r="P944" s="59"/>
      <c r="Q944" s="141">
        <v>0</v>
      </c>
      <c r="R944" s="50">
        <f t="shared" si="340"/>
        <v>0</v>
      </c>
      <c r="S944" s="51">
        <f t="shared" si="332"/>
        <v>0</v>
      </c>
      <c r="T944" s="64">
        <v>15</v>
      </c>
      <c r="U944" s="65" t="s">
        <v>81</v>
      </c>
      <c r="V944" s="53">
        <f>SUMIF('Avoided Costs 2014-2023'!$A:$A,'2014 Actuals'!U944&amp;ROUNDDOWN('2014 Actuals'!T944,0),'Avoided Costs 2014-2023'!$E:$E)*K944</f>
        <v>103515.42839474177</v>
      </c>
      <c r="W944" s="53">
        <f>SUMIF('Avoided Costs 2014-2023'!$A:$A,'2014 Actuals'!U944&amp;ROUNDDOWN('2014 Actuals'!T944,0),'Avoided Costs 2014-2023'!$K:$K)*O944</f>
        <v>0</v>
      </c>
      <c r="X944" s="53">
        <f>SUMIF('Avoided Costs 2014-2023'!$A:$A,'2014 Actuals'!U944&amp;ROUNDDOWN('2014 Actuals'!T944,0),'Avoided Costs 2014-2023'!$M:$M)*S944</f>
        <v>0</v>
      </c>
      <c r="Y944" s="53">
        <f t="shared" si="333"/>
        <v>103515.42839474177</v>
      </c>
      <c r="Z944" s="55">
        <v>58082</v>
      </c>
      <c r="AA944" s="54">
        <f t="shared" si="334"/>
        <v>58082</v>
      </c>
      <c r="AB944" s="54"/>
      <c r="AC944" s="54"/>
      <c r="AD944" s="54"/>
      <c r="AE944" s="54">
        <f t="shared" si="335"/>
        <v>58082</v>
      </c>
      <c r="AF944" s="54">
        <f t="shared" si="336"/>
        <v>45433.428394741772</v>
      </c>
      <c r="AG944" s="49">
        <f t="shared" si="337"/>
        <v>670763.42999999993</v>
      </c>
      <c r="AH944" s="49">
        <f t="shared" si="338"/>
        <v>670763.42999999993</v>
      </c>
    </row>
    <row r="945" spans="1:34" s="56" customFormat="1">
      <c r="A945" s="145" t="s">
        <v>1051</v>
      </c>
      <c r="B945" s="145"/>
      <c r="C945" s="145"/>
      <c r="D945" s="156"/>
      <c r="E945" s="51">
        <v>0</v>
      </c>
      <c r="F945" s="51"/>
      <c r="G945" s="147">
        <v>0</v>
      </c>
      <c r="H945" s="147">
        <v>0</v>
      </c>
      <c r="I945" s="49">
        <v>19974</v>
      </c>
      <c r="J945" s="49">
        <f t="shared" si="329"/>
        <v>16718.237999999998</v>
      </c>
      <c r="K945" s="49">
        <f t="shared" si="330"/>
        <v>16718.237999999998</v>
      </c>
      <c r="L945" s="58"/>
      <c r="M945" s="141">
        <v>27352</v>
      </c>
      <c r="N945" s="50">
        <f t="shared" si="339"/>
        <v>27352</v>
      </c>
      <c r="O945" s="50">
        <f t="shared" si="331"/>
        <v>27352</v>
      </c>
      <c r="P945" s="59"/>
      <c r="Q945" s="141">
        <v>0</v>
      </c>
      <c r="R945" s="50">
        <f t="shared" si="340"/>
        <v>0</v>
      </c>
      <c r="S945" s="51">
        <f t="shared" si="332"/>
        <v>0</v>
      </c>
      <c r="T945" s="64">
        <v>15</v>
      </c>
      <c r="U945" s="65" t="s">
        <v>81</v>
      </c>
      <c r="V945" s="53">
        <f>SUMIF('Avoided Costs 2014-2023'!$A:$A,'2014 Actuals'!U945&amp;ROUNDDOWN('2014 Actuals'!T945,0),'Avoided Costs 2014-2023'!$E:$E)*K945</f>
        <v>38700.579619596676</v>
      </c>
      <c r="W945" s="53">
        <f>SUMIF('Avoided Costs 2014-2023'!$A:$A,'2014 Actuals'!U945&amp;ROUNDDOWN('2014 Actuals'!T945,0),'Avoided Costs 2014-2023'!$K:$K)*O945</f>
        <v>32343.202881257785</v>
      </c>
      <c r="X945" s="53">
        <f>SUMIF('Avoided Costs 2014-2023'!$A:$A,'2014 Actuals'!U945&amp;ROUNDDOWN('2014 Actuals'!T945,0),'Avoided Costs 2014-2023'!$M:$M)*S945</f>
        <v>0</v>
      </c>
      <c r="Y945" s="53">
        <f t="shared" si="333"/>
        <v>71043.782500854461</v>
      </c>
      <c r="Z945" s="55">
        <v>60669</v>
      </c>
      <c r="AA945" s="54">
        <f t="shared" si="334"/>
        <v>60669</v>
      </c>
      <c r="AB945" s="54"/>
      <c r="AC945" s="54"/>
      <c r="AD945" s="54"/>
      <c r="AE945" s="54">
        <f t="shared" si="335"/>
        <v>60669</v>
      </c>
      <c r="AF945" s="54">
        <f t="shared" si="336"/>
        <v>10374.782500854461</v>
      </c>
      <c r="AG945" s="49">
        <f t="shared" si="337"/>
        <v>250773.56999999995</v>
      </c>
      <c r="AH945" s="49">
        <f t="shared" si="338"/>
        <v>250773.56999999995</v>
      </c>
    </row>
    <row r="946" spans="1:34" s="56" customFormat="1">
      <c r="A946" s="145" t="s">
        <v>1052</v>
      </c>
      <c r="B946" s="145"/>
      <c r="C946" s="145"/>
      <c r="D946" s="156"/>
      <c r="E946" s="51">
        <v>1</v>
      </c>
      <c r="F946" s="51"/>
      <c r="G946" s="147">
        <v>0</v>
      </c>
      <c r="H946" s="147">
        <v>0</v>
      </c>
      <c r="I946" s="49">
        <v>11931</v>
      </c>
      <c r="J946" s="49">
        <f t="shared" si="329"/>
        <v>9986.2469999999994</v>
      </c>
      <c r="K946" s="49">
        <f t="shared" si="330"/>
        <v>9986.2469999999994</v>
      </c>
      <c r="L946" s="58"/>
      <c r="M946" s="141">
        <v>0</v>
      </c>
      <c r="N946" s="50">
        <f t="shared" si="339"/>
        <v>0</v>
      </c>
      <c r="O946" s="50">
        <f t="shared" si="331"/>
        <v>0</v>
      </c>
      <c r="P946" s="59"/>
      <c r="Q946" s="141">
        <v>0</v>
      </c>
      <c r="R946" s="50">
        <f t="shared" si="340"/>
        <v>0</v>
      </c>
      <c r="S946" s="51">
        <f t="shared" si="332"/>
        <v>0</v>
      </c>
      <c r="T946" s="64">
        <v>25</v>
      </c>
      <c r="U946" s="65" t="s">
        <v>94</v>
      </c>
      <c r="V946" s="53">
        <f>SUMIF('Avoided Costs 2014-2023'!$A:$A,'2014 Actuals'!U946&amp;ROUNDDOWN('2014 Actuals'!T946,0),'Avoided Costs 2014-2023'!$E:$E)*K946</f>
        <v>29716.544894141265</v>
      </c>
      <c r="W946" s="53">
        <f>SUMIF('Avoided Costs 2014-2023'!$A:$A,'2014 Actuals'!U946&amp;ROUNDDOWN('2014 Actuals'!T946,0),'Avoided Costs 2014-2023'!$K:$K)*O946</f>
        <v>0</v>
      </c>
      <c r="X946" s="53">
        <f>SUMIF('Avoided Costs 2014-2023'!$A:$A,'2014 Actuals'!U946&amp;ROUNDDOWN('2014 Actuals'!T946,0),'Avoided Costs 2014-2023'!$M:$M)*S946</f>
        <v>0</v>
      </c>
      <c r="Y946" s="53">
        <f t="shared" si="333"/>
        <v>29716.544894141265</v>
      </c>
      <c r="Z946" s="55">
        <v>16990</v>
      </c>
      <c r="AA946" s="54">
        <f t="shared" si="334"/>
        <v>16990</v>
      </c>
      <c r="AB946" s="54"/>
      <c r="AC946" s="54"/>
      <c r="AD946" s="54"/>
      <c r="AE946" s="54">
        <f t="shared" si="335"/>
        <v>16990</v>
      </c>
      <c r="AF946" s="54">
        <f t="shared" si="336"/>
        <v>12726.544894141265</v>
      </c>
      <c r="AG946" s="49">
        <f t="shared" si="337"/>
        <v>249656.17499999999</v>
      </c>
      <c r="AH946" s="49">
        <f t="shared" si="338"/>
        <v>249656.17499999999</v>
      </c>
    </row>
    <row r="947" spans="1:34" s="56" customFormat="1">
      <c r="A947" s="145" t="s">
        <v>1053</v>
      </c>
      <c r="B947" s="145"/>
      <c r="C947" s="145"/>
      <c r="D947" s="156"/>
      <c r="E947" s="51">
        <v>1</v>
      </c>
      <c r="F947" s="51"/>
      <c r="G947" s="147">
        <v>0</v>
      </c>
      <c r="H947" s="147">
        <v>0</v>
      </c>
      <c r="I947" s="49">
        <v>19859</v>
      </c>
      <c r="J947" s="49">
        <f t="shared" si="329"/>
        <v>16621.983</v>
      </c>
      <c r="K947" s="49">
        <f t="shared" si="330"/>
        <v>16621.983</v>
      </c>
      <c r="L947" s="58"/>
      <c r="M947" s="141">
        <v>0</v>
      </c>
      <c r="N947" s="50">
        <f t="shared" si="339"/>
        <v>0</v>
      </c>
      <c r="O947" s="50">
        <f t="shared" si="331"/>
        <v>0</v>
      </c>
      <c r="P947" s="59"/>
      <c r="Q947" s="141">
        <v>0</v>
      </c>
      <c r="R947" s="50">
        <f t="shared" si="340"/>
        <v>0</v>
      </c>
      <c r="S947" s="51">
        <f t="shared" si="332"/>
        <v>0</v>
      </c>
      <c r="T947" s="64">
        <v>25</v>
      </c>
      <c r="U947" s="65" t="s">
        <v>94</v>
      </c>
      <c r="V947" s="53">
        <f>SUMIF('Avoided Costs 2014-2023'!$A:$A,'2014 Actuals'!U947&amp;ROUNDDOWN('2014 Actuals'!T947,0),'Avoided Costs 2014-2023'!$E:$E)*K947</f>
        <v>49462.816616608114</v>
      </c>
      <c r="W947" s="53">
        <f>SUMIF('Avoided Costs 2014-2023'!$A:$A,'2014 Actuals'!U947&amp;ROUNDDOWN('2014 Actuals'!T947,0),'Avoided Costs 2014-2023'!$K:$K)*O947</f>
        <v>0</v>
      </c>
      <c r="X947" s="53">
        <f>SUMIF('Avoided Costs 2014-2023'!$A:$A,'2014 Actuals'!U947&amp;ROUNDDOWN('2014 Actuals'!T947,0),'Avoided Costs 2014-2023'!$M:$M)*S947</f>
        <v>0</v>
      </c>
      <c r="Y947" s="53">
        <f t="shared" si="333"/>
        <v>49462.816616608114</v>
      </c>
      <c r="Z947" s="55">
        <v>10552</v>
      </c>
      <c r="AA947" s="54">
        <f t="shared" si="334"/>
        <v>10552</v>
      </c>
      <c r="AB947" s="54"/>
      <c r="AC947" s="54"/>
      <c r="AD947" s="54"/>
      <c r="AE947" s="54">
        <f t="shared" si="335"/>
        <v>10552</v>
      </c>
      <c r="AF947" s="54">
        <f t="shared" si="336"/>
        <v>38910.816616608114</v>
      </c>
      <c r="AG947" s="49">
        <f t="shared" si="337"/>
        <v>415549.57500000001</v>
      </c>
      <c r="AH947" s="49">
        <f t="shared" si="338"/>
        <v>415549.57500000001</v>
      </c>
    </row>
    <row r="948" spans="1:34" s="56" customFormat="1">
      <c r="A948" s="145" t="s">
        <v>1054</v>
      </c>
      <c r="B948" s="145"/>
      <c r="C948" s="145"/>
      <c r="D948" s="156"/>
      <c r="E948" s="51">
        <v>0</v>
      </c>
      <c r="F948" s="51"/>
      <c r="G948" s="147">
        <v>0</v>
      </c>
      <c r="H948" s="147">
        <v>0</v>
      </c>
      <c r="I948" s="49">
        <v>692</v>
      </c>
      <c r="J948" s="49">
        <f t="shared" si="329"/>
        <v>579.20399999999995</v>
      </c>
      <c r="K948" s="49">
        <f t="shared" si="330"/>
        <v>579.20399999999995</v>
      </c>
      <c r="L948" s="58"/>
      <c r="M948" s="141">
        <v>0</v>
      </c>
      <c r="N948" s="50">
        <f t="shared" si="339"/>
        <v>0</v>
      </c>
      <c r="O948" s="50">
        <f t="shared" si="331"/>
        <v>0</v>
      </c>
      <c r="P948" s="59"/>
      <c r="Q948" s="141">
        <v>0</v>
      </c>
      <c r="R948" s="50">
        <f t="shared" si="340"/>
        <v>0</v>
      </c>
      <c r="S948" s="51">
        <f t="shared" si="332"/>
        <v>0</v>
      </c>
      <c r="T948" s="64">
        <v>15</v>
      </c>
      <c r="U948" s="65" t="s">
        <v>94</v>
      </c>
      <c r="V948" s="53">
        <f>SUMIF('Avoided Costs 2014-2023'!$A:$A,'2014 Actuals'!U948&amp;ROUNDDOWN('2014 Actuals'!T948,0),'Avoided Costs 2014-2023'!$E:$E)*K948</f>
        <v>1255.5872832937339</v>
      </c>
      <c r="W948" s="53">
        <f>SUMIF('Avoided Costs 2014-2023'!$A:$A,'2014 Actuals'!U948&amp;ROUNDDOWN('2014 Actuals'!T948,0),'Avoided Costs 2014-2023'!$K:$K)*O948</f>
        <v>0</v>
      </c>
      <c r="X948" s="53">
        <f>SUMIF('Avoided Costs 2014-2023'!$A:$A,'2014 Actuals'!U948&amp;ROUNDDOWN('2014 Actuals'!T948,0),'Avoided Costs 2014-2023'!$M:$M)*S948</f>
        <v>0</v>
      </c>
      <c r="Y948" s="53">
        <f t="shared" si="333"/>
        <v>1255.5872832937339</v>
      </c>
      <c r="Z948" s="55">
        <v>2500</v>
      </c>
      <c r="AA948" s="54">
        <f t="shared" si="334"/>
        <v>2500</v>
      </c>
      <c r="AB948" s="54"/>
      <c r="AC948" s="54"/>
      <c r="AD948" s="54"/>
      <c r="AE948" s="54">
        <f t="shared" si="335"/>
        <v>2500</v>
      </c>
      <c r="AF948" s="54">
        <f t="shared" si="336"/>
        <v>-1244.4127167062661</v>
      </c>
      <c r="AG948" s="49">
        <f t="shared" si="337"/>
        <v>8688.06</v>
      </c>
      <c r="AH948" s="49">
        <f t="shared" si="338"/>
        <v>8688.06</v>
      </c>
    </row>
    <row r="949" spans="1:34" s="56" customFormat="1">
      <c r="A949" s="145" t="s">
        <v>1055</v>
      </c>
      <c r="B949" s="145"/>
      <c r="C949" s="145"/>
      <c r="D949" s="156"/>
      <c r="E949" s="51">
        <v>1</v>
      </c>
      <c r="F949" s="51"/>
      <c r="G949" s="147">
        <v>0</v>
      </c>
      <c r="H949" s="147">
        <v>0</v>
      </c>
      <c r="I949" s="49">
        <v>2150</v>
      </c>
      <c r="J949" s="49">
        <f t="shared" si="329"/>
        <v>1799.55</v>
      </c>
      <c r="K949" s="49">
        <f t="shared" si="330"/>
        <v>1799.55</v>
      </c>
      <c r="L949" s="58"/>
      <c r="M949" s="141">
        <v>0</v>
      </c>
      <c r="N949" s="50">
        <f t="shared" si="339"/>
        <v>0</v>
      </c>
      <c r="O949" s="50">
        <f t="shared" si="331"/>
        <v>0</v>
      </c>
      <c r="P949" s="59"/>
      <c r="Q949" s="141">
        <v>0</v>
      </c>
      <c r="R949" s="50">
        <f t="shared" si="340"/>
        <v>0</v>
      </c>
      <c r="S949" s="51">
        <f t="shared" si="332"/>
        <v>0</v>
      </c>
      <c r="T949" s="64">
        <v>15</v>
      </c>
      <c r="U949" s="65" t="s">
        <v>81</v>
      </c>
      <c r="V949" s="53">
        <f>SUMIF('Avoided Costs 2014-2023'!$A:$A,'2014 Actuals'!U949&amp;ROUNDDOWN('2014 Actuals'!T949,0),'Avoided Costs 2014-2023'!$E:$E)*K949</f>
        <v>4165.7277551883881</v>
      </c>
      <c r="W949" s="53">
        <f>SUMIF('Avoided Costs 2014-2023'!$A:$A,'2014 Actuals'!U949&amp;ROUNDDOWN('2014 Actuals'!T949,0),'Avoided Costs 2014-2023'!$K:$K)*O949</f>
        <v>0</v>
      </c>
      <c r="X949" s="53">
        <f>SUMIF('Avoided Costs 2014-2023'!$A:$A,'2014 Actuals'!U949&amp;ROUNDDOWN('2014 Actuals'!T949,0),'Avoided Costs 2014-2023'!$M:$M)*S949</f>
        <v>0</v>
      </c>
      <c r="Y949" s="53">
        <f t="shared" si="333"/>
        <v>4165.7277551883881</v>
      </c>
      <c r="Z949" s="55">
        <v>7500</v>
      </c>
      <c r="AA949" s="54">
        <f t="shared" si="334"/>
        <v>7500</v>
      </c>
      <c r="AB949" s="54"/>
      <c r="AC949" s="54"/>
      <c r="AD949" s="54"/>
      <c r="AE949" s="54">
        <f t="shared" si="335"/>
        <v>7500</v>
      </c>
      <c r="AF949" s="54">
        <f t="shared" si="336"/>
        <v>-3334.2722448116119</v>
      </c>
      <c r="AG949" s="49">
        <f t="shared" si="337"/>
        <v>26993.25</v>
      </c>
      <c r="AH949" s="49">
        <f t="shared" si="338"/>
        <v>26993.25</v>
      </c>
    </row>
    <row r="950" spans="1:34" s="56" customFormat="1">
      <c r="A950" s="145" t="s">
        <v>1056</v>
      </c>
      <c r="B950" s="145"/>
      <c r="C950" s="145"/>
      <c r="D950" s="156"/>
      <c r="E950" s="51">
        <v>0</v>
      </c>
      <c r="F950" s="51"/>
      <c r="G950" s="147">
        <v>0</v>
      </c>
      <c r="H950" s="147">
        <v>0</v>
      </c>
      <c r="I950" s="49">
        <v>30203</v>
      </c>
      <c r="J950" s="49">
        <f t="shared" si="329"/>
        <v>25279.911</v>
      </c>
      <c r="K950" s="49">
        <f t="shared" si="330"/>
        <v>25279.911</v>
      </c>
      <c r="L950" s="58"/>
      <c r="M950" s="141">
        <v>0</v>
      </c>
      <c r="N950" s="50">
        <f t="shared" si="339"/>
        <v>0</v>
      </c>
      <c r="O950" s="50">
        <f t="shared" si="331"/>
        <v>0</v>
      </c>
      <c r="P950" s="59"/>
      <c r="Q950" s="141">
        <v>0</v>
      </c>
      <c r="R950" s="50">
        <f t="shared" si="340"/>
        <v>0</v>
      </c>
      <c r="S950" s="51">
        <f t="shared" si="332"/>
        <v>0</v>
      </c>
      <c r="T950" s="64">
        <v>25</v>
      </c>
      <c r="U950" s="65" t="s">
        <v>94</v>
      </c>
      <c r="V950" s="53">
        <f>SUMIF('Avoided Costs 2014-2023'!$A:$A,'2014 Actuals'!U950&amp;ROUNDDOWN('2014 Actuals'!T950,0),'Avoided Costs 2014-2023'!$E:$E)*K950</f>
        <v>75226.620185881213</v>
      </c>
      <c r="W950" s="53">
        <f>SUMIF('Avoided Costs 2014-2023'!$A:$A,'2014 Actuals'!U950&amp;ROUNDDOWN('2014 Actuals'!T950,0),'Avoided Costs 2014-2023'!$K:$K)*O950</f>
        <v>0</v>
      </c>
      <c r="X950" s="53">
        <f>SUMIF('Avoided Costs 2014-2023'!$A:$A,'2014 Actuals'!U950&amp;ROUNDDOWN('2014 Actuals'!T950,0),'Avoided Costs 2014-2023'!$M:$M)*S950</f>
        <v>0</v>
      </c>
      <c r="Y950" s="53">
        <f t="shared" si="333"/>
        <v>75226.620185881213</v>
      </c>
      <c r="Z950" s="55">
        <v>28683</v>
      </c>
      <c r="AA950" s="54">
        <f t="shared" si="334"/>
        <v>28683</v>
      </c>
      <c r="AB950" s="54"/>
      <c r="AC950" s="54"/>
      <c r="AD950" s="54"/>
      <c r="AE950" s="54">
        <f t="shared" si="335"/>
        <v>28683</v>
      </c>
      <c r="AF950" s="54">
        <f t="shared" si="336"/>
        <v>46543.620185881213</v>
      </c>
      <c r="AG950" s="49">
        <f t="shared" si="337"/>
        <v>631997.77500000002</v>
      </c>
      <c r="AH950" s="49">
        <f t="shared" si="338"/>
        <v>631997.77500000002</v>
      </c>
    </row>
    <row r="951" spans="1:34" s="56" customFormat="1">
      <c r="A951" s="145" t="s">
        <v>1057</v>
      </c>
      <c r="B951" s="145"/>
      <c r="C951" s="145"/>
      <c r="D951" s="156"/>
      <c r="E951" s="51">
        <v>0</v>
      </c>
      <c r="F951" s="51"/>
      <c r="G951" s="147">
        <v>0</v>
      </c>
      <c r="H951" s="147">
        <v>0</v>
      </c>
      <c r="I951" s="49">
        <v>16578</v>
      </c>
      <c r="J951" s="49">
        <f t="shared" si="329"/>
        <v>13875.786</v>
      </c>
      <c r="K951" s="49">
        <f t="shared" si="330"/>
        <v>13875.786</v>
      </c>
      <c r="L951" s="58"/>
      <c r="M951" s="141">
        <v>0</v>
      </c>
      <c r="N951" s="50">
        <f t="shared" si="339"/>
        <v>0</v>
      </c>
      <c r="O951" s="50">
        <f t="shared" si="331"/>
        <v>0</v>
      </c>
      <c r="P951" s="59"/>
      <c r="Q951" s="141">
        <v>0</v>
      </c>
      <c r="R951" s="50">
        <f t="shared" si="340"/>
        <v>0</v>
      </c>
      <c r="S951" s="51">
        <f t="shared" si="332"/>
        <v>0</v>
      </c>
      <c r="T951" s="64">
        <v>25</v>
      </c>
      <c r="U951" s="65" t="s">
        <v>81</v>
      </c>
      <c r="V951" s="53">
        <f>SUMIF('Avoided Costs 2014-2023'!$A:$A,'2014 Actuals'!U951&amp;ROUNDDOWN('2014 Actuals'!T951,0),'Avoided Costs 2014-2023'!$E:$E)*K951</f>
        <v>44073.431216184887</v>
      </c>
      <c r="W951" s="53">
        <f>SUMIF('Avoided Costs 2014-2023'!$A:$A,'2014 Actuals'!U951&amp;ROUNDDOWN('2014 Actuals'!T951,0),'Avoided Costs 2014-2023'!$K:$K)*O951</f>
        <v>0</v>
      </c>
      <c r="X951" s="53">
        <f>SUMIF('Avoided Costs 2014-2023'!$A:$A,'2014 Actuals'!U951&amp;ROUNDDOWN('2014 Actuals'!T951,0),'Avoided Costs 2014-2023'!$M:$M)*S951</f>
        <v>0</v>
      </c>
      <c r="Y951" s="53">
        <f t="shared" si="333"/>
        <v>44073.431216184887</v>
      </c>
      <c r="Z951" s="55">
        <v>27342</v>
      </c>
      <c r="AA951" s="54">
        <f t="shared" si="334"/>
        <v>27342</v>
      </c>
      <c r="AB951" s="54"/>
      <c r="AC951" s="54"/>
      <c r="AD951" s="54"/>
      <c r="AE951" s="54">
        <f t="shared" si="335"/>
        <v>27342</v>
      </c>
      <c r="AF951" s="54">
        <f t="shared" si="336"/>
        <v>16731.431216184887</v>
      </c>
      <c r="AG951" s="49">
        <f t="shared" si="337"/>
        <v>346894.65</v>
      </c>
      <c r="AH951" s="49">
        <f t="shared" si="338"/>
        <v>346894.65</v>
      </c>
    </row>
    <row r="952" spans="1:34" s="56" customFormat="1">
      <c r="A952" s="145" t="s">
        <v>1058</v>
      </c>
      <c r="B952" s="145"/>
      <c r="C952" s="145"/>
      <c r="D952" s="156"/>
      <c r="E952" s="51">
        <v>1</v>
      </c>
      <c r="F952" s="51"/>
      <c r="G952" s="147">
        <v>0</v>
      </c>
      <c r="H952" s="147">
        <v>0</v>
      </c>
      <c r="I952" s="49">
        <v>50731</v>
      </c>
      <c r="J952" s="49">
        <f t="shared" si="329"/>
        <v>42461.847000000002</v>
      </c>
      <c r="K952" s="49">
        <f t="shared" si="330"/>
        <v>42461.847000000002</v>
      </c>
      <c r="L952" s="58"/>
      <c r="M952" s="141">
        <v>21783</v>
      </c>
      <c r="N952" s="50">
        <f t="shared" si="339"/>
        <v>21783</v>
      </c>
      <c r="O952" s="50">
        <f t="shared" si="331"/>
        <v>21783</v>
      </c>
      <c r="P952" s="59"/>
      <c r="Q952" s="141">
        <v>0</v>
      </c>
      <c r="R952" s="50">
        <f t="shared" si="340"/>
        <v>0</v>
      </c>
      <c r="S952" s="51">
        <f t="shared" si="332"/>
        <v>0</v>
      </c>
      <c r="T952" s="64">
        <v>15</v>
      </c>
      <c r="U952" s="65" t="s">
        <v>81</v>
      </c>
      <c r="V952" s="53">
        <f>SUMIF('Avoided Costs 2014-2023'!$A:$A,'2014 Actuals'!U952&amp;ROUNDDOWN('2014 Actuals'!T952,0),'Avoided Costs 2014-2023'!$E:$E)*K952</f>
        <v>98293.737092307958</v>
      </c>
      <c r="W952" s="53">
        <f>SUMIF('Avoided Costs 2014-2023'!$A:$A,'2014 Actuals'!U952&amp;ROUNDDOWN('2014 Actuals'!T952,0),'Avoided Costs 2014-2023'!$K:$K)*O952</f>
        <v>25757.96974124153</v>
      </c>
      <c r="X952" s="53">
        <f>SUMIF('Avoided Costs 2014-2023'!$A:$A,'2014 Actuals'!U952&amp;ROUNDDOWN('2014 Actuals'!T952,0),'Avoided Costs 2014-2023'!$M:$M)*S952</f>
        <v>0</v>
      </c>
      <c r="Y952" s="53">
        <f t="shared" si="333"/>
        <v>124051.70683354948</v>
      </c>
      <c r="Z952" s="55">
        <v>23490</v>
      </c>
      <c r="AA952" s="54">
        <f t="shared" si="334"/>
        <v>23490</v>
      </c>
      <c r="AB952" s="54"/>
      <c r="AC952" s="54"/>
      <c r="AD952" s="54"/>
      <c r="AE952" s="54">
        <f t="shared" si="335"/>
        <v>23490</v>
      </c>
      <c r="AF952" s="54">
        <f t="shared" si="336"/>
        <v>100561.70683354948</v>
      </c>
      <c r="AG952" s="49">
        <f t="shared" si="337"/>
        <v>636927.70500000007</v>
      </c>
      <c r="AH952" s="49">
        <f t="shared" si="338"/>
        <v>636927.70500000007</v>
      </c>
    </row>
    <row r="953" spans="1:34" s="56" customFormat="1">
      <c r="A953" s="145" t="s">
        <v>1059</v>
      </c>
      <c r="B953" s="145"/>
      <c r="C953" s="145"/>
      <c r="D953" s="156"/>
      <c r="E953" s="51">
        <v>1</v>
      </c>
      <c r="F953" s="51"/>
      <c r="G953" s="147">
        <v>0</v>
      </c>
      <c r="H953" s="147">
        <v>0</v>
      </c>
      <c r="I953" s="49">
        <v>6447</v>
      </c>
      <c r="J953" s="49">
        <f t="shared" si="329"/>
        <v>5396.1390000000001</v>
      </c>
      <c r="K953" s="49">
        <f t="shared" si="330"/>
        <v>5396.1390000000001</v>
      </c>
      <c r="L953" s="58"/>
      <c r="M953" s="141">
        <v>0</v>
      </c>
      <c r="N953" s="50">
        <f t="shared" si="339"/>
        <v>0</v>
      </c>
      <c r="O953" s="50">
        <f t="shared" si="331"/>
        <v>0</v>
      </c>
      <c r="P953" s="59"/>
      <c r="Q953" s="141">
        <v>0</v>
      </c>
      <c r="R953" s="50">
        <f t="shared" si="340"/>
        <v>0</v>
      </c>
      <c r="S953" s="51">
        <f t="shared" si="332"/>
        <v>0</v>
      </c>
      <c r="T953" s="103">
        <v>11.39</v>
      </c>
      <c r="U953" s="65" t="s">
        <v>94</v>
      </c>
      <c r="V953" s="53">
        <f>SUMIF('Avoided Costs 2014-2023'!$A:$A,'2014 Actuals'!U953&amp;ROUNDDOWN('2014 Actuals'!T953,0),'Avoided Costs 2014-2023'!$E:$E)*K953</f>
        <v>9279.1350606461929</v>
      </c>
      <c r="W953" s="53">
        <f>SUMIF('Avoided Costs 2014-2023'!$A:$A,'2014 Actuals'!U953&amp;ROUNDDOWN('2014 Actuals'!T953,0),'Avoided Costs 2014-2023'!$K:$K)*O953</f>
        <v>0</v>
      </c>
      <c r="X953" s="53">
        <f>SUMIF('Avoided Costs 2014-2023'!$A:$A,'2014 Actuals'!U953&amp;ROUNDDOWN('2014 Actuals'!T953,0),'Avoided Costs 2014-2023'!$M:$M)*S953</f>
        <v>0</v>
      </c>
      <c r="Y953" s="53">
        <f t="shared" si="333"/>
        <v>9279.1350606461929</v>
      </c>
      <c r="Z953" s="55">
        <v>13601</v>
      </c>
      <c r="AA953" s="54">
        <f t="shared" si="334"/>
        <v>13601</v>
      </c>
      <c r="AB953" s="54"/>
      <c r="AC953" s="54"/>
      <c r="AD953" s="54"/>
      <c r="AE953" s="54">
        <f t="shared" si="335"/>
        <v>13601</v>
      </c>
      <c r="AF953" s="54">
        <f t="shared" si="336"/>
        <v>-4321.8649393538071</v>
      </c>
      <c r="AG953" s="49">
        <f t="shared" si="337"/>
        <v>61462.023210000007</v>
      </c>
      <c r="AH953" s="49">
        <f t="shared" si="338"/>
        <v>61462.023210000007</v>
      </c>
    </row>
    <row r="954" spans="1:34" s="56" customFormat="1">
      <c r="A954" s="145" t="s">
        <v>1060</v>
      </c>
      <c r="B954" s="145"/>
      <c r="C954" s="145"/>
      <c r="D954" s="156"/>
      <c r="E954" s="51">
        <v>1</v>
      </c>
      <c r="F954" s="51"/>
      <c r="G954" s="147">
        <v>0</v>
      </c>
      <c r="H954" s="147">
        <v>0</v>
      </c>
      <c r="I954" s="49">
        <v>36347</v>
      </c>
      <c r="J954" s="49">
        <f t="shared" si="329"/>
        <v>30422.438999999998</v>
      </c>
      <c r="K954" s="49">
        <f t="shared" si="330"/>
        <v>30422.438999999998</v>
      </c>
      <c r="L954" s="58"/>
      <c r="M954" s="141">
        <v>0</v>
      </c>
      <c r="N954" s="50">
        <f t="shared" si="339"/>
        <v>0</v>
      </c>
      <c r="O954" s="50">
        <f t="shared" si="331"/>
        <v>0</v>
      </c>
      <c r="P954" s="59"/>
      <c r="Q954" s="141">
        <v>0</v>
      </c>
      <c r="R954" s="50">
        <f t="shared" si="340"/>
        <v>0</v>
      </c>
      <c r="S954" s="51">
        <f t="shared" si="332"/>
        <v>0</v>
      </c>
      <c r="T954" s="64">
        <v>15</v>
      </c>
      <c r="U954" s="65" t="s">
        <v>81</v>
      </c>
      <c r="V954" s="53">
        <f>SUMIF('Avoided Costs 2014-2023'!$A:$A,'2014 Actuals'!U954&amp;ROUNDDOWN('2014 Actuals'!T954,0),'Avoided Costs 2014-2023'!$E:$E)*K954</f>
        <v>70424.049636201089</v>
      </c>
      <c r="W954" s="53">
        <f>SUMIF('Avoided Costs 2014-2023'!$A:$A,'2014 Actuals'!U954&amp;ROUNDDOWN('2014 Actuals'!T954,0),'Avoided Costs 2014-2023'!$K:$K)*O954</f>
        <v>0</v>
      </c>
      <c r="X954" s="53">
        <f>SUMIF('Avoided Costs 2014-2023'!$A:$A,'2014 Actuals'!U954&amp;ROUNDDOWN('2014 Actuals'!T954,0),'Avoided Costs 2014-2023'!$M:$M)*S954</f>
        <v>0</v>
      </c>
      <c r="Y954" s="53">
        <f t="shared" si="333"/>
        <v>70424.049636201089</v>
      </c>
      <c r="Z954" s="55">
        <v>35712</v>
      </c>
      <c r="AA954" s="54">
        <f t="shared" si="334"/>
        <v>35712</v>
      </c>
      <c r="AB954" s="54"/>
      <c r="AC954" s="54"/>
      <c r="AD954" s="54"/>
      <c r="AE954" s="54">
        <f t="shared" si="335"/>
        <v>35712</v>
      </c>
      <c r="AF954" s="54">
        <f t="shared" si="336"/>
        <v>34712.049636201089</v>
      </c>
      <c r="AG954" s="49">
        <f t="shared" si="337"/>
        <v>456336.58499999996</v>
      </c>
      <c r="AH954" s="49">
        <f t="shared" si="338"/>
        <v>456336.58499999996</v>
      </c>
    </row>
    <row r="955" spans="1:34" s="56" customFormat="1">
      <c r="A955" s="145" t="s">
        <v>1061</v>
      </c>
      <c r="B955" s="145"/>
      <c r="C955" s="145"/>
      <c r="D955" s="156">
        <f t="shared" ref="D955:D956" si="341">E955</f>
        <v>1</v>
      </c>
      <c r="E955" s="51">
        <v>1</v>
      </c>
      <c r="F955" s="51"/>
      <c r="G955" s="147">
        <v>0</v>
      </c>
      <c r="H955" s="147">
        <v>0</v>
      </c>
      <c r="I955" s="49">
        <v>27325</v>
      </c>
      <c r="J955" s="49">
        <f>I955</f>
        <v>27325</v>
      </c>
      <c r="K955" s="49">
        <f t="shared" si="330"/>
        <v>27325</v>
      </c>
      <c r="L955" s="58"/>
      <c r="M955" s="141">
        <v>0</v>
      </c>
      <c r="N955" s="50">
        <f t="shared" si="339"/>
        <v>0</v>
      </c>
      <c r="O955" s="50">
        <f t="shared" si="331"/>
        <v>0</v>
      </c>
      <c r="P955" s="59"/>
      <c r="Q955" s="141">
        <v>0</v>
      </c>
      <c r="R955" s="50">
        <f t="shared" si="340"/>
        <v>0</v>
      </c>
      <c r="S955" s="51">
        <f t="shared" si="332"/>
        <v>0</v>
      </c>
      <c r="T955" s="64">
        <v>25</v>
      </c>
      <c r="U955" s="65" t="s">
        <v>81</v>
      </c>
      <c r="V955" s="53">
        <f>SUMIF('Avoided Costs 2014-2023'!$A:$A,'2014 Actuals'!U955&amp;ROUNDDOWN('2014 Actuals'!T955,0),'Avoided Costs 2014-2023'!$E:$E)*K955</f>
        <v>86791.948793549571</v>
      </c>
      <c r="W955" s="53">
        <f>SUMIF('Avoided Costs 2014-2023'!$A:$A,'2014 Actuals'!U955&amp;ROUNDDOWN('2014 Actuals'!T955,0),'Avoided Costs 2014-2023'!$K:$K)*O955</f>
        <v>0</v>
      </c>
      <c r="X955" s="53">
        <f>SUMIF('Avoided Costs 2014-2023'!$A:$A,'2014 Actuals'!U955&amp;ROUNDDOWN('2014 Actuals'!T955,0),'Avoided Costs 2014-2023'!$M:$M)*S955</f>
        <v>0</v>
      </c>
      <c r="Y955" s="53">
        <f t="shared" si="333"/>
        <v>86791.948793549571</v>
      </c>
      <c r="Z955" s="55">
        <v>7050</v>
      </c>
      <c r="AA955" s="54">
        <f t="shared" si="334"/>
        <v>7050</v>
      </c>
      <c r="AB955" s="54"/>
      <c r="AC955" s="54"/>
      <c r="AD955" s="54"/>
      <c r="AE955" s="54">
        <f t="shared" si="335"/>
        <v>7050</v>
      </c>
      <c r="AF955" s="54">
        <f t="shared" si="336"/>
        <v>79741.948793549571</v>
      </c>
      <c r="AG955" s="49">
        <f t="shared" si="337"/>
        <v>683125</v>
      </c>
      <c r="AH955" s="49">
        <f t="shared" si="338"/>
        <v>683125</v>
      </c>
    </row>
    <row r="956" spans="1:34" s="69" customFormat="1">
      <c r="A956" s="145" t="s">
        <v>1062</v>
      </c>
      <c r="B956" s="104"/>
      <c r="C956" s="65"/>
      <c r="D956" s="156">
        <f t="shared" si="341"/>
        <v>1</v>
      </c>
      <c r="E956" s="49">
        <v>1</v>
      </c>
      <c r="F956" s="51"/>
      <c r="G956" s="147">
        <v>0</v>
      </c>
      <c r="H956" s="147">
        <v>0</v>
      </c>
      <c r="I956" s="96">
        <v>19189</v>
      </c>
      <c r="J956" s="49">
        <f>I956</f>
        <v>19189</v>
      </c>
      <c r="K956" s="96">
        <f t="shared" si="330"/>
        <v>19189</v>
      </c>
      <c r="L956" s="105"/>
      <c r="M956" s="96">
        <v>0</v>
      </c>
      <c r="N956" s="50">
        <f t="shared" si="339"/>
        <v>0</v>
      </c>
      <c r="O956" s="96">
        <f t="shared" si="331"/>
        <v>0</v>
      </c>
      <c r="P956" s="106"/>
      <c r="Q956" s="96">
        <v>0</v>
      </c>
      <c r="R956" s="50">
        <f t="shared" si="340"/>
        <v>0</v>
      </c>
      <c r="S956" s="96">
        <f t="shared" si="332"/>
        <v>0</v>
      </c>
      <c r="T956" s="107">
        <v>25</v>
      </c>
      <c r="U956" s="108" t="s">
        <v>81</v>
      </c>
      <c r="V956" s="53">
        <f>SUMIF('Avoided Costs 2014-2023'!$A:$A,'2014 Actuals'!U956&amp;ROUNDDOWN('2014 Actuals'!T956,0),'Avoided Costs 2014-2023'!$E:$E)*K956</f>
        <v>60949.705595587286</v>
      </c>
      <c r="W956" s="53">
        <f>SUMIF('Avoided Costs 2014-2023'!$A:$A,'2014 Actuals'!U956&amp;ROUNDDOWN('2014 Actuals'!T956,0),'Avoided Costs 2014-2023'!$K:$K)*O956</f>
        <v>0</v>
      </c>
      <c r="X956" s="53">
        <f>SUMIF('Avoided Costs 2014-2023'!$A:$A,'2014 Actuals'!U956&amp;ROUNDDOWN('2014 Actuals'!T956,0),'Avoided Costs 2014-2023'!$M:$M)*S956</f>
        <v>0</v>
      </c>
      <c r="Y956" s="53">
        <f t="shared" si="333"/>
        <v>60949.705595587286</v>
      </c>
      <c r="Z956" s="55">
        <v>7400</v>
      </c>
      <c r="AA956" s="53">
        <f t="shared" si="334"/>
        <v>7400</v>
      </c>
      <c r="AB956" s="54"/>
      <c r="AC956" s="54"/>
      <c r="AD956" s="53"/>
      <c r="AE956" s="53">
        <f t="shared" si="335"/>
        <v>7400</v>
      </c>
      <c r="AF956" s="54">
        <f t="shared" si="336"/>
        <v>53549.705595587286</v>
      </c>
      <c r="AG956" s="49">
        <f t="shared" si="337"/>
        <v>479725</v>
      </c>
      <c r="AH956" s="49">
        <f t="shared" si="338"/>
        <v>479725</v>
      </c>
    </row>
    <row r="957" spans="1:34" s="69" customFormat="1">
      <c r="A957" s="145" t="s">
        <v>1063</v>
      </c>
      <c r="B957" s="145" t="s">
        <v>1064</v>
      </c>
      <c r="C957" s="145"/>
      <c r="D957" s="109">
        <v>3038</v>
      </c>
      <c r="E957" s="110">
        <v>33</v>
      </c>
      <c r="F957" s="146">
        <f>I957/E957</f>
        <v>6352.181818181818</v>
      </c>
      <c r="G957" s="147">
        <v>0</v>
      </c>
      <c r="H957" s="147">
        <v>0.123</v>
      </c>
      <c r="I957" s="96">
        <v>209622</v>
      </c>
      <c r="J957" s="49">
        <f t="shared" ref="J957" si="342">I957</f>
        <v>209622</v>
      </c>
      <c r="K957" s="96">
        <f>(F957*E957)*(1-G957)*(1-H957)</f>
        <v>183838.49400000001</v>
      </c>
      <c r="L957" s="105"/>
      <c r="M957" s="96">
        <v>0</v>
      </c>
      <c r="N957" s="50">
        <f>M957</f>
        <v>0</v>
      </c>
      <c r="O957" s="96">
        <f>(L957*E957)*(1-G957)</f>
        <v>0</v>
      </c>
      <c r="P957" s="106">
        <v>15.71</v>
      </c>
      <c r="Q957" s="96">
        <v>47711</v>
      </c>
      <c r="R957" s="50">
        <f>+Q957</f>
        <v>47711</v>
      </c>
      <c r="S957" s="96">
        <f>(P957*E957)*(1-G957)*(1-H957)</f>
        <v>454.66311000000007</v>
      </c>
      <c r="T957" s="107">
        <v>10</v>
      </c>
      <c r="U957" s="108" t="s">
        <v>94</v>
      </c>
      <c r="V957" s="53">
        <f>SUMIF('Avoided Costs 2014-2023'!$A:$A,'2014 Actuals'!U957&amp;ROUNDDOWN('2014 Actuals'!T957,0),'Avoided Costs 2014-2023'!$E:$E)*K957</f>
        <v>292942.93984877854</v>
      </c>
      <c r="W957" s="53">
        <f>SUMIF('Avoided Costs 2014-2023'!$A:$A,'2014 Actuals'!U957&amp;ROUNDDOWN('2014 Actuals'!T957,0),'Avoided Costs 2014-2023'!$K:$K)*O957</f>
        <v>0</v>
      </c>
      <c r="X957" s="53">
        <f>SUMIF('Avoided Costs 2014-2023'!$A:$A,'2014 Actuals'!U957&amp;ROUNDDOWN('2014 Actuals'!T957,0),'Avoided Costs 2014-2023'!$M:$M)*S957</f>
        <v>9617.8546066398158</v>
      </c>
      <c r="Y957" s="53">
        <f t="shared" si="333"/>
        <v>302560.79445541836</v>
      </c>
      <c r="Z957" s="55">
        <v>12.5</v>
      </c>
      <c r="AA957" s="53">
        <f t="shared" ref="AA957" si="343">(Z957*D957)*(1-G957)</f>
        <v>37975</v>
      </c>
      <c r="AB957" s="54"/>
      <c r="AC957" s="54"/>
      <c r="AD957" s="53"/>
      <c r="AE957" s="53">
        <f t="shared" si="335"/>
        <v>37975</v>
      </c>
      <c r="AF957" s="54">
        <f t="shared" si="336"/>
        <v>264585.79445541836</v>
      </c>
      <c r="AG957" s="49">
        <f t="shared" si="337"/>
        <v>1838384.94</v>
      </c>
      <c r="AH957" s="49">
        <f t="shared" si="338"/>
        <v>2096220</v>
      </c>
    </row>
    <row r="958" spans="1:34" collapsed="1">
      <c r="A958" s="145" t="s">
        <v>35</v>
      </c>
      <c r="B958" s="145" t="s">
        <v>1065</v>
      </c>
      <c r="C958" s="65"/>
      <c r="D958" s="265">
        <f>D957+D956+D955+D890+D882+D871</f>
        <v>3043</v>
      </c>
      <c r="E958" s="110">
        <f>SUM(E870:E957)-E956-E955-E890-E882-E871-E957</f>
        <v>66</v>
      </c>
      <c r="F958" s="105"/>
      <c r="G958" s="147"/>
      <c r="H958" s="211"/>
      <c r="I958" s="49">
        <f>SUM(I870:I957)</f>
        <v>2020307</v>
      </c>
      <c r="J958" s="49">
        <f>SUM(J870:J957)</f>
        <v>1734456.6709999996</v>
      </c>
      <c r="K958" s="49">
        <f>SUM(K870:K957)</f>
        <v>1708673.1649999996</v>
      </c>
      <c r="L958" s="146"/>
      <c r="M958" s="49">
        <f>SUM(M870:M957)</f>
        <v>348185</v>
      </c>
      <c r="N958" s="49">
        <f>SUM(N870:N957)</f>
        <v>348185</v>
      </c>
      <c r="O958" s="49">
        <f>SUM(O870:O957)</f>
        <v>348185</v>
      </c>
      <c r="P958" s="148"/>
      <c r="Q958" s="49">
        <f>SUM(Q870:Q957)</f>
        <v>47711</v>
      </c>
      <c r="R958" s="49">
        <f>SUM(R870:R957)</f>
        <v>47711</v>
      </c>
      <c r="S958" s="49">
        <f>SUM(S870:S957)</f>
        <v>454.66311000000007</v>
      </c>
      <c r="T958" s="64"/>
      <c r="U958" s="65"/>
      <c r="V958" s="223">
        <f>SUM(V870:V957)</f>
        <v>4230880.3845010465</v>
      </c>
      <c r="W958" s="223">
        <f>SUM(W870:W957)</f>
        <v>411721.92509544978</v>
      </c>
      <c r="X958" s="223">
        <f>SUM(X870:X957)</f>
        <v>9617.8546066398158</v>
      </c>
      <c r="Y958" s="223">
        <f>SUM(Y870:Y957)</f>
        <v>4652220.1642031362</v>
      </c>
      <c r="Z958" s="55"/>
      <c r="AA958" s="223">
        <f>SUM(AA870:AA957)</f>
        <v>2137762.5599999996</v>
      </c>
      <c r="AB958" s="223">
        <v>1779290.48</v>
      </c>
      <c r="AC958" s="223">
        <v>150889.63</v>
      </c>
      <c r="AD958" s="223">
        <f>AB958+AC958</f>
        <v>1930180.1099999999</v>
      </c>
      <c r="AE958" s="223">
        <f t="shared" si="335"/>
        <v>2288652.1899999995</v>
      </c>
      <c r="AF958" s="54">
        <f t="shared" si="336"/>
        <v>2363567.9742031367</v>
      </c>
      <c r="AG958" s="49">
        <f>SUM(AG870:AG957)</f>
        <v>29801157.77128499</v>
      </c>
      <c r="AH958" s="49">
        <f>SUM(AH870:AH957)</f>
        <v>30058992.831284989</v>
      </c>
    </row>
    <row r="959" spans="1:34">
      <c r="A959" s="135"/>
      <c r="AG959" s="111"/>
      <c r="AH959" s="38"/>
    </row>
    <row r="960" spans="1:34" ht="13.5" thickBot="1">
      <c r="A960" s="202" t="s">
        <v>1066</v>
      </c>
      <c r="B960" s="202" t="s">
        <v>1067</v>
      </c>
      <c r="C960" s="121"/>
      <c r="D960" s="121"/>
      <c r="E960" s="203"/>
      <c r="F960" s="116"/>
      <c r="G960" s="117"/>
      <c r="H960" s="118"/>
      <c r="I960" s="203"/>
      <c r="J960" s="203"/>
      <c r="K960" s="203"/>
      <c r="L960" s="116"/>
      <c r="M960" s="203"/>
      <c r="N960" s="203"/>
      <c r="O960" s="203"/>
      <c r="P960" s="119"/>
      <c r="Q960" s="203"/>
      <c r="R960" s="203"/>
      <c r="S960" s="203"/>
      <c r="T960" s="120"/>
      <c r="U960" s="243" t="s">
        <v>160</v>
      </c>
      <c r="V960" s="204"/>
      <c r="W960" s="204"/>
      <c r="X960" s="204"/>
      <c r="Y960" s="204"/>
      <c r="Z960" s="122"/>
      <c r="AA960" s="204"/>
      <c r="AB960" s="205">
        <v>0</v>
      </c>
      <c r="AC960" s="205">
        <v>507594.9263610561</v>
      </c>
      <c r="AD960" s="205">
        <f>AB960+AC960</f>
        <v>507594.9263610561</v>
      </c>
      <c r="AE960" s="205">
        <f>AA960+AC960</f>
        <v>507594.9263610561</v>
      </c>
      <c r="AF960" s="205">
        <f>Y960-AE960</f>
        <v>-507594.9263610561</v>
      </c>
      <c r="AG960" s="206"/>
      <c r="AH960" s="206"/>
    </row>
    <row r="961" spans="1:34" ht="14.25" thickTop="1" thickBot="1">
      <c r="A961" s="258" t="s">
        <v>1068</v>
      </c>
      <c r="B961" s="149"/>
      <c r="C961" s="113"/>
      <c r="D961" s="113"/>
      <c r="E961" s="260">
        <f>E958+E867</f>
        <v>1173</v>
      </c>
      <c r="F961" s="150"/>
      <c r="G961" s="151"/>
      <c r="H961" s="152"/>
      <c r="I961" s="260">
        <f>I958+I867</f>
        <v>3059735.3786840001</v>
      </c>
      <c r="J961" s="260">
        <f>J958+J867</f>
        <v>2773885.0496840002</v>
      </c>
      <c r="K961" s="260">
        <f>K958+K867</f>
        <v>2745591.7369639999</v>
      </c>
      <c r="L961" s="150"/>
      <c r="M961" s="260">
        <f>M958+M867</f>
        <v>348185</v>
      </c>
      <c r="N961" s="260">
        <f>N958+N867</f>
        <v>348185</v>
      </c>
      <c r="O961" s="260">
        <f>O958+O867</f>
        <v>348185</v>
      </c>
      <c r="P961" s="153"/>
      <c r="Q961" s="260">
        <f>Q958+Q867</f>
        <v>50417.252999999997</v>
      </c>
      <c r="R961" s="260">
        <f>R958+R867</f>
        <v>50417.252999999997</v>
      </c>
      <c r="S961" s="260">
        <f>S958+S867</f>
        <v>2256.025259</v>
      </c>
      <c r="T961" s="112"/>
      <c r="U961" s="113"/>
      <c r="V961" s="261">
        <f>V958+V867</f>
        <v>7502207.4491596036</v>
      </c>
      <c r="W961" s="261">
        <f>W958+W867</f>
        <v>411721.92509544978</v>
      </c>
      <c r="X961" s="261">
        <f>X958+X867</f>
        <v>47723.517595190264</v>
      </c>
      <c r="Y961" s="261">
        <f>Y958+Y867</f>
        <v>7961652.8918502443</v>
      </c>
      <c r="Z961" s="154"/>
      <c r="AA961" s="261">
        <f>AA958+AA867</f>
        <v>5154972.17</v>
      </c>
      <c r="AB961" s="262">
        <f>AB958+AB867</f>
        <v>6081435.040000001</v>
      </c>
      <c r="AC961" s="262">
        <f>AC958+AC867+AC960</f>
        <v>850869.58636105619</v>
      </c>
      <c r="AD961" s="262">
        <f>AD958+AD867+AD960</f>
        <v>6932304.6263610572</v>
      </c>
      <c r="AE961" s="262">
        <f>AE958+AE867+AE960</f>
        <v>6005841.7563610552</v>
      </c>
      <c r="AF961" s="262">
        <f>AF958+AF867+AF960</f>
        <v>1955811.1354891886</v>
      </c>
      <c r="AG961" s="260">
        <f>AG958+AG867</f>
        <v>55474639.571185</v>
      </c>
      <c r="AH961" s="260">
        <f>AH958+AH867</f>
        <v>55757572.698385</v>
      </c>
    </row>
    <row r="962" spans="1:34" ht="13.5" thickTop="1">
      <c r="A962" s="135"/>
      <c r="AG962" s="38"/>
      <c r="AH962" s="38"/>
    </row>
    <row r="963" spans="1:34">
      <c r="A963" s="135" t="s">
        <v>1069</v>
      </c>
      <c r="B963" s="69"/>
      <c r="C963" s="43"/>
      <c r="D963" s="43"/>
      <c r="E963" s="11"/>
      <c r="F963" s="12"/>
      <c r="G963" s="13"/>
      <c r="H963" s="14"/>
      <c r="I963" s="11"/>
      <c r="J963" s="11"/>
      <c r="K963" s="11"/>
      <c r="L963" s="12"/>
      <c r="M963" s="11"/>
      <c r="N963" s="11"/>
      <c r="O963" s="11"/>
      <c r="P963" s="23"/>
      <c r="Q963" s="11"/>
      <c r="R963" s="11"/>
      <c r="S963" s="11"/>
      <c r="T963" s="48"/>
      <c r="U963" s="43"/>
      <c r="V963" s="40"/>
      <c r="W963" s="40"/>
      <c r="X963" s="40"/>
      <c r="Y963" s="40"/>
      <c r="Z963" s="66"/>
      <c r="AA963" s="40"/>
      <c r="AB963" s="40"/>
      <c r="AC963" s="40"/>
      <c r="AD963" s="40"/>
      <c r="AE963" s="40"/>
      <c r="AF963" s="40"/>
      <c r="AG963" s="38"/>
      <c r="AH963" s="38"/>
    </row>
    <row r="964" spans="1:34">
      <c r="A964" s="145" t="s">
        <v>1070</v>
      </c>
      <c r="B964" s="145" t="s">
        <v>1071</v>
      </c>
      <c r="C964" s="145"/>
      <c r="D964" s="145"/>
      <c r="E964" s="51">
        <v>40040</v>
      </c>
      <c r="F964" s="146"/>
      <c r="G964" s="147"/>
      <c r="H964" s="147"/>
      <c r="I964" s="49"/>
      <c r="J964" s="49"/>
      <c r="K964" s="49"/>
      <c r="L964" s="146"/>
      <c r="M964" s="51"/>
      <c r="N964" s="51"/>
      <c r="O964" s="51"/>
      <c r="P964" s="148"/>
      <c r="Q964" s="51"/>
      <c r="R964" s="51"/>
      <c r="S964" s="51"/>
      <c r="T964" s="64"/>
      <c r="U964" s="64"/>
      <c r="V964" s="160"/>
      <c r="W964" s="160"/>
      <c r="X964" s="160"/>
      <c r="Y964" s="160"/>
      <c r="Z964" s="161"/>
      <c r="AA964" s="160"/>
      <c r="AB964" s="54">
        <v>124329.24</v>
      </c>
      <c r="AC964" s="54">
        <v>855007.9</v>
      </c>
      <c r="AD964" s="53">
        <f t="shared" ref="AD964:AD967" si="344">AB964+AC964</f>
        <v>979337.14</v>
      </c>
      <c r="AE964" s="53"/>
      <c r="AF964" s="54"/>
      <c r="AG964" s="49"/>
      <c r="AH964" s="49"/>
    </row>
    <row r="965" spans="1:34">
      <c r="A965" s="145" t="s">
        <v>1070</v>
      </c>
      <c r="B965" s="145" t="s">
        <v>1072</v>
      </c>
      <c r="C965" s="145"/>
      <c r="D965" s="145"/>
      <c r="E965" s="51">
        <v>662</v>
      </c>
      <c r="F965" s="146"/>
      <c r="G965" s="147"/>
      <c r="H965" s="147"/>
      <c r="I965" s="49"/>
      <c r="J965" s="49"/>
      <c r="K965" s="49"/>
      <c r="L965" s="146"/>
      <c r="M965" s="51"/>
      <c r="N965" s="51"/>
      <c r="O965" s="51"/>
      <c r="P965" s="148"/>
      <c r="Q965" s="51"/>
      <c r="R965" s="51"/>
      <c r="S965" s="51"/>
      <c r="T965" s="64"/>
      <c r="U965" s="64"/>
      <c r="V965" s="160"/>
      <c r="W965" s="160"/>
      <c r="X965" s="160"/>
      <c r="Y965" s="160"/>
      <c r="Z965" s="161"/>
      <c r="AA965" s="160"/>
      <c r="AB965" s="54">
        <v>0</v>
      </c>
      <c r="AC965" s="54">
        <v>0</v>
      </c>
      <c r="AD965" s="53">
        <f t="shared" si="344"/>
        <v>0</v>
      </c>
      <c r="AE965" s="53"/>
      <c r="AF965" s="54"/>
      <c r="AG965" s="49"/>
      <c r="AH965" s="49"/>
    </row>
    <row r="966" spans="1:34">
      <c r="A966" s="145" t="s">
        <v>1073</v>
      </c>
      <c r="B966" s="145" t="s">
        <v>1074</v>
      </c>
      <c r="C966" s="145"/>
      <c r="D966" s="145"/>
      <c r="E966" s="51">
        <v>1059</v>
      </c>
      <c r="F966" s="146"/>
      <c r="G966" s="147"/>
      <c r="H966" s="147"/>
      <c r="I966" s="49"/>
      <c r="J966" s="49"/>
      <c r="K966" s="49"/>
      <c r="L966" s="146"/>
      <c r="M966" s="51"/>
      <c r="N966" s="51"/>
      <c r="O966" s="51"/>
      <c r="P966" s="148"/>
      <c r="Q966" s="51"/>
      <c r="R966" s="51"/>
      <c r="S966" s="51"/>
      <c r="T966" s="64"/>
      <c r="U966" s="64"/>
      <c r="V966" s="160"/>
      <c r="W966" s="160"/>
      <c r="X966" s="160"/>
      <c r="Y966" s="160"/>
      <c r="Z966" s="161"/>
      <c r="AA966" s="160"/>
      <c r="AB966" s="54">
        <v>0</v>
      </c>
      <c r="AC966" s="54">
        <v>0</v>
      </c>
      <c r="AD966" s="53">
        <f t="shared" si="344"/>
        <v>0</v>
      </c>
      <c r="AE966" s="53"/>
      <c r="AF966" s="54"/>
      <c r="AG966" s="49"/>
      <c r="AH966" s="49"/>
    </row>
    <row r="967" spans="1:34">
      <c r="A967" s="145" t="s">
        <v>1073</v>
      </c>
      <c r="B967" s="145" t="s">
        <v>1075</v>
      </c>
      <c r="C967" s="145"/>
      <c r="D967" s="145"/>
      <c r="E967" s="51">
        <v>23</v>
      </c>
      <c r="F967" s="146"/>
      <c r="G967" s="147"/>
      <c r="H967" s="147"/>
      <c r="I967" s="49"/>
      <c r="J967" s="49"/>
      <c r="K967" s="49"/>
      <c r="L967" s="146"/>
      <c r="M967" s="51"/>
      <c r="N967" s="51"/>
      <c r="O967" s="51"/>
      <c r="P967" s="148"/>
      <c r="Q967" s="51"/>
      <c r="R967" s="51"/>
      <c r="S967" s="51"/>
      <c r="T967" s="64"/>
      <c r="U967" s="64"/>
      <c r="V967" s="160"/>
      <c r="W967" s="160"/>
      <c r="X967" s="160"/>
      <c r="Y967" s="160"/>
      <c r="Z967" s="161"/>
      <c r="AA967" s="160"/>
      <c r="AB967" s="54">
        <v>746758.37</v>
      </c>
      <c r="AC967" s="54">
        <v>587276.6</v>
      </c>
      <c r="AD967" s="53">
        <f t="shared" si="344"/>
        <v>1334034.97</v>
      </c>
      <c r="AE967" s="53"/>
      <c r="AF967" s="54"/>
      <c r="AG967" s="49"/>
      <c r="AH967" s="49"/>
    </row>
    <row r="968" spans="1:34">
      <c r="A968" s="145" t="s">
        <v>35</v>
      </c>
      <c r="B968" s="145" t="s">
        <v>1076</v>
      </c>
      <c r="C968" s="145"/>
      <c r="D968" s="145"/>
      <c r="E968" s="51"/>
      <c r="F968" s="146"/>
      <c r="G968" s="147"/>
      <c r="H968" s="147"/>
      <c r="I968" s="49"/>
      <c r="J968" s="49"/>
      <c r="K968" s="49"/>
      <c r="L968" s="146"/>
      <c r="M968" s="51"/>
      <c r="N968" s="51"/>
      <c r="O968" s="51"/>
      <c r="P968" s="148"/>
      <c r="Q968" s="51"/>
      <c r="R968" s="51"/>
      <c r="S968" s="51"/>
      <c r="T968" s="64"/>
      <c r="U968" s="64"/>
      <c r="V968" s="160"/>
      <c r="W968" s="160"/>
      <c r="X968" s="160"/>
      <c r="Y968" s="160"/>
      <c r="Z968" s="161"/>
      <c r="AA968" s="160"/>
      <c r="AB968" s="54">
        <f>SUM(AB964:AB967)</f>
        <v>871087.61</v>
      </c>
      <c r="AC968" s="54">
        <f>SUM(AC964:AC967)</f>
        <v>1442284.5</v>
      </c>
      <c r="AD968" s="54">
        <f>AB968+AC968</f>
        <v>2313372.11</v>
      </c>
      <c r="AE968" s="54"/>
      <c r="AF968" s="54"/>
      <c r="AG968" s="51"/>
      <c r="AH968" s="51"/>
    </row>
    <row r="969" spans="1:34">
      <c r="A969" s="44"/>
      <c r="B969" s="44"/>
      <c r="C969" s="44"/>
      <c r="D969" s="44"/>
      <c r="E969" s="92"/>
      <c r="F969" s="162"/>
      <c r="G969" s="163"/>
      <c r="H969" s="163"/>
      <c r="I969" s="90"/>
      <c r="J969" s="90"/>
      <c r="K969" s="90"/>
      <c r="L969" s="162"/>
      <c r="M969" s="92"/>
      <c r="N969" s="92"/>
      <c r="O969" s="92"/>
      <c r="P969" s="164"/>
      <c r="Q969" s="92"/>
      <c r="R969" s="92"/>
      <c r="S969" s="92"/>
      <c r="T969" s="3"/>
      <c r="U969" s="3"/>
      <c r="V969" s="165"/>
      <c r="W969" s="165"/>
      <c r="X969" s="165"/>
      <c r="Y969" s="165"/>
      <c r="Z969" s="166"/>
      <c r="AA969" s="165"/>
      <c r="AB969" s="72"/>
      <c r="AC969" s="72"/>
      <c r="AD969" s="72"/>
      <c r="AE969" s="72"/>
      <c r="AF969" s="72"/>
      <c r="AG969" s="167"/>
      <c r="AH969" s="167"/>
    </row>
    <row r="970" spans="1:34">
      <c r="A970" s="145" t="s">
        <v>1077</v>
      </c>
      <c r="B970" s="145" t="s">
        <v>1078</v>
      </c>
      <c r="C970" s="145"/>
      <c r="D970" s="145"/>
      <c r="E970" s="51">
        <v>19</v>
      </c>
      <c r="F970" s="146"/>
      <c r="G970" s="147"/>
      <c r="H970" s="147"/>
      <c r="I970" s="49"/>
      <c r="J970" s="49"/>
      <c r="K970" s="49"/>
      <c r="L970" s="146"/>
      <c r="M970" s="51"/>
      <c r="N970" s="51"/>
      <c r="O970" s="51"/>
      <c r="P970" s="148"/>
      <c r="Q970" s="51"/>
      <c r="R970" s="51"/>
      <c r="S970" s="51"/>
      <c r="T970" s="64"/>
      <c r="U970" s="64"/>
      <c r="V970" s="160"/>
      <c r="W970" s="160"/>
      <c r="X970" s="160"/>
      <c r="Y970" s="160"/>
      <c r="Z970" s="161"/>
      <c r="AA970" s="160"/>
      <c r="AB970" s="54">
        <v>483514.06</v>
      </c>
      <c r="AC970" s="54">
        <v>255920.76</v>
      </c>
      <c r="AD970" s="53">
        <f>AB970+AC970</f>
        <v>739434.82000000007</v>
      </c>
      <c r="AE970" s="53"/>
      <c r="AF970" s="54"/>
      <c r="AG970" s="49"/>
      <c r="AH970" s="49"/>
    </row>
    <row r="971" spans="1:34">
      <c r="A971" s="145" t="s">
        <v>35</v>
      </c>
      <c r="B971" s="145" t="s">
        <v>1079</v>
      </c>
      <c r="C971" s="145"/>
      <c r="D971" s="145"/>
      <c r="E971" s="51"/>
      <c r="F971" s="146"/>
      <c r="G971" s="147"/>
      <c r="H971" s="147"/>
      <c r="I971" s="49"/>
      <c r="J971" s="49"/>
      <c r="K971" s="49"/>
      <c r="L971" s="146"/>
      <c r="M971" s="51"/>
      <c r="N971" s="51"/>
      <c r="O971" s="51"/>
      <c r="P971" s="148"/>
      <c r="Q971" s="51"/>
      <c r="R971" s="51"/>
      <c r="S971" s="51"/>
      <c r="T971" s="64"/>
      <c r="U971" s="64" t="s">
        <v>160</v>
      </c>
      <c r="V971" s="160"/>
      <c r="W971" s="160"/>
      <c r="X971" s="160"/>
      <c r="Y971" s="160"/>
      <c r="Z971" s="161"/>
      <c r="AA971" s="160"/>
      <c r="AB971" s="54">
        <f>SUM(AB970)</f>
        <v>483514.06</v>
      </c>
      <c r="AC971" s="54">
        <f>SUM(AC970)</f>
        <v>255920.76</v>
      </c>
      <c r="AD971" s="54">
        <f>AB971+AC971</f>
        <v>739434.82000000007</v>
      </c>
      <c r="AE971" s="54"/>
      <c r="AF971" s="54"/>
      <c r="AG971" s="51"/>
      <c r="AH971" s="51"/>
    </row>
    <row r="972" spans="1:34">
      <c r="A972" s="44"/>
      <c r="B972" s="44"/>
      <c r="C972" s="44"/>
      <c r="D972" s="44"/>
      <c r="E972" s="92"/>
      <c r="F972" s="162"/>
      <c r="G972" s="163"/>
      <c r="H972" s="163"/>
      <c r="I972" s="90"/>
      <c r="J972" s="90"/>
      <c r="K972" s="90"/>
      <c r="L972" s="162"/>
      <c r="M972" s="92"/>
      <c r="N972" s="92"/>
      <c r="O972" s="92"/>
      <c r="P972" s="164"/>
      <c r="Q972" s="92"/>
      <c r="R972" s="92"/>
      <c r="S972" s="92"/>
      <c r="T972" s="3"/>
      <c r="U972" s="3"/>
      <c r="V972" s="165"/>
      <c r="W972" s="165"/>
      <c r="X972" s="165"/>
      <c r="Y972" s="165"/>
      <c r="Z972" s="166"/>
      <c r="AA972" s="165"/>
      <c r="AB972" s="72"/>
      <c r="AC972" s="72"/>
      <c r="AD972" s="72"/>
      <c r="AE972" s="72"/>
      <c r="AF972" s="72"/>
      <c r="AG972" s="167"/>
      <c r="AH972" s="167"/>
    </row>
    <row r="973" spans="1:34">
      <c r="A973" s="202" t="s">
        <v>1080</v>
      </c>
      <c r="B973" s="202" t="s">
        <v>1081</v>
      </c>
      <c r="C973" s="121"/>
      <c r="D973" s="121"/>
      <c r="E973" s="203"/>
      <c r="F973" s="116"/>
      <c r="G973" s="117"/>
      <c r="H973" s="118"/>
      <c r="I973" s="203"/>
      <c r="J973" s="203"/>
      <c r="K973" s="203"/>
      <c r="L973" s="116"/>
      <c r="M973" s="203"/>
      <c r="N973" s="203"/>
      <c r="O973" s="203"/>
      <c r="P973" s="119"/>
      <c r="Q973" s="203"/>
      <c r="R973" s="203"/>
      <c r="S973" s="203"/>
      <c r="T973" s="120"/>
      <c r="U973" s="243" t="s">
        <v>160</v>
      </c>
      <c r="V973" s="204"/>
      <c r="W973" s="204"/>
      <c r="X973" s="204"/>
      <c r="Y973" s="204"/>
      <c r="Z973" s="122"/>
      <c r="AA973" s="204"/>
      <c r="AB973" s="266">
        <v>0</v>
      </c>
      <c r="AC973" s="266">
        <f>1326527.05516307</f>
        <v>1326527.0551630701</v>
      </c>
      <c r="AD973" s="266">
        <f>AB973+AC973</f>
        <v>1326527.0551630701</v>
      </c>
      <c r="AE973" s="266"/>
      <c r="AF973" s="266"/>
      <c r="AG973" s="206"/>
      <c r="AH973" s="206"/>
    </row>
    <row r="974" spans="1:34">
      <c r="A974" s="202" t="s">
        <v>1080</v>
      </c>
      <c r="B974" s="202" t="s">
        <v>1082</v>
      </c>
      <c r="C974" s="121"/>
      <c r="D974" s="121"/>
      <c r="E974" s="203"/>
      <c r="F974" s="116"/>
      <c r="G974" s="117"/>
      <c r="H974" s="118"/>
      <c r="I974" s="203"/>
      <c r="J974" s="203"/>
      <c r="K974" s="203"/>
      <c r="L974" s="116"/>
      <c r="M974" s="203"/>
      <c r="N974" s="203"/>
      <c r="O974" s="203"/>
      <c r="P974" s="119"/>
      <c r="Q974" s="203"/>
      <c r="R974" s="203"/>
      <c r="S974" s="203"/>
      <c r="T974" s="120"/>
      <c r="U974" s="243" t="s">
        <v>160</v>
      </c>
      <c r="V974" s="204"/>
      <c r="W974" s="204"/>
      <c r="X974" s="204"/>
      <c r="Y974" s="204"/>
      <c r="Z974" s="122"/>
      <c r="AA974" s="204"/>
      <c r="AB974" s="266">
        <v>-450</v>
      </c>
      <c r="AC974" s="266">
        <v>-17112.53</v>
      </c>
      <c r="AD974" s="266">
        <f>AB974+AC974</f>
        <v>-17562.53</v>
      </c>
      <c r="AE974" s="266"/>
      <c r="AF974" s="266"/>
      <c r="AG974" s="206"/>
      <c r="AH974" s="206"/>
    </row>
    <row r="975" spans="1:34" ht="13.5" thickBot="1">
      <c r="A975" s="202" t="s">
        <v>1080</v>
      </c>
      <c r="B975" s="202" t="s">
        <v>1083</v>
      </c>
      <c r="C975" s="121"/>
      <c r="D975" s="121"/>
      <c r="E975" s="203"/>
      <c r="F975" s="116"/>
      <c r="G975" s="117"/>
      <c r="H975" s="118"/>
      <c r="I975" s="203"/>
      <c r="J975" s="203"/>
      <c r="K975" s="203"/>
      <c r="L975" s="116"/>
      <c r="M975" s="203"/>
      <c r="N975" s="203"/>
      <c r="O975" s="203"/>
      <c r="P975" s="119"/>
      <c r="Q975" s="203"/>
      <c r="R975" s="203"/>
      <c r="S975" s="203"/>
      <c r="T975" s="120"/>
      <c r="U975" s="243" t="s">
        <v>160</v>
      </c>
      <c r="V975" s="204"/>
      <c r="W975" s="204"/>
      <c r="X975" s="204"/>
      <c r="Y975" s="204"/>
      <c r="Z975" s="122"/>
      <c r="AA975" s="204"/>
      <c r="AB975" s="266">
        <f>AB973+AB974</f>
        <v>-450</v>
      </c>
      <c r="AC975" s="266">
        <f>AC973+AC974</f>
        <v>1309414.5251630701</v>
      </c>
      <c r="AD975" s="266">
        <f>AB975+AC975</f>
        <v>1308964.5251630701</v>
      </c>
      <c r="AE975" s="266"/>
      <c r="AF975" s="266"/>
      <c r="AG975" s="206"/>
      <c r="AH975" s="206"/>
    </row>
    <row r="976" spans="1:34" ht="14.25" thickTop="1" thickBot="1">
      <c r="A976" s="258" t="s">
        <v>1084</v>
      </c>
      <c r="B976" s="149" t="s">
        <v>1085</v>
      </c>
      <c r="C976" s="113"/>
      <c r="D976" s="113"/>
      <c r="E976" s="260"/>
      <c r="F976" s="150"/>
      <c r="G976" s="151"/>
      <c r="H976" s="152"/>
      <c r="I976" s="260"/>
      <c r="J976" s="260"/>
      <c r="K976" s="260"/>
      <c r="L976" s="150"/>
      <c r="M976" s="260"/>
      <c r="N976" s="260"/>
      <c r="O976" s="260"/>
      <c r="P976" s="153"/>
      <c r="Q976" s="260"/>
      <c r="R976" s="260"/>
      <c r="S976" s="260"/>
      <c r="T976" s="112"/>
      <c r="U976" s="113"/>
      <c r="V976" s="261"/>
      <c r="W976" s="261"/>
      <c r="X976" s="261"/>
      <c r="Y976" s="261"/>
      <c r="Z976" s="154"/>
      <c r="AA976" s="261"/>
      <c r="AB976" s="262">
        <f>AB971+AB968+AB975</f>
        <v>1354151.67</v>
      </c>
      <c r="AC976" s="262">
        <f>AC971+AC968+AC975</f>
        <v>3007619.7851630701</v>
      </c>
      <c r="AD976" s="262">
        <f>AD971+AD968+AD975</f>
        <v>4361771.45516307</v>
      </c>
      <c r="AE976" s="262"/>
      <c r="AF976" s="262"/>
      <c r="AG976" s="260"/>
      <c r="AH976" s="260"/>
    </row>
    <row r="977" spans="1:34" ht="14.25" thickTop="1" thickBot="1">
      <c r="A977" s="258"/>
      <c r="B977" s="149"/>
      <c r="C977" s="113"/>
      <c r="D977" s="113"/>
      <c r="E977" s="260"/>
      <c r="F977" s="150"/>
      <c r="G977" s="151"/>
      <c r="H977" s="152"/>
      <c r="I977" s="260"/>
      <c r="J977" s="260"/>
      <c r="K977" s="260"/>
      <c r="L977" s="150"/>
      <c r="M977" s="260"/>
      <c r="N977" s="260"/>
      <c r="O977" s="260"/>
      <c r="P977" s="153"/>
      <c r="Q977" s="260"/>
      <c r="R977" s="260"/>
      <c r="S977" s="260"/>
      <c r="T977" s="112"/>
      <c r="U977" s="113"/>
      <c r="V977" s="261"/>
      <c r="W977" s="261"/>
      <c r="X977" s="261"/>
      <c r="Y977" s="261"/>
      <c r="Z977" s="154"/>
      <c r="AA977" s="261"/>
      <c r="AB977" s="262"/>
      <c r="AC977" s="262"/>
      <c r="AD977" s="262"/>
      <c r="AE977" s="262"/>
      <c r="AF977" s="262"/>
      <c r="AG977" s="260"/>
      <c r="AH977" s="260"/>
    </row>
    <row r="978" spans="1:34" ht="14.25" thickTop="1" thickBot="1">
      <c r="A978" s="258" t="s">
        <v>1086</v>
      </c>
      <c r="B978" s="149"/>
      <c r="C978" s="113"/>
      <c r="D978" s="113"/>
      <c r="E978" s="260">
        <f>E976+E961+E857</f>
        <v>8069</v>
      </c>
      <c r="F978" s="150"/>
      <c r="G978" s="151"/>
      <c r="H978" s="152"/>
      <c r="I978" s="260">
        <f>I976+I961+I857</f>
        <v>64133631.413299404</v>
      </c>
      <c r="J978" s="260">
        <f>J976+J961+J857</f>
        <v>60622535.4992994</v>
      </c>
      <c r="K978" s="260">
        <f>K976+K961+K857</f>
        <v>43540237.360387094</v>
      </c>
      <c r="L978" s="150"/>
      <c r="M978" s="260">
        <f>M976+M961+M857</f>
        <v>28885997</v>
      </c>
      <c r="N978" s="260">
        <f>N976+N961+N857</f>
        <v>28885997</v>
      </c>
      <c r="O978" s="260">
        <f>O976+O961+O857</f>
        <v>23306044.385001507</v>
      </c>
      <c r="P978" s="153"/>
      <c r="Q978" s="260">
        <f>Q976+Q961+Q857</f>
        <v>583760.27</v>
      </c>
      <c r="R978" s="260">
        <f>R976+R961+R857</f>
        <v>583760.27</v>
      </c>
      <c r="S978" s="260">
        <f>S976+S961+S857</f>
        <v>372508.17552400002</v>
      </c>
      <c r="T978" s="112"/>
      <c r="U978" s="112"/>
      <c r="V978" s="261">
        <f>V976+V961+V857</f>
        <v>102513097.39283152</v>
      </c>
      <c r="W978" s="261">
        <f>W976+W961+W857</f>
        <v>32761804.155173577</v>
      </c>
      <c r="X978" s="261">
        <f>X976+X961+X857</f>
        <v>9141496.5752630923</v>
      </c>
      <c r="Y978" s="261">
        <f>Y976+Y961+Y857</f>
        <v>143398889.90851676</v>
      </c>
      <c r="Z978" s="267"/>
      <c r="AA978" s="261">
        <f>AA976+AA961+AA857</f>
        <v>44191266.32100001</v>
      </c>
      <c r="AB978" s="262">
        <f>AB976+AB961+AB857</f>
        <v>19913864.300000001</v>
      </c>
      <c r="AC978" s="262">
        <f>AC976+AC961+AC857</f>
        <v>12597401.439999998</v>
      </c>
      <c r="AD978" s="262">
        <f>AD976+AD961+AD857</f>
        <v>32511265.740000002</v>
      </c>
      <c r="AE978" s="262">
        <f>AE976+AE961+AE857</f>
        <v>53776547.975836933</v>
      </c>
      <c r="AF978" s="262">
        <f t="shared" ref="AF978:AH978" si="345">AF976+AF961+AF857</f>
        <v>89622341.932679832</v>
      </c>
      <c r="AG978" s="260">
        <f t="shared" si="345"/>
        <v>719842636.55020046</v>
      </c>
      <c r="AH978" s="260">
        <f t="shared" si="345"/>
        <v>993621825.54817843</v>
      </c>
    </row>
    <row r="979" spans="1:34" ht="13.5" thickTop="1">
      <c r="V979" s="114"/>
      <c r="W979" s="114"/>
      <c r="X979" s="114"/>
      <c r="Y979" s="114"/>
      <c r="Z979" s="10"/>
      <c r="AA979" s="10"/>
      <c r="AB979" s="10"/>
      <c r="AC979" s="10"/>
      <c r="AD979" s="10"/>
      <c r="AE979" s="10"/>
      <c r="AF979" s="10"/>
    </row>
    <row r="980" spans="1:34">
      <c r="AA980" s="16"/>
    </row>
  </sheetData>
  <sheetProtection formatCells="0" formatColumns="0" formatRows="0"/>
  <autoFilter ref="A4:AH978"/>
  <mergeCells count="1">
    <mergeCell ref="AB3:AD3"/>
  </mergeCells>
  <conditionalFormatting sqref="E368:I370 M368:M370 Q368:Q370 T368:T370 Z368:Z370 AB368:AB370 E339:I341 M339:M341 Q339:Q341 T339:T341 Z339:Z341 AB339:AB341 T274:T276 M274:M276 AB274:AB276 E274:I276 Q274:Q276 Z274:Z276 Q226:Q228 E226:I228 M226:M228 T226:T228 AB226:AB228 E86:I88 M86:M88 T86:T88 Z86:Z88 AB86:AB88 Q186:Q187 E186:I187 T186:T187 M186:M187 Z186:Z187 E130:I132 M130:M132 T130:T132 Z130:Z132 AB130:AB132 AB186:AB187 Q130:Q132 Q86:Q88 M58 T58 Z58 AB58 E58:I58 T56 Q58 P56:Q56 E56:I56 L56:M56 E868:I868 T868 AB850:AB855 AB844 Z844 T844 Q844 M844 E844:I844 Q706 M706:M707 AB706:AB707 G3:I3 AB331 Q331 T329:T331 M331 U20 T41:T42 U22:U27 T850:T855 E329:I331 E721:I721 I8 I961 E962:I965 F959:I960 E858:I859 P868:Q868 M850:M855 L690:M690 L330:M330 L721:M721 L856:M859 M329 M8 M868 Q850:Q855 P690:Q690 P330:Q330 T959 T857:T859 P721:Q721 T721 T705:T707 T976:T977 P856:Q859 Q329 Q8 Q961 T957:U957 T703:U704 T690:U690 T40:U40 U852 T21:U21 T973:U973 T960:U960 T856:U856 Z638:Z640 Z653 Z610:Z617 Z521:Z524 Z544 Z549 Z581 Z586 Z452:Z454 Z456 Z459:Z462 Z495 Z181 Z868 Z329:Z331 Z850:Z859 Z721 Z957 AF39 AF40:AG40 AF8 AC58:AD70 AC860:AD860 AB970:AC970 AB638:AD640 AB653:AD653 AB610:AD617 AB521:AD524 AB544:AD544 AB549:AD549 AB581:AD581 AB586:AD586 AB452:AD454 AB456:AD456 AB459:AD462 AB495:AD495 AB181:AD181 AB959:AD959 AB868:AD868 AB957:AD957 T388:T393 L58:L70 P58:P70 AB192 Z192 M192 T192 E192:I192 Q192 E388:I393 M388:M393 Q388:Q393 AB720:AD721 AB329:AD330 U687 T684:T689 T691:T692 AB684:AB689 Z684:Z692 AH392:AH393 AB398:AB400 Q398:Q400 M398:M400 E398:I400 Z398:Z400 T398:T400 E703:I704 L703:M705 P703:Q705 E684:I686 M684:M689 M691:M692 Q684:Q689 Q691:Q692 AB691:AB692 P395:Q396 L395:M396 E395:I396 Z395:Z396 T395:T396 F966:I966 P957:Q957 O956 X3 AE56:AF56 AE955:AG957 AG982:AH65252 V3 E691:I692 G687:H687 F688:H688 AE970:AF970 AG973 F850:I857 F39:I39 F689:I690 E706:I707 F705:I705 K956:M956 M961:N961 L959:Q960 Z959:AA960 AE982:AF65262 P860:P861 Z861 L861:L866 P863:P866 Z863:Z866 Z387:Z393 AF869:AH869 Z703:Z707 AB703:AD705 AC691:AD702 P688:P689 P691:P702 T979:T65262 AE978:AH978 AB857:AD859 AB961:AD963 AF9:AH14 T9:T20 T22:T28 AE8:AE14 AE868:AE869 AE15:AH38 E967:I973 AF41:AF55 AE39:AE55 D10:D38 L706:L720 P706:P720 AC706:AD719 T978:Z978 AE980:AH981 AG979:AH979 R4:S56 AH72:AH169 AE58:AG169 AC72:AD180 AC182:AD187 AB211:AD225 Z211:Z228 AC190:AD210 AC226:AD328 AE170:AH322 P72:P329 L72:L329 L331:L393 P331:P393 AC331:AD386 AB387:AD393 AE323:AG394 AH323:AH390 AC398:AD451 AC455:AD455 AC457:AD458 AC463:AD494 AC496:AD520 AC525:AD543 AC545:AD548 AC550:AD580 AC582:AD585 AC587:AD609 AC618:AD637 AC641:AD652 AC654:AD689 P398:P686 L398:L689 L691:L702 AH398:AH712 AE397:AG712 L722:L855 P722:P855 AC722:AD855 AE713:AH860 N58:O860 AA58:AA861 V58:Y860 AE870:AH954 L868:L954 P869:P954 AC869:AD954 N868:O955 R868:S957 AA868:AA957 V868:Y957 E6 H6:K6 V4:Y28 AA7 J58:K859 J868:K955 M6 N4:O56 E40:I42 AG41:AG56 AH40:AH56 AB395:AH396 E9:I38 T30:T39 L9:M42 P9:Q42 R58:S860 T962:T972 AB964:AH967 AE959:AG963 AB968:AG969 AB971:AG972 V959:Y973 L962:Q973 R959:S973 Z962:AA973 J959:K973 V976:Z977 E976:S65262 AE977:AG977 E4:M5 J7:K56 AF868:AG868 G1:T1 AA1:AF1 Z4:AF5 Z8:AD28 V980:AD65262 V30:AD56 AA29:AD29 AA977:AD978 AA976:AG976 E1:F3 L2:M3 P2:Q6 V1:X2 Y1:Z3 T2:T6 AB2:AH2">
    <cfRule type="cellIs" dxfId="203" priority="209" stopIfTrue="1" operator="lessThan">
      <formula>0</formula>
    </cfRule>
  </conditionalFormatting>
  <conditionalFormatting sqref="AG1 AG4:AG5">
    <cfRule type="cellIs" dxfId="202" priority="208" stopIfTrue="1" operator="lessThan">
      <formula>0</formula>
    </cfRule>
  </conditionalFormatting>
  <conditionalFormatting sqref="Z869 T869 AB869 M869 E869:I869 Q869">
    <cfRule type="cellIs" dxfId="201" priority="207" stopIfTrue="1" operator="lessThan">
      <formula>0</formula>
    </cfRule>
  </conditionalFormatting>
  <conditionalFormatting sqref="AE864:AE866 AE861">
    <cfRule type="cellIs" dxfId="200" priority="201" stopIfTrue="1" operator="lessThan">
      <formula>0</formula>
    </cfRule>
  </conditionalFormatting>
  <conditionalFormatting sqref="L860">
    <cfRule type="cellIs" dxfId="199" priority="206" stopIfTrue="1" operator="lessThan">
      <formula>0</formula>
    </cfRule>
  </conditionalFormatting>
  <conditionalFormatting sqref="E860:I860">
    <cfRule type="cellIs" dxfId="198" priority="205" stopIfTrue="1" operator="lessThan">
      <formula>0</formula>
    </cfRule>
  </conditionalFormatting>
  <conditionalFormatting sqref="J864:J866 J861">
    <cfRule type="cellIs" dxfId="197" priority="204" stopIfTrue="1" operator="lessThan">
      <formula>0</formula>
    </cfRule>
  </conditionalFormatting>
  <conditionalFormatting sqref="AC861:AD862 AC864:AD866">
    <cfRule type="cellIs" dxfId="196" priority="203" stopIfTrue="1" operator="lessThan">
      <formula>0</formula>
    </cfRule>
  </conditionalFormatting>
  <conditionalFormatting sqref="AG864:AG866 AG861">
    <cfRule type="cellIs" dxfId="195" priority="199" stopIfTrue="1" operator="lessThan">
      <formula>0</formula>
    </cfRule>
  </conditionalFormatting>
  <conditionalFormatting sqref="AF864:AF866 AF861">
    <cfRule type="cellIs" dxfId="194" priority="200" stopIfTrue="1" operator="lessThan">
      <formula>0</formula>
    </cfRule>
  </conditionalFormatting>
  <conditionalFormatting sqref="E720:I720 M720 Q720 T720 Z720">
    <cfRule type="cellIs" dxfId="193" priority="198" stopIfTrue="1" operator="lessThan">
      <formula>0</formula>
    </cfRule>
  </conditionalFormatting>
  <conditionalFormatting sqref="AB722 Z722 T722 Q722 M722 E722:I722">
    <cfRule type="cellIs" dxfId="192" priority="197" stopIfTrue="1" operator="lessThan">
      <formula>0</formula>
    </cfRule>
  </conditionalFormatting>
  <conditionalFormatting sqref="Q842:Q843 T842:T843 Z842:Z843 AB842:AB843 E842:I843 M842:M843">
    <cfRule type="cellIs" dxfId="191" priority="196" stopIfTrue="1" operator="lessThan">
      <formula>0</formula>
    </cfRule>
  </conditionalFormatting>
  <conditionalFormatting sqref="J860:K860">
    <cfRule type="cellIs" dxfId="190" priority="195" stopIfTrue="1" operator="lessThan">
      <formula>0</formula>
    </cfRule>
  </conditionalFormatting>
  <conditionalFormatting sqref="AG39">
    <cfRule type="cellIs" dxfId="189" priority="194" stopIfTrue="1" operator="lessThan">
      <formula>0</formula>
    </cfRule>
  </conditionalFormatting>
  <conditionalFormatting sqref="T8 E8:H8 L8 P8">
    <cfRule type="cellIs" dxfId="188" priority="193" stopIfTrue="1" operator="lessThan">
      <formula>0</formula>
    </cfRule>
  </conditionalFormatting>
  <conditionalFormatting sqref="AG8">
    <cfRule type="cellIs" dxfId="187" priority="192" stopIfTrue="1" operator="lessThan">
      <formula>0</formula>
    </cfRule>
  </conditionalFormatting>
  <conditionalFormatting sqref="AD970">
    <cfRule type="cellIs" dxfId="186" priority="191" stopIfTrue="1" operator="lessThan">
      <formula>0</formula>
    </cfRule>
  </conditionalFormatting>
  <conditionalFormatting sqref="AG970">
    <cfRule type="cellIs" dxfId="185" priority="190" stopIfTrue="1" operator="lessThan">
      <formula>0</formula>
    </cfRule>
  </conditionalFormatting>
  <conditionalFormatting sqref="F961:H961 Z961 T961 P961 L961">
    <cfRule type="cellIs" dxfId="184" priority="189" stopIfTrue="1" operator="lessThan">
      <formula>0</formula>
    </cfRule>
  </conditionalFormatting>
  <conditionalFormatting sqref="L867 P867">
    <cfRule type="cellIs" dxfId="183" priority="188" stopIfTrue="1" operator="lessThan">
      <formula>0</formula>
    </cfRule>
  </conditionalFormatting>
  <conditionalFormatting sqref="F867:H867 T867 Z867">
    <cfRule type="cellIs" dxfId="182" priority="187" stopIfTrue="1" operator="lessThan">
      <formula>0</formula>
    </cfRule>
  </conditionalFormatting>
  <conditionalFormatting sqref="AA961">
    <cfRule type="cellIs" dxfId="181" priority="186" stopIfTrue="1" operator="lessThan">
      <formula>0</formula>
    </cfRule>
  </conditionalFormatting>
  <conditionalFormatting sqref="O961">
    <cfRule type="cellIs" dxfId="180" priority="185" stopIfTrue="1" operator="lessThan">
      <formula>0</formula>
    </cfRule>
  </conditionalFormatting>
  <conditionalFormatting sqref="J957">
    <cfRule type="cellIs" dxfId="179" priority="184" stopIfTrue="1" operator="lessThan">
      <formula>0</formula>
    </cfRule>
  </conditionalFormatting>
  <conditionalFormatting sqref="K957">
    <cfRule type="cellIs" dxfId="178" priority="183" stopIfTrue="1" operator="lessThan">
      <formula>0</formula>
    </cfRule>
  </conditionalFormatting>
  <conditionalFormatting sqref="N957">
    <cfRule type="cellIs" dxfId="177" priority="182" stopIfTrue="1" operator="lessThan">
      <formula>0</formula>
    </cfRule>
  </conditionalFormatting>
  <conditionalFormatting sqref="L957:M957 O957">
    <cfRule type="cellIs" dxfId="176" priority="181" stopIfTrue="1" operator="lessThan">
      <formula>0</formula>
    </cfRule>
  </conditionalFormatting>
  <conditionalFormatting sqref="AC856:AD856">
    <cfRule type="cellIs" dxfId="175" priority="178" stopIfTrue="1" operator="lessThan">
      <formula>0</formula>
    </cfRule>
  </conditionalFormatting>
  <conditionalFormatting sqref="AB960">
    <cfRule type="cellIs" dxfId="174" priority="180" stopIfTrue="1" operator="lessThan">
      <formula>0</formula>
    </cfRule>
  </conditionalFormatting>
  <conditionalFormatting sqref="J3">
    <cfRule type="cellIs" dxfId="173" priority="175" stopIfTrue="1" operator="lessThan">
      <formula>0</formula>
    </cfRule>
  </conditionalFormatting>
  <conditionalFormatting sqref="AB856">
    <cfRule type="cellIs" dxfId="172" priority="179" stopIfTrue="1" operator="lessThan">
      <formula>0</formula>
    </cfRule>
  </conditionalFormatting>
  <conditionalFormatting sqref="AC955:AD955 P955 L955">
    <cfRule type="cellIs" dxfId="171" priority="170" stopIfTrue="1" operator="lessThan">
      <formula>0</formula>
    </cfRule>
  </conditionalFormatting>
  <conditionalFormatting sqref="AC973:AD973">
    <cfRule type="cellIs" dxfId="170" priority="176" stopIfTrue="1" operator="lessThan">
      <formula>0</formula>
    </cfRule>
  </conditionalFormatting>
  <conditionalFormatting sqref="AC960:AD960">
    <cfRule type="cellIs" dxfId="169" priority="177" stopIfTrue="1" operator="lessThan">
      <formula>0</formula>
    </cfRule>
  </conditionalFormatting>
  <conditionalFormatting sqref="K3">
    <cfRule type="cellIs" dxfId="168" priority="174" stopIfTrue="1" operator="lessThan">
      <formula>0</formula>
    </cfRule>
  </conditionalFormatting>
  <conditionalFormatting sqref="AC71:AD71 P71 L71">
    <cfRule type="cellIs" dxfId="167" priority="169" stopIfTrue="1" operator="lessThan">
      <formula>0</formula>
    </cfRule>
  </conditionalFormatting>
  <conditionalFormatting sqref="J2:K2">
    <cfRule type="cellIs" dxfId="166" priority="173" stopIfTrue="1" operator="lessThan">
      <formula>0</formula>
    </cfRule>
  </conditionalFormatting>
  <conditionalFormatting sqref="N2:O2">
    <cfRule type="cellIs" dxfId="165" priority="172" stopIfTrue="1" operator="lessThan">
      <formula>0</formula>
    </cfRule>
  </conditionalFormatting>
  <conditionalFormatting sqref="R2:S2">
    <cfRule type="cellIs" dxfId="164" priority="171" stopIfTrue="1" operator="lessThan">
      <formula>0</formula>
    </cfRule>
  </conditionalFormatting>
  <conditionalFormatting sqref="AH1 AH5">
    <cfRule type="cellIs" dxfId="163" priority="167" stopIfTrue="1" operator="lessThan">
      <formula>0</formula>
    </cfRule>
  </conditionalFormatting>
  <conditionalFormatting sqref="AH970">
    <cfRule type="cellIs" dxfId="162" priority="163" stopIfTrue="1" operator="lessThan">
      <formula>0</formula>
    </cfRule>
  </conditionalFormatting>
  <conditionalFormatting sqref="AH968:AH969 AH971:AH973 AH957 AH58:AH70 AH959:AH963 AH976:AH977">
    <cfRule type="cellIs" dxfId="161" priority="168" stopIfTrue="1" operator="lessThan">
      <formula>0</formula>
    </cfRule>
  </conditionalFormatting>
  <conditionalFormatting sqref="AH864:AH866 AH861">
    <cfRule type="cellIs" dxfId="160" priority="166" stopIfTrue="1" operator="lessThan">
      <formula>0</formula>
    </cfRule>
  </conditionalFormatting>
  <conditionalFormatting sqref="AH39">
    <cfRule type="cellIs" dxfId="159" priority="165" stopIfTrue="1" operator="lessThan">
      <formula>0</formula>
    </cfRule>
  </conditionalFormatting>
  <conditionalFormatting sqref="AH8">
    <cfRule type="cellIs" dxfId="158" priority="164" stopIfTrue="1" operator="lessThan">
      <formula>0</formula>
    </cfRule>
  </conditionalFormatting>
  <conditionalFormatting sqref="AH71">
    <cfRule type="cellIs" dxfId="157" priority="161" stopIfTrue="1" operator="lessThan">
      <formula>0</formula>
    </cfRule>
  </conditionalFormatting>
  <conditionalFormatting sqref="AH955">
    <cfRule type="cellIs" dxfId="156" priority="162" stopIfTrue="1" operator="lessThan">
      <formula>0</formula>
    </cfRule>
  </conditionalFormatting>
  <conditionalFormatting sqref="Q190:Q191 E190:I191 T190:T191 M190:M191 Z190:Z191 E188:I188 M188 T188 Z188 AB188 AB190:AB191 Q188 AC188:AD189">
    <cfRule type="cellIs" dxfId="155" priority="160" stopIfTrue="1" operator="lessThan">
      <formula>0</formula>
    </cfRule>
  </conditionalFormatting>
  <conditionalFormatting sqref="AH391">
    <cfRule type="cellIs" dxfId="154" priority="159" stopIfTrue="1" operator="lessThan">
      <formula>0</formula>
    </cfRule>
  </conditionalFormatting>
  <conditionalFormatting sqref="T397 Z397 E397:I397 L397:M397 P397:Q397 AB397:AD397">
    <cfRule type="cellIs" dxfId="153" priority="158" stopIfTrue="1" operator="lessThan">
      <formula>0</formula>
    </cfRule>
  </conditionalFormatting>
  <conditionalFormatting sqref="AH397">
    <cfRule type="cellIs" dxfId="152" priority="157" stopIfTrue="1" operator="lessThan">
      <formula>0</formula>
    </cfRule>
  </conditionalFormatting>
  <conditionalFormatting sqref="AB690:AD690">
    <cfRule type="cellIs" dxfId="151" priority="156" stopIfTrue="1" operator="lessThan">
      <formula>0</formula>
    </cfRule>
  </conditionalFormatting>
  <conditionalFormatting sqref="O864:O866">
    <cfRule type="cellIs" dxfId="150" priority="147" stopIfTrue="1" operator="lessThan">
      <formula>0</formula>
    </cfRule>
  </conditionalFormatting>
  <conditionalFormatting sqref="K864:K866">
    <cfRule type="cellIs" dxfId="149" priority="155" stopIfTrue="1" operator="lessThan">
      <formula>0</formula>
    </cfRule>
  </conditionalFormatting>
  <conditionalFormatting sqref="Y861 R861:S861">
    <cfRule type="cellIs" dxfId="148" priority="154" stopIfTrue="1" operator="lessThan">
      <formula>0</formula>
    </cfRule>
  </conditionalFormatting>
  <conditionalFormatting sqref="V861:X861">
    <cfRule type="cellIs" dxfId="147" priority="153" stopIfTrue="1" operator="lessThan">
      <formula>0</formula>
    </cfRule>
  </conditionalFormatting>
  <conditionalFormatting sqref="N864:N866 N861">
    <cfRule type="cellIs" dxfId="146" priority="152" stopIfTrue="1" operator="lessThan">
      <formula>0</formula>
    </cfRule>
  </conditionalFormatting>
  <conditionalFormatting sqref="O861">
    <cfRule type="cellIs" dxfId="145" priority="151" stopIfTrue="1" operator="lessThan">
      <formula>0</formula>
    </cfRule>
  </conditionalFormatting>
  <conditionalFormatting sqref="Y864:Y866 R864:S866">
    <cfRule type="cellIs" dxfId="144" priority="150" stopIfTrue="1" operator="lessThan">
      <formula>0</formula>
    </cfRule>
  </conditionalFormatting>
  <conditionalFormatting sqref="V864:X866">
    <cfRule type="cellIs" dxfId="143" priority="149" stopIfTrue="1" operator="lessThan">
      <formula>0</formula>
    </cfRule>
  </conditionalFormatting>
  <conditionalFormatting sqref="N864:N866">
    <cfRule type="cellIs" dxfId="142" priority="148" stopIfTrue="1" operator="lessThan">
      <formula>0</formula>
    </cfRule>
  </conditionalFormatting>
  <conditionalFormatting sqref="AH394">
    <cfRule type="cellIs" dxfId="141" priority="126" stopIfTrue="1" operator="lessThan">
      <formula>0</formula>
    </cfRule>
  </conditionalFormatting>
  <conditionalFormatting sqref="M867">
    <cfRule type="cellIs" dxfId="140" priority="146" stopIfTrue="1" operator="lessThan">
      <formula>0</formula>
    </cfRule>
  </conditionalFormatting>
  <conditionalFormatting sqref="Q867">
    <cfRule type="cellIs" dxfId="139" priority="145" stopIfTrue="1" operator="lessThan">
      <formula>0</formula>
    </cfRule>
  </conditionalFormatting>
  <conditionalFormatting sqref="AB867">
    <cfRule type="cellIs" dxfId="138" priority="144" stopIfTrue="1" operator="lessThan">
      <formula>0</formula>
    </cfRule>
  </conditionalFormatting>
  <conditionalFormatting sqref="AC867">
    <cfRule type="cellIs" dxfId="137" priority="143" stopIfTrue="1" operator="lessThan">
      <formula>0</formula>
    </cfRule>
  </conditionalFormatting>
  <conditionalFormatting sqref="AD867">
    <cfRule type="cellIs" dxfId="136" priority="142" stopIfTrue="1" operator="lessThan">
      <formula>0</formula>
    </cfRule>
  </conditionalFormatting>
  <conditionalFormatting sqref="J867">
    <cfRule type="cellIs" dxfId="135" priority="141" stopIfTrue="1" operator="lessThan">
      <formula>0</formula>
    </cfRule>
  </conditionalFormatting>
  <conditionalFormatting sqref="K867">
    <cfRule type="cellIs" dxfId="134" priority="140" stopIfTrue="1" operator="lessThan">
      <formula>0</formula>
    </cfRule>
  </conditionalFormatting>
  <conditionalFormatting sqref="N867">
    <cfRule type="cellIs" dxfId="133" priority="139" stopIfTrue="1" operator="lessThan">
      <formula>0</formula>
    </cfRule>
  </conditionalFormatting>
  <conditionalFormatting sqref="O867">
    <cfRule type="cellIs" dxfId="132" priority="138" stopIfTrue="1" operator="lessThan">
      <formula>0</formula>
    </cfRule>
  </conditionalFormatting>
  <conditionalFormatting sqref="R867">
    <cfRule type="cellIs" dxfId="131" priority="137" stopIfTrue="1" operator="lessThan">
      <formula>0</formula>
    </cfRule>
  </conditionalFormatting>
  <conditionalFormatting sqref="S867">
    <cfRule type="cellIs" dxfId="130" priority="136" stopIfTrue="1" operator="lessThan">
      <formula>0</formula>
    </cfRule>
  </conditionalFormatting>
  <conditionalFormatting sqref="V867">
    <cfRule type="cellIs" dxfId="129" priority="135" stopIfTrue="1" operator="lessThan">
      <formula>0</formula>
    </cfRule>
  </conditionalFormatting>
  <conditionalFormatting sqref="W867">
    <cfRule type="cellIs" dxfId="128" priority="134" stopIfTrue="1" operator="lessThan">
      <formula>0</formula>
    </cfRule>
  </conditionalFormatting>
  <conditionalFormatting sqref="X867">
    <cfRule type="cellIs" dxfId="127" priority="133" stopIfTrue="1" operator="lessThan">
      <formula>0</formula>
    </cfRule>
  </conditionalFormatting>
  <conditionalFormatting sqref="Y867">
    <cfRule type="cellIs" dxfId="126" priority="132" stopIfTrue="1" operator="lessThan">
      <formula>0</formula>
    </cfRule>
  </conditionalFormatting>
  <conditionalFormatting sqref="AA867">
    <cfRule type="cellIs" dxfId="125" priority="131" stopIfTrue="1" operator="lessThan">
      <formula>0</formula>
    </cfRule>
  </conditionalFormatting>
  <conditionalFormatting sqref="AE867">
    <cfRule type="cellIs" dxfId="124" priority="130" stopIfTrue="1" operator="lessThan">
      <formula>0</formula>
    </cfRule>
  </conditionalFormatting>
  <conditionalFormatting sqref="AG867">
    <cfRule type="cellIs" dxfId="123" priority="129" stopIfTrue="1" operator="lessThan">
      <formula>0</formula>
    </cfRule>
  </conditionalFormatting>
  <conditionalFormatting sqref="AH867">
    <cfRule type="cellIs" dxfId="122" priority="128" stopIfTrue="1" operator="lessThan">
      <formula>0</formula>
    </cfRule>
  </conditionalFormatting>
  <conditionalFormatting sqref="L394 P394 AC394:AD394">
    <cfRule type="cellIs" dxfId="121" priority="127" stopIfTrue="1" operator="lessThan">
      <formula>0</formula>
    </cfRule>
  </conditionalFormatting>
  <conditionalFormatting sqref="AF863">
    <cfRule type="cellIs" dxfId="120" priority="122" stopIfTrue="1" operator="lessThan">
      <formula>0</formula>
    </cfRule>
  </conditionalFormatting>
  <conditionalFormatting sqref="AE863">
    <cfRule type="cellIs" dxfId="119" priority="123" stopIfTrue="1" operator="lessThan">
      <formula>0</formula>
    </cfRule>
  </conditionalFormatting>
  <conditionalFormatting sqref="J863">
    <cfRule type="cellIs" dxfId="118" priority="125" stopIfTrue="1" operator="lessThan">
      <formula>0</formula>
    </cfRule>
  </conditionalFormatting>
  <conditionalFormatting sqref="AG863">
    <cfRule type="cellIs" dxfId="117" priority="121" stopIfTrue="1" operator="lessThan">
      <formula>0</formula>
    </cfRule>
  </conditionalFormatting>
  <conditionalFormatting sqref="AH863">
    <cfRule type="cellIs" dxfId="116" priority="120" stopIfTrue="1" operator="lessThan">
      <formula>0</formula>
    </cfRule>
  </conditionalFormatting>
  <conditionalFormatting sqref="O863">
    <cfRule type="cellIs" dxfId="115" priority="114" stopIfTrue="1" operator="lessThan">
      <formula>0</formula>
    </cfRule>
  </conditionalFormatting>
  <conditionalFormatting sqref="K863">
    <cfRule type="cellIs" dxfId="114" priority="119" stopIfTrue="1" operator="lessThan">
      <formula>0</formula>
    </cfRule>
  </conditionalFormatting>
  <conditionalFormatting sqref="N863">
    <cfRule type="cellIs" dxfId="113" priority="118" stopIfTrue="1" operator="lessThan">
      <formula>0</formula>
    </cfRule>
  </conditionalFormatting>
  <conditionalFormatting sqref="R863:S863 Y863">
    <cfRule type="cellIs" dxfId="112" priority="117" stopIfTrue="1" operator="lessThan">
      <formula>0</formula>
    </cfRule>
  </conditionalFormatting>
  <conditionalFormatting sqref="V863:X863">
    <cfRule type="cellIs" dxfId="111" priority="116" stopIfTrue="1" operator="lessThan">
      <formula>0</formula>
    </cfRule>
  </conditionalFormatting>
  <conditionalFormatting sqref="N863">
    <cfRule type="cellIs" dxfId="110" priority="115" stopIfTrue="1" operator="lessThan">
      <formula>0</formula>
    </cfRule>
  </conditionalFormatting>
  <conditionalFormatting sqref="AC863:AD863">
    <cfRule type="cellIs" dxfId="109" priority="113" stopIfTrue="1" operator="lessThan">
      <formula>0</formula>
    </cfRule>
  </conditionalFormatting>
  <conditionalFormatting sqref="E966">
    <cfRule type="cellIs" dxfId="108" priority="112" stopIfTrue="1" operator="lessThan">
      <formula>0</formula>
    </cfRule>
  </conditionalFormatting>
  <conditionalFormatting sqref="F7:I7 T7 M7 Z7 AG7:AH7 AD7 P7:Q7">
    <cfRule type="cellIs" dxfId="107" priority="111" stopIfTrue="1" operator="lessThan">
      <formula>0</formula>
    </cfRule>
  </conditionalFormatting>
  <conditionalFormatting sqref="P956:Q956 T956:U956 Z956 AB956:AD956">
    <cfRule type="cellIs" dxfId="106" priority="110" stopIfTrue="1" operator="lessThan">
      <formula>0</formula>
    </cfRule>
  </conditionalFormatting>
  <conditionalFormatting sqref="N956">
    <cfRule type="cellIs" dxfId="105" priority="109" stopIfTrue="1" operator="lessThan">
      <formula>0</formula>
    </cfRule>
  </conditionalFormatting>
  <conditionalFormatting sqref="E956 I956">
    <cfRule type="cellIs" dxfId="104" priority="108" stopIfTrue="1" operator="lessThan">
      <formula>0</formula>
    </cfRule>
  </conditionalFormatting>
  <conditionalFormatting sqref="AH956">
    <cfRule type="cellIs" dxfId="103" priority="107" stopIfTrue="1" operator="lessThan">
      <formula>0</formula>
    </cfRule>
  </conditionalFormatting>
  <conditionalFormatting sqref="AE7">
    <cfRule type="cellIs" dxfId="102" priority="106" stopIfTrue="1" operator="lessThan">
      <formula>0</formula>
    </cfRule>
  </conditionalFormatting>
  <conditionalFormatting sqref="AF7">
    <cfRule type="cellIs" dxfId="101" priority="105" stopIfTrue="1" operator="lessThan">
      <formula>0</formula>
    </cfRule>
  </conditionalFormatting>
  <conditionalFormatting sqref="L958 P958">
    <cfRule type="cellIs" dxfId="100" priority="104" stopIfTrue="1" operator="lessThan">
      <formula>0</formula>
    </cfRule>
  </conditionalFormatting>
  <conditionalFormatting sqref="F958:H958 T958 Z958">
    <cfRule type="cellIs" dxfId="99" priority="103" stopIfTrue="1" operator="lessThan">
      <formula>0</formula>
    </cfRule>
  </conditionalFormatting>
  <conditionalFormatting sqref="I958">
    <cfRule type="cellIs" dxfId="98" priority="102" stopIfTrue="1" operator="lessThan">
      <formula>0</formula>
    </cfRule>
  </conditionalFormatting>
  <conditionalFormatting sqref="M958">
    <cfRule type="cellIs" dxfId="97" priority="101" stopIfTrue="1" operator="lessThan">
      <formula>0</formula>
    </cfRule>
  </conditionalFormatting>
  <conditionalFormatting sqref="Q958">
    <cfRule type="cellIs" dxfId="96" priority="100" stopIfTrue="1" operator="lessThan">
      <formula>0</formula>
    </cfRule>
  </conditionalFormatting>
  <conditionalFormatting sqref="AB958">
    <cfRule type="cellIs" dxfId="95" priority="99" stopIfTrue="1" operator="lessThan">
      <formula>0</formula>
    </cfRule>
  </conditionalFormatting>
  <conditionalFormatting sqref="AC958">
    <cfRule type="cellIs" dxfId="94" priority="98" stopIfTrue="1" operator="lessThan">
      <formula>0</formula>
    </cfRule>
  </conditionalFormatting>
  <conditionalFormatting sqref="AD958">
    <cfRule type="cellIs" dxfId="93" priority="97" stopIfTrue="1" operator="lessThan">
      <formula>0</formula>
    </cfRule>
  </conditionalFormatting>
  <conditionalFormatting sqref="J958">
    <cfRule type="cellIs" dxfId="92" priority="96" stopIfTrue="1" operator="lessThan">
      <formula>0</formula>
    </cfRule>
  </conditionalFormatting>
  <conditionalFormatting sqref="K958">
    <cfRule type="cellIs" dxfId="91" priority="95" stopIfTrue="1" operator="lessThan">
      <formula>0</formula>
    </cfRule>
  </conditionalFormatting>
  <conditionalFormatting sqref="N958">
    <cfRule type="cellIs" dxfId="90" priority="94" stopIfTrue="1" operator="lessThan">
      <formula>0</formula>
    </cfRule>
  </conditionalFormatting>
  <conditionalFormatting sqref="O958">
    <cfRule type="cellIs" dxfId="89" priority="93" stopIfTrue="1" operator="lessThan">
      <formula>0</formula>
    </cfRule>
  </conditionalFormatting>
  <conditionalFormatting sqref="R958">
    <cfRule type="cellIs" dxfId="88" priority="92" stopIfTrue="1" operator="lessThan">
      <formula>0</formula>
    </cfRule>
  </conditionalFormatting>
  <conditionalFormatting sqref="S958">
    <cfRule type="cellIs" dxfId="87" priority="91" stopIfTrue="1" operator="lessThan">
      <formula>0</formula>
    </cfRule>
  </conditionalFormatting>
  <conditionalFormatting sqref="V958">
    <cfRule type="cellIs" dxfId="86" priority="90" stopIfTrue="1" operator="lessThan">
      <formula>0</formula>
    </cfRule>
  </conditionalFormatting>
  <conditionalFormatting sqref="W958">
    <cfRule type="cellIs" dxfId="85" priority="89" stopIfTrue="1" operator="lessThan">
      <formula>0</formula>
    </cfRule>
  </conditionalFormatting>
  <conditionalFormatting sqref="X958">
    <cfRule type="cellIs" dxfId="84" priority="88" stopIfTrue="1" operator="lessThan">
      <formula>0</formula>
    </cfRule>
  </conditionalFormatting>
  <conditionalFormatting sqref="Y958">
    <cfRule type="cellIs" dxfId="83" priority="87" stopIfTrue="1" operator="lessThan">
      <formula>0</formula>
    </cfRule>
  </conditionalFormatting>
  <conditionalFormatting sqref="AA958">
    <cfRule type="cellIs" dxfId="82" priority="86" stopIfTrue="1" operator="lessThan">
      <formula>0</formula>
    </cfRule>
  </conditionalFormatting>
  <conditionalFormatting sqref="AE958">
    <cfRule type="cellIs" dxfId="81" priority="85" stopIfTrue="1" operator="lessThan">
      <formula>0</formula>
    </cfRule>
  </conditionalFormatting>
  <conditionalFormatting sqref="AF958">
    <cfRule type="cellIs" dxfId="80" priority="84" stopIfTrue="1" operator="lessThan">
      <formula>0</formula>
    </cfRule>
  </conditionalFormatting>
  <conditionalFormatting sqref="AG958">
    <cfRule type="cellIs" dxfId="79" priority="83" stopIfTrue="1" operator="lessThan">
      <formula>0</formula>
    </cfRule>
  </conditionalFormatting>
  <conditionalFormatting sqref="AH958">
    <cfRule type="cellIs" dxfId="78" priority="82" stopIfTrue="1" operator="lessThan">
      <formula>0</formula>
    </cfRule>
  </conditionalFormatting>
  <conditionalFormatting sqref="AF867">
    <cfRule type="cellIs" dxfId="77" priority="81" stopIfTrue="1" operator="lessThan">
      <formula>0</formula>
    </cfRule>
  </conditionalFormatting>
  <conditionalFormatting sqref="I957">
    <cfRule type="cellIs" dxfId="76" priority="80" stopIfTrue="1" operator="lessThan">
      <formula>0</formula>
    </cfRule>
  </conditionalFormatting>
  <conditionalFormatting sqref="I687:I688">
    <cfRule type="cellIs" dxfId="75" priority="79" stopIfTrue="1" operator="lessThan">
      <formula>0</formula>
    </cfRule>
  </conditionalFormatting>
  <conditionalFormatting sqref="AE973:AF973">
    <cfRule type="cellIs" dxfId="74" priority="78" stopIfTrue="1" operator="lessThan">
      <formula>0</formula>
    </cfRule>
  </conditionalFormatting>
  <conditionalFormatting sqref="F687">
    <cfRule type="cellIs" dxfId="73" priority="77" stopIfTrue="1" operator="lessThan">
      <formula>0</formula>
    </cfRule>
  </conditionalFormatting>
  <conditionalFormatting sqref="P687">
    <cfRule type="cellIs" dxfId="72" priority="76" stopIfTrue="1" operator="lessThan">
      <formula>0</formula>
    </cfRule>
  </conditionalFormatting>
  <conditionalFormatting sqref="E855:E856">
    <cfRule type="cellIs" dxfId="71" priority="75" stopIfTrue="1" operator="lessThan">
      <formula>0</formula>
    </cfRule>
  </conditionalFormatting>
  <conditionalFormatting sqref="E857">
    <cfRule type="cellIs" dxfId="70" priority="74" stopIfTrue="1" operator="lessThan">
      <formula>0</formula>
    </cfRule>
  </conditionalFormatting>
  <conditionalFormatting sqref="E850:E854">
    <cfRule type="cellIs" dxfId="69" priority="73" stopIfTrue="1" operator="lessThan">
      <formula>0</formula>
    </cfRule>
  </conditionalFormatting>
  <conditionalFormatting sqref="E959:E960">
    <cfRule type="cellIs" dxfId="68" priority="72" stopIfTrue="1" operator="lessThan">
      <formula>0</formula>
    </cfRule>
  </conditionalFormatting>
  <conditionalFormatting sqref="E961">
    <cfRule type="cellIs" dxfId="67" priority="71" stopIfTrue="1" operator="lessThan">
      <formula>0</formula>
    </cfRule>
  </conditionalFormatting>
  <conditionalFormatting sqref="E958">
    <cfRule type="cellIs" dxfId="66" priority="70" stopIfTrue="1" operator="lessThan">
      <formula>0</formula>
    </cfRule>
  </conditionalFormatting>
  <conditionalFormatting sqref="E957">
    <cfRule type="cellIs" dxfId="65" priority="69" stopIfTrue="1" operator="lessThan">
      <formula>0</formula>
    </cfRule>
  </conditionalFormatting>
  <conditionalFormatting sqref="E39">
    <cfRule type="cellIs" dxfId="64" priority="68" stopIfTrue="1" operator="lessThan">
      <formula>0</formula>
    </cfRule>
  </conditionalFormatting>
  <conditionalFormatting sqref="E688:E690">
    <cfRule type="cellIs" dxfId="63" priority="67" stopIfTrue="1" operator="lessThan">
      <formula>0</formula>
    </cfRule>
  </conditionalFormatting>
  <conditionalFormatting sqref="E687">
    <cfRule type="cellIs" dxfId="62" priority="66" stopIfTrue="1" operator="lessThan">
      <formula>0</formula>
    </cfRule>
  </conditionalFormatting>
  <conditionalFormatting sqref="E705">
    <cfRule type="cellIs" dxfId="61" priority="65" stopIfTrue="1" operator="lessThan">
      <formula>0</formula>
    </cfRule>
  </conditionalFormatting>
  <conditionalFormatting sqref="N3">
    <cfRule type="cellIs" dxfId="60" priority="64" stopIfTrue="1" operator="lessThan">
      <formula>0</formula>
    </cfRule>
  </conditionalFormatting>
  <conditionalFormatting sqref="O3">
    <cfRule type="cellIs" dxfId="59" priority="63" stopIfTrue="1" operator="lessThan">
      <formula>0</formula>
    </cfRule>
  </conditionalFormatting>
  <conditionalFormatting sqref="R3">
    <cfRule type="cellIs" dxfId="58" priority="62" stopIfTrue="1" operator="lessThan">
      <formula>0</formula>
    </cfRule>
  </conditionalFormatting>
  <conditionalFormatting sqref="S3">
    <cfRule type="cellIs" dxfId="57" priority="61" stopIfTrue="1" operator="lessThan">
      <formula>0</formula>
    </cfRule>
  </conditionalFormatting>
  <conditionalFormatting sqref="AA3">
    <cfRule type="cellIs" dxfId="56" priority="60" stopIfTrue="1" operator="lessThan">
      <formula>0</formula>
    </cfRule>
  </conditionalFormatting>
  <conditionalFormatting sqref="AE3">
    <cfRule type="cellIs" dxfId="55" priority="58" stopIfTrue="1" operator="lessThan">
      <formula>0</formula>
    </cfRule>
  </conditionalFormatting>
  <conditionalFormatting sqref="AF3">
    <cfRule type="cellIs" dxfId="54" priority="57" stopIfTrue="1" operator="lessThan">
      <formula>0</formula>
    </cfRule>
  </conditionalFormatting>
  <conditionalFormatting sqref="AG3">
    <cfRule type="cellIs" dxfId="53" priority="56" stopIfTrue="1" operator="lessThan">
      <formula>0</formula>
    </cfRule>
  </conditionalFormatting>
  <conditionalFormatting sqref="AH3">
    <cfRule type="cellIs" dxfId="52" priority="55" stopIfTrue="1" operator="lessThan">
      <formula>0</formula>
    </cfRule>
  </conditionalFormatting>
  <conditionalFormatting sqref="I867">
    <cfRule type="cellIs" dxfId="51" priority="54" stopIfTrue="1" operator="lessThan">
      <formula>0</formula>
    </cfRule>
  </conditionalFormatting>
  <conditionalFormatting sqref="P862">
    <cfRule type="cellIs" dxfId="50" priority="53" stopIfTrue="1" operator="lessThan">
      <formula>0</formula>
    </cfRule>
  </conditionalFormatting>
  <conditionalFormatting sqref="Y862">
    <cfRule type="cellIs" dxfId="49" priority="52" stopIfTrue="1" operator="lessThan">
      <formula>0</formula>
    </cfRule>
  </conditionalFormatting>
  <conditionalFormatting sqref="V862:X862">
    <cfRule type="cellIs" dxfId="48" priority="51" stopIfTrue="1" operator="lessThan">
      <formula>0</formula>
    </cfRule>
  </conditionalFormatting>
  <conditionalFormatting sqref="AA862">
    <cfRule type="cellIs" dxfId="47" priority="50" stopIfTrue="1" operator="lessThan">
      <formula>0</formula>
    </cfRule>
  </conditionalFormatting>
  <conditionalFormatting sqref="AE862">
    <cfRule type="cellIs" dxfId="46" priority="46" stopIfTrue="1" operator="lessThan">
      <formula>0</formula>
    </cfRule>
  </conditionalFormatting>
  <conditionalFormatting sqref="K862">
    <cfRule type="cellIs" dxfId="45" priority="48" stopIfTrue="1" operator="lessThan">
      <formula>0</formula>
    </cfRule>
  </conditionalFormatting>
  <conditionalFormatting sqref="J862">
    <cfRule type="cellIs" dxfId="44" priority="49" stopIfTrue="1" operator="lessThan">
      <formula>0</formula>
    </cfRule>
  </conditionalFormatting>
  <conditionalFormatting sqref="AG862">
    <cfRule type="cellIs" dxfId="43" priority="44" stopIfTrue="1" operator="lessThan">
      <formula>0</formula>
    </cfRule>
  </conditionalFormatting>
  <conditionalFormatting sqref="AF862">
    <cfRule type="cellIs" dxfId="42" priority="45" stopIfTrue="1" operator="lessThan">
      <formula>0</formula>
    </cfRule>
  </conditionalFormatting>
  <conditionalFormatting sqref="AH862">
    <cfRule type="cellIs" dxfId="41" priority="43" stopIfTrue="1" operator="lessThan">
      <formula>0</formula>
    </cfRule>
  </conditionalFormatting>
  <conditionalFormatting sqref="R862:S862">
    <cfRule type="cellIs" dxfId="40" priority="42" stopIfTrue="1" operator="lessThan">
      <formula>0</formula>
    </cfRule>
  </conditionalFormatting>
  <conditionalFormatting sqref="N862">
    <cfRule type="cellIs" dxfId="39" priority="41" stopIfTrue="1" operator="lessThan">
      <formula>0</formula>
    </cfRule>
  </conditionalFormatting>
  <conditionalFormatting sqref="O862">
    <cfRule type="cellIs" dxfId="38" priority="40" stopIfTrue="1" operator="lessThan">
      <formula>0</formula>
    </cfRule>
  </conditionalFormatting>
  <conditionalFormatting sqref="AA866">
    <cfRule type="cellIs" dxfId="37" priority="35" stopIfTrue="1" operator="lessThan">
      <formula>0</formula>
    </cfRule>
  </conditionalFormatting>
  <conditionalFormatting sqref="Z862">
    <cfRule type="cellIs" dxfId="36" priority="39" stopIfTrue="1" operator="lessThan">
      <formula>0</formula>
    </cfRule>
  </conditionalFormatting>
  <conditionalFormatting sqref="AA863">
    <cfRule type="cellIs" dxfId="35" priority="38" stopIfTrue="1" operator="lessThan">
      <formula>0</formula>
    </cfRule>
  </conditionalFormatting>
  <conditionalFormatting sqref="AA864">
    <cfRule type="cellIs" dxfId="34" priority="37" stopIfTrue="1" operator="lessThan">
      <formula>0</formula>
    </cfRule>
  </conditionalFormatting>
  <conditionalFormatting sqref="AA865">
    <cfRule type="cellIs" dxfId="33" priority="36" stopIfTrue="1" operator="lessThan">
      <formula>0</formula>
    </cfRule>
  </conditionalFormatting>
  <conditionalFormatting sqref="K861">
    <cfRule type="cellIs" dxfId="32" priority="34" stopIfTrue="1" operator="lessThan">
      <formula>0</formula>
    </cfRule>
  </conditionalFormatting>
  <conditionalFormatting sqref="D705">
    <cfRule type="cellIs" dxfId="31" priority="31" stopIfTrue="1" operator="lessThan">
      <formula>0</formula>
    </cfRule>
  </conditionalFormatting>
  <conditionalFormatting sqref="D39">
    <cfRule type="cellIs" dxfId="30" priority="33" stopIfTrue="1" operator="lessThan">
      <formula>0</formula>
    </cfRule>
  </conditionalFormatting>
  <conditionalFormatting sqref="D690">
    <cfRule type="cellIs" dxfId="29" priority="32" stopIfTrue="1" operator="lessThan">
      <formula>0</formula>
    </cfRule>
  </conditionalFormatting>
  <conditionalFormatting sqref="D850">
    <cfRule type="cellIs" dxfId="28" priority="30" stopIfTrue="1" operator="lessThan">
      <formula>0</formula>
    </cfRule>
  </conditionalFormatting>
  <conditionalFormatting sqref="D854">
    <cfRule type="cellIs" dxfId="27" priority="29" stopIfTrue="1" operator="lessThan">
      <formula>0</formula>
    </cfRule>
  </conditionalFormatting>
  <conditionalFormatting sqref="D852">
    <cfRule type="cellIs" dxfId="26" priority="28" stopIfTrue="1" operator="lessThan">
      <formula>0</formula>
    </cfRule>
  </conditionalFormatting>
  <conditionalFormatting sqref="G6">
    <cfRule type="cellIs" dxfId="25" priority="27" stopIfTrue="1" operator="lessThan">
      <formula>0</formula>
    </cfRule>
  </conditionalFormatting>
  <conditionalFormatting sqref="F6">
    <cfRule type="cellIs" dxfId="24" priority="26" stopIfTrue="1" operator="lessThan">
      <formula>0</formula>
    </cfRule>
  </conditionalFormatting>
  <conditionalFormatting sqref="Z6">
    <cfRule type="cellIs" dxfId="23" priority="25" stopIfTrue="1" operator="lessThan">
      <formula>0</formula>
    </cfRule>
  </conditionalFormatting>
  <conditionalFormatting sqref="AA6">
    <cfRule type="cellIs" dxfId="22" priority="24" stopIfTrue="1" operator="lessThan">
      <formula>0</formula>
    </cfRule>
  </conditionalFormatting>
  <conditionalFormatting sqref="AG6:AH6">
    <cfRule type="cellIs" dxfId="21" priority="22" stopIfTrue="1" operator="lessThan">
      <formula>0</formula>
    </cfRule>
  </conditionalFormatting>
  <conditionalFormatting sqref="AE6">
    <cfRule type="cellIs" dxfId="20" priority="21" stopIfTrue="1" operator="lessThan">
      <formula>0</formula>
    </cfRule>
  </conditionalFormatting>
  <conditionalFormatting sqref="AF6">
    <cfRule type="cellIs" dxfId="19" priority="20" stopIfTrue="1" operator="lessThan">
      <formula>0</formula>
    </cfRule>
  </conditionalFormatting>
  <conditionalFormatting sqref="AD6">
    <cfRule type="cellIs" dxfId="18" priority="19" stopIfTrue="1" operator="lessThan">
      <formula>0</formula>
    </cfRule>
  </conditionalFormatting>
  <conditionalFormatting sqref="J956">
    <cfRule type="cellIs" dxfId="17" priority="18" stopIfTrue="1" operator="lessThan">
      <formula>0</formula>
    </cfRule>
  </conditionalFormatting>
  <conditionalFormatting sqref="L6:L7">
    <cfRule type="cellIs" dxfId="16" priority="17" stopIfTrue="1" operator="lessThan">
      <formula>0</formula>
    </cfRule>
  </conditionalFormatting>
  <conditionalFormatting sqref="AH4">
    <cfRule type="cellIs" dxfId="15" priority="16" stopIfTrue="1" operator="lessThan">
      <formula>0</formula>
    </cfRule>
  </conditionalFormatting>
  <conditionalFormatting sqref="V29:Z29 T29">
    <cfRule type="cellIs" dxfId="14" priority="15" stopIfTrue="1" operator="lessThan">
      <formula>0</formula>
    </cfRule>
  </conditionalFormatting>
  <conditionalFormatting sqref="AH975">
    <cfRule type="cellIs" dxfId="13" priority="7" stopIfTrue="1" operator="lessThan">
      <formula>0</formula>
    </cfRule>
  </conditionalFormatting>
  <conditionalFormatting sqref="AE975:AF975">
    <cfRule type="cellIs" dxfId="12" priority="6" stopIfTrue="1" operator="lessThan">
      <formula>0</formula>
    </cfRule>
  </conditionalFormatting>
  <conditionalFormatting sqref="AB973">
    <cfRule type="cellIs" dxfId="11" priority="5" stopIfTrue="1" operator="lessThan">
      <formula>0</formula>
    </cfRule>
  </conditionalFormatting>
  <conditionalFormatting sqref="AD975">
    <cfRule type="cellIs" dxfId="10" priority="4" stopIfTrue="1" operator="lessThan">
      <formula>0</formula>
    </cfRule>
  </conditionalFormatting>
  <conditionalFormatting sqref="AG974 E974:AA974">
    <cfRule type="cellIs" dxfId="9" priority="14" stopIfTrue="1" operator="lessThan">
      <formula>0</formula>
    </cfRule>
  </conditionalFormatting>
  <conditionalFormatting sqref="AB974">
    <cfRule type="cellIs" dxfId="8" priority="13" stopIfTrue="1" operator="lessThan">
      <formula>0</formula>
    </cfRule>
  </conditionalFormatting>
  <conditionalFormatting sqref="AC974:AD974">
    <cfRule type="cellIs" dxfId="7" priority="12" stopIfTrue="1" operator="lessThan">
      <formula>0</formula>
    </cfRule>
  </conditionalFormatting>
  <conditionalFormatting sqref="AH974">
    <cfRule type="cellIs" dxfId="6" priority="11" stopIfTrue="1" operator="lessThan">
      <formula>0</formula>
    </cfRule>
  </conditionalFormatting>
  <conditionalFormatting sqref="AE974:AF974">
    <cfRule type="cellIs" dxfId="5" priority="10" stopIfTrue="1" operator="lessThan">
      <formula>0</formula>
    </cfRule>
  </conditionalFormatting>
  <conditionalFormatting sqref="AG975 E975:AA975">
    <cfRule type="cellIs" dxfId="4" priority="9" stopIfTrue="1" operator="lessThan">
      <formula>0</formula>
    </cfRule>
  </conditionalFormatting>
  <conditionalFormatting sqref="AB975:AC975">
    <cfRule type="cellIs" dxfId="3" priority="8" stopIfTrue="1" operator="lessThan">
      <formula>0</formula>
    </cfRule>
  </conditionalFormatting>
  <conditionalFormatting sqref="D867">
    <cfRule type="cellIs" dxfId="2" priority="3" stopIfTrue="1" operator="lessThan">
      <formula>0</formula>
    </cfRule>
  </conditionalFormatting>
  <conditionalFormatting sqref="D958">
    <cfRule type="cellIs" dxfId="1" priority="2" stopIfTrue="1" operator="lessThan">
      <formula>0</formula>
    </cfRule>
  </conditionalFormatting>
  <conditionalFormatting sqref="E867">
    <cfRule type="cellIs" dxfId="0" priority="1" stopIfTrue="1" operator="lessThan">
      <formula>0</formula>
    </cfRule>
  </conditionalFormatting>
  <printOptions horizontalCentered="1" verticalCentered="1" headings="1"/>
  <pageMargins left="0" right="0" top="0" bottom="0.5" header="0.17" footer="0.2"/>
  <pageSetup paperSize="17" scale="42" fitToHeight="1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Avoided Cost inputs</vt:lpstr>
      <vt:lpstr>Avoided Costs 2014-2023</vt:lpstr>
      <vt:lpstr>2014 Actuals</vt:lpstr>
      <vt:lpstr>'Avoided Costs 2014-2023'!combo_space_water_heat</vt:lpstr>
      <vt:lpstr>hampton_t_1</vt:lpstr>
      <vt:lpstr>hampton_t_2</vt:lpstr>
      <vt:lpstr>hampton_t_3</vt:lpstr>
      <vt:lpstr>hampton_t_4</vt:lpstr>
      <vt:lpstr>'Avoided Costs 2014-2023'!industrial</vt:lpstr>
      <vt:lpstr>'2014 Actuals'!Print_Area</vt:lpstr>
      <vt:lpstr>'Avoided Cost inputs'!Print_Area</vt:lpstr>
      <vt:lpstr>'2014 Actuals'!Print_Titles</vt:lpstr>
      <vt:lpstr>'Avoided Costs 2014-2023'!res_comm_space_heat</vt:lpstr>
      <vt:lpstr>'Avoided Costs 2014-2023'!res_comm_water_heat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2015-06-23T14:01:15Z</dcterms:created>
  <dcterms:modified xsi:type="dcterms:W3CDTF">2015-06-25T14:15:57Z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2048701765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