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480" yWindow="165" windowWidth="8910" windowHeight="6270" tabRatio="836"/>
  </bookViews>
  <sheets>
    <sheet name="Actuals" sheetId="3315" r:id="rId1"/>
    <sheet name="Avoided Costs 2009-2017" sheetId="4608" r:id="rId2"/>
    <sheet name="Avoided Cost inputs" sheetId="3079" r:id="rId3"/>
  </sheets>
  <externalReferences>
    <externalReference r:id="rId4"/>
  </externalReferences>
  <definedNames>
    <definedName name="\a">#REF!</definedName>
    <definedName name="\b">#REF!</definedName>
    <definedName name="\c">#REF!</definedName>
    <definedName name="\d">#REF!</definedName>
    <definedName name="\p">#REF!</definedName>
    <definedName name="_cpi8">#REF!</definedName>
    <definedName name="_cpi9">#REF!</definedName>
    <definedName name="_xlnm._FilterDatabase" localSheetId="0" hidden="1">Actuals!$A$1:$AE$1229</definedName>
    <definedName name="combo_space_water_heat" localSheetId="1">'Avoided Costs 2009-2017'!$B$79:$M$109</definedName>
    <definedName name="combo_space_water_heat">#REF!</definedName>
    <definedName name="grosstarget">#REF!</definedName>
    <definedName name="hampton_1">'[1]Full Summary'!$C$15:$M$23</definedName>
    <definedName name="hampton_2">'[1]Full Summary'!$C$30:$M$38</definedName>
    <definedName name="hampton_3">'[1]Full Summary'!$C$45:$M$53</definedName>
    <definedName name="hampton_4">'[1]Full Summary'!$C$60:$M$68</definedName>
    <definedName name="hampton_j_1">'Avoided Cost inputs'!$N$12:$Q$20</definedName>
    <definedName name="hampton_j_2">'Avoided Cost inputs'!$N$26:$Q$34</definedName>
    <definedName name="hampton_j_3">'Avoided Cost inputs'!$N$40:$Q$48</definedName>
    <definedName name="hampton_j_4">'Avoided Cost inputs'!$N$54:$Q$62</definedName>
    <definedName name="hampton_t_1">'Avoided Cost inputs'!$K$12:$L$20</definedName>
    <definedName name="hampton_t_2">'Avoided Cost inputs'!$K$26:$L$34</definedName>
    <definedName name="hampton_t_3">'Avoided Cost inputs'!$K$40:$L$48</definedName>
    <definedName name="hampton_t_4">'Avoided Cost inputs'!$K$54:$L$62</definedName>
    <definedName name="industrial" localSheetId="1">'Avoided Costs 2009-2017'!$B$116:$M$146</definedName>
    <definedName name="industrial">#REF!</definedName>
    <definedName name="MACROS">#REF!</definedName>
    <definedName name="mil">#REF!</definedName>
    <definedName name="PAGE1">#REF!</definedName>
    <definedName name="PAGE2">#REF!</definedName>
    <definedName name="PAGE3">#REF!</definedName>
    <definedName name="_xlnm.Print_Area" localSheetId="0">Actuals!$A$1:$AE$1229</definedName>
    <definedName name="Print_Area_MI">#REF!</definedName>
    <definedName name="_xlnm.Print_Titles" localSheetId="0">Actuals!$B:$B,Actuals!$2:$4</definedName>
    <definedName name="res_comm_space_heat" localSheetId="1">'Avoided Costs 2009-2017'!$B$42:$M$72</definedName>
    <definedName name="res_comm_space_heat">#REF!</definedName>
    <definedName name="res_comm_water_heat" localSheetId="1">'Avoided Costs 2009-2017'!$B$5:$P$35</definedName>
    <definedName name="res_comm_water_heat">#REF!</definedName>
    <definedName name="ssmtarget">#REF!</definedName>
    <definedName name="target">#REF!</definedName>
    <definedName name="wrn.all." hidden="1">{"class_gascosts",#N/A,FALSE,"GASCOST1";"class_stortransp",#N/A,FALSE,"GASCOST1";"class_transp",#N/A,FALSE,"GASCOST1"}</definedName>
    <definedName name="wrn.class_gascosts." hidden="1">{"class_gascosts",#N/A,FALSE,"GASCOST1"}</definedName>
    <definedName name="wrn.class_stortransp." hidden="1">{"class_stortransp",#N/A,FALSE,"GASCOST1"}</definedName>
    <definedName name="wrn.class_transp." hidden="1">{"class_transp",#N/A,FALSE,"GASCOST1"}</definedName>
    <definedName name="YTDTRC">#REF!</definedName>
    <definedName name="Z_D3618886_EC92_4244_941D_CAF99D049731_.wvu.FilterData" localSheetId="0" hidden="1">Actuals!$A$1:$AE$1229</definedName>
    <definedName name="Z_D3618886_EC92_4244_941D_CAF99D049731_.wvu.PrintArea" localSheetId="0" hidden="1">Actuals!$A$1:$AE$1229</definedName>
    <definedName name="Z_D3618886_EC92_4244_941D_CAF99D049731_.wvu.PrintTitles" localSheetId="0" hidden="1">Actuals!$B:$B,Actuals!$2:$4</definedName>
  </definedNames>
  <calcPr calcId="145621"/>
  <customWorkbookViews>
    <customWorkbookView name="Program Level" guid="{D3618886-EC92-4244-941D-CAF99D049731}" maximized="1" windowWidth="1020" windowHeight="539" tabRatio="537" activeSheetId="4631"/>
  </customWorkbookViews>
</workbook>
</file>

<file path=xl/calcChain.xml><?xml version="1.0" encoding="utf-8"?>
<calcChain xmlns="http://schemas.openxmlformats.org/spreadsheetml/2006/main">
  <c r="AF1223" i="3315" l="1"/>
  <c r="AF1224" i="3315" s="1"/>
  <c r="AF927" i="3315" l="1"/>
  <c r="R944" i="3315"/>
  <c r="R942" i="3315"/>
  <c r="I487" i="3315" l="1"/>
  <c r="M487" i="3315"/>
  <c r="I476" i="3315"/>
  <c r="I470" i="3315"/>
  <c r="I469" i="3315"/>
  <c r="I468" i="3315"/>
  <c r="I467" i="3315"/>
  <c r="I466" i="3315"/>
  <c r="I465" i="3315"/>
  <c r="I464" i="3315"/>
  <c r="I463" i="3315"/>
  <c r="I462" i="3315"/>
  <c r="I461" i="3315"/>
  <c r="I460" i="3315"/>
  <c r="I459" i="3315"/>
  <c r="I458" i="3315"/>
  <c r="I457" i="3315"/>
  <c r="I456" i="3315"/>
  <c r="I455" i="3315"/>
  <c r="I454" i="3315"/>
  <c r="I453" i="3315"/>
  <c r="I452" i="3315"/>
  <c r="I451" i="3315"/>
  <c r="I450" i="3315"/>
  <c r="I449" i="3315"/>
  <c r="I448" i="3315"/>
  <c r="I447" i="3315"/>
  <c r="I445" i="3315"/>
  <c r="I444" i="3315"/>
  <c r="I443" i="3315"/>
  <c r="I442" i="3315"/>
  <c r="I441" i="3315"/>
  <c r="I440" i="3315"/>
  <c r="I439" i="3315"/>
  <c r="I438" i="3315"/>
  <c r="I437" i="3315"/>
  <c r="I436" i="3315"/>
  <c r="I435" i="3315"/>
  <c r="I431" i="3315"/>
  <c r="I430" i="3315"/>
  <c r="I429" i="3315"/>
  <c r="I428" i="3315"/>
  <c r="I427" i="3315"/>
  <c r="I426" i="3315"/>
  <c r="I425" i="3315"/>
  <c r="I421" i="3315"/>
  <c r="I420" i="3315"/>
  <c r="I419" i="3315"/>
  <c r="I418" i="3315"/>
  <c r="I417" i="3315"/>
  <c r="I416" i="3315"/>
  <c r="I415" i="3315"/>
  <c r="I414" i="3315"/>
  <c r="I413" i="3315"/>
  <c r="I412" i="3315"/>
  <c r="I411" i="3315"/>
  <c r="I387" i="3315"/>
  <c r="I381" i="3315"/>
  <c r="I380" i="3315"/>
  <c r="I379" i="3315"/>
  <c r="I378" i="3315"/>
  <c r="I377" i="3315"/>
  <c r="I376" i="3315"/>
  <c r="I375" i="3315"/>
  <c r="I374" i="3315"/>
  <c r="I373" i="3315"/>
  <c r="I371" i="3315"/>
  <c r="I370" i="3315"/>
  <c r="I369" i="3315"/>
  <c r="I368" i="3315"/>
  <c r="I366" i="3315"/>
  <c r="I365" i="3315"/>
  <c r="I364" i="3315"/>
  <c r="M360" i="3315"/>
  <c r="I360" i="3315"/>
  <c r="I247" i="3315"/>
  <c r="M247" i="3315"/>
  <c r="N148" i="3315"/>
  <c r="N149" i="3315"/>
  <c r="N150" i="3315"/>
  <c r="N151" i="3315"/>
  <c r="N152" i="3315"/>
  <c r="N153" i="3315"/>
  <c r="N154" i="3315"/>
  <c r="N155" i="3315"/>
  <c r="N156" i="3315"/>
  <c r="N157" i="3315"/>
  <c r="N158" i="3315"/>
  <c r="N159" i="3315"/>
  <c r="J148" i="3315"/>
  <c r="AF148" i="3315" s="1"/>
  <c r="J149" i="3315"/>
  <c r="AF149" i="3315" s="1"/>
  <c r="J150" i="3315"/>
  <c r="AF150" i="3315" s="1"/>
  <c r="J151" i="3315"/>
  <c r="AF151" i="3315" s="1"/>
  <c r="J152" i="3315"/>
  <c r="AF152" i="3315" s="1"/>
  <c r="J153" i="3315"/>
  <c r="AF153" i="3315" s="1"/>
  <c r="J154" i="3315"/>
  <c r="AF154" i="3315" s="1"/>
  <c r="J155" i="3315"/>
  <c r="AF155" i="3315" s="1"/>
  <c r="J156" i="3315"/>
  <c r="AF156" i="3315" s="1"/>
  <c r="J157" i="3315"/>
  <c r="AF157" i="3315" s="1"/>
  <c r="J158" i="3315"/>
  <c r="AF158" i="3315" s="1"/>
  <c r="J159" i="3315"/>
  <c r="AF159" i="3315" s="1"/>
  <c r="M1104" i="3315" l="1"/>
  <c r="N1104" i="3315" s="1"/>
  <c r="I1104" i="3315"/>
  <c r="I1082" i="3315"/>
  <c r="J1082" i="3315" s="1"/>
  <c r="AF1082" i="3315" s="1"/>
  <c r="Q1077" i="3315"/>
  <c r="R1077" i="3315" s="1"/>
  <c r="Q1076" i="3315"/>
  <c r="R1076" i="3315" s="1"/>
  <c r="I1077" i="3315"/>
  <c r="I1076" i="3315"/>
  <c r="J1076" i="3315" s="1"/>
  <c r="AF1076" i="3315" s="1"/>
  <c r="I1073" i="3315"/>
  <c r="J1073" i="3315" s="1"/>
  <c r="AF1073" i="3315" s="1"/>
  <c r="I1058" i="3315"/>
  <c r="J1058" i="3315" s="1"/>
  <c r="AF1058" i="3315" s="1"/>
  <c r="I1056" i="3315"/>
  <c r="M1054" i="3315"/>
  <c r="N1054" i="3315" s="1"/>
  <c r="I1054" i="3315"/>
  <c r="J1054" i="3315" s="1"/>
  <c r="AF1054" i="3315" s="1"/>
  <c r="I1049" i="3315"/>
  <c r="J1049" i="3315" s="1"/>
  <c r="AF1049" i="3315" s="1"/>
  <c r="I1047" i="3315"/>
  <c r="M1039" i="3315"/>
  <c r="N1039" i="3315" s="1"/>
  <c r="I1039" i="3315"/>
  <c r="J1039" i="3315" s="1"/>
  <c r="AF1039" i="3315" s="1"/>
  <c r="Q1022" i="3315"/>
  <c r="R1022" i="3315" s="1"/>
  <c r="I1022" i="3315"/>
  <c r="M1002" i="3315"/>
  <c r="N1002" i="3315" s="1"/>
  <c r="I1002" i="3315"/>
  <c r="J1002" i="3315" s="1"/>
  <c r="AF1002" i="3315" s="1"/>
  <c r="I1000" i="3315"/>
  <c r="J1000" i="3315" s="1"/>
  <c r="AF1000" i="3315" s="1"/>
  <c r="I1001" i="3315"/>
  <c r="I999" i="3315"/>
  <c r="J999" i="3315" s="1"/>
  <c r="AF999" i="3315" s="1"/>
  <c r="Q997" i="3315"/>
  <c r="R997" i="3315" s="1"/>
  <c r="I1134" i="3315"/>
  <c r="J1134" i="3315" s="1"/>
  <c r="AF1134" i="3315" s="1"/>
  <c r="I1118" i="3315"/>
  <c r="I865" i="3315"/>
  <c r="J865" i="3315" s="1"/>
  <c r="AF865" i="3315" s="1"/>
  <c r="M121" i="3315"/>
  <c r="N121" i="3315" s="1"/>
  <c r="M120" i="3315"/>
  <c r="N120" i="3315" s="1"/>
  <c r="I122" i="3315"/>
  <c r="I121" i="3315"/>
  <c r="J121" i="3315" s="1"/>
  <c r="AF121" i="3315" s="1"/>
  <c r="I120" i="3315"/>
  <c r="J120" i="3315" s="1"/>
  <c r="AF120" i="3315" s="1"/>
  <c r="M974" i="3315"/>
  <c r="N974" i="3315" s="1"/>
  <c r="M972" i="3315"/>
  <c r="M965" i="3315"/>
  <c r="N965" i="3315" s="1"/>
  <c r="I974" i="3315"/>
  <c r="J974" i="3315" s="1"/>
  <c r="AF974" i="3315" s="1"/>
  <c r="I972" i="3315"/>
  <c r="J972" i="3315" s="1"/>
  <c r="AF972" i="3315" s="1"/>
  <c r="I965" i="3315"/>
  <c r="M355" i="3315"/>
  <c r="N355" i="3315" s="1"/>
  <c r="I356" i="3315"/>
  <c r="J356" i="3315" s="1"/>
  <c r="AF356" i="3315" s="1"/>
  <c r="I357" i="3315"/>
  <c r="J357" i="3315" s="1"/>
  <c r="AF357" i="3315" s="1"/>
  <c r="I355" i="3315"/>
  <c r="I893" i="3315"/>
  <c r="J893" i="3315" s="1"/>
  <c r="AF893" i="3315" s="1"/>
  <c r="I892" i="3315"/>
  <c r="J892" i="3315" s="1"/>
  <c r="AF892" i="3315" s="1"/>
  <c r="I723" i="3315"/>
  <c r="J723" i="3315" s="1"/>
  <c r="AF723" i="3315" s="1"/>
  <c r="I77" i="3315"/>
  <c r="I78" i="3315"/>
  <c r="J78" i="3315" s="1"/>
  <c r="AF78" i="3315" s="1"/>
  <c r="I79" i="3315"/>
  <c r="J79" i="3315" s="1"/>
  <c r="AF79" i="3315" s="1"/>
  <c r="I76" i="3315"/>
  <c r="J76" i="3315" s="1"/>
  <c r="AF76" i="3315" s="1"/>
  <c r="I482" i="3315"/>
  <c r="I86" i="3315"/>
  <c r="J86" i="3315" s="1"/>
  <c r="AF86" i="3315" s="1"/>
  <c r="M961" i="3315"/>
  <c r="N961" i="3315" s="1"/>
  <c r="I961" i="3315"/>
  <c r="J961" i="3315" s="1"/>
  <c r="AF961" i="3315" s="1"/>
  <c r="M959" i="3315"/>
  <c r="M956" i="3315"/>
  <c r="N956" i="3315" s="1"/>
  <c r="I959" i="3315"/>
  <c r="J959" i="3315" s="1"/>
  <c r="AF959" i="3315" s="1"/>
  <c r="I956" i="3315"/>
  <c r="J956" i="3315" s="1"/>
  <c r="AF956" i="3315" s="1"/>
  <c r="I313" i="3315"/>
  <c r="I616" i="3315"/>
  <c r="J616" i="3315" s="1"/>
  <c r="AF616" i="3315" s="1"/>
  <c r="I575" i="3315"/>
  <c r="J575" i="3315" s="1"/>
  <c r="AF575" i="3315" s="1"/>
  <c r="I576" i="3315"/>
  <c r="J576" i="3315" s="1"/>
  <c r="AF576" i="3315" s="1"/>
  <c r="I577" i="3315"/>
  <c r="I574" i="3315"/>
  <c r="J574" i="3315" s="1"/>
  <c r="AF574" i="3315" s="1"/>
  <c r="M503" i="3315"/>
  <c r="N503" i="3315" s="1"/>
  <c r="I503" i="3315"/>
  <c r="J503" i="3315" s="1"/>
  <c r="AF503" i="3315" s="1"/>
  <c r="M502" i="3315"/>
  <c r="I502" i="3315"/>
  <c r="J502" i="3315" s="1"/>
  <c r="AF502" i="3315" s="1"/>
  <c r="A7" i="4608"/>
  <c r="D44" i="4608"/>
  <c r="D45" i="4608"/>
  <c r="D46" i="4608"/>
  <c r="D47" i="4608"/>
  <c r="D48" i="4608"/>
  <c r="D49" i="4608"/>
  <c r="D50" i="4608"/>
  <c r="D51" i="4608"/>
  <c r="D52" i="4608" s="1"/>
  <c r="D43" i="4608"/>
  <c r="E43" i="4608" s="1"/>
  <c r="J6" i="4608"/>
  <c r="J43" i="4608" s="1"/>
  <c r="L6" i="4608"/>
  <c r="L43" i="4608" s="1"/>
  <c r="M43" i="4608" s="1"/>
  <c r="R16" i="3315"/>
  <c r="D7" i="4608"/>
  <c r="D8" i="4608"/>
  <c r="D9" i="4608"/>
  <c r="D10" i="4608"/>
  <c r="D11" i="4608"/>
  <c r="D12" i="4608"/>
  <c r="D13" i="4608"/>
  <c r="D14" i="4608"/>
  <c r="D15" i="4608" s="1"/>
  <c r="D16" i="4608" s="1"/>
  <c r="D6" i="4608"/>
  <c r="L7" i="3315"/>
  <c r="Z7" i="3315"/>
  <c r="P9" i="3315"/>
  <c r="Z9" i="3315"/>
  <c r="Z10" i="3315"/>
  <c r="Z29" i="3315"/>
  <c r="N49" i="3315"/>
  <c r="Z52" i="3315"/>
  <c r="R56" i="3315"/>
  <c r="Z56" i="3315"/>
  <c r="R57" i="3315"/>
  <c r="J62" i="3315"/>
  <c r="AF62" i="3315" s="1"/>
  <c r="N62" i="3315"/>
  <c r="R62" i="3315"/>
  <c r="Z62" i="3315"/>
  <c r="R63" i="3315"/>
  <c r="J482" i="3315"/>
  <c r="AF482" i="3315" s="1"/>
  <c r="K43" i="4608"/>
  <c r="E6" i="4608"/>
  <c r="M6" i="4608"/>
  <c r="J313" i="3315"/>
  <c r="AF313" i="3315" s="1"/>
  <c r="J355" i="3315"/>
  <c r="AF355" i="3315" s="1"/>
  <c r="J200" i="3315"/>
  <c r="AF200" i="3315" s="1"/>
  <c r="N200" i="3315"/>
  <c r="J202" i="3315"/>
  <c r="AF202" i="3315" s="1"/>
  <c r="J85" i="3315"/>
  <c r="AF85" i="3315" s="1"/>
  <c r="N85" i="3315"/>
  <c r="J122" i="3315"/>
  <c r="AF122" i="3315" s="1"/>
  <c r="N76" i="3315"/>
  <c r="J77" i="3315"/>
  <c r="AF77" i="3315" s="1"/>
  <c r="N77" i="3315"/>
  <c r="N78" i="3315"/>
  <c r="N79" i="3315"/>
  <c r="D81" i="4608"/>
  <c r="D82" i="4608"/>
  <c r="D83" i="4608"/>
  <c r="D84" i="4608"/>
  <c r="D85" i="4608"/>
  <c r="D86" i="4608"/>
  <c r="D87" i="4608"/>
  <c r="D88" i="4608"/>
  <c r="D89" i="4608" s="1"/>
  <c r="D80" i="4608"/>
  <c r="L80" i="4608"/>
  <c r="L117" i="4608" s="1"/>
  <c r="M117" i="4608" s="1"/>
  <c r="N502" i="3315"/>
  <c r="J549" i="3315"/>
  <c r="AF549" i="3315" s="1"/>
  <c r="J550" i="3315"/>
  <c r="AF550" i="3315" s="1"/>
  <c r="N575" i="3315"/>
  <c r="J577" i="3315"/>
  <c r="AF577" i="3315" s="1"/>
  <c r="J668" i="3315"/>
  <c r="AF668" i="3315" s="1"/>
  <c r="N668" i="3315"/>
  <c r="J669" i="3315"/>
  <c r="AF669" i="3315" s="1"/>
  <c r="J692" i="3315"/>
  <c r="AF692" i="3315" s="1"/>
  <c r="N692" i="3315"/>
  <c r="Z748" i="3315"/>
  <c r="AD748" i="3315" s="1"/>
  <c r="N959" i="3315"/>
  <c r="J965" i="3315"/>
  <c r="AF965" i="3315" s="1"/>
  <c r="N972" i="3315"/>
  <c r="D118" i="4608"/>
  <c r="D119" i="4608"/>
  <c r="D120" i="4608"/>
  <c r="D121" i="4608"/>
  <c r="D122" i="4608"/>
  <c r="D123" i="4608"/>
  <c r="D124" i="4608"/>
  <c r="D125" i="4608"/>
  <c r="D126" i="4608" s="1"/>
  <c r="D117" i="4608"/>
  <c r="J1118" i="3315"/>
  <c r="AF1118" i="3315" s="1"/>
  <c r="E117" i="4608"/>
  <c r="J991" i="3315"/>
  <c r="AF991" i="3315" s="1"/>
  <c r="J997" i="3315"/>
  <c r="AF997" i="3315" s="1"/>
  <c r="N997" i="3315"/>
  <c r="J1001" i="3315"/>
  <c r="AF1001" i="3315" s="1"/>
  <c r="J1022" i="3315"/>
  <c r="AF1022" i="3315" s="1"/>
  <c r="J1047" i="3315"/>
  <c r="AF1047" i="3315" s="1"/>
  <c r="N1047" i="3315"/>
  <c r="J1056" i="3315"/>
  <c r="AF1056" i="3315" s="1"/>
  <c r="J1057" i="3315"/>
  <c r="AF1057" i="3315" s="1"/>
  <c r="N1057" i="3315"/>
  <c r="R1057" i="3315"/>
  <c r="R1073" i="3315"/>
  <c r="J1077" i="3315"/>
  <c r="AF1077" i="3315" s="1"/>
  <c r="J1103" i="3315"/>
  <c r="AF1103" i="3315" s="1"/>
  <c r="J1104" i="3315"/>
  <c r="AF1104" i="3315" s="1"/>
  <c r="Z840" i="3315"/>
  <c r="AD840" i="3315" s="1"/>
  <c r="Z830" i="3315"/>
  <c r="AD830" i="3315" s="1"/>
  <c r="M64" i="3315"/>
  <c r="R950" i="3315"/>
  <c r="R949" i="3315"/>
  <c r="R948" i="3315"/>
  <c r="R947" i="3315"/>
  <c r="R946" i="3315"/>
  <c r="R945" i="3315"/>
  <c r="R943" i="3315"/>
  <c r="R941" i="3315"/>
  <c r="R940" i="3315"/>
  <c r="R939" i="3315"/>
  <c r="R938" i="3315"/>
  <c r="R937" i="3315"/>
  <c r="R936" i="3315"/>
  <c r="R935" i="3315"/>
  <c r="R934" i="3315"/>
  <c r="R933" i="3315"/>
  <c r="R932" i="3315"/>
  <c r="R931" i="3315"/>
  <c r="R930" i="3315"/>
  <c r="R929" i="3315"/>
  <c r="R928" i="3315"/>
  <c r="P979" i="3315"/>
  <c r="M951" i="3315"/>
  <c r="H1159" i="3315"/>
  <c r="A9" i="4608"/>
  <c r="L979" i="3315"/>
  <c r="H979" i="3315"/>
  <c r="I980" i="3315" s="1"/>
  <c r="J980" i="3315" s="1"/>
  <c r="AF980" i="3315" s="1"/>
  <c r="P68" i="3315"/>
  <c r="Q1087" i="3315" s="1"/>
  <c r="R1087" i="3315" s="1"/>
  <c r="L68" i="3315"/>
  <c r="M960" i="3315" s="1"/>
  <c r="H68" i="3315"/>
  <c r="J928" i="3315"/>
  <c r="AF928" i="3315" s="1"/>
  <c r="J929" i="3315"/>
  <c r="AF929" i="3315" s="1"/>
  <c r="J930" i="3315"/>
  <c r="AF930" i="3315" s="1"/>
  <c r="J931" i="3315"/>
  <c r="AF931" i="3315" s="1"/>
  <c r="J932" i="3315"/>
  <c r="AF932" i="3315" s="1"/>
  <c r="J933" i="3315"/>
  <c r="AF933" i="3315" s="1"/>
  <c r="J934" i="3315"/>
  <c r="AF934" i="3315" s="1"/>
  <c r="J935" i="3315"/>
  <c r="AF935" i="3315" s="1"/>
  <c r="J936" i="3315"/>
  <c r="AF936" i="3315" s="1"/>
  <c r="J937" i="3315"/>
  <c r="AF937" i="3315" s="1"/>
  <c r="J938" i="3315"/>
  <c r="AF938" i="3315" s="1"/>
  <c r="J939" i="3315"/>
  <c r="AF939" i="3315" s="1"/>
  <c r="J940" i="3315"/>
  <c r="AF940" i="3315" s="1"/>
  <c r="J941" i="3315"/>
  <c r="AF941" i="3315" s="1"/>
  <c r="J942" i="3315"/>
  <c r="AF942" i="3315" s="1"/>
  <c r="J943" i="3315"/>
  <c r="AF943" i="3315" s="1"/>
  <c r="J944" i="3315"/>
  <c r="AF944" i="3315" s="1"/>
  <c r="J945" i="3315"/>
  <c r="AF945" i="3315" s="1"/>
  <c r="J946" i="3315"/>
  <c r="AF946" i="3315" s="1"/>
  <c r="J947" i="3315"/>
  <c r="AF947" i="3315" s="1"/>
  <c r="J948" i="3315"/>
  <c r="AF948" i="3315" s="1"/>
  <c r="J949" i="3315"/>
  <c r="AF949" i="3315" s="1"/>
  <c r="J950" i="3315"/>
  <c r="A31" i="4608"/>
  <c r="Z496" i="3315"/>
  <c r="AD496" i="3315" s="1"/>
  <c r="Z497" i="3315"/>
  <c r="AD497" i="3315" s="1"/>
  <c r="Z498" i="3315"/>
  <c r="AD498" i="3315" s="1"/>
  <c r="Z499" i="3315"/>
  <c r="AD499" i="3315" s="1"/>
  <c r="Z500" i="3315"/>
  <c r="AD500" i="3315" s="1"/>
  <c r="Z501" i="3315"/>
  <c r="AD501" i="3315" s="1"/>
  <c r="Z502" i="3315"/>
  <c r="AD502" i="3315" s="1"/>
  <c r="Z503" i="3315"/>
  <c r="AD503" i="3315" s="1"/>
  <c r="Z504" i="3315"/>
  <c r="AD504" i="3315" s="1"/>
  <c r="Z505" i="3315"/>
  <c r="AD505" i="3315" s="1"/>
  <c r="Z506" i="3315"/>
  <c r="AD506" i="3315" s="1"/>
  <c r="Z507" i="3315"/>
  <c r="AD507" i="3315" s="1"/>
  <c r="Z508" i="3315"/>
  <c r="AD508" i="3315" s="1"/>
  <c r="Z509" i="3315"/>
  <c r="AD509" i="3315" s="1"/>
  <c r="Z510" i="3315"/>
  <c r="AD510" i="3315" s="1"/>
  <c r="Z511" i="3315"/>
  <c r="Z512" i="3315"/>
  <c r="AD512" i="3315" s="1"/>
  <c r="Z513" i="3315"/>
  <c r="AD513" i="3315" s="1"/>
  <c r="Z514" i="3315"/>
  <c r="AD514" i="3315" s="1"/>
  <c r="Z515" i="3315"/>
  <c r="AD515" i="3315" s="1"/>
  <c r="Z516" i="3315"/>
  <c r="AD516" i="3315" s="1"/>
  <c r="Z517" i="3315"/>
  <c r="AD517" i="3315" s="1"/>
  <c r="Z518" i="3315"/>
  <c r="AD518" i="3315" s="1"/>
  <c r="Z519" i="3315"/>
  <c r="AD519" i="3315" s="1"/>
  <c r="Z520" i="3315"/>
  <c r="AD520" i="3315" s="1"/>
  <c r="Z521" i="3315"/>
  <c r="AD521" i="3315" s="1"/>
  <c r="Z522" i="3315"/>
  <c r="AD522" i="3315" s="1"/>
  <c r="Z523" i="3315"/>
  <c r="AD523" i="3315" s="1"/>
  <c r="Z524" i="3315"/>
  <c r="AD524" i="3315" s="1"/>
  <c r="Z525" i="3315"/>
  <c r="AD525" i="3315" s="1"/>
  <c r="Z526" i="3315"/>
  <c r="AD526" i="3315" s="1"/>
  <c r="Z527" i="3315"/>
  <c r="AD527" i="3315" s="1"/>
  <c r="Z528" i="3315"/>
  <c r="AD528" i="3315" s="1"/>
  <c r="Z529" i="3315"/>
  <c r="AD529" i="3315" s="1"/>
  <c r="Z530" i="3315"/>
  <c r="AD530" i="3315" s="1"/>
  <c r="Z531" i="3315"/>
  <c r="Z532" i="3315"/>
  <c r="AD532" i="3315" s="1"/>
  <c r="Z533" i="3315"/>
  <c r="AD533" i="3315" s="1"/>
  <c r="Z534" i="3315"/>
  <c r="AD534" i="3315" s="1"/>
  <c r="Z535" i="3315"/>
  <c r="AD535" i="3315" s="1"/>
  <c r="Z536" i="3315"/>
  <c r="AD536" i="3315" s="1"/>
  <c r="Z537" i="3315"/>
  <c r="AD537" i="3315" s="1"/>
  <c r="Z538" i="3315"/>
  <c r="AD538" i="3315" s="1"/>
  <c r="Z539" i="3315"/>
  <c r="AD539" i="3315" s="1"/>
  <c r="Z540" i="3315"/>
  <c r="AD540" i="3315" s="1"/>
  <c r="Z541" i="3315"/>
  <c r="AD541" i="3315" s="1"/>
  <c r="Z542" i="3315"/>
  <c r="AD542" i="3315" s="1"/>
  <c r="Z543" i="3315"/>
  <c r="AD543" i="3315" s="1"/>
  <c r="Z544" i="3315"/>
  <c r="AD544" i="3315" s="1"/>
  <c r="Z545" i="3315"/>
  <c r="AD545" i="3315" s="1"/>
  <c r="Z546" i="3315"/>
  <c r="AD546" i="3315" s="1"/>
  <c r="Z547" i="3315"/>
  <c r="AD547" i="3315" s="1"/>
  <c r="Z548" i="3315"/>
  <c r="AD548" i="3315" s="1"/>
  <c r="Z549" i="3315"/>
  <c r="AD549" i="3315" s="1"/>
  <c r="Z550" i="3315"/>
  <c r="AD550" i="3315" s="1"/>
  <c r="Z551" i="3315"/>
  <c r="AD551" i="3315" s="1"/>
  <c r="Z552" i="3315"/>
  <c r="AD552" i="3315" s="1"/>
  <c r="Z553" i="3315"/>
  <c r="AD553" i="3315" s="1"/>
  <c r="Z554" i="3315"/>
  <c r="AD554" i="3315" s="1"/>
  <c r="Z555" i="3315"/>
  <c r="AD555" i="3315" s="1"/>
  <c r="Z556" i="3315"/>
  <c r="AD556" i="3315" s="1"/>
  <c r="Z557" i="3315"/>
  <c r="AD557" i="3315" s="1"/>
  <c r="Z558" i="3315"/>
  <c r="AD558" i="3315" s="1"/>
  <c r="Z559" i="3315"/>
  <c r="Z560" i="3315"/>
  <c r="AD560" i="3315" s="1"/>
  <c r="Z561" i="3315"/>
  <c r="AD561" i="3315" s="1"/>
  <c r="Z562" i="3315"/>
  <c r="AD562" i="3315" s="1"/>
  <c r="Z563" i="3315"/>
  <c r="AD563" i="3315" s="1"/>
  <c r="Z564" i="3315"/>
  <c r="AD564" i="3315" s="1"/>
  <c r="Z565" i="3315"/>
  <c r="AD565" i="3315" s="1"/>
  <c r="Z566" i="3315"/>
  <c r="AD566" i="3315" s="1"/>
  <c r="Z567" i="3315"/>
  <c r="AD567" i="3315" s="1"/>
  <c r="Z568" i="3315"/>
  <c r="AD568" i="3315" s="1"/>
  <c r="Z569" i="3315"/>
  <c r="AD569" i="3315" s="1"/>
  <c r="Z570" i="3315"/>
  <c r="AD570" i="3315" s="1"/>
  <c r="Z571" i="3315"/>
  <c r="AD571" i="3315" s="1"/>
  <c r="Z572" i="3315"/>
  <c r="AD572" i="3315" s="1"/>
  <c r="Z573" i="3315"/>
  <c r="AD573" i="3315" s="1"/>
  <c r="Z574" i="3315"/>
  <c r="AD574" i="3315" s="1"/>
  <c r="Z575" i="3315"/>
  <c r="AD575" i="3315" s="1"/>
  <c r="Z576" i="3315"/>
  <c r="AD576" i="3315" s="1"/>
  <c r="Z577" i="3315"/>
  <c r="AD577" i="3315" s="1"/>
  <c r="Z578" i="3315"/>
  <c r="AD578" i="3315" s="1"/>
  <c r="Z579" i="3315"/>
  <c r="Z580" i="3315"/>
  <c r="AD580" i="3315" s="1"/>
  <c r="Z581" i="3315"/>
  <c r="AD581" i="3315" s="1"/>
  <c r="Z582" i="3315"/>
  <c r="AD582" i="3315" s="1"/>
  <c r="Z583" i="3315"/>
  <c r="AD583" i="3315" s="1"/>
  <c r="Z584" i="3315"/>
  <c r="AD584" i="3315" s="1"/>
  <c r="Z585" i="3315"/>
  <c r="AD585" i="3315" s="1"/>
  <c r="Z586" i="3315"/>
  <c r="AD586" i="3315" s="1"/>
  <c r="Z587" i="3315"/>
  <c r="AD587" i="3315" s="1"/>
  <c r="Z588" i="3315"/>
  <c r="AD588" i="3315" s="1"/>
  <c r="Z589" i="3315"/>
  <c r="AD589" i="3315" s="1"/>
  <c r="Z590" i="3315"/>
  <c r="AD590" i="3315" s="1"/>
  <c r="Z591" i="3315"/>
  <c r="AD591" i="3315" s="1"/>
  <c r="Z592" i="3315"/>
  <c r="AD592" i="3315" s="1"/>
  <c r="Z593" i="3315"/>
  <c r="AD593" i="3315" s="1"/>
  <c r="Z594" i="3315"/>
  <c r="AD594" i="3315" s="1"/>
  <c r="Z595" i="3315"/>
  <c r="AD595" i="3315" s="1"/>
  <c r="Z596" i="3315"/>
  <c r="AD596" i="3315" s="1"/>
  <c r="Z597" i="3315"/>
  <c r="AD597" i="3315" s="1"/>
  <c r="Z598" i="3315"/>
  <c r="AD598" i="3315" s="1"/>
  <c r="Z599" i="3315"/>
  <c r="AD599" i="3315" s="1"/>
  <c r="Z600" i="3315"/>
  <c r="AD600" i="3315" s="1"/>
  <c r="Z601" i="3315"/>
  <c r="AD601" i="3315" s="1"/>
  <c r="Z602" i="3315"/>
  <c r="AD602" i="3315" s="1"/>
  <c r="Z603" i="3315"/>
  <c r="Z604" i="3315"/>
  <c r="AD604" i="3315" s="1"/>
  <c r="Z605" i="3315"/>
  <c r="AD605" i="3315" s="1"/>
  <c r="Z606" i="3315"/>
  <c r="AD606" i="3315" s="1"/>
  <c r="Z607" i="3315"/>
  <c r="AD607" i="3315" s="1"/>
  <c r="Z608" i="3315"/>
  <c r="AD608" i="3315" s="1"/>
  <c r="Z609" i="3315"/>
  <c r="AD609" i="3315" s="1"/>
  <c r="Z610" i="3315"/>
  <c r="AD610" i="3315" s="1"/>
  <c r="Z611" i="3315"/>
  <c r="Z612" i="3315"/>
  <c r="AD612" i="3315" s="1"/>
  <c r="Z613" i="3315"/>
  <c r="AD613" i="3315" s="1"/>
  <c r="Z614" i="3315"/>
  <c r="AD614" i="3315" s="1"/>
  <c r="Z615" i="3315"/>
  <c r="AD615" i="3315" s="1"/>
  <c r="Z616" i="3315"/>
  <c r="AD616" i="3315" s="1"/>
  <c r="Z617" i="3315"/>
  <c r="AD617" i="3315" s="1"/>
  <c r="Z618" i="3315"/>
  <c r="AD618" i="3315" s="1"/>
  <c r="Z619" i="3315"/>
  <c r="AD619" i="3315" s="1"/>
  <c r="Z620" i="3315"/>
  <c r="AD620" i="3315" s="1"/>
  <c r="Z621" i="3315"/>
  <c r="AD621" i="3315" s="1"/>
  <c r="Z622" i="3315"/>
  <c r="AD622" i="3315" s="1"/>
  <c r="Z623" i="3315"/>
  <c r="Z624" i="3315"/>
  <c r="AD624" i="3315" s="1"/>
  <c r="Z625" i="3315"/>
  <c r="AD625" i="3315" s="1"/>
  <c r="Z626" i="3315"/>
  <c r="AD626" i="3315" s="1"/>
  <c r="Z627" i="3315"/>
  <c r="AD627" i="3315" s="1"/>
  <c r="Z628" i="3315"/>
  <c r="AD628" i="3315" s="1"/>
  <c r="Z629" i="3315"/>
  <c r="AD629" i="3315" s="1"/>
  <c r="Z630" i="3315"/>
  <c r="AD630" i="3315" s="1"/>
  <c r="Z631" i="3315"/>
  <c r="Z632" i="3315"/>
  <c r="AD632" i="3315" s="1"/>
  <c r="Z633" i="3315"/>
  <c r="AD633" i="3315" s="1"/>
  <c r="Z634" i="3315"/>
  <c r="AD634" i="3315" s="1"/>
  <c r="Z635" i="3315"/>
  <c r="AD635" i="3315" s="1"/>
  <c r="Z636" i="3315"/>
  <c r="AD636" i="3315" s="1"/>
  <c r="Z637" i="3315"/>
  <c r="AD637" i="3315" s="1"/>
  <c r="Z638" i="3315"/>
  <c r="AD638" i="3315" s="1"/>
  <c r="Z639" i="3315"/>
  <c r="AD639" i="3315" s="1"/>
  <c r="Z640" i="3315"/>
  <c r="AD640" i="3315" s="1"/>
  <c r="Z641" i="3315"/>
  <c r="AD641" i="3315" s="1"/>
  <c r="Z642" i="3315"/>
  <c r="AD642" i="3315" s="1"/>
  <c r="Z643" i="3315"/>
  <c r="AD643" i="3315" s="1"/>
  <c r="Z644" i="3315"/>
  <c r="AD644" i="3315" s="1"/>
  <c r="Z645" i="3315"/>
  <c r="AD645" i="3315" s="1"/>
  <c r="Z646" i="3315"/>
  <c r="AD646" i="3315" s="1"/>
  <c r="Z647" i="3315"/>
  <c r="AD647" i="3315" s="1"/>
  <c r="Z648" i="3315"/>
  <c r="AD648" i="3315" s="1"/>
  <c r="Z649" i="3315"/>
  <c r="AD649" i="3315" s="1"/>
  <c r="Z650" i="3315"/>
  <c r="AD650" i="3315" s="1"/>
  <c r="Z651" i="3315"/>
  <c r="Z652" i="3315"/>
  <c r="AD652" i="3315" s="1"/>
  <c r="Z653" i="3315"/>
  <c r="AD653" i="3315" s="1"/>
  <c r="Z654" i="3315"/>
  <c r="AD654" i="3315" s="1"/>
  <c r="Z655" i="3315"/>
  <c r="AD655" i="3315" s="1"/>
  <c r="Z656" i="3315"/>
  <c r="AD656" i="3315" s="1"/>
  <c r="Z657" i="3315"/>
  <c r="AD657" i="3315" s="1"/>
  <c r="Z658" i="3315"/>
  <c r="AD658" i="3315" s="1"/>
  <c r="Z659" i="3315"/>
  <c r="AD659" i="3315" s="1"/>
  <c r="Z660" i="3315"/>
  <c r="AD660" i="3315" s="1"/>
  <c r="Z661" i="3315"/>
  <c r="AD661" i="3315" s="1"/>
  <c r="Z662" i="3315"/>
  <c r="AD662" i="3315" s="1"/>
  <c r="Z663" i="3315"/>
  <c r="Z664" i="3315"/>
  <c r="AD664" i="3315" s="1"/>
  <c r="Z665" i="3315"/>
  <c r="AD665" i="3315" s="1"/>
  <c r="Z666" i="3315"/>
  <c r="AD666" i="3315" s="1"/>
  <c r="Z667" i="3315"/>
  <c r="AD667" i="3315" s="1"/>
  <c r="Z668" i="3315"/>
  <c r="AD668" i="3315" s="1"/>
  <c r="Z669" i="3315"/>
  <c r="AD669" i="3315" s="1"/>
  <c r="Z670" i="3315"/>
  <c r="AD670" i="3315" s="1"/>
  <c r="Z671" i="3315"/>
  <c r="AD671" i="3315" s="1"/>
  <c r="Z672" i="3315"/>
  <c r="AD672" i="3315" s="1"/>
  <c r="Z673" i="3315"/>
  <c r="AD673" i="3315" s="1"/>
  <c r="Z674" i="3315"/>
  <c r="AD674" i="3315" s="1"/>
  <c r="Z675" i="3315"/>
  <c r="AD675" i="3315" s="1"/>
  <c r="Z676" i="3315"/>
  <c r="AD676" i="3315" s="1"/>
  <c r="Z677" i="3315"/>
  <c r="AD677" i="3315" s="1"/>
  <c r="Z678" i="3315"/>
  <c r="AD678" i="3315" s="1"/>
  <c r="Z679" i="3315"/>
  <c r="AD679" i="3315" s="1"/>
  <c r="Z680" i="3315"/>
  <c r="AD680" i="3315" s="1"/>
  <c r="Z681" i="3315"/>
  <c r="AD681" i="3315" s="1"/>
  <c r="Z682" i="3315"/>
  <c r="AD682" i="3315" s="1"/>
  <c r="Z683" i="3315"/>
  <c r="AD683" i="3315" s="1"/>
  <c r="Z684" i="3315"/>
  <c r="AD684" i="3315" s="1"/>
  <c r="Z685" i="3315"/>
  <c r="AD685" i="3315" s="1"/>
  <c r="Z686" i="3315"/>
  <c r="AD686" i="3315" s="1"/>
  <c r="Z687" i="3315"/>
  <c r="AD687" i="3315" s="1"/>
  <c r="Z688" i="3315"/>
  <c r="AD688" i="3315" s="1"/>
  <c r="Z689" i="3315"/>
  <c r="AD689" i="3315" s="1"/>
  <c r="Z690" i="3315"/>
  <c r="AD690" i="3315" s="1"/>
  <c r="Z691" i="3315"/>
  <c r="Z692" i="3315"/>
  <c r="AD692" i="3315" s="1"/>
  <c r="Z693" i="3315"/>
  <c r="AD693" i="3315" s="1"/>
  <c r="Z694" i="3315"/>
  <c r="AD694" i="3315" s="1"/>
  <c r="Z695" i="3315"/>
  <c r="AD695" i="3315" s="1"/>
  <c r="Z696" i="3315"/>
  <c r="AD696" i="3315" s="1"/>
  <c r="Z697" i="3315"/>
  <c r="AD697" i="3315" s="1"/>
  <c r="Z698" i="3315"/>
  <c r="AD698" i="3315" s="1"/>
  <c r="Z699" i="3315"/>
  <c r="AD699" i="3315" s="1"/>
  <c r="Z700" i="3315"/>
  <c r="AD700" i="3315" s="1"/>
  <c r="Z701" i="3315"/>
  <c r="AD701" i="3315" s="1"/>
  <c r="Z702" i="3315"/>
  <c r="AD702" i="3315" s="1"/>
  <c r="Z703" i="3315"/>
  <c r="Z704" i="3315"/>
  <c r="AD704" i="3315" s="1"/>
  <c r="Z705" i="3315"/>
  <c r="AD705" i="3315" s="1"/>
  <c r="Z706" i="3315"/>
  <c r="AD706" i="3315" s="1"/>
  <c r="Z707" i="3315"/>
  <c r="AD707" i="3315" s="1"/>
  <c r="Z708" i="3315"/>
  <c r="AD708" i="3315" s="1"/>
  <c r="Z709" i="3315"/>
  <c r="AD709" i="3315" s="1"/>
  <c r="Z710" i="3315"/>
  <c r="AD710" i="3315" s="1"/>
  <c r="Z711" i="3315"/>
  <c r="AD711" i="3315" s="1"/>
  <c r="Z712" i="3315"/>
  <c r="AD712" i="3315" s="1"/>
  <c r="Z713" i="3315"/>
  <c r="AD713" i="3315" s="1"/>
  <c r="Z714" i="3315"/>
  <c r="AD714" i="3315" s="1"/>
  <c r="Z715" i="3315"/>
  <c r="AD715" i="3315" s="1"/>
  <c r="Z716" i="3315"/>
  <c r="AD716" i="3315" s="1"/>
  <c r="Z717" i="3315"/>
  <c r="AD717" i="3315" s="1"/>
  <c r="Z718" i="3315"/>
  <c r="AD718" i="3315" s="1"/>
  <c r="Z719" i="3315"/>
  <c r="Z720" i="3315"/>
  <c r="AD720" i="3315" s="1"/>
  <c r="Z721" i="3315"/>
  <c r="AD721" i="3315" s="1"/>
  <c r="Z722" i="3315"/>
  <c r="AD722" i="3315" s="1"/>
  <c r="Z723" i="3315"/>
  <c r="AD723" i="3315" s="1"/>
  <c r="Z724" i="3315"/>
  <c r="AD724" i="3315" s="1"/>
  <c r="Z725" i="3315"/>
  <c r="AD725" i="3315" s="1"/>
  <c r="Z726" i="3315"/>
  <c r="AD726" i="3315" s="1"/>
  <c r="Z727" i="3315"/>
  <c r="Z728" i="3315"/>
  <c r="AD728" i="3315" s="1"/>
  <c r="Z729" i="3315"/>
  <c r="AD729" i="3315" s="1"/>
  <c r="Z730" i="3315"/>
  <c r="AD730" i="3315" s="1"/>
  <c r="Z731" i="3315"/>
  <c r="Z732" i="3315"/>
  <c r="AD732" i="3315" s="1"/>
  <c r="Z733" i="3315"/>
  <c r="AD733" i="3315" s="1"/>
  <c r="Z734" i="3315"/>
  <c r="AD734" i="3315" s="1"/>
  <c r="Z735" i="3315"/>
  <c r="AD735" i="3315" s="1"/>
  <c r="Z736" i="3315"/>
  <c r="AD736" i="3315" s="1"/>
  <c r="Z737" i="3315"/>
  <c r="AD737" i="3315" s="1"/>
  <c r="Z738" i="3315"/>
  <c r="AD738" i="3315" s="1"/>
  <c r="Z739" i="3315"/>
  <c r="AD739" i="3315" s="1"/>
  <c r="Z740" i="3315"/>
  <c r="AD740" i="3315" s="1"/>
  <c r="Z741" i="3315"/>
  <c r="AD741" i="3315" s="1"/>
  <c r="Z742" i="3315"/>
  <c r="AD742" i="3315" s="1"/>
  <c r="Z743" i="3315"/>
  <c r="AD743" i="3315" s="1"/>
  <c r="Z744" i="3315"/>
  <c r="AD744" i="3315" s="1"/>
  <c r="Z745" i="3315"/>
  <c r="AD745" i="3315" s="1"/>
  <c r="Z746" i="3315"/>
  <c r="AD746" i="3315" s="1"/>
  <c r="Z747" i="3315"/>
  <c r="AD747" i="3315" s="1"/>
  <c r="Z749" i="3315"/>
  <c r="AD749" i="3315" s="1"/>
  <c r="Z750" i="3315"/>
  <c r="AD750" i="3315" s="1"/>
  <c r="Z751" i="3315"/>
  <c r="AD751" i="3315" s="1"/>
  <c r="Z752" i="3315"/>
  <c r="Z753" i="3315"/>
  <c r="AD753" i="3315" s="1"/>
  <c r="Z754" i="3315"/>
  <c r="AD754" i="3315" s="1"/>
  <c r="Z755" i="3315"/>
  <c r="AD755" i="3315" s="1"/>
  <c r="Z756" i="3315"/>
  <c r="AD756" i="3315" s="1"/>
  <c r="Z757" i="3315"/>
  <c r="AD757" i="3315" s="1"/>
  <c r="Z758" i="3315"/>
  <c r="AD758" i="3315" s="1"/>
  <c r="Z759" i="3315"/>
  <c r="AD759" i="3315" s="1"/>
  <c r="Z760" i="3315"/>
  <c r="AD760" i="3315" s="1"/>
  <c r="Z761" i="3315"/>
  <c r="AD761" i="3315" s="1"/>
  <c r="Z762" i="3315"/>
  <c r="AD762" i="3315" s="1"/>
  <c r="Z763" i="3315"/>
  <c r="AD763" i="3315" s="1"/>
  <c r="Z764" i="3315"/>
  <c r="AD764" i="3315" s="1"/>
  <c r="Z765" i="3315"/>
  <c r="AD765" i="3315" s="1"/>
  <c r="Z766" i="3315"/>
  <c r="AD766" i="3315" s="1"/>
  <c r="Z767" i="3315"/>
  <c r="AD767" i="3315" s="1"/>
  <c r="Z768" i="3315"/>
  <c r="AD768" i="3315" s="1"/>
  <c r="Z769" i="3315"/>
  <c r="AD769" i="3315" s="1"/>
  <c r="Z770" i="3315"/>
  <c r="AD770" i="3315" s="1"/>
  <c r="Z771" i="3315"/>
  <c r="AD771" i="3315" s="1"/>
  <c r="Z772" i="3315"/>
  <c r="Z773" i="3315"/>
  <c r="AD773" i="3315" s="1"/>
  <c r="Z774" i="3315"/>
  <c r="AD774" i="3315" s="1"/>
  <c r="Z775" i="3315"/>
  <c r="AD775" i="3315" s="1"/>
  <c r="Z776" i="3315"/>
  <c r="AD776" i="3315" s="1"/>
  <c r="Z777" i="3315"/>
  <c r="AD777" i="3315" s="1"/>
  <c r="Z778" i="3315"/>
  <c r="AD778" i="3315" s="1"/>
  <c r="Z779" i="3315"/>
  <c r="AD779" i="3315" s="1"/>
  <c r="Z780" i="3315"/>
  <c r="AD780" i="3315" s="1"/>
  <c r="Z781" i="3315"/>
  <c r="AD781" i="3315" s="1"/>
  <c r="Z782" i="3315"/>
  <c r="AD782" i="3315" s="1"/>
  <c r="Z783" i="3315"/>
  <c r="AD783" i="3315" s="1"/>
  <c r="Z784" i="3315"/>
  <c r="AD784" i="3315" s="1"/>
  <c r="Z785" i="3315"/>
  <c r="AD785" i="3315" s="1"/>
  <c r="Z786" i="3315"/>
  <c r="AD786" i="3315" s="1"/>
  <c r="Z787" i="3315"/>
  <c r="AD787" i="3315" s="1"/>
  <c r="Z788" i="3315"/>
  <c r="AD788" i="3315" s="1"/>
  <c r="Z789" i="3315"/>
  <c r="AD789" i="3315" s="1"/>
  <c r="Z790" i="3315"/>
  <c r="AD790" i="3315" s="1"/>
  <c r="Z791" i="3315"/>
  <c r="AD791" i="3315" s="1"/>
  <c r="Z792" i="3315"/>
  <c r="AD792" i="3315" s="1"/>
  <c r="Z793" i="3315"/>
  <c r="AD793" i="3315" s="1"/>
  <c r="Z794" i="3315"/>
  <c r="AD794" i="3315" s="1"/>
  <c r="Z795" i="3315"/>
  <c r="AD795" i="3315" s="1"/>
  <c r="Z796" i="3315"/>
  <c r="Z797" i="3315"/>
  <c r="AD797" i="3315" s="1"/>
  <c r="Z798" i="3315"/>
  <c r="AD798" i="3315" s="1"/>
  <c r="Z799" i="3315"/>
  <c r="AD799" i="3315" s="1"/>
  <c r="Z800" i="3315"/>
  <c r="AD800" i="3315" s="1"/>
  <c r="Z801" i="3315"/>
  <c r="AD801" i="3315" s="1"/>
  <c r="Z802" i="3315"/>
  <c r="AD802" i="3315" s="1"/>
  <c r="Z803" i="3315"/>
  <c r="AD803" i="3315" s="1"/>
  <c r="Z804" i="3315"/>
  <c r="AD804" i="3315" s="1"/>
  <c r="Z805" i="3315"/>
  <c r="AD805" i="3315" s="1"/>
  <c r="Z806" i="3315"/>
  <c r="AD806" i="3315" s="1"/>
  <c r="Z807" i="3315"/>
  <c r="AD807" i="3315" s="1"/>
  <c r="Z808" i="3315"/>
  <c r="Z809" i="3315"/>
  <c r="AD809" i="3315" s="1"/>
  <c r="Z810" i="3315"/>
  <c r="AD810" i="3315" s="1"/>
  <c r="Z811" i="3315"/>
  <c r="AD811" i="3315" s="1"/>
  <c r="Z812" i="3315"/>
  <c r="AD812" i="3315" s="1"/>
  <c r="Z813" i="3315"/>
  <c r="AD813" i="3315" s="1"/>
  <c r="Z814" i="3315"/>
  <c r="AD814" i="3315" s="1"/>
  <c r="Z815" i="3315"/>
  <c r="AD815" i="3315" s="1"/>
  <c r="Z816" i="3315"/>
  <c r="AD816" i="3315" s="1"/>
  <c r="Z817" i="3315"/>
  <c r="AD817" i="3315" s="1"/>
  <c r="Z818" i="3315"/>
  <c r="AD818" i="3315" s="1"/>
  <c r="Z819" i="3315"/>
  <c r="AD819" i="3315" s="1"/>
  <c r="Z820" i="3315"/>
  <c r="AD820" i="3315" s="1"/>
  <c r="Z821" i="3315"/>
  <c r="AD821" i="3315" s="1"/>
  <c r="Z822" i="3315"/>
  <c r="AD822" i="3315" s="1"/>
  <c r="Z823" i="3315"/>
  <c r="AD823" i="3315" s="1"/>
  <c r="Z824" i="3315"/>
  <c r="Z825" i="3315"/>
  <c r="AD825" i="3315" s="1"/>
  <c r="Z826" i="3315"/>
  <c r="AD826" i="3315" s="1"/>
  <c r="Z827" i="3315"/>
  <c r="AD827" i="3315" s="1"/>
  <c r="Z828" i="3315"/>
  <c r="AD828" i="3315" s="1"/>
  <c r="Z829" i="3315"/>
  <c r="AD829" i="3315" s="1"/>
  <c r="Z831" i="3315"/>
  <c r="AD831" i="3315" s="1"/>
  <c r="Z832" i="3315"/>
  <c r="AD832" i="3315" s="1"/>
  <c r="Z833" i="3315"/>
  <c r="Z834" i="3315"/>
  <c r="AD834" i="3315" s="1"/>
  <c r="Z835" i="3315"/>
  <c r="AD835" i="3315" s="1"/>
  <c r="Z836" i="3315"/>
  <c r="AD836" i="3315" s="1"/>
  <c r="Z837" i="3315"/>
  <c r="AD837" i="3315" s="1"/>
  <c r="Z838" i="3315"/>
  <c r="AD838" i="3315" s="1"/>
  <c r="Z839" i="3315"/>
  <c r="AD839" i="3315" s="1"/>
  <c r="Z841" i="3315"/>
  <c r="AD841" i="3315" s="1"/>
  <c r="Z842" i="3315"/>
  <c r="AD842" i="3315" s="1"/>
  <c r="Z843" i="3315"/>
  <c r="AD843" i="3315" s="1"/>
  <c r="Z844" i="3315"/>
  <c r="AD844" i="3315" s="1"/>
  <c r="Z845" i="3315"/>
  <c r="AD845" i="3315" s="1"/>
  <c r="Z846" i="3315"/>
  <c r="AD846" i="3315" s="1"/>
  <c r="Z847" i="3315"/>
  <c r="AD847" i="3315" s="1"/>
  <c r="Z848" i="3315"/>
  <c r="AD848" i="3315" s="1"/>
  <c r="Z849" i="3315"/>
  <c r="AD849" i="3315" s="1"/>
  <c r="Z850" i="3315"/>
  <c r="AD850" i="3315" s="1"/>
  <c r="Z851" i="3315"/>
  <c r="AD851" i="3315" s="1"/>
  <c r="Z852" i="3315"/>
  <c r="AD852" i="3315" s="1"/>
  <c r="Z853" i="3315"/>
  <c r="AD853" i="3315" s="1"/>
  <c r="Z854" i="3315"/>
  <c r="AD854" i="3315" s="1"/>
  <c r="Z855" i="3315"/>
  <c r="AD855" i="3315" s="1"/>
  <c r="Z856" i="3315"/>
  <c r="AD856" i="3315" s="1"/>
  <c r="Z857" i="3315"/>
  <c r="AD857" i="3315" s="1"/>
  <c r="Z858" i="3315"/>
  <c r="AD858" i="3315" s="1"/>
  <c r="Z859" i="3315"/>
  <c r="AD859" i="3315" s="1"/>
  <c r="Z860" i="3315"/>
  <c r="AD860" i="3315" s="1"/>
  <c r="Z861" i="3315"/>
  <c r="AD861" i="3315" s="1"/>
  <c r="Z862" i="3315"/>
  <c r="Z863" i="3315"/>
  <c r="AD863" i="3315" s="1"/>
  <c r="Z864" i="3315"/>
  <c r="AD864" i="3315" s="1"/>
  <c r="Z865" i="3315"/>
  <c r="AD865" i="3315" s="1"/>
  <c r="Z866" i="3315"/>
  <c r="AD866" i="3315" s="1"/>
  <c r="Z867" i="3315"/>
  <c r="AD867" i="3315" s="1"/>
  <c r="Z868" i="3315"/>
  <c r="AD868" i="3315" s="1"/>
  <c r="Z869" i="3315"/>
  <c r="AD869" i="3315" s="1"/>
  <c r="Z870" i="3315"/>
  <c r="AD870" i="3315" s="1"/>
  <c r="Z871" i="3315"/>
  <c r="AD871" i="3315" s="1"/>
  <c r="Z872" i="3315"/>
  <c r="AD872" i="3315" s="1"/>
  <c r="Z873" i="3315"/>
  <c r="AD873" i="3315" s="1"/>
  <c r="Z874" i="3315"/>
  <c r="AD874" i="3315" s="1"/>
  <c r="Z875" i="3315"/>
  <c r="AD875" i="3315" s="1"/>
  <c r="Z876" i="3315"/>
  <c r="AD876" i="3315" s="1"/>
  <c r="Z877" i="3315"/>
  <c r="AD877" i="3315" s="1"/>
  <c r="Z878" i="3315"/>
  <c r="AD878" i="3315" s="1"/>
  <c r="Z879" i="3315"/>
  <c r="AD879" i="3315" s="1"/>
  <c r="Z880" i="3315"/>
  <c r="AD880" i="3315" s="1"/>
  <c r="Z881" i="3315"/>
  <c r="AD881" i="3315" s="1"/>
  <c r="Z882" i="3315"/>
  <c r="AD882" i="3315" s="1"/>
  <c r="Z883" i="3315"/>
  <c r="AD883" i="3315" s="1"/>
  <c r="Z884" i="3315"/>
  <c r="AD884" i="3315" s="1"/>
  <c r="Z885" i="3315"/>
  <c r="AD885" i="3315" s="1"/>
  <c r="Z886" i="3315"/>
  <c r="AD886" i="3315" s="1"/>
  <c r="Z887" i="3315"/>
  <c r="AD887" i="3315" s="1"/>
  <c r="Z888" i="3315"/>
  <c r="AD888" i="3315" s="1"/>
  <c r="Z889" i="3315"/>
  <c r="AD889" i="3315" s="1"/>
  <c r="Z890" i="3315"/>
  <c r="AD890" i="3315" s="1"/>
  <c r="Z891" i="3315"/>
  <c r="AD891" i="3315" s="1"/>
  <c r="Z892" i="3315"/>
  <c r="AD892" i="3315" s="1"/>
  <c r="Z893" i="3315"/>
  <c r="AD893" i="3315" s="1"/>
  <c r="Z894" i="3315"/>
  <c r="AD894" i="3315" s="1"/>
  <c r="Z895" i="3315"/>
  <c r="AD895" i="3315" s="1"/>
  <c r="Z896" i="3315"/>
  <c r="AD896" i="3315" s="1"/>
  <c r="N928" i="3315"/>
  <c r="Z928" i="3315"/>
  <c r="Z929" i="3315"/>
  <c r="AD929" i="3315" s="1"/>
  <c r="Z930" i="3315"/>
  <c r="Z931" i="3315"/>
  <c r="AD931" i="3315" s="1"/>
  <c r="Z932" i="3315"/>
  <c r="AD932" i="3315" s="1"/>
  <c r="Z933" i="3315"/>
  <c r="AD933" i="3315" s="1"/>
  <c r="Z934" i="3315"/>
  <c r="AD934" i="3315" s="1"/>
  <c r="Z935" i="3315"/>
  <c r="AD935" i="3315" s="1"/>
  <c r="Z936" i="3315"/>
  <c r="AD936" i="3315" s="1"/>
  <c r="Z937" i="3315"/>
  <c r="AD937" i="3315" s="1"/>
  <c r="Z938" i="3315"/>
  <c r="AD938" i="3315" s="1"/>
  <c r="Z939" i="3315"/>
  <c r="AD939" i="3315" s="1"/>
  <c r="Z940" i="3315"/>
  <c r="AD940" i="3315" s="1"/>
  <c r="Z941" i="3315"/>
  <c r="AD941" i="3315" s="1"/>
  <c r="Z942" i="3315"/>
  <c r="AD942" i="3315" s="1"/>
  <c r="Z943" i="3315"/>
  <c r="AD943" i="3315" s="1"/>
  <c r="Z944" i="3315"/>
  <c r="AD944" i="3315" s="1"/>
  <c r="Z945" i="3315"/>
  <c r="AD945" i="3315" s="1"/>
  <c r="Z946" i="3315"/>
  <c r="AD946" i="3315" s="1"/>
  <c r="Z947" i="3315"/>
  <c r="AD947" i="3315" s="1"/>
  <c r="Z948" i="3315"/>
  <c r="AD948" i="3315" s="1"/>
  <c r="Z949" i="3315"/>
  <c r="AD949" i="3315" s="1"/>
  <c r="N950" i="3315"/>
  <c r="Z950" i="3315"/>
  <c r="Z900" i="3315"/>
  <c r="Z901" i="3315"/>
  <c r="Z902" i="3315"/>
  <c r="AD902" i="3315" s="1"/>
  <c r="Z903" i="3315"/>
  <c r="AD903" i="3315" s="1"/>
  <c r="Z904" i="3315"/>
  <c r="Z905" i="3315"/>
  <c r="Z906" i="3315"/>
  <c r="AD906" i="3315" s="1"/>
  <c r="Z907" i="3315"/>
  <c r="AD907" i="3315" s="1"/>
  <c r="Z908" i="3315"/>
  <c r="Z909" i="3315"/>
  <c r="Z910" i="3315"/>
  <c r="AD910" i="3315" s="1"/>
  <c r="Z911" i="3315"/>
  <c r="AD911" i="3315" s="1"/>
  <c r="Z912" i="3315"/>
  <c r="Z913" i="3315"/>
  <c r="Z914" i="3315"/>
  <c r="AD914" i="3315" s="1"/>
  <c r="Z915" i="3315"/>
  <c r="AD915" i="3315" s="1"/>
  <c r="Z916" i="3315"/>
  <c r="Z917" i="3315"/>
  <c r="Z918" i="3315"/>
  <c r="AD918" i="3315" s="1"/>
  <c r="Z919" i="3315"/>
  <c r="AD919" i="3315" s="1"/>
  <c r="Z920" i="3315"/>
  <c r="Z921" i="3315"/>
  <c r="Z922" i="3315"/>
  <c r="AD922" i="3315" s="1"/>
  <c r="Z923" i="3315"/>
  <c r="AD923" i="3315" s="1"/>
  <c r="J926" i="3315"/>
  <c r="AF926" i="3315" s="1"/>
  <c r="N926" i="3315"/>
  <c r="Z926" i="3315"/>
  <c r="AD926" i="3315" s="1"/>
  <c r="Z1115" i="3315"/>
  <c r="AD1115" i="3315" s="1"/>
  <c r="Z1116" i="3315"/>
  <c r="Z1117" i="3315"/>
  <c r="Z1118" i="3315"/>
  <c r="Z1119" i="3315"/>
  <c r="AD1119" i="3315" s="1"/>
  <c r="Z1120" i="3315"/>
  <c r="Z1121" i="3315"/>
  <c r="Z1122" i="3315"/>
  <c r="AD1122" i="3315" s="1"/>
  <c r="Z1123" i="3315"/>
  <c r="AD1123" i="3315" s="1"/>
  <c r="Z1124" i="3315"/>
  <c r="Z1125" i="3315"/>
  <c r="Z1126" i="3315"/>
  <c r="AD1126" i="3315" s="1"/>
  <c r="Z1127" i="3315"/>
  <c r="AD1127" i="3315" s="1"/>
  <c r="Z1128" i="3315"/>
  <c r="Z1129" i="3315"/>
  <c r="Z1130" i="3315"/>
  <c r="AD1130" i="3315" s="1"/>
  <c r="Z1131" i="3315"/>
  <c r="AD1131" i="3315" s="1"/>
  <c r="Z1132" i="3315"/>
  <c r="Z1133" i="3315"/>
  <c r="Z1134" i="3315"/>
  <c r="AD1134" i="3315" s="1"/>
  <c r="Z1135" i="3315"/>
  <c r="AD1135" i="3315" s="1"/>
  <c r="Z1136" i="3315"/>
  <c r="Z1137" i="3315"/>
  <c r="Z1138" i="3315"/>
  <c r="AD1138" i="3315" s="1"/>
  <c r="Z1139" i="3315"/>
  <c r="AD1139" i="3315" s="1"/>
  <c r="Z1140" i="3315"/>
  <c r="Z1141" i="3315"/>
  <c r="Z1142" i="3315"/>
  <c r="AD1142" i="3315" s="1"/>
  <c r="Z1143" i="3315"/>
  <c r="AD1143" i="3315" s="1"/>
  <c r="Z1144" i="3315"/>
  <c r="Z1145" i="3315"/>
  <c r="Z1146" i="3315"/>
  <c r="AD1146" i="3315" s="1"/>
  <c r="Z1147" i="3315"/>
  <c r="AD1147" i="3315" s="1"/>
  <c r="Z1148" i="3315"/>
  <c r="Z1149" i="3315"/>
  <c r="Z1150" i="3315"/>
  <c r="AD1150" i="3315" s="1"/>
  <c r="Z1151" i="3315"/>
  <c r="AD1151" i="3315" s="1"/>
  <c r="Z1152" i="3315"/>
  <c r="Z1153" i="3315"/>
  <c r="Z1154" i="3315"/>
  <c r="AD1154" i="3315" s="1"/>
  <c r="Z1155" i="3315"/>
  <c r="AD1155" i="3315" s="1"/>
  <c r="Z1156" i="3315"/>
  <c r="Z1157" i="3315"/>
  <c r="Z1158" i="3315"/>
  <c r="AD1158" i="3315" s="1"/>
  <c r="Z980" i="3315"/>
  <c r="Z981" i="3315"/>
  <c r="Z982" i="3315"/>
  <c r="AD982" i="3315" s="1"/>
  <c r="Z983" i="3315"/>
  <c r="AD983" i="3315" s="1"/>
  <c r="Z984" i="3315"/>
  <c r="AD984" i="3315" s="1"/>
  <c r="Z985" i="3315"/>
  <c r="Z986" i="3315"/>
  <c r="AD986" i="3315" s="1"/>
  <c r="Z987" i="3315"/>
  <c r="AD987" i="3315" s="1"/>
  <c r="Z988" i="3315"/>
  <c r="AD988" i="3315" s="1"/>
  <c r="Z989" i="3315"/>
  <c r="Z990" i="3315"/>
  <c r="AD990" i="3315" s="1"/>
  <c r="Z991" i="3315"/>
  <c r="AD991" i="3315" s="1"/>
  <c r="Z992" i="3315"/>
  <c r="AD992" i="3315" s="1"/>
  <c r="Z993" i="3315"/>
  <c r="Z994" i="3315"/>
  <c r="AD994" i="3315" s="1"/>
  <c r="Z995" i="3315"/>
  <c r="AD995" i="3315" s="1"/>
  <c r="Z996" i="3315"/>
  <c r="AD996" i="3315" s="1"/>
  <c r="Z997" i="3315"/>
  <c r="Z998" i="3315"/>
  <c r="AD998" i="3315" s="1"/>
  <c r="Z999" i="3315"/>
  <c r="AD999" i="3315" s="1"/>
  <c r="Z1000" i="3315"/>
  <c r="AD1000" i="3315" s="1"/>
  <c r="Z1001" i="3315"/>
  <c r="Z1002" i="3315"/>
  <c r="AD1002" i="3315" s="1"/>
  <c r="Z1003" i="3315"/>
  <c r="AD1003" i="3315" s="1"/>
  <c r="Z1004" i="3315"/>
  <c r="AD1004" i="3315" s="1"/>
  <c r="Z1005" i="3315"/>
  <c r="Z1006" i="3315"/>
  <c r="AD1006" i="3315" s="1"/>
  <c r="Z1007" i="3315"/>
  <c r="AD1007" i="3315" s="1"/>
  <c r="Z1008" i="3315"/>
  <c r="AD1008" i="3315" s="1"/>
  <c r="Z1009" i="3315"/>
  <c r="Z1010" i="3315"/>
  <c r="AD1010" i="3315" s="1"/>
  <c r="Z1011" i="3315"/>
  <c r="AD1011" i="3315" s="1"/>
  <c r="Z1012" i="3315"/>
  <c r="AD1012" i="3315" s="1"/>
  <c r="Z1013" i="3315"/>
  <c r="Z1014" i="3315"/>
  <c r="AD1014" i="3315" s="1"/>
  <c r="Z1015" i="3315"/>
  <c r="AD1015" i="3315" s="1"/>
  <c r="Z1016" i="3315"/>
  <c r="AD1016" i="3315" s="1"/>
  <c r="Z1017" i="3315"/>
  <c r="Z1018" i="3315"/>
  <c r="AD1018" i="3315" s="1"/>
  <c r="Z1019" i="3315"/>
  <c r="AD1019" i="3315" s="1"/>
  <c r="Z1020" i="3315"/>
  <c r="AD1020" i="3315" s="1"/>
  <c r="Z1021" i="3315"/>
  <c r="Z1022" i="3315"/>
  <c r="AD1022" i="3315" s="1"/>
  <c r="Z1023" i="3315"/>
  <c r="AD1023" i="3315" s="1"/>
  <c r="Z1024" i="3315"/>
  <c r="AD1024" i="3315" s="1"/>
  <c r="Z1025" i="3315"/>
  <c r="Z1026" i="3315"/>
  <c r="AD1026" i="3315" s="1"/>
  <c r="Z1027" i="3315"/>
  <c r="AD1027" i="3315" s="1"/>
  <c r="Z1028" i="3315"/>
  <c r="AD1028" i="3315" s="1"/>
  <c r="Z1029" i="3315"/>
  <c r="Z1030" i="3315"/>
  <c r="AD1030" i="3315" s="1"/>
  <c r="Z1031" i="3315"/>
  <c r="AD1031" i="3315" s="1"/>
  <c r="Z1032" i="3315"/>
  <c r="AD1032" i="3315" s="1"/>
  <c r="Z1033" i="3315"/>
  <c r="Z1034" i="3315"/>
  <c r="AD1034" i="3315" s="1"/>
  <c r="Z1035" i="3315"/>
  <c r="AD1035" i="3315" s="1"/>
  <c r="Z1036" i="3315"/>
  <c r="AD1036" i="3315" s="1"/>
  <c r="Z1037" i="3315"/>
  <c r="Z1038" i="3315"/>
  <c r="AD1038" i="3315" s="1"/>
  <c r="Z1039" i="3315"/>
  <c r="AD1039" i="3315" s="1"/>
  <c r="Z1040" i="3315"/>
  <c r="AD1040" i="3315" s="1"/>
  <c r="Z1041" i="3315"/>
  <c r="Z1042" i="3315"/>
  <c r="AD1042" i="3315" s="1"/>
  <c r="Z1043" i="3315"/>
  <c r="AD1043" i="3315" s="1"/>
  <c r="Z1044" i="3315"/>
  <c r="AD1044" i="3315" s="1"/>
  <c r="Z1045" i="3315"/>
  <c r="Z1046" i="3315"/>
  <c r="AD1046" i="3315" s="1"/>
  <c r="Z1047" i="3315"/>
  <c r="AD1047" i="3315" s="1"/>
  <c r="Z1048" i="3315"/>
  <c r="AD1048" i="3315" s="1"/>
  <c r="Z1049" i="3315"/>
  <c r="Z1050" i="3315"/>
  <c r="AD1050" i="3315" s="1"/>
  <c r="Z1051" i="3315"/>
  <c r="AD1051" i="3315" s="1"/>
  <c r="Z1052" i="3315"/>
  <c r="AD1052" i="3315" s="1"/>
  <c r="Z1053" i="3315"/>
  <c r="Z1054" i="3315"/>
  <c r="AD1054" i="3315" s="1"/>
  <c r="Z1055" i="3315"/>
  <c r="AD1055" i="3315" s="1"/>
  <c r="Z1056" i="3315"/>
  <c r="AD1056" i="3315" s="1"/>
  <c r="Z1057" i="3315"/>
  <c r="Z1058" i="3315"/>
  <c r="AD1058" i="3315" s="1"/>
  <c r="Z1059" i="3315"/>
  <c r="AD1059" i="3315" s="1"/>
  <c r="Z1060" i="3315"/>
  <c r="AD1060" i="3315" s="1"/>
  <c r="Z1061" i="3315"/>
  <c r="AD1061" i="3315" s="1"/>
  <c r="Z1062" i="3315"/>
  <c r="AD1062" i="3315" s="1"/>
  <c r="Z1063" i="3315"/>
  <c r="AD1063" i="3315" s="1"/>
  <c r="Z1064" i="3315"/>
  <c r="AD1064" i="3315" s="1"/>
  <c r="Z1065" i="3315"/>
  <c r="Z1066" i="3315"/>
  <c r="AD1066" i="3315" s="1"/>
  <c r="Z1067" i="3315"/>
  <c r="AD1067" i="3315" s="1"/>
  <c r="Z1068" i="3315"/>
  <c r="AD1068" i="3315" s="1"/>
  <c r="Z1069" i="3315"/>
  <c r="Z1070" i="3315"/>
  <c r="AD1070" i="3315" s="1"/>
  <c r="Z1071" i="3315"/>
  <c r="AD1071" i="3315" s="1"/>
  <c r="Z1072" i="3315"/>
  <c r="AD1072" i="3315" s="1"/>
  <c r="Z1073" i="3315"/>
  <c r="AD1073" i="3315" s="1"/>
  <c r="Z1074" i="3315"/>
  <c r="AD1074" i="3315" s="1"/>
  <c r="Z1075" i="3315"/>
  <c r="AD1075" i="3315" s="1"/>
  <c r="Z1076" i="3315"/>
  <c r="AD1076" i="3315" s="1"/>
  <c r="Z1077" i="3315"/>
  <c r="Z1078" i="3315"/>
  <c r="AD1078" i="3315" s="1"/>
  <c r="Z1079" i="3315"/>
  <c r="AD1079" i="3315" s="1"/>
  <c r="Z1080" i="3315"/>
  <c r="AD1080" i="3315" s="1"/>
  <c r="Z1081" i="3315"/>
  <c r="Z1082" i="3315"/>
  <c r="AD1082" i="3315" s="1"/>
  <c r="Z1083" i="3315"/>
  <c r="AD1083" i="3315" s="1"/>
  <c r="Z1084" i="3315"/>
  <c r="AD1084" i="3315" s="1"/>
  <c r="Z1085" i="3315"/>
  <c r="AD1085" i="3315" s="1"/>
  <c r="Z1086" i="3315"/>
  <c r="AD1086" i="3315" s="1"/>
  <c r="Z1087" i="3315"/>
  <c r="AD1087" i="3315" s="1"/>
  <c r="Z1088" i="3315"/>
  <c r="AD1088" i="3315" s="1"/>
  <c r="Z1089" i="3315"/>
  <c r="Z1090" i="3315"/>
  <c r="AD1090" i="3315" s="1"/>
  <c r="Z1091" i="3315"/>
  <c r="AD1091" i="3315" s="1"/>
  <c r="Z1092" i="3315"/>
  <c r="AD1092" i="3315" s="1"/>
  <c r="Z1093" i="3315"/>
  <c r="Z1094" i="3315"/>
  <c r="AD1094" i="3315" s="1"/>
  <c r="Z1095" i="3315"/>
  <c r="AD1095" i="3315" s="1"/>
  <c r="Z1096" i="3315"/>
  <c r="AD1096" i="3315" s="1"/>
  <c r="Z1097" i="3315"/>
  <c r="AD1097" i="3315" s="1"/>
  <c r="Z1098" i="3315"/>
  <c r="AD1098" i="3315" s="1"/>
  <c r="Z1099" i="3315"/>
  <c r="AD1099" i="3315" s="1"/>
  <c r="Z1100" i="3315"/>
  <c r="AD1100" i="3315" s="1"/>
  <c r="Z1101" i="3315"/>
  <c r="Z1102" i="3315"/>
  <c r="AD1102" i="3315" s="1"/>
  <c r="Z1103" i="3315"/>
  <c r="AD1103" i="3315" s="1"/>
  <c r="Z1104" i="3315"/>
  <c r="AD1104" i="3315" s="1"/>
  <c r="Z1105" i="3315"/>
  <c r="Z1106" i="3315"/>
  <c r="AD1106" i="3315" s="1"/>
  <c r="Z1107" i="3315"/>
  <c r="AD1107" i="3315" s="1"/>
  <c r="Z1108" i="3315"/>
  <c r="AD1108" i="3315" s="1"/>
  <c r="Z1109" i="3315"/>
  <c r="Z1110" i="3315"/>
  <c r="AD1110" i="3315" s="1"/>
  <c r="Z1111" i="3315"/>
  <c r="AD1111" i="3315" s="1"/>
  <c r="Z956" i="3315"/>
  <c r="Z957" i="3315"/>
  <c r="Z958" i="3315"/>
  <c r="AD958" i="3315" s="1"/>
  <c r="Z959" i="3315"/>
  <c r="AD959" i="3315" s="1"/>
  <c r="Z960" i="3315"/>
  <c r="AD960" i="3315" s="1"/>
  <c r="Z961" i="3315"/>
  <c r="Z962" i="3315"/>
  <c r="AD962" i="3315" s="1"/>
  <c r="Z963" i="3315"/>
  <c r="AD963" i="3315" s="1"/>
  <c r="Z964" i="3315"/>
  <c r="AD964" i="3315" s="1"/>
  <c r="Z965" i="3315"/>
  <c r="Z966" i="3315"/>
  <c r="AD966" i="3315" s="1"/>
  <c r="Z967" i="3315"/>
  <c r="AD967" i="3315" s="1"/>
  <c r="Z968" i="3315"/>
  <c r="AD968" i="3315" s="1"/>
  <c r="Z969" i="3315"/>
  <c r="Z970" i="3315"/>
  <c r="AD970" i="3315" s="1"/>
  <c r="Z971" i="3315"/>
  <c r="AD971" i="3315" s="1"/>
  <c r="Z972" i="3315"/>
  <c r="AD972" i="3315" s="1"/>
  <c r="Z973" i="3315"/>
  <c r="Z974" i="3315"/>
  <c r="AD974" i="3315" s="1"/>
  <c r="Z975" i="3315"/>
  <c r="AD975" i="3315" s="1"/>
  <c r="Z976" i="3315"/>
  <c r="AD976" i="3315" s="1"/>
  <c r="Z200" i="3315"/>
  <c r="Z201" i="3315"/>
  <c r="Z202" i="3315"/>
  <c r="AD202" i="3315" s="1"/>
  <c r="Z203" i="3315"/>
  <c r="AD203" i="3315" s="1"/>
  <c r="Z204" i="3315"/>
  <c r="Z205" i="3315"/>
  <c r="AD205" i="3315" s="1"/>
  <c r="Z206" i="3315"/>
  <c r="AD206" i="3315" s="1"/>
  <c r="Z207" i="3315"/>
  <c r="AD207" i="3315" s="1"/>
  <c r="Z208" i="3315"/>
  <c r="AD208" i="3315" s="1"/>
  <c r="Z209" i="3315"/>
  <c r="AD209" i="3315" s="1"/>
  <c r="Z210" i="3315"/>
  <c r="AD210" i="3315" s="1"/>
  <c r="Z211" i="3315"/>
  <c r="AD211" i="3315" s="1"/>
  <c r="Z212" i="3315"/>
  <c r="AD212" i="3315" s="1"/>
  <c r="Z213" i="3315"/>
  <c r="AD213" i="3315" s="1"/>
  <c r="Z214" i="3315"/>
  <c r="AD214" i="3315" s="1"/>
  <c r="Z215" i="3315"/>
  <c r="AD215" i="3315" s="1"/>
  <c r="Z216" i="3315"/>
  <c r="AD216" i="3315" s="1"/>
  <c r="Z217" i="3315"/>
  <c r="Z218" i="3315"/>
  <c r="AD218" i="3315" s="1"/>
  <c r="Z219" i="3315"/>
  <c r="AD219" i="3315" s="1"/>
  <c r="Z220" i="3315"/>
  <c r="AD220" i="3315" s="1"/>
  <c r="Z221" i="3315"/>
  <c r="AD221" i="3315" s="1"/>
  <c r="Z222" i="3315"/>
  <c r="AD222" i="3315" s="1"/>
  <c r="Z223" i="3315"/>
  <c r="AD223" i="3315" s="1"/>
  <c r="Z224" i="3315"/>
  <c r="AD224" i="3315" s="1"/>
  <c r="Z225" i="3315"/>
  <c r="AD225" i="3315" s="1"/>
  <c r="Z226" i="3315"/>
  <c r="AD226" i="3315" s="1"/>
  <c r="Z69" i="3315"/>
  <c r="AD69" i="3315" s="1"/>
  <c r="Z70" i="3315"/>
  <c r="Z71" i="3315"/>
  <c r="AD71" i="3315" s="1"/>
  <c r="Z72" i="3315"/>
  <c r="AD72" i="3315" s="1"/>
  <c r="Z73" i="3315"/>
  <c r="AD73" i="3315" s="1"/>
  <c r="Z74" i="3315"/>
  <c r="AD74" i="3315" s="1"/>
  <c r="Z75" i="3315"/>
  <c r="Z76" i="3315"/>
  <c r="AD76" i="3315" s="1"/>
  <c r="Z77" i="3315"/>
  <c r="AD77" i="3315" s="1"/>
  <c r="Z78" i="3315"/>
  <c r="AD78" i="3315" s="1"/>
  <c r="Z79" i="3315"/>
  <c r="AD79" i="3315" s="1"/>
  <c r="Z80" i="3315"/>
  <c r="AD80" i="3315" s="1"/>
  <c r="Z230" i="3315"/>
  <c r="Z231" i="3315"/>
  <c r="AD231" i="3315" s="1"/>
  <c r="Z232" i="3315"/>
  <c r="AD232" i="3315" s="1"/>
  <c r="Z233" i="3315"/>
  <c r="AD233" i="3315" s="1"/>
  <c r="Z234" i="3315"/>
  <c r="AD234" i="3315" s="1"/>
  <c r="Z235" i="3315"/>
  <c r="Z236" i="3315"/>
  <c r="AD236" i="3315" s="1"/>
  <c r="Z237" i="3315"/>
  <c r="AD237" i="3315" s="1"/>
  <c r="Z238" i="3315"/>
  <c r="AD238" i="3315" s="1"/>
  <c r="Z239" i="3315"/>
  <c r="Z240" i="3315"/>
  <c r="AD240" i="3315" s="1"/>
  <c r="Z241" i="3315"/>
  <c r="AD241" i="3315" s="1"/>
  <c r="Z242" i="3315"/>
  <c r="AD242" i="3315" s="1"/>
  <c r="Z243" i="3315"/>
  <c r="Z244" i="3315"/>
  <c r="Z245" i="3315"/>
  <c r="AD245" i="3315" s="1"/>
  <c r="Z246" i="3315"/>
  <c r="AD246" i="3315" s="1"/>
  <c r="Z247" i="3315"/>
  <c r="Z251" i="3315"/>
  <c r="Z252" i="3315"/>
  <c r="AD252" i="3315" s="1"/>
  <c r="Z253" i="3315"/>
  <c r="AD253" i="3315" s="1"/>
  <c r="Z254" i="3315"/>
  <c r="Z255" i="3315"/>
  <c r="AD255" i="3315" s="1"/>
  <c r="Z256" i="3315"/>
  <c r="AD256" i="3315" s="1"/>
  <c r="Z257" i="3315"/>
  <c r="AD257" i="3315" s="1"/>
  <c r="Z258" i="3315"/>
  <c r="Z259" i="3315"/>
  <c r="AD259" i="3315" s="1"/>
  <c r="Z260" i="3315"/>
  <c r="AD260" i="3315" s="1"/>
  <c r="Z261" i="3315"/>
  <c r="AD261" i="3315" s="1"/>
  <c r="Z262" i="3315"/>
  <c r="Z263" i="3315"/>
  <c r="AD263" i="3315" s="1"/>
  <c r="Z264" i="3315"/>
  <c r="AD264" i="3315" s="1"/>
  <c r="Z265" i="3315"/>
  <c r="AD265" i="3315" s="1"/>
  <c r="Z266" i="3315"/>
  <c r="Z267" i="3315"/>
  <c r="AD267" i="3315" s="1"/>
  <c r="Z268" i="3315"/>
  <c r="AD268" i="3315" s="1"/>
  <c r="Z269" i="3315"/>
  <c r="AD269" i="3315" s="1"/>
  <c r="Z270" i="3315"/>
  <c r="Z271" i="3315"/>
  <c r="AD271" i="3315" s="1"/>
  <c r="Z272" i="3315"/>
  <c r="AD272" i="3315" s="1"/>
  <c r="Z273" i="3315"/>
  <c r="AD273" i="3315" s="1"/>
  <c r="Z274" i="3315"/>
  <c r="Z275" i="3315"/>
  <c r="AD275" i="3315" s="1"/>
  <c r="Z276" i="3315"/>
  <c r="AD276" i="3315" s="1"/>
  <c r="Z277" i="3315"/>
  <c r="AD277" i="3315" s="1"/>
  <c r="Z278" i="3315"/>
  <c r="Z279" i="3315"/>
  <c r="AD279" i="3315" s="1"/>
  <c r="Z280" i="3315"/>
  <c r="AD280" i="3315" s="1"/>
  <c r="Z281" i="3315"/>
  <c r="AD281" i="3315" s="1"/>
  <c r="Z282" i="3315"/>
  <c r="Z283" i="3315"/>
  <c r="AD283" i="3315" s="1"/>
  <c r="Z284" i="3315"/>
  <c r="AD284" i="3315" s="1"/>
  <c r="Z285" i="3315"/>
  <c r="AD285" i="3315" s="1"/>
  <c r="Z286" i="3315"/>
  <c r="Z287" i="3315"/>
  <c r="AD287" i="3315" s="1"/>
  <c r="Z288" i="3315"/>
  <c r="AD288" i="3315" s="1"/>
  <c r="Z289" i="3315"/>
  <c r="AD289" i="3315" s="1"/>
  <c r="Z290" i="3315"/>
  <c r="Z291" i="3315"/>
  <c r="AD291" i="3315" s="1"/>
  <c r="Z292" i="3315"/>
  <c r="AD292" i="3315" s="1"/>
  <c r="Z293" i="3315"/>
  <c r="AD293" i="3315" s="1"/>
  <c r="Z294" i="3315"/>
  <c r="Z295" i="3315"/>
  <c r="AD295" i="3315" s="1"/>
  <c r="Z296" i="3315"/>
  <c r="AD296" i="3315" s="1"/>
  <c r="Z297" i="3315"/>
  <c r="AD297" i="3315" s="1"/>
  <c r="Z298" i="3315"/>
  <c r="Z299" i="3315"/>
  <c r="AD299" i="3315" s="1"/>
  <c r="Z300" i="3315"/>
  <c r="AD300" i="3315" s="1"/>
  <c r="Z301" i="3315"/>
  <c r="AD301" i="3315" s="1"/>
  <c r="Z302" i="3315"/>
  <c r="Z303" i="3315"/>
  <c r="AD303" i="3315" s="1"/>
  <c r="Z304" i="3315"/>
  <c r="AD304" i="3315" s="1"/>
  <c r="Z305" i="3315"/>
  <c r="AD305" i="3315" s="1"/>
  <c r="Z306" i="3315"/>
  <c r="Z307" i="3315"/>
  <c r="AD307" i="3315" s="1"/>
  <c r="Z308" i="3315"/>
  <c r="AD308" i="3315" s="1"/>
  <c r="Z309" i="3315"/>
  <c r="AD309" i="3315" s="1"/>
  <c r="Z310" i="3315"/>
  <c r="Z311" i="3315"/>
  <c r="AD311" i="3315" s="1"/>
  <c r="Z312" i="3315"/>
  <c r="AD312" i="3315" s="1"/>
  <c r="Z313" i="3315"/>
  <c r="AD313" i="3315" s="1"/>
  <c r="Z314" i="3315"/>
  <c r="Z315" i="3315"/>
  <c r="AD315" i="3315" s="1"/>
  <c r="Z316" i="3315"/>
  <c r="AD316" i="3315" s="1"/>
  <c r="Z317" i="3315"/>
  <c r="AD317" i="3315" s="1"/>
  <c r="Z318" i="3315"/>
  <c r="Z319" i="3315"/>
  <c r="AD319" i="3315" s="1"/>
  <c r="Z320" i="3315"/>
  <c r="AD320" i="3315" s="1"/>
  <c r="Z321" i="3315"/>
  <c r="AD321" i="3315" s="1"/>
  <c r="Z322" i="3315"/>
  <c r="Z323" i="3315"/>
  <c r="AD323" i="3315" s="1"/>
  <c r="Z324" i="3315"/>
  <c r="AD324" i="3315" s="1"/>
  <c r="Z325" i="3315"/>
  <c r="AD325" i="3315" s="1"/>
  <c r="Z326" i="3315"/>
  <c r="Z327" i="3315"/>
  <c r="AD327" i="3315" s="1"/>
  <c r="Z328" i="3315"/>
  <c r="AD328" i="3315" s="1"/>
  <c r="Z329" i="3315"/>
  <c r="AD329" i="3315" s="1"/>
  <c r="Z330" i="3315"/>
  <c r="Z331" i="3315"/>
  <c r="AD331" i="3315" s="1"/>
  <c r="Z332" i="3315"/>
  <c r="AD332" i="3315" s="1"/>
  <c r="Z333" i="3315"/>
  <c r="AD333" i="3315" s="1"/>
  <c r="Z334" i="3315"/>
  <c r="Z335" i="3315"/>
  <c r="AD335" i="3315" s="1"/>
  <c r="Z336" i="3315"/>
  <c r="AD336" i="3315" s="1"/>
  <c r="Z337" i="3315"/>
  <c r="AD337" i="3315" s="1"/>
  <c r="Z338" i="3315"/>
  <c r="Z339" i="3315"/>
  <c r="AD339" i="3315" s="1"/>
  <c r="Z340" i="3315"/>
  <c r="AD340" i="3315" s="1"/>
  <c r="Z341" i="3315"/>
  <c r="AD341" i="3315" s="1"/>
  <c r="Z342" i="3315"/>
  <c r="Z343" i="3315"/>
  <c r="AD343" i="3315" s="1"/>
  <c r="Z344" i="3315"/>
  <c r="AD344" i="3315" s="1"/>
  <c r="Z345" i="3315"/>
  <c r="AD345" i="3315" s="1"/>
  <c r="Z346" i="3315"/>
  <c r="Z347" i="3315"/>
  <c r="AD347" i="3315" s="1"/>
  <c r="Z348" i="3315"/>
  <c r="AD348" i="3315" s="1"/>
  <c r="Z349" i="3315"/>
  <c r="AD349" i="3315" s="1"/>
  <c r="Z350" i="3315"/>
  <c r="Z351" i="3315"/>
  <c r="AD351" i="3315" s="1"/>
  <c r="Z352" i="3315"/>
  <c r="AD352" i="3315" s="1"/>
  <c r="Z353" i="3315"/>
  <c r="AD353" i="3315" s="1"/>
  <c r="Z354" i="3315"/>
  <c r="Z355" i="3315"/>
  <c r="AD355" i="3315" s="1"/>
  <c r="Z356" i="3315"/>
  <c r="AD356" i="3315" s="1"/>
  <c r="Z357" i="3315"/>
  <c r="AD357" i="3315" s="1"/>
  <c r="Z358" i="3315"/>
  <c r="Z359" i="3315"/>
  <c r="AD359" i="3315" s="1"/>
  <c r="Z360" i="3315"/>
  <c r="AD360" i="3315" s="1"/>
  <c r="Z84" i="3315"/>
  <c r="AD84" i="3315" s="1"/>
  <c r="Z85" i="3315"/>
  <c r="AD85" i="3315" s="1"/>
  <c r="Z86" i="3315"/>
  <c r="Z87" i="3315"/>
  <c r="AD87" i="3315" s="1"/>
  <c r="Z88" i="3315"/>
  <c r="AD88" i="3315" s="1"/>
  <c r="Z89" i="3315"/>
  <c r="Z90" i="3315"/>
  <c r="Z91" i="3315"/>
  <c r="AD91" i="3315" s="1"/>
  <c r="Z92" i="3315"/>
  <c r="AD92" i="3315" s="1"/>
  <c r="Z93" i="3315"/>
  <c r="Z94" i="3315"/>
  <c r="Z95" i="3315"/>
  <c r="AD95" i="3315" s="1"/>
  <c r="Z96" i="3315"/>
  <c r="AD96" i="3315" s="1"/>
  <c r="Z97" i="3315"/>
  <c r="Z98" i="3315"/>
  <c r="Z99" i="3315"/>
  <c r="AD99" i="3315" s="1"/>
  <c r="Z100" i="3315"/>
  <c r="AD100" i="3315" s="1"/>
  <c r="Z101" i="3315"/>
  <c r="AD101" i="3315" s="1"/>
  <c r="Z102" i="3315"/>
  <c r="Z103" i="3315"/>
  <c r="AD103" i="3315" s="1"/>
  <c r="Z104" i="3315"/>
  <c r="AD104" i="3315" s="1"/>
  <c r="Z105" i="3315"/>
  <c r="Z106" i="3315"/>
  <c r="Z107" i="3315"/>
  <c r="AD107" i="3315" s="1"/>
  <c r="Z108" i="3315"/>
  <c r="AD108" i="3315" s="1"/>
  <c r="Z109" i="3315"/>
  <c r="Z110" i="3315"/>
  <c r="Z111" i="3315"/>
  <c r="AD111" i="3315" s="1"/>
  <c r="Z112" i="3315"/>
  <c r="AD112" i="3315" s="1"/>
  <c r="Z113" i="3315"/>
  <c r="Z114" i="3315"/>
  <c r="Z115" i="3315"/>
  <c r="AD115" i="3315" s="1"/>
  <c r="Z116" i="3315"/>
  <c r="AD116" i="3315" s="1"/>
  <c r="Z117" i="3315"/>
  <c r="AD117" i="3315" s="1"/>
  <c r="Z118" i="3315"/>
  <c r="Z119" i="3315"/>
  <c r="AD119" i="3315" s="1"/>
  <c r="Z120" i="3315"/>
  <c r="AD120" i="3315" s="1"/>
  <c r="Z121" i="3315"/>
  <c r="Z122" i="3315"/>
  <c r="Z123" i="3315"/>
  <c r="AD123" i="3315" s="1"/>
  <c r="Z124" i="3315"/>
  <c r="AD124" i="3315" s="1"/>
  <c r="Z125" i="3315"/>
  <c r="Z126" i="3315"/>
  <c r="Z127" i="3315"/>
  <c r="AD127" i="3315" s="1"/>
  <c r="Z128" i="3315"/>
  <c r="AD128" i="3315" s="1"/>
  <c r="Z129" i="3315"/>
  <c r="Z130" i="3315"/>
  <c r="Z131" i="3315"/>
  <c r="AD131" i="3315" s="1"/>
  <c r="Z132" i="3315"/>
  <c r="AD132" i="3315" s="1"/>
  <c r="Z133" i="3315"/>
  <c r="AD133" i="3315" s="1"/>
  <c r="Z134" i="3315"/>
  <c r="Z135" i="3315"/>
  <c r="AD135" i="3315" s="1"/>
  <c r="Z136" i="3315"/>
  <c r="AD136" i="3315" s="1"/>
  <c r="Z137" i="3315"/>
  <c r="Z176" i="3315"/>
  <c r="Z177" i="3315"/>
  <c r="AD177" i="3315" s="1"/>
  <c r="Z178" i="3315"/>
  <c r="AD178" i="3315" s="1"/>
  <c r="Z179" i="3315"/>
  <c r="AD179" i="3315" s="1"/>
  <c r="Z180" i="3315"/>
  <c r="Z181" i="3315"/>
  <c r="AD181" i="3315" s="1"/>
  <c r="Z182" i="3315"/>
  <c r="AD182" i="3315" s="1"/>
  <c r="Z183" i="3315"/>
  <c r="Z184" i="3315"/>
  <c r="Z185" i="3315"/>
  <c r="AD185" i="3315" s="1"/>
  <c r="Z186" i="3315"/>
  <c r="AD186" i="3315" s="1"/>
  <c r="Z187" i="3315"/>
  <c r="Z188" i="3315"/>
  <c r="Z189" i="3315"/>
  <c r="AD189" i="3315" s="1"/>
  <c r="Z190" i="3315"/>
  <c r="AD190" i="3315" s="1"/>
  <c r="Z191" i="3315"/>
  <c r="Z192" i="3315"/>
  <c r="Z193" i="3315"/>
  <c r="AD193" i="3315" s="1"/>
  <c r="Z194" i="3315"/>
  <c r="AD194" i="3315" s="1"/>
  <c r="Z141" i="3315"/>
  <c r="Z142" i="3315"/>
  <c r="Z143" i="3315"/>
  <c r="AD143" i="3315" s="1"/>
  <c r="Z144" i="3315"/>
  <c r="AD144" i="3315" s="1"/>
  <c r="Z145" i="3315"/>
  <c r="AD145" i="3315" s="1"/>
  <c r="Z146" i="3315"/>
  <c r="Z147" i="3315"/>
  <c r="AD147" i="3315" s="1"/>
  <c r="Z148" i="3315"/>
  <c r="AD148" i="3315" s="1"/>
  <c r="Z149" i="3315"/>
  <c r="Z150" i="3315"/>
  <c r="Z151" i="3315"/>
  <c r="AD151" i="3315" s="1"/>
  <c r="Z152" i="3315"/>
  <c r="AD152" i="3315" s="1"/>
  <c r="Z153" i="3315"/>
  <c r="Z154" i="3315"/>
  <c r="Z155" i="3315"/>
  <c r="AD155" i="3315" s="1"/>
  <c r="Z156" i="3315"/>
  <c r="AD156" i="3315" s="1"/>
  <c r="Z157" i="3315"/>
  <c r="Z158" i="3315"/>
  <c r="Z159" i="3315"/>
  <c r="AD159" i="3315" s="1"/>
  <c r="Z364" i="3315"/>
  <c r="AD364" i="3315" s="1"/>
  <c r="Z365" i="3315"/>
  <c r="AD365" i="3315" s="1"/>
  <c r="Z366" i="3315"/>
  <c r="AD366" i="3315" s="1"/>
  <c r="Z367" i="3315"/>
  <c r="Z368" i="3315"/>
  <c r="AD368" i="3315" s="1"/>
  <c r="Z369" i="3315"/>
  <c r="AD369" i="3315" s="1"/>
  <c r="Z370" i="3315"/>
  <c r="Z371" i="3315"/>
  <c r="AD371" i="3315" s="1"/>
  <c r="Z372" i="3315"/>
  <c r="AD372" i="3315" s="1"/>
  <c r="Z373" i="3315"/>
  <c r="AD373" i="3315" s="1"/>
  <c r="Z374" i="3315"/>
  <c r="AD374" i="3315" s="1"/>
  <c r="Z375" i="3315"/>
  <c r="AD375" i="3315" s="1"/>
  <c r="Z376" i="3315"/>
  <c r="AD376" i="3315" s="1"/>
  <c r="Z377" i="3315"/>
  <c r="Z378" i="3315"/>
  <c r="Z379" i="3315"/>
  <c r="AD379" i="3315" s="1"/>
  <c r="Z380" i="3315"/>
  <c r="AD380" i="3315" s="1"/>
  <c r="Z381" i="3315"/>
  <c r="AD381" i="3315" s="1"/>
  <c r="Z382" i="3315"/>
  <c r="Z383" i="3315"/>
  <c r="AD383" i="3315" s="1"/>
  <c r="Z384" i="3315"/>
  <c r="AD384" i="3315" s="1"/>
  <c r="Z385" i="3315"/>
  <c r="AD385" i="3315" s="1"/>
  <c r="Z386" i="3315"/>
  <c r="Z387" i="3315"/>
  <c r="AD387" i="3315" s="1"/>
  <c r="Z388" i="3315"/>
  <c r="AD388" i="3315" s="1"/>
  <c r="Z389" i="3315"/>
  <c r="AD389" i="3315" s="1"/>
  <c r="Z390" i="3315"/>
  <c r="Z391" i="3315"/>
  <c r="AD391" i="3315" s="1"/>
  <c r="Z392" i="3315"/>
  <c r="AD392" i="3315" s="1"/>
  <c r="Z393" i="3315"/>
  <c r="Z394" i="3315"/>
  <c r="AD394" i="3315" s="1"/>
  <c r="Z395" i="3315"/>
  <c r="AD395" i="3315" s="1"/>
  <c r="Z396" i="3315"/>
  <c r="AD396" i="3315" s="1"/>
  <c r="Z397" i="3315"/>
  <c r="AD397" i="3315" s="1"/>
  <c r="Z398" i="3315"/>
  <c r="Z399" i="3315"/>
  <c r="AD399" i="3315" s="1"/>
  <c r="Z400" i="3315"/>
  <c r="AD400" i="3315" s="1"/>
  <c r="Z401" i="3315"/>
  <c r="AD401" i="3315" s="1"/>
  <c r="Z402" i="3315"/>
  <c r="AD402" i="3315" s="1"/>
  <c r="Z403" i="3315"/>
  <c r="AD403" i="3315" s="1"/>
  <c r="Z404" i="3315"/>
  <c r="AD404" i="3315" s="1"/>
  <c r="Z405" i="3315"/>
  <c r="AD405" i="3315" s="1"/>
  <c r="Z406" i="3315"/>
  <c r="Z407" i="3315"/>
  <c r="AD407" i="3315" s="1"/>
  <c r="Z408" i="3315"/>
  <c r="AD408" i="3315" s="1"/>
  <c r="Z409" i="3315"/>
  <c r="AD409" i="3315" s="1"/>
  <c r="Z410" i="3315"/>
  <c r="Z411" i="3315"/>
  <c r="AD411" i="3315" s="1"/>
  <c r="Z412" i="3315"/>
  <c r="AD412" i="3315" s="1"/>
  <c r="Z413" i="3315"/>
  <c r="AD413" i="3315" s="1"/>
  <c r="Z414" i="3315"/>
  <c r="Z415" i="3315"/>
  <c r="AD415" i="3315" s="1"/>
  <c r="Z416" i="3315"/>
  <c r="AD416" i="3315" s="1"/>
  <c r="Z417" i="3315"/>
  <c r="AD417" i="3315" s="1"/>
  <c r="Z418" i="3315"/>
  <c r="Z419" i="3315"/>
  <c r="AD419" i="3315" s="1"/>
  <c r="Z420" i="3315"/>
  <c r="AD420" i="3315" s="1"/>
  <c r="Z421" i="3315"/>
  <c r="AD421" i="3315" s="1"/>
  <c r="Z422" i="3315"/>
  <c r="Z423" i="3315"/>
  <c r="AD423" i="3315" s="1"/>
  <c r="Z424" i="3315"/>
  <c r="AD424" i="3315" s="1"/>
  <c r="Z425" i="3315"/>
  <c r="Z426" i="3315"/>
  <c r="Z427" i="3315"/>
  <c r="AD427" i="3315" s="1"/>
  <c r="Z428" i="3315"/>
  <c r="AD428" i="3315" s="1"/>
  <c r="Z429" i="3315"/>
  <c r="AD429" i="3315" s="1"/>
  <c r="Z430" i="3315"/>
  <c r="AD430" i="3315" s="1"/>
  <c r="Z431" i="3315"/>
  <c r="AD431" i="3315" s="1"/>
  <c r="Z432" i="3315"/>
  <c r="AD432" i="3315" s="1"/>
  <c r="Z433" i="3315"/>
  <c r="Z434" i="3315"/>
  <c r="Z435" i="3315"/>
  <c r="AD435" i="3315" s="1"/>
  <c r="Z436" i="3315"/>
  <c r="AD436" i="3315" s="1"/>
  <c r="Z437" i="3315"/>
  <c r="AD437" i="3315" s="1"/>
  <c r="Z438" i="3315"/>
  <c r="Z439" i="3315"/>
  <c r="AD439" i="3315" s="1"/>
  <c r="Z440" i="3315"/>
  <c r="AD440" i="3315" s="1"/>
  <c r="Z441" i="3315"/>
  <c r="Z442" i="3315"/>
  <c r="AD442" i="3315" s="1"/>
  <c r="Z443" i="3315"/>
  <c r="AD443" i="3315" s="1"/>
  <c r="Z444" i="3315"/>
  <c r="AD444" i="3315" s="1"/>
  <c r="Z445" i="3315"/>
  <c r="AD445" i="3315" s="1"/>
  <c r="Z446" i="3315"/>
  <c r="Z447" i="3315"/>
  <c r="AD447" i="3315" s="1"/>
  <c r="Z448" i="3315"/>
  <c r="AD448" i="3315" s="1"/>
  <c r="Z449" i="3315"/>
  <c r="AD449" i="3315" s="1"/>
  <c r="Z450" i="3315"/>
  <c r="Z451" i="3315"/>
  <c r="AD451" i="3315" s="1"/>
  <c r="Z452" i="3315"/>
  <c r="AD452" i="3315" s="1"/>
  <c r="Z453" i="3315"/>
  <c r="AD453" i="3315" s="1"/>
  <c r="Z454" i="3315"/>
  <c r="Z455" i="3315"/>
  <c r="AD455" i="3315" s="1"/>
  <c r="Z456" i="3315"/>
  <c r="AD456" i="3315" s="1"/>
  <c r="Z457" i="3315"/>
  <c r="Z458" i="3315"/>
  <c r="Z459" i="3315"/>
  <c r="AD459" i="3315" s="1"/>
  <c r="Z460" i="3315"/>
  <c r="AD460" i="3315" s="1"/>
  <c r="Z461" i="3315"/>
  <c r="AD461" i="3315" s="1"/>
  <c r="Z462" i="3315"/>
  <c r="AD462" i="3315" s="1"/>
  <c r="Z463" i="3315"/>
  <c r="AD463" i="3315" s="1"/>
  <c r="Z464" i="3315"/>
  <c r="AD464" i="3315" s="1"/>
  <c r="Z465" i="3315"/>
  <c r="Z466" i="3315"/>
  <c r="Z467" i="3315"/>
  <c r="AD467" i="3315" s="1"/>
  <c r="Z468" i="3315"/>
  <c r="AD468" i="3315" s="1"/>
  <c r="Z469" i="3315"/>
  <c r="AD469" i="3315" s="1"/>
  <c r="Z470" i="3315"/>
  <c r="Z471" i="3315"/>
  <c r="AD471" i="3315" s="1"/>
  <c r="Z472" i="3315"/>
  <c r="AD472" i="3315" s="1"/>
  <c r="Z473" i="3315"/>
  <c r="Z474" i="3315"/>
  <c r="AD474" i="3315" s="1"/>
  <c r="Z475" i="3315"/>
  <c r="AD475" i="3315" s="1"/>
  <c r="Z476" i="3315"/>
  <c r="AD476" i="3315" s="1"/>
  <c r="Z477" i="3315"/>
  <c r="AD477" i="3315" s="1"/>
  <c r="Z481" i="3315"/>
  <c r="AD481" i="3315" s="1"/>
  <c r="Z482" i="3315"/>
  <c r="AD482" i="3315" s="1"/>
  <c r="Z483" i="3315"/>
  <c r="AD483" i="3315" s="1"/>
  <c r="Z484" i="3315"/>
  <c r="AD484" i="3315" s="1"/>
  <c r="Z485" i="3315"/>
  <c r="AD485" i="3315" s="1"/>
  <c r="Z486" i="3315"/>
  <c r="AD486" i="3315" s="1"/>
  <c r="Z487" i="3315"/>
  <c r="AD487" i="3315" s="1"/>
  <c r="Z163" i="3315"/>
  <c r="AD163" i="3315" s="1"/>
  <c r="Z164" i="3315"/>
  <c r="Z165" i="3315"/>
  <c r="AD165" i="3315" s="1"/>
  <c r="Z166" i="3315"/>
  <c r="AD166" i="3315" s="1"/>
  <c r="Z167" i="3315"/>
  <c r="AD167" i="3315" s="1"/>
  <c r="Z168" i="3315"/>
  <c r="AD168" i="3315" s="1"/>
  <c r="Z169" i="3315"/>
  <c r="AD169" i="3315" s="1"/>
  <c r="Z170" i="3315"/>
  <c r="AD170" i="3315" s="1"/>
  <c r="Z171" i="3315"/>
  <c r="AD171" i="3315" s="1"/>
  <c r="Z172" i="3315"/>
  <c r="AD172" i="3315" s="1"/>
  <c r="D897" i="3315"/>
  <c r="D924" i="3315"/>
  <c r="D1159" i="3315"/>
  <c r="D1112" i="3315"/>
  <c r="D977" i="3315"/>
  <c r="D227" i="3315"/>
  <c r="D81" i="3315"/>
  <c r="D248" i="3315"/>
  <c r="D361" i="3315"/>
  <c r="D138" i="3315"/>
  <c r="D195" i="3315"/>
  <c r="D160" i="3315"/>
  <c r="D478" i="3315"/>
  <c r="D488" i="3315"/>
  <c r="D173" i="3315"/>
  <c r="AC1159" i="3315"/>
  <c r="AD1116" i="3315"/>
  <c r="AD1117" i="3315"/>
  <c r="AD1120" i="3315"/>
  <c r="AD1121" i="3315"/>
  <c r="AD1124" i="3315"/>
  <c r="AD1125" i="3315"/>
  <c r="AD1128" i="3315"/>
  <c r="AD1129" i="3315"/>
  <c r="AD1132" i="3315"/>
  <c r="AD1133" i="3315"/>
  <c r="AD1136" i="3315"/>
  <c r="AD1137" i="3315"/>
  <c r="AD1140" i="3315"/>
  <c r="AD1141" i="3315"/>
  <c r="AD1144" i="3315"/>
  <c r="AD1145" i="3315"/>
  <c r="AD1148" i="3315"/>
  <c r="AD1149" i="3315"/>
  <c r="AD1152" i="3315"/>
  <c r="AD1153" i="3315"/>
  <c r="AD1156" i="3315"/>
  <c r="AD1157" i="3315"/>
  <c r="AC1112" i="3315"/>
  <c r="AD981" i="3315"/>
  <c r="AD985" i="3315"/>
  <c r="AD989" i="3315"/>
  <c r="AD993" i="3315"/>
  <c r="AD997" i="3315"/>
  <c r="AD1001" i="3315"/>
  <c r="AD1005" i="3315"/>
  <c r="AD1009" i="3315"/>
  <c r="AD1013" i="3315"/>
  <c r="AD1017" i="3315"/>
  <c r="AD1021" i="3315"/>
  <c r="AD1025" i="3315"/>
  <c r="AD1029" i="3315"/>
  <c r="AD1033" i="3315"/>
  <c r="AD1037" i="3315"/>
  <c r="AD1041" i="3315"/>
  <c r="AD1045" i="3315"/>
  <c r="AD1049" i="3315"/>
  <c r="AD1053" i="3315"/>
  <c r="AD1057" i="3315"/>
  <c r="AD1065" i="3315"/>
  <c r="AD1069" i="3315"/>
  <c r="AD1077" i="3315"/>
  <c r="AD1081" i="3315"/>
  <c r="AD1089" i="3315"/>
  <c r="AD1093" i="3315"/>
  <c r="AD1101" i="3315"/>
  <c r="AD1105" i="3315"/>
  <c r="AD1109" i="3315"/>
  <c r="AC977" i="3315"/>
  <c r="AD957" i="3315"/>
  <c r="AD961" i="3315"/>
  <c r="AD965" i="3315"/>
  <c r="AD969" i="3315"/>
  <c r="AD973" i="3315"/>
  <c r="AC924" i="3315"/>
  <c r="AD901" i="3315"/>
  <c r="AD904" i="3315"/>
  <c r="AD905" i="3315"/>
  <c r="AD908" i="3315"/>
  <c r="AD909" i="3315"/>
  <c r="AD912" i="3315"/>
  <c r="AD913" i="3315"/>
  <c r="AD916" i="3315"/>
  <c r="AD917" i="3315"/>
  <c r="AD920" i="3315"/>
  <c r="AD921" i="3315"/>
  <c r="AD900" i="3315"/>
  <c r="AC897" i="3315"/>
  <c r="AD511" i="3315"/>
  <c r="AD531" i="3315"/>
  <c r="AD559" i="3315"/>
  <c r="AD579" i="3315"/>
  <c r="AD603" i="3315"/>
  <c r="AD611" i="3315"/>
  <c r="AD623" i="3315"/>
  <c r="AD631" i="3315"/>
  <c r="AD651" i="3315"/>
  <c r="AD663" i="3315"/>
  <c r="AD691" i="3315"/>
  <c r="AD703" i="3315"/>
  <c r="AD719" i="3315"/>
  <c r="AD727" i="3315"/>
  <c r="AD731" i="3315"/>
  <c r="AD752" i="3315"/>
  <c r="AD772" i="3315"/>
  <c r="AD796" i="3315"/>
  <c r="AD808" i="3315"/>
  <c r="AD824" i="3315"/>
  <c r="AD833" i="3315"/>
  <c r="AD862" i="3315"/>
  <c r="AC488" i="3315"/>
  <c r="AC478" i="3315"/>
  <c r="AD370" i="3315"/>
  <c r="AD377" i="3315"/>
  <c r="AD378" i="3315"/>
  <c r="AD382" i="3315"/>
  <c r="AD386" i="3315"/>
  <c r="AD390" i="3315"/>
  <c r="AD393" i="3315"/>
  <c r="AD398" i="3315"/>
  <c r="AD406" i="3315"/>
  <c r="AD410" i="3315"/>
  <c r="AD414" i="3315"/>
  <c r="AD418" i="3315"/>
  <c r="AD422" i="3315"/>
  <c r="AD425" i="3315"/>
  <c r="AD426" i="3315"/>
  <c r="AD433" i="3315"/>
  <c r="AD434" i="3315"/>
  <c r="AD438" i="3315"/>
  <c r="AD441" i="3315"/>
  <c r="AD446" i="3315"/>
  <c r="AD450" i="3315"/>
  <c r="AD454" i="3315"/>
  <c r="AD457" i="3315"/>
  <c r="AD458" i="3315"/>
  <c r="AD465" i="3315"/>
  <c r="AD466" i="3315"/>
  <c r="AD470" i="3315"/>
  <c r="AD473" i="3315"/>
  <c r="AC361" i="3315"/>
  <c r="AD254" i="3315"/>
  <c r="AD258" i="3315"/>
  <c r="AD262" i="3315"/>
  <c r="AD266" i="3315"/>
  <c r="AD270" i="3315"/>
  <c r="AD274" i="3315"/>
  <c r="AD278" i="3315"/>
  <c r="AD282" i="3315"/>
  <c r="AD286" i="3315"/>
  <c r="AD290" i="3315"/>
  <c r="AD294" i="3315"/>
  <c r="AD298" i="3315"/>
  <c r="AD302" i="3315"/>
  <c r="AD306" i="3315"/>
  <c r="AD310" i="3315"/>
  <c r="AD314" i="3315"/>
  <c r="AD318" i="3315"/>
  <c r="AD322" i="3315"/>
  <c r="AD326" i="3315"/>
  <c r="AD330" i="3315"/>
  <c r="AD334" i="3315"/>
  <c r="AD338" i="3315"/>
  <c r="AD342" i="3315"/>
  <c r="AD346" i="3315"/>
  <c r="AD350" i="3315"/>
  <c r="AD354" i="3315"/>
  <c r="AD358" i="3315"/>
  <c r="AC248" i="3315"/>
  <c r="AD235" i="3315"/>
  <c r="AD239" i="3315"/>
  <c r="AD243" i="3315"/>
  <c r="AD244" i="3315"/>
  <c r="AD247" i="3315"/>
  <c r="AC227" i="3315"/>
  <c r="AD201" i="3315"/>
  <c r="AD217" i="3315"/>
  <c r="AD200" i="3315"/>
  <c r="AC195" i="3315"/>
  <c r="AD180" i="3315"/>
  <c r="AD183" i="3315"/>
  <c r="AD184" i="3315"/>
  <c r="AD187" i="3315"/>
  <c r="AD188" i="3315"/>
  <c r="AD191" i="3315"/>
  <c r="AD192" i="3315"/>
  <c r="AD176" i="3315"/>
  <c r="AC173" i="3315"/>
  <c r="AC160" i="3315"/>
  <c r="AD142" i="3315"/>
  <c r="AD146" i="3315"/>
  <c r="AD149" i="3315"/>
  <c r="AD150" i="3315"/>
  <c r="AD153" i="3315"/>
  <c r="AD154" i="3315"/>
  <c r="AD157" i="3315"/>
  <c r="AD158" i="3315"/>
  <c r="AD141" i="3315"/>
  <c r="AC138" i="3315"/>
  <c r="AD86" i="3315"/>
  <c r="AD89" i="3315"/>
  <c r="AD90" i="3315"/>
  <c r="AD93" i="3315"/>
  <c r="AD94" i="3315"/>
  <c r="AD97" i="3315"/>
  <c r="AD98" i="3315"/>
  <c r="AD102" i="3315"/>
  <c r="AD105" i="3315"/>
  <c r="AD106" i="3315"/>
  <c r="AD109" i="3315"/>
  <c r="AD110" i="3315"/>
  <c r="AD113" i="3315"/>
  <c r="AD114" i="3315"/>
  <c r="AD118" i="3315"/>
  <c r="AD121" i="3315"/>
  <c r="AD122" i="3315"/>
  <c r="AD125" i="3315"/>
  <c r="AD126" i="3315"/>
  <c r="AD129" i="3315"/>
  <c r="AD130" i="3315"/>
  <c r="AD134" i="3315"/>
  <c r="AD137" i="3315"/>
  <c r="AC81" i="3315"/>
  <c r="AD75" i="3315"/>
  <c r="Z50" i="3315"/>
  <c r="AC1179" i="3315"/>
  <c r="AC1180" i="3315"/>
  <c r="AC1181" i="3315"/>
  <c r="AC1170" i="3315"/>
  <c r="AC1172" i="3315"/>
  <c r="AC1173" i="3315"/>
  <c r="AC1174" i="3315"/>
  <c r="AC1175" i="3315"/>
  <c r="AC926" i="3315"/>
  <c r="AC1198" i="3315"/>
  <c r="AC1199" i="3315"/>
  <c r="AC1189" i="3315"/>
  <c r="AC1190" i="3315"/>
  <c r="AC1191" i="3315"/>
  <c r="AC1192" i="3315"/>
  <c r="AC1193" i="3315"/>
  <c r="AC1194" i="3315"/>
  <c r="AC1206" i="3315"/>
  <c r="AC1207" i="3315"/>
  <c r="AC1208" i="3315"/>
  <c r="AC1209" i="3315"/>
  <c r="AC1210" i="3315"/>
  <c r="AC1211" i="3315"/>
  <c r="AC1216" i="3315"/>
  <c r="AC1221" i="3315"/>
  <c r="AD1198" i="3315"/>
  <c r="AE1198" i="3315" s="1"/>
  <c r="AD1199" i="3315"/>
  <c r="AE1199" i="3315" s="1"/>
  <c r="AD1189" i="3315"/>
  <c r="AE1189" i="3315" s="1"/>
  <c r="AD1190" i="3315"/>
  <c r="AD1191" i="3315"/>
  <c r="AE1191" i="3315" s="1"/>
  <c r="AD1192" i="3315"/>
  <c r="AE1192" i="3315" s="1"/>
  <c r="AD1193" i="3315"/>
  <c r="AE1193" i="3315" s="1"/>
  <c r="AD1194" i="3315"/>
  <c r="AD1206" i="3315"/>
  <c r="AE1206" i="3315" s="1"/>
  <c r="AD1207" i="3315"/>
  <c r="AE1207" i="3315" s="1"/>
  <c r="AD1208" i="3315"/>
  <c r="AD1209" i="3315"/>
  <c r="AE1209" i="3315" s="1"/>
  <c r="AD1210" i="3315"/>
  <c r="AE1210" i="3315" s="1"/>
  <c r="AD1211" i="3315"/>
  <c r="AE1211" i="3315" s="1"/>
  <c r="AE1216" i="3315"/>
  <c r="AD1221" i="3315"/>
  <c r="AE1221" i="3315" s="1"/>
  <c r="D951" i="3315"/>
  <c r="D64" i="3315"/>
  <c r="H138" i="3315"/>
  <c r="L138" i="3315"/>
  <c r="P138" i="3315"/>
  <c r="H488" i="3315"/>
  <c r="A45" i="4608"/>
  <c r="Z46" i="3315"/>
  <c r="Z49" i="3315"/>
  <c r="H46" i="3315"/>
  <c r="R32" i="3315"/>
  <c r="N9" i="3315"/>
  <c r="N29" i="3315"/>
  <c r="N26" i="3315"/>
  <c r="H31" i="3315"/>
  <c r="L31" i="3315"/>
  <c r="P31" i="3315"/>
  <c r="H30" i="3315"/>
  <c r="L30" i="3315"/>
  <c r="P30" i="3315"/>
  <c r="H11" i="3315"/>
  <c r="L11" i="3315"/>
  <c r="P11" i="3315"/>
  <c r="H26" i="3315"/>
  <c r="H27" i="3315"/>
  <c r="H28" i="3315"/>
  <c r="H29" i="3315"/>
  <c r="H32" i="3315"/>
  <c r="H33" i="3315"/>
  <c r="P41" i="3315"/>
  <c r="P42" i="3315"/>
  <c r="P43" i="3315"/>
  <c r="P44" i="3315"/>
  <c r="P45" i="3315"/>
  <c r="P46" i="3315"/>
  <c r="P47" i="3315"/>
  <c r="P48" i="3315"/>
  <c r="P49" i="3315"/>
  <c r="P50" i="3315"/>
  <c r="P51" i="3315"/>
  <c r="P52" i="3315"/>
  <c r="P53" i="3315"/>
  <c r="P54" i="3315"/>
  <c r="P55" i="3315"/>
  <c r="P56" i="3315"/>
  <c r="P57" i="3315"/>
  <c r="P58" i="3315"/>
  <c r="P59" i="3315"/>
  <c r="P60" i="3315"/>
  <c r="P61" i="3315"/>
  <c r="P62" i="3315"/>
  <c r="P63" i="3315"/>
  <c r="L41" i="3315"/>
  <c r="L42" i="3315"/>
  <c r="L43" i="3315"/>
  <c r="L44" i="3315"/>
  <c r="L45" i="3315"/>
  <c r="L46" i="3315"/>
  <c r="L47" i="3315"/>
  <c r="L48" i="3315"/>
  <c r="L49" i="3315"/>
  <c r="L50" i="3315"/>
  <c r="L51" i="3315"/>
  <c r="L52" i="3315"/>
  <c r="L53" i="3315"/>
  <c r="L54" i="3315"/>
  <c r="L55" i="3315"/>
  <c r="L56" i="3315"/>
  <c r="L57" i="3315"/>
  <c r="L58" i="3315"/>
  <c r="L59" i="3315"/>
  <c r="L60" i="3315"/>
  <c r="L61" i="3315"/>
  <c r="L62" i="3315"/>
  <c r="H41" i="3315"/>
  <c r="H42" i="3315"/>
  <c r="H43" i="3315"/>
  <c r="H44" i="3315"/>
  <c r="H45" i="3315"/>
  <c r="H47" i="3315"/>
  <c r="H48" i="3315"/>
  <c r="H49" i="3315"/>
  <c r="H50" i="3315"/>
  <c r="H51" i="3315"/>
  <c r="H52" i="3315"/>
  <c r="H53" i="3315"/>
  <c r="H54" i="3315"/>
  <c r="H55" i="3315"/>
  <c r="H56" i="3315"/>
  <c r="H57" i="3315"/>
  <c r="H58" i="3315"/>
  <c r="H59" i="3315"/>
  <c r="H60" i="3315"/>
  <c r="H61" i="3315"/>
  <c r="H62" i="3315"/>
  <c r="H63" i="3315"/>
  <c r="AB1195" i="3315"/>
  <c r="P949" i="3315"/>
  <c r="Q949" i="3315" s="1"/>
  <c r="P948" i="3315"/>
  <c r="Q948" i="3315" s="1"/>
  <c r="P947" i="3315"/>
  <c r="Q947" i="3315" s="1"/>
  <c r="P935" i="3315"/>
  <c r="Q935" i="3315" s="1"/>
  <c r="P946" i="3315"/>
  <c r="Q946" i="3315" s="1"/>
  <c r="P936" i="3315"/>
  <c r="Q936" i="3315" s="1"/>
  <c r="P937" i="3315"/>
  <c r="Q937" i="3315" s="1"/>
  <c r="P938" i="3315"/>
  <c r="Q938" i="3315" s="1"/>
  <c r="P945" i="3315"/>
  <c r="Q945" i="3315" s="1"/>
  <c r="P934" i="3315"/>
  <c r="Q934" i="3315" s="1"/>
  <c r="P942" i="3315"/>
  <c r="Q942" i="3315" s="1"/>
  <c r="P931" i="3315"/>
  <c r="Q931" i="3315" s="1"/>
  <c r="P941" i="3315"/>
  <c r="Q941" i="3315" s="1"/>
  <c r="P930" i="3315"/>
  <c r="Q930" i="3315" s="1"/>
  <c r="P940" i="3315"/>
  <c r="Q940" i="3315" s="1"/>
  <c r="P929" i="3315"/>
  <c r="Q929" i="3315" s="1"/>
  <c r="P939" i="3315"/>
  <c r="Q939" i="3315" s="1"/>
  <c r="P928" i="3315"/>
  <c r="P943" i="3315"/>
  <c r="Q943" i="3315" s="1"/>
  <c r="P944" i="3315"/>
  <c r="Q944" i="3315" s="1"/>
  <c r="P932" i="3315"/>
  <c r="Q932" i="3315" s="1"/>
  <c r="P933" i="3315"/>
  <c r="Q933" i="3315" s="1"/>
  <c r="H940" i="3315"/>
  <c r="I940" i="3315" s="1"/>
  <c r="H941" i="3315"/>
  <c r="I941" i="3315" s="1"/>
  <c r="H942" i="3315"/>
  <c r="I942" i="3315" s="1"/>
  <c r="H943" i="3315"/>
  <c r="I943" i="3315" s="1"/>
  <c r="H944" i="3315"/>
  <c r="I944" i="3315" s="1"/>
  <c r="H945" i="3315"/>
  <c r="I945" i="3315" s="1"/>
  <c r="H946" i="3315"/>
  <c r="I946" i="3315" s="1"/>
  <c r="H947" i="3315"/>
  <c r="I947" i="3315" s="1"/>
  <c r="H948" i="3315"/>
  <c r="I948" i="3315" s="1"/>
  <c r="H949" i="3315"/>
  <c r="I949" i="3315" s="1"/>
  <c r="H928" i="3315"/>
  <c r="H929" i="3315"/>
  <c r="I929" i="3315" s="1"/>
  <c r="H930" i="3315"/>
  <c r="I930" i="3315" s="1"/>
  <c r="H931" i="3315"/>
  <c r="I931" i="3315" s="1"/>
  <c r="H932" i="3315"/>
  <c r="I932" i="3315" s="1"/>
  <c r="H933" i="3315"/>
  <c r="I933" i="3315" s="1"/>
  <c r="H934" i="3315"/>
  <c r="I934" i="3315" s="1"/>
  <c r="H935" i="3315"/>
  <c r="I935" i="3315" s="1"/>
  <c r="H936" i="3315"/>
  <c r="I936" i="3315" s="1"/>
  <c r="H937" i="3315"/>
  <c r="I937" i="3315" s="1"/>
  <c r="H938" i="3315"/>
  <c r="I938" i="3315" s="1"/>
  <c r="H6" i="3315"/>
  <c r="L6" i="3315"/>
  <c r="P6" i="3315"/>
  <c r="P7" i="3315"/>
  <c r="P8" i="3315"/>
  <c r="P12" i="3315"/>
  <c r="L8" i="3315"/>
  <c r="L9" i="3315"/>
  <c r="L12" i="3315"/>
  <c r="H7" i="3315"/>
  <c r="H8" i="3315"/>
  <c r="H10" i="3315"/>
  <c r="H12" i="3315"/>
  <c r="C118" i="4608"/>
  <c r="C119" i="4608" s="1"/>
  <c r="C120" i="4608" s="1"/>
  <c r="C121" i="4608" s="1"/>
  <c r="C122" i="4608" s="1"/>
  <c r="C123" i="4608" s="1"/>
  <c r="C124" i="4608" s="1"/>
  <c r="C125" i="4608" s="1"/>
  <c r="C126" i="4608" s="1"/>
  <c r="C127" i="4608" s="1"/>
  <c r="C128" i="4608" s="1"/>
  <c r="C129" i="4608" s="1"/>
  <c r="C130" i="4608" s="1"/>
  <c r="C131" i="4608" s="1"/>
  <c r="C132" i="4608" s="1"/>
  <c r="C133" i="4608" s="1"/>
  <c r="C134" i="4608" s="1"/>
  <c r="C135" i="4608" s="1"/>
  <c r="C136" i="4608" s="1"/>
  <c r="C137" i="4608" s="1"/>
  <c r="C138" i="4608" s="1"/>
  <c r="C139" i="4608" s="1"/>
  <c r="C140" i="4608" s="1"/>
  <c r="C141" i="4608" s="1"/>
  <c r="C142" i="4608" s="1"/>
  <c r="C143" i="4608" s="1"/>
  <c r="C144" i="4608" s="1"/>
  <c r="C145" i="4608" s="1"/>
  <c r="C146" i="4608" s="1"/>
  <c r="A146" i="4608"/>
  <c r="A145" i="4608"/>
  <c r="A144" i="4608"/>
  <c r="A143" i="4608"/>
  <c r="A142" i="4608"/>
  <c r="A141" i="4608"/>
  <c r="A140" i="4608"/>
  <c r="A139" i="4608"/>
  <c r="A138" i="4608"/>
  <c r="A137" i="4608"/>
  <c r="A136" i="4608"/>
  <c r="A135" i="4608"/>
  <c r="A134" i="4608"/>
  <c r="A133" i="4608"/>
  <c r="A132" i="4608"/>
  <c r="A131" i="4608"/>
  <c r="A130" i="4608"/>
  <c r="A129" i="4608"/>
  <c r="A128" i="4608"/>
  <c r="A127" i="4608"/>
  <c r="A126" i="4608"/>
  <c r="F125" i="4608"/>
  <c r="E125" i="4608"/>
  <c r="A125" i="4608"/>
  <c r="F124" i="4608"/>
  <c r="E124" i="4608"/>
  <c r="A124" i="4608"/>
  <c r="F123" i="4608"/>
  <c r="E123" i="4608"/>
  <c r="A123" i="4608"/>
  <c r="F122" i="4608"/>
  <c r="E122" i="4608"/>
  <c r="A122" i="4608"/>
  <c r="F121" i="4608"/>
  <c r="A121" i="4608"/>
  <c r="F120" i="4608"/>
  <c r="E120" i="4608"/>
  <c r="A120" i="4608"/>
  <c r="F119" i="4608"/>
  <c r="E119" i="4608"/>
  <c r="A119" i="4608"/>
  <c r="F118" i="4608"/>
  <c r="E118" i="4608"/>
  <c r="A118" i="4608"/>
  <c r="F117" i="4608"/>
  <c r="A117" i="4608"/>
  <c r="J116" i="4608"/>
  <c r="C81" i="4608"/>
  <c r="C82" i="4608" s="1"/>
  <c r="C83" i="4608" s="1"/>
  <c r="C84" i="4608" s="1"/>
  <c r="C85" i="4608" s="1"/>
  <c r="C86" i="4608" s="1"/>
  <c r="C87" i="4608" s="1"/>
  <c r="C88" i="4608" s="1"/>
  <c r="C89" i="4608" s="1"/>
  <c r="C90" i="4608" s="1"/>
  <c r="C91" i="4608" s="1"/>
  <c r="C92" i="4608" s="1"/>
  <c r="C93" i="4608" s="1"/>
  <c r="C94" i="4608" s="1"/>
  <c r="C95" i="4608" s="1"/>
  <c r="C96" i="4608" s="1"/>
  <c r="C97" i="4608" s="1"/>
  <c r="C98" i="4608" s="1"/>
  <c r="C99" i="4608" s="1"/>
  <c r="C100" i="4608" s="1"/>
  <c r="C101" i="4608" s="1"/>
  <c r="C102" i="4608" s="1"/>
  <c r="C103" i="4608" s="1"/>
  <c r="C104" i="4608" s="1"/>
  <c r="C105" i="4608" s="1"/>
  <c r="C106" i="4608" s="1"/>
  <c r="C107" i="4608" s="1"/>
  <c r="C108" i="4608" s="1"/>
  <c r="C109" i="4608" s="1"/>
  <c r="A109" i="4608"/>
  <c r="A108" i="4608"/>
  <c r="A107" i="4608"/>
  <c r="A106" i="4608"/>
  <c r="A105" i="4608"/>
  <c r="A104" i="4608"/>
  <c r="A103" i="4608"/>
  <c r="A102" i="4608"/>
  <c r="A101" i="4608"/>
  <c r="A100" i="4608"/>
  <c r="A99" i="4608"/>
  <c r="A98" i="4608"/>
  <c r="A97" i="4608"/>
  <c r="A96" i="4608"/>
  <c r="A95" i="4608"/>
  <c r="A94" i="4608"/>
  <c r="A93" i="4608"/>
  <c r="A92" i="4608"/>
  <c r="A91" i="4608"/>
  <c r="A90" i="4608"/>
  <c r="F89" i="4608"/>
  <c r="E89" i="4608"/>
  <c r="A89" i="4608"/>
  <c r="F88" i="4608"/>
  <c r="E88" i="4608"/>
  <c r="A88" i="4608"/>
  <c r="F87" i="4608"/>
  <c r="E87" i="4608"/>
  <c r="A87" i="4608"/>
  <c r="F86" i="4608"/>
  <c r="E86" i="4608"/>
  <c r="A86" i="4608"/>
  <c r="F85" i="4608"/>
  <c r="E85" i="4608"/>
  <c r="A85" i="4608"/>
  <c r="F84" i="4608"/>
  <c r="E84" i="4608"/>
  <c r="A84" i="4608"/>
  <c r="F83" i="4608"/>
  <c r="E83" i="4608"/>
  <c r="A83" i="4608"/>
  <c r="F82" i="4608"/>
  <c r="E82" i="4608"/>
  <c r="A82" i="4608"/>
  <c r="F81" i="4608"/>
  <c r="E81" i="4608"/>
  <c r="A81" i="4608"/>
  <c r="M80" i="4608"/>
  <c r="E80" i="4608"/>
  <c r="F80" i="4608" s="1"/>
  <c r="A80" i="4608"/>
  <c r="J79" i="4608"/>
  <c r="C44" i="4608"/>
  <c r="C45" i="4608" s="1"/>
  <c r="C46" i="4608" s="1"/>
  <c r="C47" i="4608" s="1"/>
  <c r="C48" i="4608" s="1"/>
  <c r="C49" i="4608" s="1"/>
  <c r="C50" i="4608" s="1"/>
  <c r="C51" i="4608" s="1"/>
  <c r="C52" i="4608" s="1"/>
  <c r="C53" i="4608" s="1"/>
  <c r="C54" i="4608" s="1"/>
  <c r="C55" i="4608" s="1"/>
  <c r="C56" i="4608" s="1"/>
  <c r="C57" i="4608" s="1"/>
  <c r="C58" i="4608" s="1"/>
  <c r="C59" i="4608" s="1"/>
  <c r="C60" i="4608" s="1"/>
  <c r="C61" i="4608" s="1"/>
  <c r="C62" i="4608" s="1"/>
  <c r="C63" i="4608" s="1"/>
  <c r="C64" i="4608" s="1"/>
  <c r="C65" i="4608" s="1"/>
  <c r="C66" i="4608" s="1"/>
  <c r="C67" i="4608" s="1"/>
  <c r="C68" i="4608" s="1"/>
  <c r="C69" i="4608" s="1"/>
  <c r="C70" i="4608" s="1"/>
  <c r="C71" i="4608" s="1"/>
  <c r="C72" i="4608" s="1"/>
  <c r="A72" i="4608"/>
  <c r="A71" i="4608"/>
  <c r="A70" i="4608"/>
  <c r="A69" i="4608"/>
  <c r="A68" i="4608"/>
  <c r="A67" i="4608"/>
  <c r="A66" i="4608"/>
  <c r="A65" i="4608"/>
  <c r="A64" i="4608"/>
  <c r="A63" i="4608"/>
  <c r="A62" i="4608"/>
  <c r="A61" i="4608"/>
  <c r="A60" i="4608"/>
  <c r="A59" i="4608"/>
  <c r="A58" i="4608"/>
  <c r="A57" i="4608"/>
  <c r="A56" i="4608"/>
  <c r="A55" i="4608"/>
  <c r="A54" i="4608"/>
  <c r="A53" i="4608"/>
  <c r="F52" i="4608"/>
  <c r="A52" i="4608"/>
  <c r="F51" i="4608"/>
  <c r="A51" i="4608"/>
  <c r="F50" i="4608"/>
  <c r="A50" i="4608"/>
  <c r="F49" i="4608"/>
  <c r="A49" i="4608"/>
  <c r="F48" i="4608"/>
  <c r="A48" i="4608"/>
  <c r="F47" i="4608"/>
  <c r="A47" i="4608"/>
  <c r="E46" i="4608"/>
  <c r="A46" i="4608"/>
  <c r="F45" i="4608"/>
  <c r="E45" i="4608"/>
  <c r="F44" i="4608"/>
  <c r="E44" i="4608"/>
  <c r="A44" i="4608"/>
  <c r="F43" i="4608"/>
  <c r="A43" i="4608"/>
  <c r="J42" i="4608"/>
  <c r="I7" i="4608"/>
  <c r="I9" i="4608" s="1"/>
  <c r="I11" i="4608" s="1"/>
  <c r="I13" i="4608" s="1"/>
  <c r="I15" i="4608" s="1"/>
  <c r="I17" i="4608" s="1"/>
  <c r="I19" i="4608" s="1"/>
  <c r="I21" i="4608" s="1"/>
  <c r="I23" i="4608" s="1"/>
  <c r="I25" i="4608" s="1"/>
  <c r="I27" i="4608" s="1"/>
  <c r="I29" i="4608" s="1"/>
  <c r="I31" i="4608" s="1"/>
  <c r="I33" i="4608" s="1"/>
  <c r="I35" i="4608" s="1"/>
  <c r="H7" i="4608"/>
  <c r="H9" i="4608"/>
  <c r="H11" i="4608" s="1"/>
  <c r="H13" i="4608" s="1"/>
  <c r="H15" i="4608" s="1"/>
  <c r="H17" i="4608" s="1"/>
  <c r="H19" i="4608" s="1"/>
  <c r="H21" i="4608" s="1"/>
  <c r="H23" i="4608" s="1"/>
  <c r="H25" i="4608" s="1"/>
  <c r="H27" i="4608" s="1"/>
  <c r="H29" i="4608" s="1"/>
  <c r="H31" i="4608" s="1"/>
  <c r="H33" i="4608" s="1"/>
  <c r="H35" i="4608" s="1"/>
  <c r="G7" i="4608"/>
  <c r="G9" i="4608" s="1"/>
  <c r="G11" i="4608" s="1"/>
  <c r="G13" i="4608" s="1"/>
  <c r="G15" i="4608" s="1"/>
  <c r="G17" i="4608" s="1"/>
  <c r="G19" i="4608" s="1"/>
  <c r="G21" i="4608" s="1"/>
  <c r="G23" i="4608" s="1"/>
  <c r="G25" i="4608" s="1"/>
  <c r="G27" i="4608" s="1"/>
  <c r="G29" i="4608" s="1"/>
  <c r="G31" i="4608" s="1"/>
  <c r="G33" i="4608" s="1"/>
  <c r="G35" i="4608" s="1"/>
  <c r="F6" i="4608"/>
  <c r="F7" i="4608" s="1"/>
  <c r="F8" i="4608" s="1"/>
  <c r="F9" i="4608" s="1"/>
  <c r="F10" i="4608" s="1"/>
  <c r="F11" i="4608" s="1"/>
  <c r="F12" i="4608" s="1"/>
  <c r="F13" i="4608" s="1"/>
  <c r="F14" i="4608" s="1"/>
  <c r="F15" i="4608" s="1"/>
  <c r="F16" i="4608" s="1"/>
  <c r="F17" i="4608" s="1"/>
  <c r="F18" i="4608" s="1"/>
  <c r="F19" i="4608" s="1"/>
  <c r="F20" i="4608" s="1"/>
  <c r="F21" i="4608" s="1"/>
  <c r="F22" i="4608" s="1"/>
  <c r="F23" i="4608" s="1"/>
  <c r="F24" i="4608" s="1"/>
  <c r="F25" i="4608" s="1"/>
  <c r="F26" i="4608" s="1"/>
  <c r="F27" i="4608" s="1"/>
  <c r="F28" i="4608" s="1"/>
  <c r="F29" i="4608" s="1"/>
  <c r="F30" i="4608" s="1"/>
  <c r="F31" i="4608" s="1"/>
  <c r="F32" i="4608" s="1"/>
  <c r="F33" i="4608" s="1"/>
  <c r="F34" i="4608" s="1"/>
  <c r="F35" i="4608" s="1"/>
  <c r="C7" i="4608"/>
  <c r="C8" i="4608" s="1"/>
  <c r="C9" i="4608" s="1"/>
  <c r="C10" i="4608" s="1"/>
  <c r="C11" i="4608" s="1"/>
  <c r="C12" i="4608" s="1"/>
  <c r="C13" i="4608" s="1"/>
  <c r="C14" i="4608" s="1"/>
  <c r="C15" i="4608" s="1"/>
  <c r="C16" i="4608" s="1"/>
  <c r="C17" i="4608" s="1"/>
  <c r="C18" i="4608" s="1"/>
  <c r="C19" i="4608" s="1"/>
  <c r="C20" i="4608" s="1"/>
  <c r="C21" i="4608" s="1"/>
  <c r="C22" i="4608" s="1"/>
  <c r="C23" i="4608" s="1"/>
  <c r="C24" i="4608" s="1"/>
  <c r="C25" i="4608" s="1"/>
  <c r="C26" i="4608" s="1"/>
  <c r="C27" i="4608" s="1"/>
  <c r="C28" i="4608" s="1"/>
  <c r="C29" i="4608" s="1"/>
  <c r="C30" i="4608" s="1"/>
  <c r="C31" i="4608" s="1"/>
  <c r="C32" i="4608" s="1"/>
  <c r="C33" i="4608" s="1"/>
  <c r="C34" i="4608" s="1"/>
  <c r="C35" i="4608" s="1"/>
  <c r="A35" i="4608"/>
  <c r="I6" i="4608"/>
  <c r="I8" i="4608" s="1"/>
  <c r="I10" i="4608" s="1"/>
  <c r="I12" i="4608" s="1"/>
  <c r="I14" i="4608" s="1"/>
  <c r="I16" i="4608" s="1"/>
  <c r="I18" i="4608" s="1"/>
  <c r="I20" i="4608" s="1"/>
  <c r="I22" i="4608" s="1"/>
  <c r="I24" i="4608" s="1"/>
  <c r="I26" i="4608" s="1"/>
  <c r="I28" i="4608" s="1"/>
  <c r="I30" i="4608" s="1"/>
  <c r="I32" i="4608" s="1"/>
  <c r="I34" i="4608" s="1"/>
  <c r="H6" i="4608"/>
  <c r="H8" i="4608" s="1"/>
  <c r="H10" i="4608" s="1"/>
  <c r="H12" i="4608" s="1"/>
  <c r="H14" i="4608" s="1"/>
  <c r="H16" i="4608" s="1"/>
  <c r="H18" i="4608" s="1"/>
  <c r="H20" i="4608" s="1"/>
  <c r="H22" i="4608" s="1"/>
  <c r="H24" i="4608" s="1"/>
  <c r="H26" i="4608" s="1"/>
  <c r="H28" i="4608" s="1"/>
  <c r="H30" i="4608" s="1"/>
  <c r="H32" i="4608" s="1"/>
  <c r="H34" i="4608" s="1"/>
  <c r="G6" i="4608"/>
  <c r="G8" i="4608" s="1"/>
  <c r="G10" i="4608" s="1"/>
  <c r="G12" i="4608" s="1"/>
  <c r="G14" i="4608" s="1"/>
  <c r="G16" i="4608" s="1"/>
  <c r="G18" i="4608" s="1"/>
  <c r="G20" i="4608" s="1"/>
  <c r="G22" i="4608" s="1"/>
  <c r="G24" i="4608" s="1"/>
  <c r="G26" i="4608" s="1"/>
  <c r="G28" i="4608" s="1"/>
  <c r="G30" i="4608" s="1"/>
  <c r="G32" i="4608" s="1"/>
  <c r="G34" i="4608" s="1"/>
  <c r="A34" i="4608"/>
  <c r="A33" i="4608"/>
  <c r="A32" i="4608"/>
  <c r="A30" i="4608"/>
  <c r="A29" i="4608"/>
  <c r="A28" i="4608"/>
  <c r="A27" i="4608"/>
  <c r="A26" i="4608"/>
  <c r="A25" i="4608"/>
  <c r="A24" i="4608"/>
  <c r="A23" i="4608"/>
  <c r="A22" i="4608"/>
  <c r="A21" i="4608"/>
  <c r="A20" i="4608"/>
  <c r="A19" i="4608"/>
  <c r="A18" i="4608"/>
  <c r="A17" i="4608"/>
  <c r="A16" i="4608"/>
  <c r="A15" i="4608"/>
  <c r="A14" i="4608"/>
  <c r="A13" i="4608"/>
  <c r="A12" i="4608"/>
  <c r="A11" i="4608"/>
  <c r="A10" i="4608"/>
  <c r="E9" i="4608"/>
  <c r="E8" i="4608"/>
  <c r="A8" i="4608"/>
  <c r="E7" i="4608"/>
  <c r="A6" i="4608"/>
  <c r="D72" i="3079"/>
  <c r="C63" i="3079"/>
  <c r="C64" i="3079" s="1"/>
  <c r="C65" i="3079" s="1"/>
  <c r="C66" i="3079" s="1"/>
  <c r="C67" i="3079" s="1"/>
  <c r="C68" i="3079" s="1"/>
  <c r="C69" i="3079" s="1"/>
  <c r="C70" i="3079" s="1"/>
  <c r="C71" i="3079" s="1"/>
  <c r="D56" i="3079"/>
  <c r="C47" i="3079"/>
  <c r="C48" i="3079" s="1"/>
  <c r="C49" i="3079" s="1"/>
  <c r="C50" i="3079" s="1"/>
  <c r="C51" i="3079" s="1"/>
  <c r="C52" i="3079" s="1"/>
  <c r="C53" i="3079" s="1"/>
  <c r="C54" i="3079" s="1"/>
  <c r="C55" i="3079" s="1"/>
  <c r="D40" i="3079"/>
  <c r="C31" i="3079"/>
  <c r="C32" i="3079" s="1"/>
  <c r="C33" i="3079" s="1"/>
  <c r="C34" i="3079" s="1"/>
  <c r="C35" i="3079" s="1"/>
  <c r="C36" i="3079" s="1"/>
  <c r="C37" i="3079" s="1"/>
  <c r="C38" i="3079" s="1"/>
  <c r="C39" i="3079" s="1"/>
  <c r="N8" i="3079"/>
  <c r="M8" i="3079"/>
  <c r="K8" i="3079"/>
  <c r="K9" i="3079"/>
  <c r="K10" i="3079" s="1"/>
  <c r="K11" i="3079" s="1"/>
  <c r="K12" i="3079" s="1"/>
  <c r="K13" i="3079" s="1"/>
  <c r="K14" i="3079" s="1"/>
  <c r="K15" i="3079" s="1"/>
  <c r="K16" i="3079" s="1"/>
  <c r="K17" i="3079" s="1"/>
  <c r="K18" i="3079" s="1"/>
  <c r="K19" i="3079" s="1"/>
  <c r="K20" i="3079" s="1"/>
  <c r="K21" i="3079" s="1"/>
  <c r="K22" i="3079" s="1"/>
  <c r="K23" i="3079" s="1"/>
  <c r="K24" i="3079" s="1"/>
  <c r="K25" i="3079" s="1"/>
  <c r="K26" i="3079" s="1"/>
  <c r="K27" i="3079" s="1"/>
  <c r="K28" i="3079" s="1"/>
  <c r="K29" i="3079" s="1"/>
  <c r="K30" i="3079" s="1"/>
  <c r="K31" i="3079" s="1"/>
  <c r="K32" i="3079" s="1"/>
  <c r="K33" i="3079" s="1"/>
  <c r="K34" i="3079" s="1"/>
  <c r="K35" i="3079" s="1"/>
  <c r="K36" i="3079" s="1"/>
  <c r="D23" i="3079"/>
  <c r="C14" i="3079"/>
  <c r="C15" i="3079" s="1"/>
  <c r="C16" i="3079" s="1"/>
  <c r="C17" i="3079" s="1"/>
  <c r="C18" i="3079" s="1"/>
  <c r="C19" i="3079" s="1"/>
  <c r="C20" i="3079" s="1"/>
  <c r="C21" i="3079" s="1"/>
  <c r="C22" i="3079" s="1"/>
  <c r="D22" i="3315"/>
  <c r="D34" i="3315"/>
  <c r="D17" i="3315"/>
  <c r="H939" i="3315"/>
  <c r="I939" i="3315" s="1"/>
  <c r="H950" i="3315"/>
  <c r="I950" i="3315" s="1"/>
  <c r="H924" i="3315"/>
  <c r="H897" i="3315"/>
  <c r="P1112" i="3315"/>
  <c r="P1159" i="3315"/>
  <c r="L1112" i="3315"/>
  <c r="L1159" i="3315"/>
  <c r="L1161" i="3315" s="1"/>
  <c r="H1112" i="3315"/>
  <c r="AB197" i="3315"/>
  <c r="AB490" i="3315"/>
  <c r="AB953" i="3315"/>
  <c r="AB1161" i="3315"/>
  <c r="AA197" i="3315"/>
  <c r="AA490" i="3315"/>
  <c r="AA1161" i="3315"/>
  <c r="P40" i="3315"/>
  <c r="P195" i="3315"/>
  <c r="P173" i="3315"/>
  <c r="P160" i="3315"/>
  <c r="P81" i="3315"/>
  <c r="P488" i="3315"/>
  <c r="P478" i="3315"/>
  <c r="P361" i="3315"/>
  <c r="P248" i="3315"/>
  <c r="P227" i="3315"/>
  <c r="P950" i="3315"/>
  <c r="Q950" i="3315" s="1"/>
  <c r="P924" i="3315"/>
  <c r="P897" i="3315"/>
  <c r="P977" i="3315"/>
  <c r="L40" i="3315"/>
  <c r="L195" i="3315"/>
  <c r="L173" i="3315"/>
  <c r="L160" i="3315"/>
  <c r="L81" i="3315"/>
  <c r="L488" i="3315"/>
  <c r="L478" i="3315"/>
  <c r="L361" i="3315"/>
  <c r="L248" i="3315"/>
  <c r="L227" i="3315"/>
  <c r="L950" i="3315"/>
  <c r="L951" i="3315" s="1"/>
  <c r="L924" i="3315"/>
  <c r="L897" i="3315"/>
  <c r="L977" i="3315"/>
  <c r="H40" i="3315"/>
  <c r="H195" i="3315"/>
  <c r="H173" i="3315"/>
  <c r="H160" i="3315"/>
  <c r="H81" i="3315"/>
  <c r="H478" i="3315"/>
  <c r="H361" i="3315"/>
  <c r="H248" i="3315"/>
  <c r="H227" i="3315"/>
  <c r="H977" i="3315"/>
  <c r="AB1200" i="3315"/>
  <c r="AB1212" i="3315"/>
  <c r="AB1218" i="3315" s="1"/>
  <c r="AB1176" i="3315"/>
  <c r="AB1182" i="3315"/>
  <c r="P33" i="3315"/>
  <c r="P32" i="3315"/>
  <c r="P29" i="3315"/>
  <c r="P28" i="3315"/>
  <c r="P27" i="3315"/>
  <c r="P26" i="3315"/>
  <c r="P25" i="3315"/>
  <c r="P21" i="3315"/>
  <c r="P22" i="3315" s="1"/>
  <c r="P16" i="3315"/>
  <c r="P15" i="3315"/>
  <c r="L33" i="3315"/>
  <c r="L32" i="3315"/>
  <c r="L29" i="3315"/>
  <c r="L28" i="3315"/>
  <c r="L27" i="3315"/>
  <c r="L26" i="3315"/>
  <c r="L25" i="3315"/>
  <c r="L21" i="3315"/>
  <c r="L22" i="3315" s="1"/>
  <c r="L16" i="3315"/>
  <c r="H25" i="3315"/>
  <c r="H21" i="3315"/>
  <c r="H22" i="3315" s="1"/>
  <c r="H15" i="3315"/>
  <c r="H16" i="3315"/>
  <c r="Y488" i="3315"/>
  <c r="AD1216" i="3315"/>
  <c r="AE1194" i="3315"/>
  <c r="AE1190" i="3315"/>
  <c r="AA953" i="3315"/>
  <c r="N56" i="3315"/>
  <c r="Z55" i="3315"/>
  <c r="J55" i="3315"/>
  <c r="AF55" i="3315" s="1"/>
  <c r="R53" i="3315"/>
  <c r="N52" i="3315"/>
  <c r="Z51" i="3315"/>
  <c r="N51" i="3315"/>
  <c r="N50" i="3315"/>
  <c r="J49" i="3315"/>
  <c r="Z48" i="3315"/>
  <c r="J48" i="3315"/>
  <c r="N47" i="3315"/>
  <c r="N46" i="3315"/>
  <c r="Z45" i="3315"/>
  <c r="Z44" i="3315"/>
  <c r="Z43" i="3315"/>
  <c r="Z42" i="3315"/>
  <c r="Z27" i="3315"/>
  <c r="Z21" i="3315"/>
  <c r="N21" i="3315"/>
  <c r="N22" i="3315" s="1"/>
  <c r="N12" i="3315"/>
  <c r="Z8" i="3315"/>
  <c r="J53" i="3315"/>
  <c r="AF53" i="3315" s="1"/>
  <c r="J51" i="3315"/>
  <c r="AF51" i="3315" s="1"/>
  <c r="N41" i="3315"/>
  <c r="J21" i="3315"/>
  <c r="Z15" i="3315"/>
  <c r="J32" i="3315"/>
  <c r="AF32" i="3315" s="1"/>
  <c r="I748" i="3315"/>
  <c r="J748" i="3315" s="1"/>
  <c r="AF748" i="3315" s="1"/>
  <c r="I973" i="3315"/>
  <c r="J973" i="3315" s="1"/>
  <c r="AF973" i="3315" s="1"/>
  <c r="I971" i="3315"/>
  <c r="J971" i="3315" s="1"/>
  <c r="AF971" i="3315" s="1"/>
  <c r="I967" i="3315"/>
  <c r="J967" i="3315" s="1"/>
  <c r="AF967" i="3315" s="1"/>
  <c r="I966" i="3315"/>
  <c r="J966" i="3315" s="1"/>
  <c r="AF966" i="3315" s="1"/>
  <c r="I960" i="3315"/>
  <c r="J960" i="3315" s="1"/>
  <c r="AF960" i="3315" s="1"/>
  <c r="I957" i="3315"/>
  <c r="J957" i="3315" s="1"/>
  <c r="AF957" i="3315" s="1"/>
  <c r="I920" i="3315"/>
  <c r="J920" i="3315" s="1"/>
  <c r="AF920" i="3315" s="1"/>
  <c r="I919" i="3315"/>
  <c r="J919" i="3315" s="1"/>
  <c r="AF919" i="3315" s="1"/>
  <c r="I915" i="3315"/>
  <c r="J915" i="3315" s="1"/>
  <c r="AF915" i="3315" s="1"/>
  <c r="I914" i="3315"/>
  <c r="J914" i="3315" s="1"/>
  <c r="AF914" i="3315" s="1"/>
  <c r="I910" i="3315"/>
  <c r="J910" i="3315" s="1"/>
  <c r="AF910" i="3315" s="1"/>
  <c r="I908" i="3315"/>
  <c r="J908" i="3315" s="1"/>
  <c r="AF908" i="3315" s="1"/>
  <c r="I904" i="3315"/>
  <c r="J904" i="3315" s="1"/>
  <c r="AF904" i="3315" s="1"/>
  <c r="I903" i="3315"/>
  <c r="J903" i="3315" s="1"/>
  <c r="AF903" i="3315" s="1"/>
  <c r="I896" i="3315"/>
  <c r="J896" i="3315" s="1"/>
  <c r="AF896" i="3315" s="1"/>
  <c r="I895" i="3315"/>
  <c r="J895" i="3315" s="1"/>
  <c r="AF895" i="3315" s="1"/>
  <c r="I889" i="3315"/>
  <c r="J889" i="3315" s="1"/>
  <c r="AF889" i="3315" s="1"/>
  <c r="I887" i="3315"/>
  <c r="J887" i="3315" s="1"/>
  <c r="AF887" i="3315" s="1"/>
  <c r="I883" i="3315"/>
  <c r="J883" i="3315" s="1"/>
  <c r="AF883" i="3315" s="1"/>
  <c r="I882" i="3315"/>
  <c r="J882" i="3315" s="1"/>
  <c r="AF882" i="3315" s="1"/>
  <c r="I878" i="3315"/>
  <c r="J878" i="3315" s="1"/>
  <c r="AF878" i="3315" s="1"/>
  <c r="I877" i="3315"/>
  <c r="J877" i="3315" s="1"/>
  <c r="AF877" i="3315" s="1"/>
  <c r="I873" i="3315"/>
  <c r="J873" i="3315" s="1"/>
  <c r="AF873" i="3315" s="1"/>
  <c r="I871" i="3315"/>
  <c r="J871" i="3315" s="1"/>
  <c r="AF871" i="3315" s="1"/>
  <c r="I867" i="3315"/>
  <c r="J867" i="3315" s="1"/>
  <c r="AF867" i="3315" s="1"/>
  <c r="I866" i="3315"/>
  <c r="J866" i="3315" s="1"/>
  <c r="AF866" i="3315" s="1"/>
  <c r="I861" i="3315"/>
  <c r="J861" i="3315" s="1"/>
  <c r="AF861" i="3315" s="1"/>
  <c r="I860" i="3315"/>
  <c r="J860" i="3315" s="1"/>
  <c r="AF860" i="3315" s="1"/>
  <c r="I856" i="3315"/>
  <c r="J856" i="3315" s="1"/>
  <c r="AF856" i="3315" s="1"/>
  <c r="I854" i="3315"/>
  <c r="J854" i="3315" s="1"/>
  <c r="AF854" i="3315" s="1"/>
  <c r="I850" i="3315"/>
  <c r="J850" i="3315" s="1"/>
  <c r="AF850" i="3315" s="1"/>
  <c r="I849" i="3315"/>
  <c r="J849" i="3315" s="1"/>
  <c r="AF849" i="3315" s="1"/>
  <c r="I845" i="3315"/>
  <c r="J845" i="3315" s="1"/>
  <c r="AF845" i="3315" s="1"/>
  <c r="I844" i="3315"/>
  <c r="J844" i="3315" s="1"/>
  <c r="AF844" i="3315" s="1"/>
  <c r="I839" i="3315"/>
  <c r="J839" i="3315" s="1"/>
  <c r="AF839" i="3315" s="1"/>
  <c r="I837" i="3315"/>
  <c r="J837" i="3315" s="1"/>
  <c r="AF837" i="3315" s="1"/>
  <c r="I833" i="3315"/>
  <c r="J833" i="3315" s="1"/>
  <c r="AF833" i="3315" s="1"/>
  <c r="I832" i="3315"/>
  <c r="J832" i="3315" s="1"/>
  <c r="AF832" i="3315" s="1"/>
  <c r="I828" i="3315"/>
  <c r="J828" i="3315" s="1"/>
  <c r="AF828" i="3315" s="1"/>
  <c r="I827" i="3315"/>
  <c r="J827" i="3315" s="1"/>
  <c r="AF827" i="3315" s="1"/>
  <c r="I823" i="3315"/>
  <c r="J823" i="3315" s="1"/>
  <c r="AF823" i="3315" s="1"/>
  <c r="I821" i="3315"/>
  <c r="J821" i="3315" s="1"/>
  <c r="AF821" i="3315" s="1"/>
  <c r="I817" i="3315"/>
  <c r="J817" i="3315" s="1"/>
  <c r="AF817" i="3315" s="1"/>
  <c r="I816" i="3315"/>
  <c r="J816" i="3315" s="1"/>
  <c r="AF816" i="3315" s="1"/>
  <c r="I812" i="3315"/>
  <c r="J812" i="3315" s="1"/>
  <c r="AF812" i="3315" s="1"/>
  <c r="I811" i="3315"/>
  <c r="J811" i="3315" s="1"/>
  <c r="AF811" i="3315" s="1"/>
  <c r="I807" i="3315"/>
  <c r="J807" i="3315" s="1"/>
  <c r="AF807" i="3315" s="1"/>
  <c r="I805" i="3315"/>
  <c r="J805" i="3315" s="1"/>
  <c r="AF805" i="3315" s="1"/>
  <c r="I801" i="3315"/>
  <c r="J801" i="3315" s="1"/>
  <c r="AF801" i="3315" s="1"/>
  <c r="I800" i="3315"/>
  <c r="J800" i="3315" s="1"/>
  <c r="AF800" i="3315" s="1"/>
  <c r="I796" i="3315"/>
  <c r="J796" i="3315" s="1"/>
  <c r="AF796" i="3315" s="1"/>
  <c r="I795" i="3315"/>
  <c r="J795" i="3315" s="1"/>
  <c r="AF795" i="3315" s="1"/>
  <c r="I791" i="3315"/>
  <c r="J791" i="3315" s="1"/>
  <c r="AF791" i="3315" s="1"/>
  <c r="I789" i="3315"/>
  <c r="J789" i="3315" s="1"/>
  <c r="AF789" i="3315" s="1"/>
  <c r="I785" i="3315"/>
  <c r="J785" i="3315" s="1"/>
  <c r="AF785" i="3315" s="1"/>
  <c r="I784" i="3315"/>
  <c r="J784" i="3315" s="1"/>
  <c r="AF784" i="3315" s="1"/>
  <c r="I780" i="3315"/>
  <c r="J780" i="3315" s="1"/>
  <c r="AF780" i="3315" s="1"/>
  <c r="I779" i="3315"/>
  <c r="J779" i="3315" s="1"/>
  <c r="AF779" i="3315" s="1"/>
  <c r="I775" i="3315"/>
  <c r="J775" i="3315" s="1"/>
  <c r="AF775" i="3315" s="1"/>
  <c r="I773" i="3315"/>
  <c r="J773" i="3315" s="1"/>
  <c r="AF773" i="3315" s="1"/>
  <c r="I769" i="3315"/>
  <c r="J769" i="3315" s="1"/>
  <c r="AF769" i="3315" s="1"/>
  <c r="I768" i="3315"/>
  <c r="J768" i="3315" s="1"/>
  <c r="AF768" i="3315" s="1"/>
  <c r="I764" i="3315"/>
  <c r="J764" i="3315" s="1"/>
  <c r="AF764" i="3315" s="1"/>
  <c r="I763" i="3315"/>
  <c r="J763" i="3315" s="1"/>
  <c r="AF763" i="3315" s="1"/>
  <c r="I759" i="3315"/>
  <c r="J759" i="3315" s="1"/>
  <c r="AF759" i="3315" s="1"/>
  <c r="I757" i="3315"/>
  <c r="J757" i="3315" s="1"/>
  <c r="AF757" i="3315" s="1"/>
  <c r="I753" i="3315"/>
  <c r="J753" i="3315" s="1"/>
  <c r="AF753" i="3315" s="1"/>
  <c r="I752" i="3315"/>
  <c r="J752" i="3315" s="1"/>
  <c r="AF752" i="3315" s="1"/>
  <c r="I749" i="3315"/>
  <c r="J749" i="3315" s="1"/>
  <c r="AF749" i="3315" s="1"/>
  <c r="I747" i="3315"/>
  <c r="J747" i="3315" s="1"/>
  <c r="AF747" i="3315" s="1"/>
  <c r="I744" i="3315"/>
  <c r="J744" i="3315" s="1"/>
  <c r="AF744" i="3315" s="1"/>
  <c r="I743" i="3315"/>
  <c r="J743" i="3315" s="1"/>
  <c r="AF743" i="3315" s="1"/>
  <c r="I740" i="3315"/>
  <c r="J740" i="3315" s="1"/>
  <c r="AF740" i="3315" s="1"/>
  <c r="I739" i="3315"/>
  <c r="J739" i="3315" s="1"/>
  <c r="AF739" i="3315" s="1"/>
  <c r="I736" i="3315"/>
  <c r="J736" i="3315" s="1"/>
  <c r="AF736" i="3315" s="1"/>
  <c r="I735" i="3315"/>
  <c r="J735" i="3315" s="1"/>
  <c r="AF735" i="3315" s="1"/>
  <c r="I732" i="3315"/>
  <c r="J732" i="3315" s="1"/>
  <c r="AF732" i="3315" s="1"/>
  <c r="I731" i="3315"/>
  <c r="J731" i="3315" s="1"/>
  <c r="AF731" i="3315" s="1"/>
  <c r="I728" i="3315"/>
  <c r="J728" i="3315" s="1"/>
  <c r="AF728" i="3315" s="1"/>
  <c r="I727" i="3315"/>
  <c r="J727" i="3315" s="1"/>
  <c r="AF727" i="3315" s="1"/>
  <c r="I724" i="3315"/>
  <c r="J724" i="3315" s="1"/>
  <c r="AF724" i="3315" s="1"/>
  <c r="I722" i="3315"/>
  <c r="J722" i="3315" s="1"/>
  <c r="AF722" i="3315" s="1"/>
  <c r="I719" i="3315"/>
  <c r="J719" i="3315" s="1"/>
  <c r="AF719" i="3315" s="1"/>
  <c r="I718" i="3315"/>
  <c r="J718" i="3315" s="1"/>
  <c r="AF718" i="3315" s="1"/>
  <c r="I715" i="3315"/>
  <c r="J715" i="3315" s="1"/>
  <c r="AF715" i="3315" s="1"/>
  <c r="I714" i="3315"/>
  <c r="J714" i="3315" s="1"/>
  <c r="AF714" i="3315" s="1"/>
  <c r="I711" i="3315"/>
  <c r="J711" i="3315" s="1"/>
  <c r="AF711" i="3315" s="1"/>
  <c r="I710" i="3315"/>
  <c r="J710" i="3315" s="1"/>
  <c r="AF710" i="3315" s="1"/>
  <c r="I707" i="3315"/>
  <c r="J707" i="3315" s="1"/>
  <c r="AF707" i="3315" s="1"/>
  <c r="I706" i="3315"/>
  <c r="J706" i="3315" s="1"/>
  <c r="AF706" i="3315" s="1"/>
  <c r="I703" i="3315"/>
  <c r="J703" i="3315" s="1"/>
  <c r="AF703" i="3315" s="1"/>
  <c r="I702" i="3315"/>
  <c r="J702" i="3315" s="1"/>
  <c r="AF702" i="3315" s="1"/>
  <c r="I699" i="3315"/>
  <c r="J699" i="3315" s="1"/>
  <c r="AF699" i="3315" s="1"/>
  <c r="I698" i="3315"/>
  <c r="J698" i="3315" s="1"/>
  <c r="AF698" i="3315" s="1"/>
  <c r="I695" i="3315"/>
  <c r="J695" i="3315" s="1"/>
  <c r="AF695" i="3315" s="1"/>
  <c r="I694" i="3315"/>
  <c r="J694" i="3315" s="1"/>
  <c r="AF694" i="3315" s="1"/>
  <c r="I690" i="3315"/>
  <c r="J690" i="3315" s="1"/>
  <c r="AF690" i="3315" s="1"/>
  <c r="I689" i="3315"/>
  <c r="J689" i="3315" s="1"/>
  <c r="AF689" i="3315" s="1"/>
  <c r="I686" i="3315"/>
  <c r="J686" i="3315" s="1"/>
  <c r="AF686" i="3315" s="1"/>
  <c r="I685" i="3315"/>
  <c r="J685" i="3315" s="1"/>
  <c r="AF685" i="3315" s="1"/>
  <c r="I682" i="3315"/>
  <c r="J682" i="3315" s="1"/>
  <c r="AF682" i="3315" s="1"/>
  <c r="I681" i="3315"/>
  <c r="J681" i="3315" s="1"/>
  <c r="AF681" i="3315" s="1"/>
  <c r="I678" i="3315"/>
  <c r="J678" i="3315" s="1"/>
  <c r="AF678" i="3315" s="1"/>
  <c r="I677" i="3315"/>
  <c r="J677" i="3315" s="1"/>
  <c r="AF677" i="3315" s="1"/>
  <c r="I674" i="3315"/>
  <c r="J674" i="3315" s="1"/>
  <c r="AF674" i="3315" s="1"/>
  <c r="I673" i="3315"/>
  <c r="J673" i="3315" s="1"/>
  <c r="AF673" i="3315" s="1"/>
  <c r="I670" i="3315"/>
  <c r="J670" i="3315" s="1"/>
  <c r="AF670" i="3315" s="1"/>
  <c r="I667" i="3315"/>
  <c r="J667" i="3315" s="1"/>
  <c r="AF667" i="3315" s="1"/>
  <c r="I664" i="3315"/>
  <c r="J664" i="3315" s="1"/>
  <c r="AF664" i="3315" s="1"/>
  <c r="I663" i="3315"/>
  <c r="J663" i="3315" s="1"/>
  <c r="AF663" i="3315" s="1"/>
  <c r="I660" i="3315"/>
  <c r="J660" i="3315" s="1"/>
  <c r="AF660" i="3315" s="1"/>
  <c r="I659" i="3315"/>
  <c r="J659" i="3315" s="1"/>
  <c r="AF659" i="3315" s="1"/>
  <c r="I656" i="3315"/>
  <c r="J656" i="3315" s="1"/>
  <c r="AF656" i="3315" s="1"/>
  <c r="I655" i="3315"/>
  <c r="J655" i="3315" s="1"/>
  <c r="AF655" i="3315" s="1"/>
  <c r="I652" i="3315"/>
  <c r="J652" i="3315" s="1"/>
  <c r="AF652" i="3315" s="1"/>
  <c r="I651" i="3315"/>
  <c r="J651" i="3315" s="1"/>
  <c r="AF651" i="3315" s="1"/>
  <c r="I648" i="3315"/>
  <c r="J648" i="3315" s="1"/>
  <c r="AF648" i="3315" s="1"/>
  <c r="I647" i="3315"/>
  <c r="J647" i="3315" s="1"/>
  <c r="AF647" i="3315" s="1"/>
  <c r="I644" i="3315"/>
  <c r="J644" i="3315" s="1"/>
  <c r="AF644" i="3315" s="1"/>
  <c r="I643" i="3315"/>
  <c r="J643" i="3315" s="1"/>
  <c r="AF643" i="3315" s="1"/>
  <c r="I640" i="3315"/>
  <c r="J640" i="3315" s="1"/>
  <c r="AF640" i="3315" s="1"/>
  <c r="I639" i="3315"/>
  <c r="J639" i="3315" s="1"/>
  <c r="AF639" i="3315" s="1"/>
  <c r="I636" i="3315"/>
  <c r="J636" i="3315" s="1"/>
  <c r="AF636" i="3315" s="1"/>
  <c r="I635" i="3315"/>
  <c r="J635" i="3315" s="1"/>
  <c r="AF635" i="3315" s="1"/>
  <c r="I632" i="3315"/>
  <c r="J632" i="3315" s="1"/>
  <c r="AF632" i="3315" s="1"/>
  <c r="I631" i="3315"/>
  <c r="J631" i="3315" s="1"/>
  <c r="AF631" i="3315" s="1"/>
  <c r="I628" i="3315"/>
  <c r="J628" i="3315" s="1"/>
  <c r="AF628" i="3315" s="1"/>
  <c r="I627" i="3315"/>
  <c r="J627" i="3315" s="1"/>
  <c r="AF627" i="3315" s="1"/>
  <c r="I624" i="3315"/>
  <c r="J624" i="3315" s="1"/>
  <c r="AF624" i="3315" s="1"/>
  <c r="I623" i="3315"/>
  <c r="J623" i="3315" s="1"/>
  <c r="AF623" i="3315" s="1"/>
  <c r="I620" i="3315"/>
  <c r="J620" i="3315" s="1"/>
  <c r="AF620" i="3315" s="1"/>
  <c r="I619" i="3315"/>
  <c r="J619" i="3315" s="1"/>
  <c r="AF619" i="3315" s="1"/>
  <c r="I615" i="3315"/>
  <c r="J615" i="3315" s="1"/>
  <c r="AF615" i="3315" s="1"/>
  <c r="I614" i="3315"/>
  <c r="J614" i="3315" s="1"/>
  <c r="AF614" i="3315" s="1"/>
  <c r="I611" i="3315"/>
  <c r="J611" i="3315" s="1"/>
  <c r="AF611" i="3315" s="1"/>
  <c r="I610" i="3315"/>
  <c r="J610" i="3315" s="1"/>
  <c r="AF610" i="3315" s="1"/>
  <c r="I608" i="3315"/>
  <c r="J608" i="3315" s="1"/>
  <c r="AF608" i="3315" s="1"/>
  <c r="I607" i="3315"/>
  <c r="J607" i="3315" s="1"/>
  <c r="AF607" i="3315" s="1"/>
  <c r="I606" i="3315"/>
  <c r="J606" i="3315" s="1"/>
  <c r="AF606" i="3315" s="1"/>
  <c r="I605" i="3315"/>
  <c r="J605" i="3315" s="1"/>
  <c r="AF605" i="3315" s="1"/>
  <c r="I604" i="3315"/>
  <c r="J604" i="3315" s="1"/>
  <c r="AF604" i="3315" s="1"/>
  <c r="I603" i="3315"/>
  <c r="J603" i="3315" s="1"/>
  <c r="AF603" i="3315" s="1"/>
  <c r="I602" i="3315"/>
  <c r="J602" i="3315" s="1"/>
  <c r="AF602" i="3315" s="1"/>
  <c r="I601" i="3315"/>
  <c r="J601" i="3315" s="1"/>
  <c r="AF601" i="3315" s="1"/>
  <c r="I600" i="3315"/>
  <c r="J600" i="3315" s="1"/>
  <c r="AF600" i="3315" s="1"/>
  <c r="I599" i="3315"/>
  <c r="J599" i="3315" s="1"/>
  <c r="AF599" i="3315" s="1"/>
  <c r="I598" i="3315"/>
  <c r="J598" i="3315" s="1"/>
  <c r="AF598" i="3315" s="1"/>
  <c r="I597" i="3315"/>
  <c r="J597" i="3315" s="1"/>
  <c r="AF597" i="3315" s="1"/>
  <c r="I596" i="3315"/>
  <c r="J596" i="3315" s="1"/>
  <c r="AF596" i="3315" s="1"/>
  <c r="I595" i="3315"/>
  <c r="J595" i="3315" s="1"/>
  <c r="AF595" i="3315" s="1"/>
  <c r="I594" i="3315"/>
  <c r="J594" i="3315" s="1"/>
  <c r="AF594" i="3315" s="1"/>
  <c r="I593" i="3315"/>
  <c r="J593" i="3315" s="1"/>
  <c r="AF593" i="3315" s="1"/>
  <c r="I592" i="3315"/>
  <c r="J592" i="3315" s="1"/>
  <c r="AF592" i="3315" s="1"/>
  <c r="I591" i="3315"/>
  <c r="J591" i="3315" s="1"/>
  <c r="AF591" i="3315" s="1"/>
  <c r="I590" i="3315"/>
  <c r="J590" i="3315" s="1"/>
  <c r="AF590" i="3315" s="1"/>
  <c r="I589" i="3315"/>
  <c r="J589" i="3315" s="1"/>
  <c r="AF589" i="3315" s="1"/>
  <c r="I588" i="3315"/>
  <c r="J588" i="3315" s="1"/>
  <c r="AF588" i="3315" s="1"/>
  <c r="I587" i="3315"/>
  <c r="J587" i="3315" s="1"/>
  <c r="AF587" i="3315" s="1"/>
  <c r="I586" i="3315"/>
  <c r="J586" i="3315" s="1"/>
  <c r="AF586" i="3315" s="1"/>
  <c r="I585" i="3315"/>
  <c r="J585" i="3315" s="1"/>
  <c r="AF585" i="3315" s="1"/>
  <c r="I584" i="3315"/>
  <c r="J584" i="3315" s="1"/>
  <c r="AF584" i="3315" s="1"/>
  <c r="I583" i="3315"/>
  <c r="J583" i="3315" s="1"/>
  <c r="AF583" i="3315" s="1"/>
  <c r="I582" i="3315"/>
  <c r="J582" i="3315" s="1"/>
  <c r="AF582" i="3315" s="1"/>
  <c r="I581" i="3315"/>
  <c r="J581" i="3315" s="1"/>
  <c r="AF581" i="3315" s="1"/>
  <c r="I580" i="3315"/>
  <c r="J580" i="3315" s="1"/>
  <c r="AF580" i="3315" s="1"/>
  <c r="I579" i="3315"/>
  <c r="J579" i="3315" s="1"/>
  <c r="AF579" i="3315" s="1"/>
  <c r="I578" i="3315"/>
  <c r="J578" i="3315" s="1"/>
  <c r="AF578" i="3315" s="1"/>
  <c r="I573" i="3315"/>
  <c r="J573" i="3315" s="1"/>
  <c r="AF573" i="3315" s="1"/>
  <c r="I572" i="3315"/>
  <c r="J572" i="3315" s="1"/>
  <c r="AF572" i="3315" s="1"/>
  <c r="I571" i="3315"/>
  <c r="J571" i="3315" s="1"/>
  <c r="AF571" i="3315" s="1"/>
  <c r="I570" i="3315"/>
  <c r="J570" i="3315" s="1"/>
  <c r="AF570" i="3315" s="1"/>
  <c r="I569" i="3315"/>
  <c r="J569" i="3315" s="1"/>
  <c r="AF569" i="3315" s="1"/>
  <c r="I568" i="3315"/>
  <c r="J568" i="3315" s="1"/>
  <c r="AF568" i="3315" s="1"/>
  <c r="I567" i="3315"/>
  <c r="J567" i="3315" s="1"/>
  <c r="AF567" i="3315" s="1"/>
  <c r="I566" i="3315"/>
  <c r="J566" i="3315" s="1"/>
  <c r="AF566" i="3315" s="1"/>
  <c r="I565" i="3315"/>
  <c r="J565" i="3315" s="1"/>
  <c r="AF565" i="3315" s="1"/>
  <c r="I564" i="3315"/>
  <c r="J564" i="3315" s="1"/>
  <c r="AF564" i="3315" s="1"/>
  <c r="I563" i="3315"/>
  <c r="J563" i="3315" s="1"/>
  <c r="AF563" i="3315" s="1"/>
  <c r="I562" i="3315"/>
  <c r="J562" i="3315" s="1"/>
  <c r="AF562" i="3315" s="1"/>
  <c r="I561" i="3315"/>
  <c r="J561" i="3315" s="1"/>
  <c r="AF561" i="3315" s="1"/>
  <c r="I560" i="3315"/>
  <c r="J560" i="3315" s="1"/>
  <c r="AF560" i="3315" s="1"/>
  <c r="I559" i="3315"/>
  <c r="J559" i="3315" s="1"/>
  <c r="AF559" i="3315" s="1"/>
  <c r="I558" i="3315"/>
  <c r="J558" i="3315" s="1"/>
  <c r="AF558" i="3315" s="1"/>
  <c r="I557" i="3315"/>
  <c r="J557" i="3315" s="1"/>
  <c r="AF557" i="3315" s="1"/>
  <c r="I556" i="3315"/>
  <c r="J556" i="3315" s="1"/>
  <c r="AF556" i="3315" s="1"/>
  <c r="I555" i="3315"/>
  <c r="J555" i="3315" s="1"/>
  <c r="AF555" i="3315" s="1"/>
  <c r="I554" i="3315"/>
  <c r="J554" i="3315" s="1"/>
  <c r="AF554" i="3315" s="1"/>
  <c r="I553" i="3315"/>
  <c r="J553" i="3315" s="1"/>
  <c r="AF553" i="3315" s="1"/>
  <c r="I552" i="3315"/>
  <c r="J552" i="3315" s="1"/>
  <c r="AF552" i="3315" s="1"/>
  <c r="I551" i="3315"/>
  <c r="J551" i="3315" s="1"/>
  <c r="AF551" i="3315" s="1"/>
  <c r="I548" i="3315"/>
  <c r="J548" i="3315" s="1"/>
  <c r="AF548" i="3315" s="1"/>
  <c r="I547" i="3315"/>
  <c r="J547" i="3315" s="1"/>
  <c r="AF547" i="3315" s="1"/>
  <c r="I546" i="3315"/>
  <c r="J546" i="3315" s="1"/>
  <c r="AF546" i="3315" s="1"/>
  <c r="I545" i="3315"/>
  <c r="J545" i="3315" s="1"/>
  <c r="AF545" i="3315" s="1"/>
  <c r="I544" i="3315"/>
  <c r="J544" i="3315" s="1"/>
  <c r="AF544" i="3315" s="1"/>
  <c r="I543" i="3315"/>
  <c r="J543" i="3315" s="1"/>
  <c r="AF543" i="3315" s="1"/>
  <c r="I542" i="3315"/>
  <c r="J542" i="3315" s="1"/>
  <c r="AF542" i="3315" s="1"/>
  <c r="I541" i="3315"/>
  <c r="J541" i="3315" s="1"/>
  <c r="AF541" i="3315" s="1"/>
  <c r="I540" i="3315"/>
  <c r="J540" i="3315" s="1"/>
  <c r="AF540" i="3315" s="1"/>
  <c r="I539" i="3315"/>
  <c r="J539" i="3315" s="1"/>
  <c r="AF539" i="3315" s="1"/>
  <c r="I538" i="3315"/>
  <c r="J538" i="3315" s="1"/>
  <c r="AF538" i="3315" s="1"/>
  <c r="I537" i="3315"/>
  <c r="J537" i="3315" s="1"/>
  <c r="AF537" i="3315" s="1"/>
  <c r="I536" i="3315"/>
  <c r="J536" i="3315" s="1"/>
  <c r="AF536" i="3315" s="1"/>
  <c r="I535" i="3315"/>
  <c r="J535" i="3315" s="1"/>
  <c r="AF535" i="3315" s="1"/>
  <c r="I534" i="3315"/>
  <c r="J534" i="3315" s="1"/>
  <c r="AF534" i="3315" s="1"/>
  <c r="I533" i="3315"/>
  <c r="J533" i="3315" s="1"/>
  <c r="AF533" i="3315" s="1"/>
  <c r="I532" i="3315"/>
  <c r="J532" i="3315" s="1"/>
  <c r="AF532" i="3315" s="1"/>
  <c r="I531" i="3315"/>
  <c r="J531" i="3315" s="1"/>
  <c r="AF531" i="3315" s="1"/>
  <c r="I530" i="3315"/>
  <c r="J530" i="3315" s="1"/>
  <c r="AF530" i="3315" s="1"/>
  <c r="I529" i="3315"/>
  <c r="J529" i="3315" s="1"/>
  <c r="AF529" i="3315" s="1"/>
  <c r="I528" i="3315"/>
  <c r="J528" i="3315" s="1"/>
  <c r="AF528" i="3315" s="1"/>
  <c r="I527" i="3315"/>
  <c r="J527" i="3315" s="1"/>
  <c r="AF527" i="3315" s="1"/>
  <c r="I526" i="3315"/>
  <c r="J526" i="3315" s="1"/>
  <c r="AF526" i="3315" s="1"/>
  <c r="I525" i="3315"/>
  <c r="J525" i="3315" s="1"/>
  <c r="AF525" i="3315" s="1"/>
  <c r="I524" i="3315"/>
  <c r="J524" i="3315" s="1"/>
  <c r="AF524" i="3315" s="1"/>
  <c r="I523" i="3315"/>
  <c r="J523" i="3315" s="1"/>
  <c r="AF523" i="3315" s="1"/>
  <c r="I522" i="3315"/>
  <c r="J522" i="3315" s="1"/>
  <c r="AF522" i="3315" s="1"/>
  <c r="I521" i="3315"/>
  <c r="J521" i="3315" s="1"/>
  <c r="AF521" i="3315" s="1"/>
  <c r="I520" i="3315"/>
  <c r="J520" i="3315" s="1"/>
  <c r="AF520" i="3315" s="1"/>
  <c r="I519" i="3315"/>
  <c r="J519" i="3315" s="1"/>
  <c r="AF519" i="3315" s="1"/>
  <c r="I518" i="3315"/>
  <c r="J518" i="3315" s="1"/>
  <c r="AF518" i="3315" s="1"/>
  <c r="I517" i="3315"/>
  <c r="J517" i="3315" s="1"/>
  <c r="AF517" i="3315" s="1"/>
  <c r="I516" i="3315"/>
  <c r="J516" i="3315" s="1"/>
  <c r="AF516" i="3315" s="1"/>
  <c r="I515" i="3315"/>
  <c r="J515" i="3315" s="1"/>
  <c r="AF515" i="3315" s="1"/>
  <c r="I514" i="3315"/>
  <c r="J514" i="3315" s="1"/>
  <c r="AF514" i="3315" s="1"/>
  <c r="I513" i="3315"/>
  <c r="J513" i="3315" s="1"/>
  <c r="AF513" i="3315" s="1"/>
  <c r="I512" i="3315"/>
  <c r="J512" i="3315" s="1"/>
  <c r="AF512" i="3315" s="1"/>
  <c r="I511" i="3315"/>
  <c r="J511" i="3315" s="1"/>
  <c r="AF511" i="3315" s="1"/>
  <c r="I510" i="3315"/>
  <c r="J510" i="3315"/>
  <c r="AF510" i="3315" s="1"/>
  <c r="I509" i="3315"/>
  <c r="J509" i="3315" s="1"/>
  <c r="AF509" i="3315" s="1"/>
  <c r="I508" i="3315"/>
  <c r="J508" i="3315" s="1"/>
  <c r="AF508" i="3315" s="1"/>
  <c r="I507" i="3315"/>
  <c r="J507" i="3315" s="1"/>
  <c r="AF507" i="3315" s="1"/>
  <c r="I506" i="3315"/>
  <c r="J506" i="3315" s="1"/>
  <c r="AF506" i="3315" s="1"/>
  <c r="I505" i="3315"/>
  <c r="J505" i="3315" s="1"/>
  <c r="AF505" i="3315" s="1"/>
  <c r="I504" i="3315"/>
  <c r="J504" i="3315" s="1"/>
  <c r="AF504" i="3315" s="1"/>
  <c r="I501" i="3315"/>
  <c r="J501" i="3315" s="1"/>
  <c r="AF501" i="3315" s="1"/>
  <c r="I500" i="3315"/>
  <c r="J500" i="3315" s="1"/>
  <c r="AF500" i="3315" s="1"/>
  <c r="I499" i="3315"/>
  <c r="J499" i="3315" s="1"/>
  <c r="AF499" i="3315" s="1"/>
  <c r="I498" i="3315"/>
  <c r="I497" i="3315"/>
  <c r="J497" i="3315" s="1"/>
  <c r="AF497" i="3315" s="1"/>
  <c r="I496" i="3315"/>
  <c r="J496" i="3315" s="1"/>
  <c r="AF496" i="3315" s="1"/>
  <c r="J487" i="3315"/>
  <c r="AF487" i="3315" s="1"/>
  <c r="I486" i="3315"/>
  <c r="J486" i="3315" s="1"/>
  <c r="AF486" i="3315" s="1"/>
  <c r="I485" i="3315"/>
  <c r="J485" i="3315" s="1"/>
  <c r="AF485" i="3315" s="1"/>
  <c r="I484" i="3315"/>
  <c r="J484" i="3315" s="1"/>
  <c r="AF484" i="3315" s="1"/>
  <c r="I483" i="3315"/>
  <c r="J483" i="3315" s="1"/>
  <c r="AF483" i="3315" s="1"/>
  <c r="I481" i="3315"/>
  <c r="J476" i="3315"/>
  <c r="AF476" i="3315" s="1"/>
  <c r="J470" i="3315"/>
  <c r="AF470" i="3315" s="1"/>
  <c r="J469" i="3315"/>
  <c r="AF469" i="3315" s="1"/>
  <c r="J468" i="3315"/>
  <c r="AF468" i="3315" s="1"/>
  <c r="J467" i="3315"/>
  <c r="AF467" i="3315" s="1"/>
  <c r="J466" i="3315"/>
  <c r="AF466" i="3315" s="1"/>
  <c r="J465" i="3315"/>
  <c r="AF465" i="3315" s="1"/>
  <c r="J464" i="3315"/>
  <c r="AF464" i="3315" s="1"/>
  <c r="J463" i="3315"/>
  <c r="AF463" i="3315" s="1"/>
  <c r="J462" i="3315"/>
  <c r="AF462" i="3315" s="1"/>
  <c r="J461" i="3315"/>
  <c r="AF461" i="3315" s="1"/>
  <c r="J460" i="3315"/>
  <c r="AF460" i="3315" s="1"/>
  <c r="J459" i="3315"/>
  <c r="AF459" i="3315" s="1"/>
  <c r="J458" i="3315"/>
  <c r="AF458" i="3315" s="1"/>
  <c r="J457" i="3315"/>
  <c r="AF457" i="3315" s="1"/>
  <c r="J456" i="3315"/>
  <c r="AF456" i="3315" s="1"/>
  <c r="J455" i="3315"/>
  <c r="AF455" i="3315" s="1"/>
  <c r="J454" i="3315"/>
  <c r="AF454" i="3315" s="1"/>
  <c r="J453" i="3315"/>
  <c r="AF453" i="3315" s="1"/>
  <c r="J452" i="3315"/>
  <c r="AF452" i="3315" s="1"/>
  <c r="J451" i="3315"/>
  <c r="AF451" i="3315" s="1"/>
  <c r="J450" i="3315"/>
  <c r="AF450" i="3315" s="1"/>
  <c r="J449" i="3315"/>
  <c r="AF449" i="3315" s="1"/>
  <c r="J448" i="3315"/>
  <c r="AF448" i="3315" s="1"/>
  <c r="J447" i="3315"/>
  <c r="AF447" i="3315" s="1"/>
  <c r="J445" i="3315"/>
  <c r="AF445" i="3315" s="1"/>
  <c r="J444" i="3315"/>
  <c r="AF444" i="3315" s="1"/>
  <c r="J443" i="3315"/>
  <c r="AF443" i="3315" s="1"/>
  <c r="J442" i="3315"/>
  <c r="AF442" i="3315" s="1"/>
  <c r="J441" i="3315"/>
  <c r="AF441" i="3315" s="1"/>
  <c r="J440" i="3315"/>
  <c r="AF440" i="3315" s="1"/>
  <c r="J439" i="3315"/>
  <c r="AF439" i="3315" s="1"/>
  <c r="J438" i="3315"/>
  <c r="AF438" i="3315" s="1"/>
  <c r="J437" i="3315"/>
  <c r="AF437" i="3315" s="1"/>
  <c r="J436" i="3315"/>
  <c r="AF436" i="3315" s="1"/>
  <c r="J435" i="3315"/>
  <c r="AF435" i="3315" s="1"/>
  <c r="J431" i="3315"/>
  <c r="AF431" i="3315" s="1"/>
  <c r="J430" i="3315"/>
  <c r="AF430" i="3315" s="1"/>
  <c r="J429" i="3315"/>
  <c r="AF429" i="3315" s="1"/>
  <c r="J428" i="3315"/>
  <c r="AF428" i="3315" s="1"/>
  <c r="J427" i="3315"/>
  <c r="AF427" i="3315" s="1"/>
  <c r="J426" i="3315"/>
  <c r="AF426" i="3315" s="1"/>
  <c r="J425" i="3315"/>
  <c r="AF425" i="3315" s="1"/>
  <c r="J421" i="3315"/>
  <c r="AF421" i="3315" s="1"/>
  <c r="J420" i="3315"/>
  <c r="AF420" i="3315" s="1"/>
  <c r="J419" i="3315"/>
  <c r="AF419" i="3315" s="1"/>
  <c r="J418" i="3315"/>
  <c r="AF418" i="3315" s="1"/>
  <c r="J417" i="3315"/>
  <c r="AF417" i="3315" s="1"/>
  <c r="J416" i="3315"/>
  <c r="AF416" i="3315" s="1"/>
  <c r="J415" i="3315"/>
  <c r="AF415" i="3315" s="1"/>
  <c r="J414" i="3315"/>
  <c r="AF414" i="3315" s="1"/>
  <c r="J413" i="3315"/>
  <c r="AF413" i="3315" s="1"/>
  <c r="J412" i="3315"/>
  <c r="AF412" i="3315" s="1"/>
  <c r="J411" i="3315"/>
  <c r="AF411" i="3315" s="1"/>
  <c r="J387" i="3315"/>
  <c r="AF387" i="3315" s="1"/>
  <c r="J381" i="3315"/>
  <c r="AF381" i="3315" s="1"/>
  <c r="J380" i="3315"/>
  <c r="AF380" i="3315" s="1"/>
  <c r="J379" i="3315"/>
  <c r="AF379" i="3315" s="1"/>
  <c r="J378" i="3315"/>
  <c r="AF378" i="3315" s="1"/>
  <c r="J377" i="3315"/>
  <c r="AF377" i="3315" s="1"/>
  <c r="J376" i="3315"/>
  <c r="AF376" i="3315" s="1"/>
  <c r="J375" i="3315"/>
  <c r="AF375" i="3315" s="1"/>
  <c r="J374" i="3315"/>
  <c r="AF374" i="3315" s="1"/>
  <c r="J373" i="3315"/>
  <c r="AF373" i="3315" s="1"/>
  <c r="J371" i="3315"/>
  <c r="AF371" i="3315" s="1"/>
  <c r="J370" i="3315"/>
  <c r="AF370" i="3315" s="1"/>
  <c r="J369" i="3315"/>
  <c r="AF369" i="3315" s="1"/>
  <c r="J368" i="3315"/>
  <c r="AF368" i="3315" s="1"/>
  <c r="J366" i="3315"/>
  <c r="AF366" i="3315" s="1"/>
  <c r="J365" i="3315"/>
  <c r="AF365" i="3315" s="1"/>
  <c r="J360" i="3315"/>
  <c r="AF360" i="3315" s="1"/>
  <c r="I359" i="3315"/>
  <c r="J359" i="3315" s="1"/>
  <c r="AF359" i="3315" s="1"/>
  <c r="I358" i="3315"/>
  <c r="J358" i="3315" s="1"/>
  <c r="AF358" i="3315" s="1"/>
  <c r="I354" i="3315"/>
  <c r="J354" i="3315" s="1"/>
  <c r="AF354" i="3315" s="1"/>
  <c r="I353" i="3315"/>
  <c r="J353" i="3315" s="1"/>
  <c r="AF353" i="3315" s="1"/>
  <c r="I352" i="3315"/>
  <c r="J352" i="3315" s="1"/>
  <c r="AF352" i="3315" s="1"/>
  <c r="I351" i="3315"/>
  <c r="J351" i="3315" s="1"/>
  <c r="AF351" i="3315" s="1"/>
  <c r="I350" i="3315"/>
  <c r="J350" i="3315" s="1"/>
  <c r="AF350" i="3315" s="1"/>
  <c r="I349" i="3315"/>
  <c r="J349" i="3315" s="1"/>
  <c r="AF349" i="3315" s="1"/>
  <c r="I348" i="3315"/>
  <c r="J348" i="3315" s="1"/>
  <c r="AF348" i="3315" s="1"/>
  <c r="I347" i="3315"/>
  <c r="J347" i="3315" s="1"/>
  <c r="AF347" i="3315" s="1"/>
  <c r="I346" i="3315"/>
  <c r="J346" i="3315" s="1"/>
  <c r="AF346" i="3315" s="1"/>
  <c r="I345" i="3315"/>
  <c r="J345" i="3315" s="1"/>
  <c r="AF345" i="3315" s="1"/>
  <c r="I344" i="3315"/>
  <c r="J344" i="3315" s="1"/>
  <c r="AF344" i="3315" s="1"/>
  <c r="I343" i="3315"/>
  <c r="J343" i="3315" s="1"/>
  <c r="AF343" i="3315" s="1"/>
  <c r="I342" i="3315"/>
  <c r="J342" i="3315" s="1"/>
  <c r="AF342" i="3315" s="1"/>
  <c r="I341" i="3315"/>
  <c r="J341" i="3315" s="1"/>
  <c r="AF341" i="3315" s="1"/>
  <c r="I340" i="3315"/>
  <c r="J340" i="3315" s="1"/>
  <c r="AF340" i="3315" s="1"/>
  <c r="I339" i="3315"/>
  <c r="J339" i="3315" s="1"/>
  <c r="AF339" i="3315" s="1"/>
  <c r="I338" i="3315"/>
  <c r="J338" i="3315" s="1"/>
  <c r="AF338" i="3315" s="1"/>
  <c r="I337" i="3315"/>
  <c r="J337" i="3315" s="1"/>
  <c r="AF337" i="3315" s="1"/>
  <c r="I336" i="3315"/>
  <c r="J336" i="3315" s="1"/>
  <c r="AF336" i="3315" s="1"/>
  <c r="I335" i="3315"/>
  <c r="J335" i="3315" s="1"/>
  <c r="AF335" i="3315" s="1"/>
  <c r="I334" i="3315"/>
  <c r="J334" i="3315" s="1"/>
  <c r="AF334" i="3315" s="1"/>
  <c r="I333" i="3315"/>
  <c r="J333" i="3315" s="1"/>
  <c r="AF333" i="3315" s="1"/>
  <c r="I332" i="3315"/>
  <c r="J332" i="3315" s="1"/>
  <c r="AF332" i="3315" s="1"/>
  <c r="I331" i="3315"/>
  <c r="J331" i="3315" s="1"/>
  <c r="AF331" i="3315" s="1"/>
  <c r="I330" i="3315"/>
  <c r="J330" i="3315" s="1"/>
  <c r="AF330" i="3315" s="1"/>
  <c r="I329" i="3315"/>
  <c r="J329" i="3315" s="1"/>
  <c r="AF329" i="3315" s="1"/>
  <c r="I328" i="3315"/>
  <c r="J328" i="3315" s="1"/>
  <c r="AF328" i="3315" s="1"/>
  <c r="I327" i="3315"/>
  <c r="J327" i="3315" s="1"/>
  <c r="AF327" i="3315" s="1"/>
  <c r="I326" i="3315"/>
  <c r="J326" i="3315" s="1"/>
  <c r="AF326" i="3315" s="1"/>
  <c r="I325" i="3315"/>
  <c r="J325" i="3315" s="1"/>
  <c r="AF325" i="3315" s="1"/>
  <c r="I324" i="3315"/>
  <c r="J324" i="3315" s="1"/>
  <c r="AF324" i="3315" s="1"/>
  <c r="I323" i="3315"/>
  <c r="J323" i="3315" s="1"/>
  <c r="AF323" i="3315" s="1"/>
  <c r="I322" i="3315"/>
  <c r="J322" i="3315" s="1"/>
  <c r="AF322" i="3315" s="1"/>
  <c r="I321" i="3315"/>
  <c r="J321" i="3315" s="1"/>
  <c r="AF321" i="3315" s="1"/>
  <c r="I320" i="3315"/>
  <c r="J320" i="3315" s="1"/>
  <c r="AF320" i="3315" s="1"/>
  <c r="I319" i="3315"/>
  <c r="J319" i="3315" s="1"/>
  <c r="AF319" i="3315" s="1"/>
  <c r="I318" i="3315"/>
  <c r="J318" i="3315" s="1"/>
  <c r="AF318" i="3315" s="1"/>
  <c r="I317" i="3315"/>
  <c r="J317" i="3315" s="1"/>
  <c r="AF317" i="3315" s="1"/>
  <c r="Q961" i="3315"/>
  <c r="R961" i="3315" s="1"/>
  <c r="Q817" i="3315"/>
  <c r="R817" i="3315" s="1"/>
  <c r="Q600" i="3315"/>
  <c r="R600" i="3315" s="1"/>
  <c r="Q562" i="3315"/>
  <c r="R562" i="3315" s="1"/>
  <c r="Q458" i="3315"/>
  <c r="R458" i="3315" s="1"/>
  <c r="Q423" i="3315"/>
  <c r="R423" i="3315" s="1"/>
  <c r="Q327" i="3315"/>
  <c r="R327" i="3315" s="1"/>
  <c r="Q292" i="3315"/>
  <c r="R292" i="3315" s="1"/>
  <c r="Q189" i="3315"/>
  <c r="R189" i="3315" s="1"/>
  <c r="Q148" i="3315"/>
  <c r="R148" i="3315" s="1"/>
  <c r="Q795" i="3315"/>
  <c r="R795" i="3315" s="1"/>
  <c r="Q761" i="3315"/>
  <c r="R761" i="3315" s="1"/>
  <c r="M1158" i="3315"/>
  <c r="N1158" i="3315" s="1"/>
  <c r="M1156" i="3315"/>
  <c r="N1156" i="3315" s="1"/>
  <c r="M1155" i="3315"/>
  <c r="N1155" i="3315" s="1"/>
  <c r="M1154" i="3315"/>
  <c r="N1154" i="3315" s="1"/>
  <c r="M1152" i="3315"/>
  <c r="N1152" i="3315" s="1"/>
  <c r="M1151" i="3315"/>
  <c r="N1151" i="3315" s="1"/>
  <c r="M1150" i="3315"/>
  <c r="N1150" i="3315" s="1"/>
  <c r="M1148" i="3315"/>
  <c r="N1148" i="3315" s="1"/>
  <c r="M1147" i="3315"/>
  <c r="N1147" i="3315" s="1"/>
  <c r="M1146" i="3315"/>
  <c r="N1146" i="3315" s="1"/>
  <c r="M1144" i="3315"/>
  <c r="N1144" i="3315" s="1"/>
  <c r="M1143" i="3315"/>
  <c r="N1143" i="3315" s="1"/>
  <c r="M1142" i="3315"/>
  <c r="N1142" i="3315" s="1"/>
  <c r="M1140" i="3315"/>
  <c r="N1140" i="3315" s="1"/>
  <c r="M1139" i="3315"/>
  <c r="N1139" i="3315" s="1"/>
  <c r="M1138" i="3315"/>
  <c r="N1138" i="3315" s="1"/>
  <c r="M1136" i="3315"/>
  <c r="N1136" i="3315" s="1"/>
  <c r="M1135" i="3315"/>
  <c r="N1135" i="3315" s="1"/>
  <c r="M1134" i="3315"/>
  <c r="N1134" i="3315" s="1"/>
  <c r="M1132" i="3315"/>
  <c r="N1132" i="3315" s="1"/>
  <c r="M1131" i="3315"/>
  <c r="N1131" i="3315" s="1"/>
  <c r="M1130" i="3315"/>
  <c r="N1130" i="3315" s="1"/>
  <c r="M1128" i="3315"/>
  <c r="N1128" i="3315" s="1"/>
  <c r="M1127" i="3315"/>
  <c r="N1127" i="3315" s="1"/>
  <c r="M1126" i="3315"/>
  <c r="N1126" i="3315" s="1"/>
  <c r="M1124" i="3315"/>
  <c r="N1124" i="3315" s="1"/>
  <c r="M1123" i="3315"/>
  <c r="N1123" i="3315" s="1"/>
  <c r="M1122" i="3315"/>
  <c r="N1122" i="3315" s="1"/>
  <c r="M1120" i="3315"/>
  <c r="N1120" i="3315" s="1"/>
  <c r="M1119" i="3315"/>
  <c r="N1119" i="3315" s="1"/>
  <c r="M1118" i="3315"/>
  <c r="N1118" i="3315" s="1"/>
  <c r="M1116" i="3315"/>
  <c r="N1116" i="3315" s="1"/>
  <c r="M1115" i="3315"/>
  <c r="M1111" i="3315"/>
  <c r="N1111" i="3315" s="1"/>
  <c r="M1109" i="3315"/>
  <c r="N1109" i="3315" s="1"/>
  <c r="M1108" i="3315"/>
  <c r="N1108" i="3315" s="1"/>
  <c r="M1107" i="3315"/>
  <c r="N1107" i="3315" s="1"/>
  <c r="M1105" i="3315"/>
  <c r="N1105" i="3315" s="1"/>
  <c r="M1103" i="3315"/>
  <c r="N1103" i="3315" s="1"/>
  <c r="M1102" i="3315"/>
  <c r="N1102" i="3315" s="1"/>
  <c r="M1100" i="3315"/>
  <c r="N1100" i="3315" s="1"/>
  <c r="M1099" i="3315"/>
  <c r="N1099" i="3315" s="1"/>
  <c r="M1098" i="3315"/>
  <c r="N1098" i="3315" s="1"/>
  <c r="M1096" i="3315"/>
  <c r="N1096" i="3315" s="1"/>
  <c r="M1095" i="3315"/>
  <c r="N1095" i="3315" s="1"/>
  <c r="M1093" i="3315"/>
  <c r="N1093" i="3315" s="1"/>
  <c r="M1092" i="3315"/>
  <c r="N1092" i="3315" s="1"/>
  <c r="M1090" i="3315"/>
  <c r="N1090" i="3315" s="1"/>
  <c r="M1089" i="3315"/>
  <c r="N1089" i="3315" s="1"/>
  <c r="M1088" i="3315"/>
  <c r="N1088" i="3315" s="1"/>
  <c r="M1086" i="3315"/>
  <c r="N1086" i="3315" s="1"/>
  <c r="M1085" i="3315"/>
  <c r="N1085" i="3315" s="1"/>
  <c r="M1084" i="3315"/>
  <c r="N1084" i="3315" s="1"/>
  <c r="M1082" i="3315"/>
  <c r="N1082" i="3315" s="1"/>
  <c r="M1081" i="3315"/>
  <c r="N1081" i="3315" s="1"/>
  <c r="M1080" i="3315"/>
  <c r="N1080" i="3315" s="1"/>
  <c r="M1078" i="3315"/>
  <c r="N1078" i="3315" s="1"/>
  <c r="M1077" i="3315"/>
  <c r="N1077" i="3315" s="1"/>
  <c r="M1076" i="3315"/>
  <c r="N1076" i="3315" s="1"/>
  <c r="M1074" i="3315"/>
  <c r="N1074" i="3315" s="1"/>
  <c r="M1073" i="3315"/>
  <c r="N1073" i="3315" s="1"/>
  <c r="M1072" i="3315"/>
  <c r="N1072" i="3315" s="1"/>
  <c r="M1070" i="3315"/>
  <c r="N1070" i="3315" s="1"/>
  <c r="M1069" i="3315"/>
  <c r="N1069" i="3315" s="1"/>
  <c r="M1068" i="3315"/>
  <c r="N1068" i="3315" s="1"/>
  <c r="M1066" i="3315"/>
  <c r="N1066" i="3315" s="1"/>
  <c r="M1065" i="3315"/>
  <c r="N1065" i="3315" s="1"/>
  <c r="M1064" i="3315"/>
  <c r="N1064" i="3315" s="1"/>
  <c r="M1062" i="3315"/>
  <c r="N1062" i="3315" s="1"/>
  <c r="M1061" i="3315"/>
  <c r="N1061" i="3315" s="1"/>
  <c r="M1060" i="3315"/>
  <c r="N1060" i="3315" s="1"/>
  <c r="M1058" i="3315"/>
  <c r="N1058" i="3315" s="1"/>
  <c r="M1056" i="3315"/>
  <c r="N1056" i="3315" s="1"/>
  <c r="M1055" i="3315"/>
  <c r="N1055" i="3315" s="1"/>
  <c r="M1052" i="3315"/>
  <c r="N1052" i="3315" s="1"/>
  <c r="M1051" i="3315"/>
  <c r="N1051" i="3315" s="1"/>
  <c r="M1050" i="3315"/>
  <c r="N1050" i="3315" s="1"/>
  <c r="M1049" i="3315"/>
  <c r="N1049" i="3315" s="1"/>
  <c r="M1048" i="3315"/>
  <c r="N1048" i="3315" s="1"/>
  <c r="M1046" i="3315"/>
  <c r="N1046" i="3315" s="1"/>
  <c r="M1045" i="3315"/>
  <c r="N1045" i="3315" s="1"/>
  <c r="M1044" i="3315"/>
  <c r="N1044" i="3315" s="1"/>
  <c r="M1043" i="3315"/>
  <c r="N1043" i="3315" s="1"/>
  <c r="M1042" i="3315"/>
  <c r="N1042" i="3315" s="1"/>
  <c r="M1041" i="3315"/>
  <c r="N1041" i="3315" s="1"/>
  <c r="M1040" i="3315"/>
  <c r="N1040" i="3315" s="1"/>
  <c r="M1038" i="3315"/>
  <c r="N1038" i="3315" s="1"/>
  <c r="M1037" i="3315"/>
  <c r="N1037" i="3315" s="1"/>
  <c r="M1036" i="3315"/>
  <c r="N1036" i="3315" s="1"/>
  <c r="M1035" i="3315"/>
  <c r="N1035" i="3315" s="1"/>
  <c r="M1034" i="3315"/>
  <c r="N1034" i="3315" s="1"/>
  <c r="M1033" i="3315"/>
  <c r="N1033" i="3315" s="1"/>
  <c r="M1032" i="3315"/>
  <c r="N1032" i="3315" s="1"/>
  <c r="M1031" i="3315"/>
  <c r="N1031" i="3315" s="1"/>
  <c r="M1030" i="3315"/>
  <c r="N1030" i="3315" s="1"/>
  <c r="M1029" i="3315"/>
  <c r="N1029" i="3315" s="1"/>
  <c r="M1028" i="3315"/>
  <c r="N1028" i="3315" s="1"/>
  <c r="M1027" i="3315"/>
  <c r="N1027" i="3315" s="1"/>
  <c r="M1026" i="3315"/>
  <c r="N1026" i="3315" s="1"/>
  <c r="M1025" i="3315"/>
  <c r="N1025" i="3315" s="1"/>
  <c r="M1024" i="3315"/>
  <c r="N1024" i="3315" s="1"/>
  <c r="M1023" i="3315"/>
  <c r="N1023" i="3315" s="1"/>
  <c r="M1022" i="3315"/>
  <c r="N1022" i="3315" s="1"/>
  <c r="M1021" i="3315"/>
  <c r="N1021" i="3315" s="1"/>
  <c r="M1020" i="3315"/>
  <c r="N1020" i="3315" s="1"/>
  <c r="M1019" i="3315"/>
  <c r="N1019" i="3315" s="1"/>
  <c r="M1018" i="3315"/>
  <c r="N1018" i="3315" s="1"/>
  <c r="M1017" i="3315"/>
  <c r="N1017" i="3315" s="1"/>
  <c r="M1016" i="3315"/>
  <c r="N1016" i="3315" s="1"/>
  <c r="M1015" i="3315"/>
  <c r="N1015" i="3315" s="1"/>
  <c r="M1014" i="3315"/>
  <c r="N1014" i="3315" s="1"/>
  <c r="M1013" i="3315"/>
  <c r="N1013" i="3315" s="1"/>
  <c r="M1012" i="3315"/>
  <c r="N1012" i="3315" s="1"/>
  <c r="M1011" i="3315"/>
  <c r="N1011" i="3315" s="1"/>
  <c r="M1010" i="3315"/>
  <c r="N1010" i="3315" s="1"/>
  <c r="M1009" i="3315"/>
  <c r="N1009" i="3315" s="1"/>
  <c r="M1008" i="3315"/>
  <c r="N1008" i="3315" s="1"/>
  <c r="M1007" i="3315"/>
  <c r="N1007" i="3315" s="1"/>
  <c r="M1006" i="3315"/>
  <c r="N1006" i="3315" s="1"/>
  <c r="M1005" i="3315"/>
  <c r="N1005" i="3315" s="1"/>
  <c r="M1004" i="3315"/>
  <c r="N1004" i="3315" s="1"/>
  <c r="M1003" i="3315"/>
  <c r="N1003" i="3315" s="1"/>
  <c r="M1001" i="3315"/>
  <c r="N1001" i="3315" s="1"/>
  <c r="M1000" i="3315"/>
  <c r="N1000" i="3315" s="1"/>
  <c r="M999" i="3315"/>
  <c r="N999" i="3315" s="1"/>
  <c r="M998" i="3315"/>
  <c r="N998" i="3315" s="1"/>
  <c r="M996" i="3315"/>
  <c r="N996" i="3315" s="1"/>
  <c r="M995" i="3315"/>
  <c r="N995" i="3315" s="1"/>
  <c r="M994" i="3315"/>
  <c r="N994" i="3315" s="1"/>
  <c r="M993" i="3315"/>
  <c r="N993" i="3315" s="1"/>
  <c r="M992" i="3315"/>
  <c r="N992" i="3315" s="1"/>
  <c r="M991" i="3315"/>
  <c r="N991" i="3315" s="1"/>
  <c r="M990" i="3315"/>
  <c r="N990" i="3315" s="1"/>
  <c r="M989" i="3315"/>
  <c r="N989" i="3315" s="1"/>
  <c r="M988" i="3315"/>
  <c r="N988" i="3315" s="1"/>
  <c r="M987" i="3315"/>
  <c r="N987" i="3315" s="1"/>
  <c r="M986" i="3315"/>
  <c r="N986" i="3315" s="1"/>
  <c r="M985" i="3315"/>
  <c r="N985" i="3315" s="1"/>
  <c r="M984" i="3315"/>
  <c r="N984" i="3315" s="1"/>
  <c r="M983" i="3315"/>
  <c r="N983" i="3315" s="1"/>
  <c r="M982" i="3315"/>
  <c r="N982" i="3315" s="1"/>
  <c r="M981" i="3315"/>
  <c r="N981" i="3315" s="1"/>
  <c r="M980" i="3315"/>
  <c r="I69" i="3315"/>
  <c r="I70" i="3315"/>
  <c r="J70" i="3315" s="1"/>
  <c r="AF70" i="3315" s="1"/>
  <c r="I71" i="3315"/>
  <c r="J71" i="3315" s="1"/>
  <c r="AF71" i="3315" s="1"/>
  <c r="I72" i="3315"/>
  <c r="J72" i="3315" s="1"/>
  <c r="AF72" i="3315" s="1"/>
  <c r="I73" i="3315"/>
  <c r="J73" i="3315" s="1"/>
  <c r="AF73" i="3315" s="1"/>
  <c r="I74" i="3315"/>
  <c r="J74" i="3315" s="1"/>
  <c r="AF74" i="3315" s="1"/>
  <c r="I75" i="3315"/>
  <c r="J75" i="3315" s="1"/>
  <c r="AF75" i="3315" s="1"/>
  <c r="I80" i="3315"/>
  <c r="J80" i="3315" s="1"/>
  <c r="AF80" i="3315" s="1"/>
  <c r="I87" i="3315"/>
  <c r="J87" i="3315" s="1"/>
  <c r="AF87" i="3315" s="1"/>
  <c r="I89" i="3315"/>
  <c r="J89" i="3315" s="1"/>
  <c r="AF89" i="3315" s="1"/>
  <c r="I91" i="3315"/>
  <c r="J91" i="3315" s="1"/>
  <c r="AF91" i="3315" s="1"/>
  <c r="I93" i="3315"/>
  <c r="J93" i="3315" s="1"/>
  <c r="AF93" i="3315" s="1"/>
  <c r="I95" i="3315"/>
  <c r="J95" i="3315" s="1"/>
  <c r="AF95" i="3315" s="1"/>
  <c r="I97" i="3315"/>
  <c r="J97" i="3315" s="1"/>
  <c r="AF97" i="3315" s="1"/>
  <c r="I99" i="3315"/>
  <c r="J99" i="3315" s="1"/>
  <c r="AF99" i="3315" s="1"/>
  <c r="I101" i="3315"/>
  <c r="J101" i="3315" s="1"/>
  <c r="AF101" i="3315" s="1"/>
  <c r="I103" i="3315"/>
  <c r="J103" i="3315" s="1"/>
  <c r="AF103" i="3315" s="1"/>
  <c r="I105" i="3315"/>
  <c r="J105" i="3315" s="1"/>
  <c r="AF105" i="3315" s="1"/>
  <c r="I107" i="3315"/>
  <c r="J107" i="3315" s="1"/>
  <c r="AF107" i="3315" s="1"/>
  <c r="I109" i="3315"/>
  <c r="J109" i="3315" s="1"/>
  <c r="AF109" i="3315" s="1"/>
  <c r="I111" i="3315"/>
  <c r="J111" i="3315" s="1"/>
  <c r="AF111" i="3315" s="1"/>
  <c r="I113" i="3315"/>
  <c r="J113" i="3315" s="1"/>
  <c r="AF113" i="3315" s="1"/>
  <c r="I115" i="3315"/>
  <c r="J115" i="3315" s="1"/>
  <c r="AF115" i="3315" s="1"/>
  <c r="I117" i="3315"/>
  <c r="J117" i="3315" s="1"/>
  <c r="AF117" i="3315" s="1"/>
  <c r="I119" i="3315"/>
  <c r="J119" i="3315" s="1"/>
  <c r="AF119" i="3315" s="1"/>
  <c r="I124" i="3315"/>
  <c r="J124" i="3315" s="1"/>
  <c r="AF124" i="3315" s="1"/>
  <c r="I126" i="3315"/>
  <c r="J126" i="3315" s="1"/>
  <c r="AF126" i="3315" s="1"/>
  <c r="I128" i="3315"/>
  <c r="J128" i="3315" s="1"/>
  <c r="AF128" i="3315" s="1"/>
  <c r="I130" i="3315"/>
  <c r="J130" i="3315" s="1"/>
  <c r="AF130" i="3315" s="1"/>
  <c r="I132" i="3315"/>
  <c r="J132" i="3315" s="1"/>
  <c r="AF132" i="3315" s="1"/>
  <c r="I134" i="3315"/>
  <c r="J134" i="3315" s="1"/>
  <c r="AF134" i="3315" s="1"/>
  <c r="I136" i="3315"/>
  <c r="J136" i="3315" s="1"/>
  <c r="AF136" i="3315" s="1"/>
  <c r="I141" i="3315"/>
  <c r="J141" i="3315" s="1"/>
  <c r="AF141" i="3315" s="1"/>
  <c r="I143" i="3315"/>
  <c r="J143" i="3315" s="1"/>
  <c r="AF143" i="3315" s="1"/>
  <c r="I145" i="3315"/>
  <c r="J145" i="3315" s="1"/>
  <c r="AF145" i="3315" s="1"/>
  <c r="I147" i="3315"/>
  <c r="J147" i="3315" s="1"/>
  <c r="AF147" i="3315" s="1"/>
  <c r="I164" i="3315"/>
  <c r="I166" i="3315"/>
  <c r="J166" i="3315" s="1"/>
  <c r="AF166" i="3315" s="1"/>
  <c r="I168" i="3315"/>
  <c r="J168" i="3315" s="1"/>
  <c r="AF168" i="3315" s="1"/>
  <c r="I170" i="3315"/>
  <c r="J170" i="3315" s="1"/>
  <c r="AF170" i="3315" s="1"/>
  <c r="I172" i="3315"/>
  <c r="J172" i="3315" s="1"/>
  <c r="AF172" i="3315" s="1"/>
  <c r="I177" i="3315"/>
  <c r="J177" i="3315" s="1"/>
  <c r="AF177" i="3315" s="1"/>
  <c r="I179" i="3315"/>
  <c r="J179" i="3315" s="1"/>
  <c r="AF179" i="3315" s="1"/>
  <c r="I181" i="3315"/>
  <c r="J181" i="3315" s="1"/>
  <c r="AF181" i="3315" s="1"/>
  <c r="I183" i="3315"/>
  <c r="J183" i="3315" s="1"/>
  <c r="AF183" i="3315" s="1"/>
  <c r="I185" i="3315"/>
  <c r="J185" i="3315" s="1"/>
  <c r="AF185" i="3315" s="1"/>
  <c r="I187" i="3315"/>
  <c r="J187" i="3315" s="1"/>
  <c r="AF187" i="3315" s="1"/>
  <c r="I189" i="3315"/>
  <c r="J189" i="3315" s="1"/>
  <c r="AF189" i="3315" s="1"/>
  <c r="I191" i="3315"/>
  <c r="J191" i="3315" s="1"/>
  <c r="AF191" i="3315" s="1"/>
  <c r="I193" i="3315"/>
  <c r="J193" i="3315" s="1"/>
  <c r="AF193" i="3315" s="1"/>
  <c r="I201" i="3315"/>
  <c r="J201" i="3315" s="1"/>
  <c r="AF201" i="3315" s="1"/>
  <c r="I204" i="3315"/>
  <c r="J204" i="3315" s="1"/>
  <c r="AF204" i="3315" s="1"/>
  <c r="I206" i="3315"/>
  <c r="J206" i="3315" s="1"/>
  <c r="AF206" i="3315" s="1"/>
  <c r="I208" i="3315"/>
  <c r="J208" i="3315" s="1"/>
  <c r="AF208" i="3315" s="1"/>
  <c r="I210" i="3315"/>
  <c r="J210" i="3315" s="1"/>
  <c r="AF210" i="3315" s="1"/>
  <c r="I212" i="3315"/>
  <c r="J212" i="3315" s="1"/>
  <c r="AF212" i="3315" s="1"/>
  <c r="I214" i="3315"/>
  <c r="J214" i="3315" s="1"/>
  <c r="AF214" i="3315" s="1"/>
  <c r="I216" i="3315"/>
  <c r="J216" i="3315" s="1"/>
  <c r="AF216" i="3315" s="1"/>
  <c r="I218" i="3315"/>
  <c r="J218" i="3315" s="1"/>
  <c r="AF218" i="3315" s="1"/>
  <c r="I220" i="3315"/>
  <c r="J220" i="3315" s="1"/>
  <c r="AF220" i="3315" s="1"/>
  <c r="I222" i="3315"/>
  <c r="J222" i="3315" s="1"/>
  <c r="AF222" i="3315" s="1"/>
  <c r="I224" i="3315"/>
  <c r="J224" i="3315" s="1"/>
  <c r="AF224" i="3315" s="1"/>
  <c r="I226" i="3315"/>
  <c r="J226" i="3315" s="1"/>
  <c r="AF226" i="3315" s="1"/>
  <c r="I231" i="3315"/>
  <c r="J231" i="3315" s="1"/>
  <c r="AF231" i="3315" s="1"/>
  <c r="I233" i="3315"/>
  <c r="J233" i="3315" s="1"/>
  <c r="AF233" i="3315" s="1"/>
  <c r="I235" i="3315"/>
  <c r="J235" i="3315" s="1"/>
  <c r="AF235" i="3315" s="1"/>
  <c r="I237" i="3315"/>
  <c r="J237" i="3315" s="1"/>
  <c r="AF237" i="3315" s="1"/>
  <c r="I239" i="3315"/>
  <c r="J239" i="3315" s="1"/>
  <c r="AF239" i="3315" s="1"/>
  <c r="I241" i="3315"/>
  <c r="J241" i="3315" s="1"/>
  <c r="AF241" i="3315" s="1"/>
  <c r="I243" i="3315"/>
  <c r="J243" i="3315" s="1"/>
  <c r="AF243" i="3315" s="1"/>
  <c r="I245" i="3315"/>
  <c r="J245" i="3315" s="1"/>
  <c r="AF245" i="3315" s="1"/>
  <c r="J247" i="3315"/>
  <c r="AF247" i="3315" s="1"/>
  <c r="I252" i="3315"/>
  <c r="J252" i="3315" s="1"/>
  <c r="AF252" i="3315" s="1"/>
  <c r="I254" i="3315"/>
  <c r="J254" i="3315" s="1"/>
  <c r="AF254" i="3315" s="1"/>
  <c r="I256" i="3315"/>
  <c r="J256" i="3315" s="1"/>
  <c r="AF256" i="3315" s="1"/>
  <c r="I258" i="3315"/>
  <c r="J258" i="3315" s="1"/>
  <c r="AF258" i="3315" s="1"/>
  <c r="I260" i="3315"/>
  <c r="J260" i="3315" s="1"/>
  <c r="AF260" i="3315" s="1"/>
  <c r="I262" i="3315"/>
  <c r="J262" i="3315" s="1"/>
  <c r="AF262" i="3315" s="1"/>
  <c r="I264" i="3315"/>
  <c r="J264" i="3315" s="1"/>
  <c r="AF264" i="3315" s="1"/>
  <c r="I266" i="3315"/>
  <c r="J266" i="3315" s="1"/>
  <c r="AF266" i="3315" s="1"/>
  <c r="I268" i="3315"/>
  <c r="J268" i="3315" s="1"/>
  <c r="AF268" i="3315" s="1"/>
  <c r="I270" i="3315"/>
  <c r="J270" i="3315" s="1"/>
  <c r="AF270" i="3315" s="1"/>
  <c r="I272" i="3315"/>
  <c r="J272" i="3315" s="1"/>
  <c r="AF272" i="3315" s="1"/>
  <c r="I274" i="3315"/>
  <c r="J274" i="3315" s="1"/>
  <c r="AF274" i="3315" s="1"/>
  <c r="I276" i="3315"/>
  <c r="J276" i="3315" s="1"/>
  <c r="AF276" i="3315" s="1"/>
  <c r="I278" i="3315"/>
  <c r="J278" i="3315" s="1"/>
  <c r="AF278" i="3315" s="1"/>
  <c r="I280" i="3315"/>
  <c r="J280" i="3315" s="1"/>
  <c r="AF280" i="3315" s="1"/>
  <c r="I282" i="3315"/>
  <c r="J282" i="3315" s="1"/>
  <c r="AF282" i="3315" s="1"/>
  <c r="I284" i="3315"/>
  <c r="J284" i="3315" s="1"/>
  <c r="AF284" i="3315" s="1"/>
  <c r="I286" i="3315"/>
  <c r="J286" i="3315" s="1"/>
  <c r="AF286" i="3315" s="1"/>
  <c r="I288" i="3315"/>
  <c r="J288" i="3315" s="1"/>
  <c r="AF288" i="3315" s="1"/>
  <c r="I290" i="3315"/>
  <c r="J290" i="3315" s="1"/>
  <c r="AF290" i="3315" s="1"/>
  <c r="I292" i="3315"/>
  <c r="J292" i="3315" s="1"/>
  <c r="AF292" i="3315" s="1"/>
  <c r="I294" i="3315"/>
  <c r="J294" i="3315" s="1"/>
  <c r="AF294" i="3315" s="1"/>
  <c r="I296" i="3315"/>
  <c r="J296" i="3315" s="1"/>
  <c r="AF296" i="3315" s="1"/>
  <c r="I298" i="3315"/>
  <c r="J298" i="3315" s="1"/>
  <c r="AF298" i="3315" s="1"/>
  <c r="I300" i="3315"/>
  <c r="J300" i="3315" s="1"/>
  <c r="AF300" i="3315" s="1"/>
  <c r="I302" i="3315"/>
  <c r="J302" i="3315" s="1"/>
  <c r="AF302" i="3315" s="1"/>
  <c r="I304" i="3315"/>
  <c r="J304" i="3315" s="1"/>
  <c r="AF304" i="3315" s="1"/>
  <c r="I306" i="3315"/>
  <c r="J306" i="3315" s="1"/>
  <c r="AF306" i="3315" s="1"/>
  <c r="I308" i="3315"/>
  <c r="J308" i="3315" s="1"/>
  <c r="AF308" i="3315" s="1"/>
  <c r="I310" i="3315"/>
  <c r="J310" i="3315" s="1"/>
  <c r="AF310" i="3315" s="1"/>
  <c r="I312" i="3315"/>
  <c r="J312" i="3315" s="1"/>
  <c r="AF312" i="3315" s="1"/>
  <c r="I315" i="3315"/>
  <c r="J315" i="3315" s="1"/>
  <c r="AF315" i="3315" s="1"/>
  <c r="M915" i="3315"/>
  <c r="N915" i="3315" s="1"/>
  <c r="M880" i="3315"/>
  <c r="N880" i="3315" s="1"/>
  <c r="M851" i="3315"/>
  <c r="N851" i="3315" s="1"/>
  <c r="M826" i="3315"/>
  <c r="N826" i="3315" s="1"/>
  <c r="M794" i="3315"/>
  <c r="N794" i="3315" s="1"/>
  <c r="M763" i="3315"/>
  <c r="N763" i="3315" s="1"/>
  <c r="M738" i="3315"/>
  <c r="N738" i="3315" s="1"/>
  <c r="M706" i="3315"/>
  <c r="N706" i="3315" s="1"/>
  <c r="M677" i="3315"/>
  <c r="N677" i="3315" s="1"/>
  <c r="M652" i="3315"/>
  <c r="N652" i="3315" s="1"/>
  <c r="M634" i="3315"/>
  <c r="N634" i="3315" s="1"/>
  <c r="M619" i="3315"/>
  <c r="N619" i="3315" s="1"/>
  <c r="M607" i="3315"/>
  <c r="N607" i="3315" s="1"/>
  <c r="M591" i="3315"/>
  <c r="N591" i="3315" s="1"/>
  <c r="M582" i="3315"/>
  <c r="N582" i="3315" s="1"/>
  <c r="M571" i="3315"/>
  <c r="N571" i="3315" s="1"/>
  <c r="M561" i="3315"/>
  <c r="N561" i="3315" s="1"/>
  <c r="M553" i="3315"/>
  <c r="N553" i="3315" s="1"/>
  <c r="M543" i="3315"/>
  <c r="N543" i="3315" s="1"/>
  <c r="M533" i="3315"/>
  <c r="N533" i="3315" s="1"/>
  <c r="M523" i="3315"/>
  <c r="N523" i="3315" s="1"/>
  <c r="M515" i="3315"/>
  <c r="N515" i="3315" s="1"/>
  <c r="M505" i="3315"/>
  <c r="N505" i="3315" s="1"/>
  <c r="N487" i="3315"/>
  <c r="M477" i="3315"/>
  <c r="N477" i="3315" s="1"/>
  <c r="M469" i="3315"/>
  <c r="N469" i="3315" s="1"/>
  <c r="M463" i="3315"/>
  <c r="N463" i="3315" s="1"/>
  <c r="M456" i="3315"/>
  <c r="N456" i="3315" s="1"/>
  <c r="M450" i="3315"/>
  <c r="N450" i="3315" s="1"/>
  <c r="M445" i="3315"/>
  <c r="N445" i="3315" s="1"/>
  <c r="M440" i="3315"/>
  <c r="N440" i="3315" s="1"/>
  <c r="M434" i="3315"/>
  <c r="N434" i="3315" s="1"/>
  <c r="M429" i="3315"/>
  <c r="N429" i="3315" s="1"/>
  <c r="M424" i="3315"/>
  <c r="N424" i="3315" s="1"/>
  <c r="M418" i="3315"/>
  <c r="N418" i="3315" s="1"/>
  <c r="M413" i="3315"/>
  <c r="N413" i="3315" s="1"/>
  <c r="M408" i="3315"/>
  <c r="N408" i="3315" s="1"/>
  <c r="M402" i="3315"/>
  <c r="N402" i="3315" s="1"/>
  <c r="M397" i="3315"/>
  <c r="N397" i="3315" s="1"/>
  <c r="M392" i="3315"/>
  <c r="N392" i="3315" s="1"/>
  <c r="M386" i="3315"/>
  <c r="N386" i="3315" s="1"/>
  <c r="M381" i="3315"/>
  <c r="N381" i="3315" s="1"/>
  <c r="M376" i="3315"/>
  <c r="N376" i="3315" s="1"/>
  <c r="M370" i="3315"/>
  <c r="N370" i="3315" s="1"/>
  <c r="M365" i="3315"/>
  <c r="N365" i="3315" s="1"/>
  <c r="N360" i="3315"/>
  <c r="M358" i="3315"/>
  <c r="N358" i="3315" s="1"/>
  <c r="M352" i="3315"/>
  <c r="N352" i="3315" s="1"/>
  <c r="M346" i="3315"/>
  <c r="N346" i="3315" s="1"/>
  <c r="M341" i="3315"/>
  <c r="N341" i="3315" s="1"/>
  <c r="M336" i="3315"/>
  <c r="N336" i="3315" s="1"/>
  <c r="M330" i="3315"/>
  <c r="N330" i="3315" s="1"/>
  <c r="M325" i="3315"/>
  <c r="N325" i="3315" s="1"/>
  <c r="M320" i="3315"/>
  <c r="N320" i="3315" s="1"/>
  <c r="M314" i="3315"/>
  <c r="N314" i="3315" s="1"/>
  <c r="M309" i="3315"/>
  <c r="N309" i="3315" s="1"/>
  <c r="M304" i="3315"/>
  <c r="N304" i="3315" s="1"/>
  <c r="M300" i="3315"/>
  <c r="N300" i="3315" s="1"/>
  <c r="M296" i="3315"/>
  <c r="N296" i="3315" s="1"/>
  <c r="M292" i="3315"/>
  <c r="N292" i="3315" s="1"/>
  <c r="M288" i="3315"/>
  <c r="N288" i="3315" s="1"/>
  <c r="M284" i="3315"/>
  <c r="N284" i="3315" s="1"/>
  <c r="M280" i="3315"/>
  <c r="N280" i="3315" s="1"/>
  <c r="M276" i="3315"/>
  <c r="N276" i="3315" s="1"/>
  <c r="M272" i="3315"/>
  <c r="N272" i="3315" s="1"/>
  <c r="M268" i="3315"/>
  <c r="N268" i="3315" s="1"/>
  <c r="M264" i="3315"/>
  <c r="N264" i="3315" s="1"/>
  <c r="M260" i="3315"/>
  <c r="N260" i="3315" s="1"/>
  <c r="M256" i="3315"/>
  <c r="N256" i="3315" s="1"/>
  <c r="M252" i="3315"/>
  <c r="N247" i="3315"/>
  <c r="M245" i="3315"/>
  <c r="N245" i="3315" s="1"/>
  <c r="M241" i="3315"/>
  <c r="N241" i="3315" s="1"/>
  <c r="M237" i="3315"/>
  <c r="N237" i="3315" s="1"/>
  <c r="M233" i="3315"/>
  <c r="N233" i="3315" s="1"/>
  <c r="M226" i="3315"/>
  <c r="N226" i="3315" s="1"/>
  <c r="M222" i="3315"/>
  <c r="N222" i="3315" s="1"/>
  <c r="M218" i="3315"/>
  <c r="N218" i="3315" s="1"/>
  <c r="M214" i="3315"/>
  <c r="N214" i="3315" s="1"/>
  <c r="M210" i="3315"/>
  <c r="N210" i="3315" s="1"/>
  <c r="M206" i="3315"/>
  <c r="N206" i="3315" s="1"/>
  <c r="M202" i="3315"/>
  <c r="M192" i="3315"/>
  <c r="N192" i="3315" s="1"/>
  <c r="M188" i="3315"/>
  <c r="N188" i="3315" s="1"/>
  <c r="M184" i="3315"/>
  <c r="N184" i="3315" s="1"/>
  <c r="M180" i="3315"/>
  <c r="N180" i="3315" s="1"/>
  <c r="M176" i="3315"/>
  <c r="N176" i="3315" s="1"/>
  <c r="M169" i="3315"/>
  <c r="N169" i="3315" s="1"/>
  <c r="M165" i="3315"/>
  <c r="N165" i="3315" s="1"/>
  <c r="M146" i="3315"/>
  <c r="N146" i="3315" s="1"/>
  <c r="M142" i="3315"/>
  <c r="N142" i="3315" s="1"/>
  <c r="M135" i="3315"/>
  <c r="N135" i="3315" s="1"/>
  <c r="M131" i="3315"/>
  <c r="N131" i="3315" s="1"/>
  <c r="M127" i="3315"/>
  <c r="N127" i="3315" s="1"/>
  <c r="M123" i="3315"/>
  <c r="N123" i="3315" s="1"/>
  <c r="M117" i="3315"/>
  <c r="N117" i="3315" s="1"/>
  <c r="M113" i="3315"/>
  <c r="N113" i="3315" s="1"/>
  <c r="M109" i="3315"/>
  <c r="N109" i="3315" s="1"/>
  <c r="M105" i="3315"/>
  <c r="N105" i="3315" s="1"/>
  <c r="M101" i="3315"/>
  <c r="N101" i="3315" s="1"/>
  <c r="M97" i="3315"/>
  <c r="N97" i="3315" s="1"/>
  <c r="M93" i="3315"/>
  <c r="N93" i="3315" s="1"/>
  <c r="M89" i="3315"/>
  <c r="N89" i="3315" s="1"/>
  <c r="M84" i="3315"/>
  <c r="N84" i="3315" s="1"/>
  <c r="M73" i="3315"/>
  <c r="N73" i="3315" s="1"/>
  <c r="M69" i="3315"/>
  <c r="N69" i="3315" s="1"/>
  <c r="I1158" i="3315"/>
  <c r="J1158" i="3315" s="1"/>
  <c r="AF1158" i="3315" s="1"/>
  <c r="I1155" i="3315"/>
  <c r="J1155" i="3315" s="1"/>
  <c r="AF1155" i="3315" s="1"/>
  <c r="I1154" i="3315"/>
  <c r="J1154" i="3315" s="1"/>
  <c r="AF1154" i="3315" s="1"/>
  <c r="I1151" i="3315"/>
  <c r="J1151" i="3315" s="1"/>
  <c r="AF1151" i="3315" s="1"/>
  <c r="I1150" i="3315"/>
  <c r="J1150" i="3315" s="1"/>
  <c r="AF1150" i="3315" s="1"/>
  <c r="I1148" i="3315"/>
  <c r="J1148" i="3315" s="1"/>
  <c r="AF1148" i="3315" s="1"/>
  <c r="I1145" i="3315"/>
  <c r="J1145" i="3315" s="1"/>
  <c r="AF1145" i="3315" s="1"/>
  <c r="I1144" i="3315"/>
  <c r="J1144" i="3315" s="1"/>
  <c r="AF1144" i="3315" s="1"/>
  <c r="I1141" i="3315"/>
  <c r="J1141" i="3315" s="1"/>
  <c r="AF1141" i="3315" s="1"/>
  <c r="I1138" i="3315"/>
  <c r="J1138" i="3315" s="1"/>
  <c r="AF1138" i="3315" s="1"/>
  <c r="I1137" i="3315"/>
  <c r="J1137" i="3315" s="1"/>
  <c r="AF1137" i="3315" s="1"/>
  <c r="I1133" i="3315"/>
  <c r="J1133" i="3315" s="1"/>
  <c r="AF1133" i="3315" s="1"/>
  <c r="I1132" i="3315"/>
  <c r="J1132" i="3315" s="1"/>
  <c r="AF1132" i="3315" s="1"/>
  <c r="I1129" i="3315"/>
  <c r="J1129" i="3315" s="1"/>
  <c r="AF1129" i="3315" s="1"/>
  <c r="I1128" i="3315"/>
  <c r="J1128" i="3315" s="1"/>
  <c r="AF1128" i="3315" s="1"/>
  <c r="I1125" i="3315"/>
  <c r="J1125" i="3315" s="1"/>
  <c r="AF1125" i="3315" s="1"/>
  <c r="I1124" i="3315"/>
  <c r="J1124" i="3315" s="1"/>
  <c r="AF1124" i="3315" s="1"/>
  <c r="I1121" i="3315"/>
  <c r="J1121" i="3315" s="1"/>
  <c r="AF1121" i="3315" s="1"/>
  <c r="I1120" i="3315"/>
  <c r="J1120" i="3315" s="1"/>
  <c r="AF1120" i="3315" s="1"/>
  <c r="I1116" i="3315"/>
  <c r="J1116" i="3315" s="1"/>
  <c r="AF1116" i="3315" s="1"/>
  <c r="I1115" i="3315"/>
  <c r="I1109" i="3315"/>
  <c r="J1109" i="3315" s="1"/>
  <c r="AF1109" i="3315" s="1"/>
  <c r="I1108" i="3315"/>
  <c r="J1108" i="3315" s="1"/>
  <c r="AF1108" i="3315" s="1"/>
  <c r="I1105" i="3315"/>
  <c r="J1105" i="3315" s="1"/>
  <c r="AF1105" i="3315" s="1"/>
  <c r="I1102" i="3315"/>
  <c r="J1102" i="3315" s="1"/>
  <c r="AF1102" i="3315" s="1"/>
  <c r="I1099" i="3315"/>
  <c r="J1099" i="3315" s="1"/>
  <c r="AF1099" i="3315" s="1"/>
  <c r="I1098" i="3315"/>
  <c r="J1098" i="3315" s="1"/>
  <c r="AF1098" i="3315" s="1"/>
  <c r="I1095" i="3315"/>
  <c r="J1095" i="3315" s="1"/>
  <c r="AF1095" i="3315" s="1"/>
  <c r="I1094" i="3315"/>
  <c r="J1094" i="3315" s="1"/>
  <c r="AF1094" i="3315" s="1"/>
  <c r="I1091" i="3315"/>
  <c r="J1091" i="3315" s="1"/>
  <c r="AF1091" i="3315" s="1"/>
  <c r="I1088" i="3315"/>
  <c r="J1088" i="3315" s="1"/>
  <c r="AF1088" i="3315" s="1"/>
  <c r="I1087" i="3315"/>
  <c r="J1087" i="3315" s="1"/>
  <c r="AF1087" i="3315" s="1"/>
  <c r="I1084" i="3315"/>
  <c r="J1084" i="3315" s="1"/>
  <c r="AF1084" i="3315" s="1"/>
  <c r="I1083" i="3315"/>
  <c r="J1083" i="3315" s="1"/>
  <c r="AF1083" i="3315" s="1"/>
  <c r="I1079" i="3315"/>
  <c r="J1079" i="3315" s="1"/>
  <c r="AF1079" i="3315" s="1"/>
  <c r="I1078" i="3315"/>
  <c r="J1078" i="3315" s="1"/>
  <c r="AF1078" i="3315" s="1"/>
  <c r="I1072" i="3315"/>
  <c r="J1072" i="3315" s="1"/>
  <c r="AF1072" i="3315" s="1"/>
  <c r="I1071" i="3315"/>
  <c r="J1071" i="3315" s="1"/>
  <c r="AF1071" i="3315" s="1"/>
  <c r="I1068" i="3315"/>
  <c r="J1068" i="3315" s="1"/>
  <c r="AF1068" i="3315" s="1"/>
  <c r="I1067" i="3315"/>
  <c r="J1067" i="3315" s="1"/>
  <c r="AF1067" i="3315" s="1"/>
  <c r="I1064" i="3315"/>
  <c r="J1064" i="3315" s="1"/>
  <c r="AF1064" i="3315" s="1"/>
  <c r="I1063" i="3315"/>
  <c r="J1063" i="3315" s="1"/>
  <c r="AF1063" i="3315" s="1"/>
  <c r="I1060" i="3315"/>
  <c r="J1060" i="3315" s="1"/>
  <c r="AF1060" i="3315" s="1"/>
  <c r="I1059" i="3315"/>
  <c r="J1059" i="3315" s="1"/>
  <c r="AF1059" i="3315" s="1"/>
  <c r="I1052" i="3315"/>
  <c r="J1052" i="3315" s="1"/>
  <c r="AF1052" i="3315" s="1"/>
  <c r="I1048" i="3315"/>
  <c r="J1048" i="3315" s="1"/>
  <c r="AF1048" i="3315" s="1"/>
  <c r="I1045" i="3315"/>
  <c r="J1045" i="3315" s="1"/>
  <c r="AF1045" i="3315" s="1"/>
  <c r="I1044" i="3315"/>
  <c r="J1044" i="3315" s="1"/>
  <c r="AF1044" i="3315" s="1"/>
  <c r="I1041" i="3315"/>
  <c r="J1041" i="3315" s="1"/>
  <c r="AF1041" i="3315" s="1"/>
  <c r="I1038" i="3315"/>
  <c r="J1038" i="3315" s="1"/>
  <c r="AF1038" i="3315" s="1"/>
  <c r="I1037" i="3315"/>
  <c r="J1037" i="3315" s="1"/>
  <c r="AF1037" i="3315" s="1"/>
  <c r="I1034" i="3315"/>
  <c r="J1034" i="3315" s="1"/>
  <c r="AF1034" i="3315" s="1"/>
  <c r="I1033" i="3315"/>
  <c r="J1033" i="3315" s="1"/>
  <c r="AF1033" i="3315" s="1"/>
  <c r="I1031" i="3315"/>
  <c r="J1031" i="3315" s="1"/>
  <c r="AF1031" i="3315" s="1"/>
  <c r="I1030" i="3315"/>
  <c r="J1030" i="3315" s="1"/>
  <c r="AF1030" i="3315" s="1"/>
  <c r="I1028" i="3315"/>
  <c r="J1028" i="3315" s="1"/>
  <c r="AF1028" i="3315" s="1"/>
  <c r="I1027" i="3315"/>
  <c r="J1027" i="3315" s="1"/>
  <c r="AF1027" i="3315" s="1"/>
  <c r="I1024" i="3315"/>
  <c r="J1024" i="3315" s="1"/>
  <c r="AF1024" i="3315" s="1"/>
  <c r="I1023" i="3315"/>
  <c r="J1023" i="3315" s="1"/>
  <c r="AF1023" i="3315" s="1"/>
  <c r="I1020" i="3315"/>
  <c r="J1020" i="3315" s="1"/>
  <c r="AF1020" i="3315" s="1"/>
  <c r="I1017" i="3315"/>
  <c r="J1017" i="3315" s="1"/>
  <c r="AF1017" i="3315" s="1"/>
  <c r="I1016" i="3315"/>
  <c r="J1016" i="3315" s="1"/>
  <c r="AF1016" i="3315" s="1"/>
  <c r="I1014" i="3315"/>
  <c r="J1014" i="3315" s="1"/>
  <c r="AF1014" i="3315" s="1"/>
  <c r="I1011" i="3315"/>
  <c r="J1011" i="3315" s="1"/>
  <c r="AF1011" i="3315" s="1"/>
  <c r="I1008" i="3315"/>
  <c r="J1008" i="3315" s="1"/>
  <c r="AF1008" i="3315" s="1"/>
  <c r="I1007" i="3315"/>
  <c r="J1007" i="3315" s="1"/>
  <c r="AF1007" i="3315" s="1"/>
  <c r="I1004" i="3315"/>
  <c r="J1004" i="3315" s="1"/>
  <c r="AF1004" i="3315" s="1"/>
  <c r="I1003" i="3315"/>
  <c r="J1003" i="3315" s="1"/>
  <c r="AF1003" i="3315" s="1"/>
  <c r="I995" i="3315"/>
  <c r="J995" i="3315" s="1"/>
  <c r="AF995" i="3315" s="1"/>
  <c r="I994" i="3315"/>
  <c r="J994" i="3315" s="1"/>
  <c r="AF994" i="3315" s="1"/>
  <c r="I990" i="3315"/>
  <c r="J990" i="3315" s="1"/>
  <c r="AF990" i="3315" s="1"/>
  <c r="I989" i="3315"/>
  <c r="J989" i="3315" s="1"/>
  <c r="AF989" i="3315" s="1"/>
  <c r="I986" i="3315"/>
  <c r="J986" i="3315" s="1"/>
  <c r="AF986" i="3315" s="1"/>
  <c r="I985" i="3315"/>
  <c r="J985" i="3315" s="1"/>
  <c r="AF985" i="3315" s="1"/>
  <c r="I982" i="3315"/>
  <c r="J982" i="3315" s="1"/>
  <c r="AF982" i="3315" s="1"/>
  <c r="I981" i="3315"/>
  <c r="J981" i="3315" s="1"/>
  <c r="AF981" i="3315" s="1"/>
  <c r="I188" i="3315"/>
  <c r="J188" i="3315" s="1"/>
  <c r="AF188" i="3315" s="1"/>
  <c r="I190" i="3315"/>
  <c r="J190" i="3315" s="1"/>
  <c r="AF190" i="3315" s="1"/>
  <c r="I192" i="3315"/>
  <c r="J192" i="3315"/>
  <c r="AF192" i="3315" s="1"/>
  <c r="I194" i="3315"/>
  <c r="J194" i="3315" s="1"/>
  <c r="AF194" i="3315" s="1"/>
  <c r="I203" i="3315"/>
  <c r="J203" i="3315" s="1"/>
  <c r="AF203" i="3315" s="1"/>
  <c r="I205" i="3315"/>
  <c r="J205" i="3315" s="1"/>
  <c r="AF205" i="3315" s="1"/>
  <c r="I207" i="3315"/>
  <c r="J207" i="3315" s="1"/>
  <c r="AF207" i="3315" s="1"/>
  <c r="I209" i="3315"/>
  <c r="J209" i="3315" s="1"/>
  <c r="AF209" i="3315" s="1"/>
  <c r="I211" i="3315"/>
  <c r="J211" i="3315" s="1"/>
  <c r="AF211" i="3315" s="1"/>
  <c r="I213" i="3315"/>
  <c r="J213" i="3315" s="1"/>
  <c r="AF213" i="3315" s="1"/>
  <c r="I215" i="3315"/>
  <c r="J215" i="3315" s="1"/>
  <c r="AF215" i="3315" s="1"/>
  <c r="I217" i="3315"/>
  <c r="J217" i="3315" s="1"/>
  <c r="AF217" i="3315" s="1"/>
  <c r="I219" i="3315"/>
  <c r="J219" i="3315" s="1"/>
  <c r="AF219" i="3315" s="1"/>
  <c r="I221" i="3315"/>
  <c r="J221" i="3315" s="1"/>
  <c r="AF221" i="3315" s="1"/>
  <c r="I223" i="3315"/>
  <c r="J223" i="3315" s="1"/>
  <c r="AF223" i="3315" s="1"/>
  <c r="I225" i="3315"/>
  <c r="J225" i="3315" s="1"/>
  <c r="AF225" i="3315" s="1"/>
  <c r="I230" i="3315"/>
  <c r="J230" i="3315" s="1"/>
  <c r="AF230" i="3315" s="1"/>
  <c r="I232" i="3315"/>
  <c r="J232" i="3315" s="1"/>
  <c r="AF232" i="3315" s="1"/>
  <c r="I234" i="3315"/>
  <c r="J234" i="3315" s="1"/>
  <c r="AF234" i="3315" s="1"/>
  <c r="I236" i="3315"/>
  <c r="J236" i="3315" s="1"/>
  <c r="AF236" i="3315" s="1"/>
  <c r="I238" i="3315"/>
  <c r="J238" i="3315" s="1"/>
  <c r="AF238" i="3315" s="1"/>
  <c r="I240" i="3315"/>
  <c r="J240" i="3315" s="1"/>
  <c r="AF240" i="3315" s="1"/>
  <c r="I242" i="3315"/>
  <c r="J242" i="3315" s="1"/>
  <c r="AF242" i="3315" s="1"/>
  <c r="I244" i="3315"/>
  <c r="J244" i="3315" s="1"/>
  <c r="AF244" i="3315" s="1"/>
  <c r="I246" i="3315"/>
  <c r="J246" i="3315" s="1"/>
  <c r="AF246" i="3315" s="1"/>
  <c r="I251" i="3315"/>
  <c r="J251" i="3315" s="1"/>
  <c r="AF251" i="3315" s="1"/>
  <c r="I253" i="3315"/>
  <c r="J253" i="3315" s="1"/>
  <c r="AF253" i="3315" s="1"/>
  <c r="I255" i="3315"/>
  <c r="J255" i="3315" s="1"/>
  <c r="AF255" i="3315" s="1"/>
  <c r="I257" i="3315"/>
  <c r="J257" i="3315" s="1"/>
  <c r="AF257" i="3315" s="1"/>
  <c r="I259" i="3315"/>
  <c r="J259" i="3315" s="1"/>
  <c r="AF259" i="3315" s="1"/>
  <c r="I261" i="3315"/>
  <c r="J261" i="3315" s="1"/>
  <c r="AF261" i="3315" s="1"/>
  <c r="I263" i="3315"/>
  <c r="J263" i="3315" s="1"/>
  <c r="AF263" i="3315" s="1"/>
  <c r="I265" i="3315"/>
  <c r="J265" i="3315" s="1"/>
  <c r="AF265" i="3315" s="1"/>
  <c r="I267" i="3315"/>
  <c r="J267" i="3315" s="1"/>
  <c r="AF267" i="3315" s="1"/>
  <c r="I269" i="3315"/>
  <c r="J269" i="3315" s="1"/>
  <c r="AF269" i="3315" s="1"/>
  <c r="I271" i="3315"/>
  <c r="J271" i="3315" s="1"/>
  <c r="AF271" i="3315" s="1"/>
  <c r="I273" i="3315"/>
  <c r="J273" i="3315" s="1"/>
  <c r="AF273" i="3315" s="1"/>
  <c r="I275" i="3315"/>
  <c r="J275" i="3315" s="1"/>
  <c r="AF275" i="3315" s="1"/>
  <c r="I277" i="3315"/>
  <c r="J277" i="3315" s="1"/>
  <c r="AF277" i="3315" s="1"/>
  <c r="I279" i="3315"/>
  <c r="J279" i="3315" s="1"/>
  <c r="AF279" i="3315" s="1"/>
  <c r="I281" i="3315"/>
  <c r="J281" i="3315" s="1"/>
  <c r="AF281" i="3315" s="1"/>
  <c r="I283" i="3315"/>
  <c r="J283" i="3315" s="1"/>
  <c r="AF283" i="3315" s="1"/>
  <c r="I285" i="3315"/>
  <c r="J285" i="3315" s="1"/>
  <c r="AF285" i="3315" s="1"/>
  <c r="I287" i="3315"/>
  <c r="J287" i="3315" s="1"/>
  <c r="AF287" i="3315" s="1"/>
  <c r="I289" i="3315"/>
  <c r="J289" i="3315" s="1"/>
  <c r="AF289" i="3315" s="1"/>
  <c r="I291" i="3315"/>
  <c r="J291" i="3315" s="1"/>
  <c r="AF291" i="3315" s="1"/>
  <c r="I293" i="3315"/>
  <c r="J293" i="3315" s="1"/>
  <c r="AF293" i="3315" s="1"/>
  <c r="I295" i="3315"/>
  <c r="J295" i="3315" s="1"/>
  <c r="AF295" i="3315" s="1"/>
  <c r="I297" i="3315"/>
  <c r="J297" i="3315" s="1"/>
  <c r="AF297" i="3315" s="1"/>
  <c r="I299" i="3315"/>
  <c r="J299" i="3315" s="1"/>
  <c r="AF299" i="3315" s="1"/>
  <c r="I301" i="3315"/>
  <c r="J301" i="3315" s="1"/>
  <c r="AF301" i="3315" s="1"/>
  <c r="I303" i="3315"/>
  <c r="J303" i="3315" s="1"/>
  <c r="AF303" i="3315" s="1"/>
  <c r="I305" i="3315"/>
  <c r="J305" i="3315" s="1"/>
  <c r="AF305" i="3315" s="1"/>
  <c r="I307" i="3315"/>
  <c r="J307" i="3315" s="1"/>
  <c r="AF307" i="3315" s="1"/>
  <c r="I309" i="3315"/>
  <c r="J309" i="3315" s="1"/>
  <c r="AF309" i="3315" s="1"/>
  <c r="I311" i="3315"/>
  <c r="J311" i="3315" s="1"/>
  <c r="AF311" i="3315" s="1"/>
  <c r="I314" i="3315"/>
  <c r="J314" i="3315" s="1"/>
  <c r="AF314" i="3315" s="1"/>
  <c r="I316" i="3315"/>
  <c r="J316" i="3315" s="1"/>
  <c r="AF316" i="3315" s="1"/>
  <c r="D90" i="4608"/>
  <c r="N32" i="3315"/>
  <c r="N31" i="3315"/>
  <c r="J29" i="3315"/>
  <c r="N25" i="3315"/>
  <c r="J7" i="3315"/>
  <c r="D53" i="4608"/>
  <c r="D54" i="4608" s="1"/>
  <c r="J46" i="3315"/>
  <c r="N45" i="3315"/>
  <c r="N44" i="3315"/>
  <c r="N43" i="3315"/>
  <c r="N42" i="3315"/>
  <c r="R29" i="3315"/>
  <c r="J10" i="3315"/>
  <c r="R9" i="3315"/>
  <c r="R7" i="3315"/>
  <c r="N1115" i="3315"/>
  <c r="J364" i="3315"/>
  <c r="AF364" i="3315" s="1"/>
  <c r="J481" i="3315"/>
  <c r="D91" i="4608"/>
  <c r="F91" i="4608" s="1"/>
  <c r="F90" i="4608"/>
  <c r="E90" i="4608"/>
  <c r="J69" i="3315"/>
  <c r="AF69" i="3315" s="1"/>
  <c r="D92" i="4608"/>
  <c r="E92" i="4608" s="1"/>
  <c r="M70" i="3315" l="1"/>
  <c r="N70" i="3315" s="1"/>
  <c r="M86" i="3315"/>
  <c r="M94" i="3315"/>
  <c r="N94" i="3315" s="1"/>
  <c r="M102" i="3315"/>
  <c r="N102" i="3315" s="1"/>
  <c r="M110" i="3315"/>
  <c r="N110" i="3315" s="1"/>
  <c r="M118" i="3315"/>
  <c r="N118" i="3315" s="1"/>
  <c r="M128" i="3315"/>
  <c r="N128" i="3315" s="1"/>
  <c r="M132" i="3315"/>
  <c r="N132" i="3315" s="1"/>
  <c r="M143" i="3315"/>
  <c r="N143" i="3315" s="1"/>
  <c r="M166" i="3315"/>
  <c r="N166" i="3315" s="1"/>
  <c r="M177" i="3315"/>
  <c r="N177" i="3315" s="1"/>
  <c r="N195" i="3315" s="1"/>
  <c r="M185" i="3315"/>
  <c r="N185" i="3315" s="1"/>
  <c r="M193" i="3315"/>
  <c r="N193" i="3315" s="1"/>
  <c r="M207" i="3315"/>
  <c r="N207" i="3315" s="1"/>
  <c r="M215" i="3315"/>
  <c r="N215" i="3315" s="1"/>
  <c r="M223" i="3315"/>
  <c r="N223" i="3315" s="1"/>
  <c r="M234" i="3315"/>
  <c r="N234" i="3315" s="1"/>
  <c r="M242" i="3315"/>
  <c r="N242" i="3315" s="1"/>
  <c r="M253" i="3315"/>
  <c r="N253" i="3315" s="1"/>
  <c r="M261" i="3315"/>
  <c r="N261" i="3315" s="1"/>
  <c r="M269" i="3315"/>
  <c r="N269" i="3315" s="1"/>
  <c r="M277" i="3315"/>
  <c r="N277" i="3315" s="1"/>
  <c r="M285" i="3315"/>
  <c r="N285" i="3315" s="1"/>
  <c r="M293" i="3315"/>
  <c r="N293" i="3315" s="1"/>
  <c r="M301" i="3315"/>
  <c r="N301" i="3315" s="1"/>
  <c r="M310" i="3315"/>
  <c r="N310" i="3315" s="1"/>
  <c r="M321" i="3315"/>
  <c r="N321" i="3315" s="1"/>
  <c r="M332" i="3315"/>
  <c r="N332" i="3315" s="1"/>
  <c r="M342" i="3315"/>
  <c r="N342" i="3315" s="1"/>
  <c r="M353" i="3315"/>
  <c r="N353" i="3315" s="1"/>
  <c r="M366" i="3315"/>
  <c r="N366" i="3315" s="1"/>
  <c r="M377" i="3315"/>
  <c r="N377" i="3315" s="1"/>
  <c r="M388" i="3315"/>
  <c r="N388" i="3315" s="1"/>
  <c r="M398" i="3315"/>
  <c r="N398" i="3315" s="1"/>
  <c r="M409" i="3315"/>
  <c r="N409" i="3315" s="1"/>
  <c r="M420" i="3315"/>
  <c r="N420" i="3315" s="1"/>
  <c r="M430" i="3315"/>
  <c r="N430" i="3315" s="1"/>
  <c r="M446" i="3315"/>
  <c r="N446" i="3315" s="1"/>
  <c r="M457" i="3315"/>
  <c r="N457" i="3315" s="1"/>
  <c r="M472" i="3315"/>
  <c r="N472" i="3315" s="1"/>
  <c r="M496" i="3315"/>
  <c r="N496" i="3315" s="1"/>
  <c r="M517" i="3315"/>
  <c r="N517" i="3315" s="1"/>
  <c r="M537" i="3315"/>
  <c r="N537" i="3315" s="1"/>
  <c r="M554" i="3315"/>
  <c r="N554" i="3315" s="1"/>
  <c r="M574" i="3315"/>
  <c r="N574" i="3315" s="1"/>
  <c r="M596" i="3315"/>
  <c r="N596" i="3315" s="1"/>
  <c r="M623" i="3315"/>
  <c r="N623" i="3315" s="1"/>
  <c r="M655" i="3315"/>
  <c r="N655" i="3315" s="1"/>
  <c r="M718" i="3315"/>
  <c r="N718" i="3315" s="1"/>
  <c r="M771" i="3315"/>
  <c r="N771" i="3315" s="1"/>
  <c r="M803" i="3315"/>
  <c r="N803" i="3315" s="1"/>
  <c r="M859" i="3315"/>
  <c r="N859" i="3315" s="1"/>
  <c r="M891" i="3315"/>
  <c r="N891" i="3315" s="1"/>
  <c r="M71" i="3315"/>
  <c r="N71" i="3315" s="1"/>
  <c r="M75" i="3315"/>
  <c r="N75" i="3315" s="1"/>
  <c r="M87" i="3315"/>
  <c r="N87" i="3315" s="1"/>
  <c r="N138" i="3315" s="1"/>
  <c r="M91" i="3315"/>
  <c r="N91" i="3315" s="1"/>
  <c r="M95" i="3315"/>
  <c r="N95" i="3315" s="1"/>
  <c r="M99" i="3315"/>
  <c r="N99" i="3315" s="1"/>
  <c r="M103" i="3315"/>
  <c r="N103" i="3315" s="1"/>
  <c r="M107" i="3315"/>
  <c r="N107" i="3315" s="1"/>
  <c r="M111" i="3315"/>
  <c r="N111" i="3315" s="1"/>
  <c r="M115" i="3315"/>
  <c r="N115" i="3315" s="1"/>
  <c r="M119" i="3315"/>
  <c r="N119" i="3315" s="1"/>
  <c r="M125" i="3315"/>
  <c r="N125" i="3315" s="1"/>
  <c r="M129" i="3315"/>
  <c r="N129" i="3315" s="1"/>
  <c r="M133" i="3315"/>
  <c r="N133" i="3315" s="1"/>
  <c r="M137" i="3315"/>
  <c r="N137" i="3315" s="1"/>
  <c r="M144" i="3315"/>
  <c r="N144" i="3315" s="1"/>
  <c r="M163" i="3315"/>
  <c r="N163" i="3315" s="1"/>
  <c r="M167" i="3315"/>
  <c r="N167" i="3315" s="1"/>
  <c r="M171" i="3315"/>
  <c r="N171" i="3315" s="1"/>
  <c r="M178" i="3315"/>
  <c r="N178" i="3315" s="1"/>
  <c r="M182" i="3315"/>
  <c r="N182" i="3315" s="1"/>
  <c r="M186" i="3315"/>
  <c r="N186" i="3315" s="1"/>
  <c r="M190" i="3315"/>
  <c r="N190" i="3315" s="1"/>
  <c r="M194" i="3315"/>
  <c r="N194" i="3315" s="1"/>
  <c r="M204" i="3315"/>
  <c r="N204" i="3315" s="1"/>
  <c r="M208" i="3315"/>
  <c r="N208" i="3315" s="1"/>
  <c r="M212" i="3315"/>
  <c r="N212" i="3315" s="1"/>
  <c r="M216" i="3315"/>
  <c r="N216" i="3315" s="1"/>
  <c r="M220" i="3315"/>
  <c r="N220" i="3315" s="1"/>
  <c r="M224" i="3315"/>
  <c r="N224" i="3315" s="1"/>
  <c r="M231" i="3315"/>
  <c r="N231" i="3315" s="1"/>
  <c r="M235" i="3315"/>
  <c r="N235" i="3315" s="1"/>
  <c r="M239" i="3315"/>
  <c r="N239" i="3315" s="1"/>
  <c r="M243" i="3315"/>
  <c r="N243" i="3315" s="1"/>
  <c r="M254" i="3315"/>
  <c r="N254" i="3315" s="1"/>
  <c r="M258" i="3315"/>
  <c r="N258" i="3315" s="1"/>
  <c r="M262" i="3315"/>
  <c r="N262" i="3315" s="1"/>
  <c r="M266" i="3315"/>
  <c r="N266" i="3315" s="1"/>
  <c r="M270" i="3315"/>
  <c r="N270" i="3315" s="1"/>
  <c r="M274" i="3315"/>
  <c r="N274" i="3315" s="1"/>
  <c r="M278" i="3315"/>
  <c r="N278" i="3315" s="1"/>
  <c r="M282" i="3315"/>
  <c r="N282" i="3315" s="1"/>
  <c r="M286" i="3315"/>
  <c r="N286" i="3315" s="1"/>
  <c r="M290" i="3315"/>
  <c r="N290" i="3315" s="1"/>
  <c r="M294" i="3315"/>
  <c r="N294" i="3315" s="1"/>
  <c r="M298" i="3315"/>
  <c r="N298" i="3315" s="1"/>
  <c r="M302" i="3315"/>
  <c r="N302" i="3315" s="1"/>
  <c r="M306" i="3315"/>
  <c r="N306" i="3315" s="1"/>
  <c r="M312" i="3315"/>
  <c r="N312" i="3315" s="1"/>
  <c r="M317" i="3315"/>
  <c r="N317" i="3315" s="1"/>
  <c r="M322" i="3315"/>
  <c r="N322" i="3315" s="1"/>
  <c r="M328" i="3315"/>
  <c r="N328" i="3315" s="1"/>
  <c r="M333" i="3315"/>
  <c r="N333" i="3315" s="1"/>
  <c r="M338" i="3315"/>
  <c r="N338" i="3315" s="1"/>
  <c r="M344" i="3315"/>
  <c r="N344" i="3315" s="1"/>
  <c r="M349" i="3315"/>
  <c r="N349" i="3315" s="1"/>
  <c r="M354" i="3315"/>
  <c r="N354" i="3315" s="1"/>
  <c r="M368" i="3315"/>
  <c r="N368" i="3315" s="1"/>
  <c r="M373" i="3315"/>
  <c r="N373" i="3315" s="1"/>
  <c r="M378" i="3315"/>
  <c r="N378" i="3315" s="1"/>
  <c r="M384" i="3315"/>
  <c r="N384" i="3315" s="1"/>
  <c r="M389" i="3315"/>
  <c r="N389" i="3315" s="1"/>
  <c r="M394" i="3315"/>
  <c r="N394" i="3315" s="1"/>
  <c r="M400" i="3315"/>
  <c r="N400" i="3315" s="1"/>
  <c r="M405" i="3315"/>
  <c r="N405" i="3315" s="1"/>
  <c r="M410" i="3315"/>
  <c r="N410" i="3315" s="1"/>
  <c r="M416" i="3315"/>
  <c r="N416" i="3315" s="1"/>
  <c r="M421" i="3315"/>
  <c r="N421" i="3315" s="1"/>
  <c r="M426" i="3315"/>
  <c r="N426" i="3315" s="1"/>
  <c r="M432" i="3315"/>
  <c r="N432" i="3315" s="1"/>
  <c r="M437" i="3315"/>
  <c r="N437" i="3315" s="1"/>
  <c r="M442" i="3315"/>
  <c r="N442" i="3315" s="1"/>
  <c r="M448" i="3315"/>
  <c r="N448" i="3315" s="1"/>
  <c r="M453" i="3315"/>
  <c r="N453" i="3315" s="1"/>
  <c r="M459" i="3315"/>
  <c r="N459" i="3315" s="1"/>
  <c r="M467" i="3315"/>
  <c r="N467" i="3315" s="1"/>
  <c r="M473" i="3315"/>
  <c r="N473" i="3315" s="1"/>
  <c r="M483" i="3315"/>
  <c r="M499" i="3315"/>
  <c r="N499" i="3315" s="1"/>
  <c r="M510" i="3315"/>
  <c r="N510" i="3315" s="1"/>
  <c r="M518" i="3315"/>
  <c r="N518" i="3315" s="1"/>
  <c r="M529" i="3315"/>
  <c r="N529" i="3315" s="1"/>
  <c r="M538" i="3315"/>
  <c r="N538" i="3315" s="1"/>
  <c r="M547" i="3315"/>
  <c r="N547" i="3315" s="1"/>
  <c r="M558" i="3315"/>
  <c r="N558" i="3315" s="1"/>
  <c r="M566" i="3315"/>
  <c r="N566" i="3315" s="1"/>
  <c r="M576" i="3315"/>
  <c r="N576" i="3315" s="1"/>
  <c r="M587" i="3315"/>
  <c r="N587" i="3315" s="1"/>
  <c r="M598" i="3315"/>
  <c r="N598" i="3315" s="1"/>
  <c r="M612" i="3315"/>
  <c r="N612" i="3315" s="1"/>
  <c r="M628" i="3315"/>
  <c r="N628" i="3315" s="1"/>
  <c r="M640" i="3315"/>
  <c r="N640" i="3315" s="1"/>
  <c r="M663" i="3315"/>
  <c r="N663" i="3315" s="1"/>
  <c r="M697" i="3315"/>
  <c r="N697" i="3315" s="1"/>
  <c r="M721" i="3315"/>
  <c r="N721" i="3315" s="1"/>
  <c r="M751" i="3315"/>
  <c r="N751" i="3315" s="1"/>
  <c r="M783" i="3315"/>
  <c r="N783" i="3315" s="1"/>
  <c r="M807" i="3315"/>
  <c r="N807" i="3315" s="1"/>
  <c r="M835" i="3315"/>
  <c r="N835" i="3315" s="1"/>
  <c r="M868" i="3315"/>
  <c r="N868" i="3315" s="1"/>
  <c r="M892" i="3315"/>
  <c r="N892" i="3315" s="1"/>
  <c r="Q79" i="3315"/>
  <c r="R79" i="3315" s="1"/>
  <c r="Q223" i="3315"/>
  <c r="R223" i="3315" s="1"/>
  <c r="W223" i="3315" s="1"/>
  <c r="Q356" i="3315"/>
  <c r="R356" i="3315" s="1"/>
  <c r="Q498" i="3315"/>
  <c r="R498" i="3315" s="1"/>
  <c r="Q647" i="3315"/>
  <c r="R647" i="3315" s="1"/>
  <c r="M970" i="3315"/>
  <c r="N970" i="3315" s="1"/>
  <c r="M958" i="3315"/>
  <c r="N958" i="3315" s="1"/>
  <c r="M911" i="3315"/>
  <c r="N911" i="3315" s="1"/>
  <c r="M902" i="3315"/>
  <c r="N902" i="3315" s="1"/>
  <c r="M888" i="3315"/>
  <c r="N888" i="3315" s="1"/>
  <c r="M876" i="3315"/>
  <c r="N876" i="3315" s="1"/>
  <c r="M867" i="3315"/>
  <c r="N867" i="3315" s="1"/>
  <c r="M856" i="3315"/>
  <c r="N856" i="3315" s="1"/>
  <c r="M844" i="3315"/>
  <c r="N844" i="3315" s="1"/>
  <c r="M834" i="3315"/>
  <c r="N834" i="3315" s="1"/>
  <c r="M823" i="3315"/>
  <c r="N823" i="3315" s="1"/>
  <c r="M811" i="3315"/>
  <c r="N811" i="3315" s="1"/>
  <c r="M802" i="3315"/>
  <c r="N802" i="3315" s="1"/>
  <c r="M791" i="3315"/>
  <c r="N791" i="3315" s="1"/>
  <c r="M779" i="3315"/>
  <c r="N779" i="3315" s="1"/>
  <c r="M770" i="3315"/>
  <c r="N770" i="3315" s="1"/>
  <c r="M759" i="3315"/>
  <c r="N759" i="3315" s="1"/>
  <c r="M746" i="3315"/>
  <c r="N746" i="3315" s="1"/>
  <c r="M737" i="3315"/>
  <c r="N737" i="3315" s="1"/>
  <c r="M726" i="3315"/>
  <c r="N726" i="3315" s="1"/>
  <c r="M714" i="3315"/>
  <c r="N714" i="3315" s="1"/>
  <c r="M705" i="3315"/>
  <c r="N705" i="3315" s="1"/>
  <c r="M694" i="3315"/>
  <c r="N694" i="3315" s="1"/>
  <c r="M681" i="3315"/>
  <c r="N681" i="3315" s="1"/>
  <c r="M672" i="3315"/>
  <c r="N672" i="3315" s="1"/>
  <c r="M660" i="3315"/>
  <c r="N660" i="3315" s="1"/>
  <c r="M648" i="3315"/>
  <c r="N648" i="3315" s="1"/>
  <c r="M643" i="3315"/>
  <c r="N643" i="3315" s="1"/>
  <c r="M638" i="3315"/>
  <c r="N638" i="3315" s="1"/>
  <c r="M632" i="3315"/>
  <c r="N632" i="3315" s="1"/>
  <c r="M627" i="3315"/>
  <c r="N627" i="3315" s="1"/>
  <c r="M622" i="3315"/>
  <c r="N622" i="3315" s="1"/>
  <c r="M616" i="3315"/>
  <c r="N616" i="3315" s="1"/>
  <c r="M611" i="3315"/>
  <c r="N611" i="3315" s="1"/>
  <c r="M606" i="3315"/>
  <c r="N606" i="3315" s="1"/>
  <c r="M600" i="3315"/>
  <c r="N600" i="3315" s="1"/>
  <c r="M595" i="3315"/>
  <c r="N595" i="3315" s="1"/>
  <c r="M590" i="3315"/>
  <c r="N590" i="3315" s="1"/>
  <c r="M584" i="3315"/>
  <c r="N584" i="3315" s="1"/>
  <c r="M579" i="3315"/>
  <c r="N579" i="3315" s="1"/>
  <c r="M573" i="3315"/>
  <c r="N573" i="3315" s="1"/>
  <c r="M567" i="3315"/>
  <c r="N567" i="3315" s="1"/>
  <c r="M562" i="3315"/>
  <c r="N562" i="3315" s="1"/>
  <c r="M557" i="3315"/>
  <c r="N557" i="3315" s="1"/>
  <c r="M551" i="3315"/>
  <c r="N551" i="3315" s="1"/>
  <c r="M546" i="3315"/>
  <c r="N546" i="3315" s="1"/>
  <c r="M541" i="3315"/>
  <c r="N541" i="3315" s="1"/>
  <c r="M535" i="3315"/>
  <c r="N535" i="3315" s="1"/>
  <c r="M530" i="3315"/>
  <c r="N530" i="3315" s="1"/>
  <c r="M525" i="3315"/>
  <c r="N525" i="3315" s="1"/>
  <c r="M519" i="3315"/>
  <c r="N519" i="3315" s="1"/>
  <c r="M514" i="3315"/>
  <c r="N514" i="3315" s="1"/>
  <c r="M509" i="3315"/>
  <c r="N509" i="3315" s="1"/>
  <c r="M501" i="3315"/>
  <c r="N501" i="3315" s="1"/>
  <c r="M497" i="3315"/>
  <c r="N497" i="3315" s="1"/>
  <c r="M485" i="3315"/>
  <c r="N485" i="3315" s="1"/>
  <c r="M481" i="3315"/>
  <c r="N481" i="3315" s="1"/>
  <c r="M474" i="3315"/>
  <c r="N474" i="3315" s="1"/>
  <c r="M470" i="3315"/>
  <c r="N470" i="3315" s="1"/>
  <c r="M466" i="3315"/>
  <c r="N466" i="3315" s="1"/>
  <c r="M462" i="3315"/>
  <c r="N462" i="3315" s="1"/>
  <c r="M458" i="3315"/>
  <c r="N458" i="3315" s="1"/>
  <c r="M969" i="3315"/>
  <c r="N969" i="3315" s="1"/>
  <c r="M919" i="3315"/>
  <c r="N919" i="3315" s="1"/>
  <c r="M910" i="3315"/>
  <c r="N910" i="3315" s="1"/>
  <c r="M896" i="3315"/>
  <c r="N896" i="3315" s="1"/>
  <c r="M884" i="3315"/>
  <c r="N884" i="3315" s="1"/>
  <c r="M875" i="3315"/>
  <c r="N875" i="3315" s="1"/>
  <c r="M864" i="3315"/>
  <c r="N864" i="3315" s="1"/>
  <c r="M852" i="3315"/>
  <c r="N852" i="3315" s="1"/>
  <c r="M843" i="3315"/>
  <c r="N843" i="3315" s="1"/>
  <c r="M831" i="3315"/>
  <c r="N831" i="3315" s="1"/>
  <c r="M819" i="3315"/>
  <c r="N819" i="3315" s="1"/>
  <c r="M810" i="3315"/>
  <c r="N810" i="3315" s="1"/>
  <c r="M799" i="3315"/>
  <c r="N799" i="3315" s="1"/>
  <c r="M787" i="3315"/>
  <c r="N787" i="3315" s="1"/>
  <c r="M778" i="3315"/>
  <c r="N778" i="3315" s="1"/>
  <c r="M767" i="3315"/>
  <c r="N767" i="3315" s="1"/>
  <c r="M755" i="3315"/>
  <c r="N755" i="3315" s="1"/>
  <c r="M745" i="3315"/>
  <c r="N745" i="3315" s="1"/>
  <c r="M734" i="3315"/>
  <c r="N734" i="3315" s="1"/>
  <c r="M722" i="3315"/>
  <c r="N722" i="3315" s="1"/>
  <c r="M713" i="3315"/>
  <c r="N713" i="3315" s="1"/>
  <c r="M702" i="3315"/>
  <c r="N702" i="3315" s="1"/>
  <c r="M689" i="3315"/>
  <c r="N689" i="3315" s="1"/>
  <c r="M680" i="3315"/>
  <c r="N680" i="3315" s="1"/>
  <c r="M669" i="3315"/>
  <c r="N669" i="3315" s="1"/>
  <c r="M656" i="3315"/>
  <c r="N656" i="3315" s="1"/>
  <c r="M647" i="3315"/>
  <c r="N647" i="3315" s="1"/>
  <c r="M642" i="3315"/>
  <c r="N642" i="3315" s="1"/>
  <c r="M636" i="3315"/>
  <c r="N636" i="3315" s="1"/>
  <c r="M631" i="3315"/>
  <c r="N631" i="3315" s="1"/>
  <c r="M626" i="3315"/>
  <c r="N626" i="3315" s="1"/>
  <c r="M620" i="3315"/>
  <c r="N620" i="3315" s="1"/>
  <c r="M615" i="3315"/>
  <c r="N615" i="3315" s="1"/>
  <c r="M610" i="3315"/>
  <c r="N610" i="3315" s="1"/>
  <c r="M604" i="3315"/>
  <c r="N604" i="3315" s="1"/>
  <c r="M599" i="3315"/>
  <c r="N599" i="3315" s="1"/>
  <c r="M594" i="3315"/>
  <c r="N594" i="3315" s="1"/>
  <c r="M966" i="3315"/>
  <c r="N966" i="3315" s="1"/>
  <c r="M907" i="3315"/>
  <c r="N907" i="3315" s="1"/>
  <c r="N924" i="3315" s="1"/>
  <c r="M883" i="3315"/>
  <c r="N883" i="3315" s="1"/>
  <c r="M860" i="3315"/>
  <c r="N860" i="3315" s="1"/>
  <c r="M839" i="3315"/>
  <c r="N839" i="3315" s="1"/>
  <c r="M818" i="3315"/>
  <c r="N818" i="3315" s="1"/>
  <c r="M795" i="3315"/>
  <c r="N795" i="3315" s="1"/>
  <c r="M775" i="3315"/>
  <c r="N775" i="3315" s="1"/>
  <c r="M754" i="3315"/>
  <c r="N754" i="3315" s="1"/>
  <c r="M730" i="3315"/>
  <c r="N730" i="3315" s="1"/>
  <c r="M710" i="3315"/>
  <c r="N710" i="3315" s="1"/>
  <c r="M688" i="3315"/>
  <c r="N688" i="3315" s="1"/>
  <c r="M664" i="3315"/>
  <c r="N664" i="3315" s="1"/>
  <c r="M646" i="3315"/>
  <c r="N646" i="3315" s="1"/>
  <c r="M635" i="3315"/>
  <c r="N635" i="3315" s="1"/>
  <c r="M624" i="3315"/>
  <c r="N624" i="3315" s="1"/>
  <c r="M614" i="3315"/>
  <c r="N614" i="3315" s="1"/>
  <c r="M603" i="3315"/>
  <c r="N603" i="3315" s="1"/>
  <c r="M592" i="3315"/>
  <c r="N592" i="3315" s="1"/>
  <c r="M586" i="3315"/>
  <c r="N586" i="3315" s="1"/>
  <c r="M578" i="3315"/>
  <c r="N578" i="3315" s="1"/>
  <c r="M570" i="3315"/>
  <c r="N570" i="3315" s="1"/>
  <c r="M563" i="3315"/>
  <c r="N563" i="3315" s="1"/>
  <c r="M555" i="3315"/>
  <c r="N555" i="3315" s="1"/>
  <c r="M549" i="3315"/>
  <c r="N549" i="3315" s="1"/>
  <c r="M542" i="3315"/>
  <c r="N542" i="3315" s="1"/>
  <c r="M534" i="3315"/>
  <c r="N534" i="3315" s="1"/>
  <c r="M527" i="3315"/>
  <c r="N527" i="3315" s="1"/>
  <c r="M521" i="3315"/>
  <c r="N521" i="3315" s="1"/>
  <c r="M513" i="3315"/>
  <c r="N513" i="3315" s="1"/>
  <c r="M506" i="3315"/>
  <c r="N506" i="3315" s="1"/>
  <c r="M498" i="3315"/>
  <c r="N498" i="3315" s="1"/>
  <c r="M484" i="3315"/>
  <c r="N484" i="3315" s="1"/>
  <c r="M476" i="3315"/>
  <c r="N476" i="3315" s="1"/>
  <c r="M471" i="3315"/>
  <c r="N471" i="3315" s="1"/>
  <c r="M465" i="3315"/>
  <c r="N465" i="3315" s="1"/>
  <c r="M460" i="3315"/>
  <c r="N460" i="3315" s="1"/>
  <c r="M455" i="3315"/>
  <c r="N455" i="3315" s="1"/>
  <c r="M451" i="3315"/>
  <c r="N451" i="3315" s="1"/>
  <c r="M447" i="3315"/>
  <c r="N447" i="3315" s="1"/>
  <c r="M443" i="3315"/>
  <c r="N443" i="3315" s="1"/>
  <c r="M439" i="3315"/>
  <c r="N439" i="3315" s="1"/>
  <c r="M435" i="3315"/>
  <c r="N435" i="3315" s="1"/>
  <c r="M431" i="3315"/>
  <c r="N431" i="3315" s="1"/>
  <c r="M427" i="3315"/>
  <c r="N427" i="3315" s="1"/>
  <c r="M423" i="3315"/>
  <c r="N423" i="3315" s="1"/>
  <c r="M419" i="3315"/>
  <c r="N419" i="3315" s="1"/>
  <c r="M415" i="3315"/>
  <c r="N415" i="3315" s="1"/>
  <c r="M411" i="3315"/>
  <c r="N411" i="3315" s="1"/>
  <c r="M407" i="3315"/>
  <c r="N407" i="3315" s="1"/>
  <c r="M403" i="3315"/>
  <c r="N403" i="3315" s="1"/>
  <c r="M399" i="3315"/>
  <c r="N399" i="3315" s="1"/>
  <c r="M395" i="3315"/>
  <c r="N395" i="3315" s="1"/>
  <c r="M391" i="3315"/>
  <c r="N391" i="3315" s="1"/>
  <c r="M387" i="3315"/>
  <c r="N387" i="3315" s="1"/>
  <c r="M383" i="3315"/>
  <c r="N383" i="3315" s="1"/>
  <c r="M379" i="3315"/>
  <c r="N379" i="3315" s="1"/>
  <c r="M375" i="3315"/>
  <c r="N375" i="3315" s="1"/>
  <c r="M371" i="3315"/>
  <c r="N371" i="3315" s="1"/>
  <c r="M367" i="3315"/>
  <c r="N367" i="3315" s="1"/>
  <c r="M356" i="3315"/>
  <c r="N356" i="3315" s="1"/>
  <c r="M351" i="3315"/>
  <c r="N351" i="3315" s="1"/>
  <c r="M347" i="3315"/>
  <c r="N347" i="3315" s="1"/>
  <c r="M343" i="3315"/>
  <c r="N343" i="3315" s="1"/>
  <c r="M339" i="3315"/>
  <c r="N339" i="3315" s="1"/>
  <c r="M335" i="3315"/>
  <c r="N335" i="3315" s="1"/>
  <c r="M331" i="3315"/>
  <c r="N331" i="3315" s="1"/>
  <c r="M327" i="3315"/>
  <c r="N327" i="3315" s="1"/>
  <c r="M323" i="3315"/>
  <c r="N323" i="3315" s="1"/>
  <c r="M319" i="3315"/>
  <c r="N319" i="3315" s="1"/>
  <c r="M315" i="3315"/>
  <c r="N315" i="3315" s="1"/>
  <c r="M311" i="3315"/>
  <c r="N311" i="3315" s="1"/>
  <c r="M307" i="3315"/>
  <c r="N307" i="3315" s="1"/>
  <c r="M74" i="3315"/>
  <c r="N74" i="3315" s="1"/>
  <c r="V74" i="3315" s="1"/>
  <c r="M90" i="3315"/>
  <c r="N90" i="3315" s="1"/>
  <c r="M98" i="3315"/>
  <c r="N98" i="3315" s="1"/>
  <c r="M106" i="3315"/>
  <c r="N106" i="3315" s="1"/>
  <c r="M114" i="3315"/>
  <c r="N114" i="3315" s="1"/>
  <c r="M124" i="3315"/>
  <c r="N124" i="3315" s="1"/>
  <c r="M136" i="3315"/>
  <c r="N136" i="3315" s="1"/>
  <c r="M147" i="3315"/>
  <c r="N147" i="3315" s="1"/>
  <c r="M170" i="3315"/>
  <c r="N170" i="3315" s="1"/>
  <c r="M181" i="3315"/>
  <c r="N181" i="3315" s="1"/>
  <c r="M189" i="3315"/>
  <c r="N189" i="3315" s="1"/>
  <c r="M203" i="3315"/>
  <c r="N203" i="3315" s="1"/>
  <c r="M211" i="3315"/>
  <c r="N211" i="3315" s="1"/>
  <c r="M219" i="3315"/>
  <c r="N219" i="3315" s="1"/>
  <c r="M230" i="3315"/>
  <c r="N230" i="3315" s="1"/>
  <c r="M238" i="3315"/>
  <c r="N238" i="3315" s="1"/>
  <c r="M246" i="3315"/>
  <c r="N246" i="3315" s="1"/>
  <c r="M257" i="3315"/>
  <c r="N257" i="3315" s="1"/>
  <c r="M265" i="3315"/>
  <c r="N265" i="3315" s="1"/>
  <c r="M273" i="3315"/>
  <c r="N273" i="3315" s="1"/>
  <c r="M281" i="3315"/>
  <c r="N281" i="3315" s="1"/>
  <c r="M289" i="3315"/>
  <c r="N289" i="3315" s="1"/>
  <c r="M297" i="3315"/>
  <c r="N297" i="3315" s="1"/>
  <c r="M305" i="3315"/>
  <c r="N305" i="3315" s="1"/>
  <c r="M316" i="3315"/>
  <c r="N316" i="3315" s="1"/>
  <c r="M326" i="3315"/>
  <c r="N326" i="3315" s="1"/>
  <c r="M337" i="3315"/>
  <c r="N337" i="3315" s="1"/>
  <c r="M348" i="3315"/>
  <c r="N348" i="3315" s="1"/>
  <c r="M359" i="3315"/>
  <c r="N359" i="3315" s="1"/>
  <c r="M372" i="3315"/>
  <c r="N372" i="3315" s="1"/>
  <c r="M382" i="3315"/>
  <c r="N382" i="3315" s="1"/>
  <c r="M393" i="3315"/>
  <c r="N393" i="3315" s="1"/>
  <c r="M404" i="3315"/>
  <c r="N404" i="3315" s="1"/>
  <c r="M414" i="3315"/>
  <c r="N414" i="3315" s="1"/>
  <c r="M425" i="3315"/>
  <c r="N425" i="3315" s="1"/>
  <c r="M436" i="3315"/>
  <c r="N436" i="3315" s="1"/>
  <c r="M441" i="3315"/>
  <c r="N441" i="3315" s="1"/>
  <c r="M452" i="3315"/>
  <c r="N452" i="3315" s="1"/>
  <c r="M464" i="3315"/>
  <c r="N464" i="3315" s="1"/>
  <c r="M482" i="3315"/>
  <c r="N482" i="3315" s="1"/>
  <c r="M507" i="3315"/>
  <c r="N507" i="3315" s="1"/>
  <c r="M526" i="3315"/>
  <c r="N526" i="3315" s="1"/>
  <c r="M545" i="3315"/>
  <c r="N545" i="3315" s="1"/>
  <c r="M565" i="3315"/>
  <c r="N565" i="3315" s="1"/>
  <c r="M583" i="3315"/>
  <c r="N583" i="3315" s="1"/>
  <c r="M608" i="3315"/>
  <c r="N608" i="3315" s="1"/>
  <c r="M639" i="3315"/>
  <c r="N639" i="3315" s="1"/>
  <c r="M685" i="3315"/>
  <c r="N685" i="3315" s="1"/>
  <c r="M742" i="3315"/>
  <c r="N742" i="3315" s="1"/>
  <c r="M827" i="3315"/>
  <c r="N827" i="3315" s="1"/>
  <c r="M918" i="3315"/>
  <c r="N918" i="3315" s="1"/>
  <c r="Q1122" i="3315"/>
  <c r="R1122" i="3315" s="1"/>
  <c r="Q1030" i="3315"/>
  <c r="R1030" i="3315" s="1"/>
  <c r="Q865" i="3315"/>
  <c r="R865" i="3315" s="1"/>
  <c r="Q772" i="3315"/>
  <c r="R772" i="3315" s="1"/>
  <c r="Q684" i="3315"/>
  <c r="R684" i="3315" s="1"/>
  <c r="Q621" i="3315"/>
  <c r="R621" i="3315" s="1"/>
  <c r="Q581" i="3315"/>
  <c r="R581" i="3315" s="1"/>
  <c r="Q549" i="3315"/>
  <c r="R549" i="3315" s="1"/>
  <c r="Q517" i="3315"/>
  <c r="R517" i="3315" s="1"/>
  <c r="Q474" i="3315"/>
  <c r="R474" i="3315" s="1"/>
  <c r="Q442" i="3315"/>
  <c r="R442" i="3315" s="1"/>
  <c r="Q410" i="3315"/>
  <c r="R410" i="3315" s="1"/>
  <c r="Q378" i="3315"/>
  <c r="R378" i="3315" s="1"/>
  <c r="Q343" i="3315"/>
  <c r="R343" i="3315" s="1"/>
  <c r="Q311" i="3315"/>
  <c r="R311" i="3315" s="1"/>
  <c r="Q280" i="3315"/>
  <c r="R280" i="3315" s="1"/>
  <c r="Q245" i="3315"/>
  <c r="R245" i="3315" s="1"/>
  <c r="Q210" i="3315"/>
  <c r="R210" i="3315" s="1"/>
  <c r="Q170" i="3315"/>
  <c r="R170" i="3315" s="1"/>
  <c r="Q132" i="3315"/>
  <c r="R132" i="3315" s="1"/>
  <c r="Q101" i="3315"/>
  <c r="R101" i="3315" s="1"/>
  <c r="Q71" i="3315"/>
  <c r="R71" i="3315" s="1"/>
  <c r="Q779" i="3315"/>
  <c r="R779" i="3315" s="1"/>
  <c r="Q746" i="3315"/>
  <c r="R746" i="3315" s="1"/>
  <c r="Q1154" i="3315"/>
  <c r="R1154" i="3315" s="1"/>
  <c r="Q1018" i="3315"/>
  <c r="R1018" i="3315" s="1"/>
  <c r="Q855" i="3315"/>
  <c r="R855" i="3315" s="1"/>
  <c r="Q762" i="3315"/>
  <c r="R762" i="3315" s="1"/>
  <c r="Q679" i="3315"/>
  <c r="R679" i="3315" s="1"/>
  <c r="Q617" i="3315"/>
  <c r="R617" i="3315" s="1"/>
  <c r="Q578" i="3315"/>
  <c r="R578" i="3315" s="1"/>
  <c r="Q546" i="3315"/>
  <c r="R546" i="3315" s="1"/>
  <c r="Q514" i="3315"/>
  <c r="R514" i="3315" s="1"/>
  <c r="Q471" i="3315"/>
  <c r="R471" i="3315" s="1"/>
  <c r="Q439" i="3315"/>
  <c r="R439" i="3315" s="1"/>
  <c r="Q407" i="3315"/>
  <c r="R407" i="3315" s="1"/>
  <c r="Q375" i="3315"/>
  <c r="R375" i="3315" s="1"/>
  <c r="Q340" i="3315"/>
  <c r="R340" i="3315" s="1"/>
  <c r="Q308" i="3315"/>
  <c r="R308" i="3315" s="1"/>
  <c r="Q277" i="3315"/>
  <c r="R277" i="3315" s="1"/>
  <c r="Q242" i="3315"/>
  <c r="R242" i="3315" s="1"/>
  <c r="Q207" i="3315"/>
  <c r="R207" i="3315" s="1"/>
  <c r="Q167" i="3315"/>
  <c r="R167" i="3315" s="1"/>
  <c r="Q129" i="3315"/>
  <c r="R129" i="3315" s="1"/>
  <c r="Q98" i="3315"/>
  <c r="R98" i="3315" s="1"/>
  <c r="Q70" i="3315"/>
  <c r="R70" i="3315" s="1"/>
  <c r="R81" i="3315" s="1"/>
  <c r="Q777" i="3315"/>
  <c r="R777" i="3315" s="1"/>
  <c r="Q744" i="3315"/>
  <c r="R744" i="3315" s="1"/>
  <c r="Q920" i="3315"/>
  <c r="R920" i="3315" s="1"/>
  <c r="Q711" i="3315"/>
  <c r="R711" i="3315" s="1"/>
  <c r="Q596" i="3315"/>
  <c r="R596" i="3315" s="1"/>
  <c r="Q530" i="3315"/>
  <c r="R530" i="3315" s="1"/>
  <c r="Q455" i="3315"/>
  <c r="R455" i="3315" s="1"/>
  <c r="Q391" i="3315"/>
  <c r="R391" i="3315" s="1"/>
  <c r="Q324" i="3315"/>
  <c r="R324" i="3315" s="1"/>
  <c r="Q261" i="3315"/>
  <c r="R261" i="3315" s="1"/>
  <c r="Q186" i="3315"/>
  <c r="R186" i="3315" s="1"/>
  <c r="Q113" i="3315"/>
  <c r="R113" i="3315" s="1"/>
  <c r="Q793" i="3315"/>
  <c r="R793" i="3315" s="1"/>
  <c r="Q728" i="3315"/>
  <c r="R728" i="3315" s="1"/>
  <c r="Q1098" i="3315"/>
  <c r="R1098" i="3315" s="1"/>
  <c r="Q822" i="3315"/>
  <c r="R822" i="3315" s="1"/>
  <c r="Q652" i="3315"/>
  <c r="R652" i="3315" s="1"/>
  <c r="Q565" i="3315"/>
  <c r="R565" i="3315" s="1"/>
  <c r="Q501" i="3315"/>
  <c r="R501" i="3315" s="1"/>
  <c r="Q426" i="3315"/>
  <c r="R426" i="3315" s="1"/>
  <c r="Q359" i="3315"/>
  <c r="R359" i="3315" s="1"/>
  <c r="Q295" i="3315"/>
  <c r="R295" i="3315" s="1"/>
  <c r="Q226" i="3315"/>
  <c r="R226" i="3315" s="1"/>
  <c r="Q151" i="3315"/>
  <c r="R151" i="3315" s="1"/>
  <c r="Q85" i="3315"/>
  <c r="R85" i="3315" s="1"/>
  <c r="Q763" i="3315"/>
  <c r="R763" i="3315" s="1"/>
  <c r="M72" i="3315"/>
  <c r="N72" i="3315" s="1"/>
  <c r="N81" i="3315" s="1"/>
  <c r="M80" i="3315"/>
  <c r="N80" i="3315" s="1"/>
  <c r="M88" i="3315"/>
  <c r="N88" i="3315" s="1"/>
  <c r="M92" i="3315"/>
  <c r="N92" i="3315" s="1"/>
  <c r="M96" i="3315"/>
  <c r="N96" i="3315" s="1"/>
  <c r="M100" i="3315"/>
  <c r="N100" i="3315" s="1"/>
  <c r="M104" i="3315"/>
  <c r="N104" i="3315" s="1"/>
  <c r="M108" i="3315"/>
  <c r="N108" i="3315" s="1"/>
  <c r="M112" i="3315"/>
  <c r="N112" i="3315" s="1"/>
  <c r="M116" i="3315"/>
  <c r="N116" i="3315" s="1"/>
  <c r="M122" i="3315"/>
  <c r="N122" i="3315" s="1"/>
  <c r="M126" i="3315"/>
  <c r="N126" i="3315" s="1"/>
  <c r="M130" i="3315"/>
  <c r="N130" i="3315" s="1"/>
  <c r="M134" i="3315"/>
  <c r="N134" i="3315" s="1"/>
  <c r="M141" i="3315"/>
  <c r="N141" i="3315" s="1"/>
  <c r="M145" i="3315"/>
  <c r="N145" i="3315" s="1"/>
  <c r="M164" i="3315"/>
  <c r="N164" i="3315" s="1"/>
  <c r="N173" i="3315" s="1"/>
  <c r="M168" i="3315"/>
  <c r="N168" i="3315" s="1"/>
  <c r="M172" i="3315"/>
  <c r="N172" i="3315" s="1"/>
  <c r="M179" i="3315"/>
  <c r="N179" i="3315" s="1"/>
  <c r="M183" i="3315"/>
  <c r="N183" i="3315" s="1"/>
  <c r="M187" i="3315"/>
  <c r="N187" i="3315" s="1"/>
  <c r="M191" i="3315"/>
  <c r="N191" i="3315" s="1"/>
  <c r="M201" i="3315"/>
  <c r="N201" i="3315" s="1"/>
  <c r="M205" i="3315"/>
  <c r="N205" i="3315" s="1"/>
  <c r="M209" i="3315"/>
  <c r="N209" i="3315" s="1"/>
  <c r="M213" i="3315"/>
  <c r="N213" i="3315" s="1"/>
  <c r="M217" i="3315"/>
  <c r="N217" i="3315" s="1"/>
  <c r="M221" i="3315"/>
  <c r="N221" i="3315" s="1"/>
  <c r="M225" i="3315"/>
  <c r="N225" i="3315" s="1"/>
  <c r="M232" i="3315"/>
  <c r="N232" i="3315" s="1"/>
  <c r="M236" i="3315"/>
  <c r="N236" i="3315" s="1"/>
  <c r="M240" i="3315"/>
  <c r="N240" i="3315" s="1"/>
  <c r="M244" i="3315"/>
  <c r="N244" i="3315" s="1"/>
  <c r="M251" i="3315"/>
  <c r="N251" i="3315" s="1"/>
  <c r="M255" i="3315"/>
  <c r="N255" i="3315" s="1"/>
  <c r="M259" i="3315"/>
  <c r="N259" i="3315" s="1"/>
  <c r="M263" i="3315"/>
  <c r="N263" i="3315" s="1"/>
  <c r="M267" i="3315"/>
  <c r="N267" i="3315" s="1"/>
  <c r="M271" i="3315"/>
  <c r="N271" i="3315" s="1"/>
  <c r="M275" i="3315"/>
  <c r="N275" i="3315" s="1"/>
  <c r="M279" i="3315"/>
  <c r="N279" i="3315" s="1"/>
  <c r="M283" i="3315"/>
  <c r="N283" i="3315" s="1"/>
  <c r="M287" i="3315"/>
  <c r="N287" i="3315" s="1"/>
  <c r="M291" i="3315"/>
  <c r="N291" i="3315" s="1"/>
  <c r="M295" i="3315"/>
  <c r="N295" i="3315" s="1"/>
  <c r="M299" i="3315"/>
  <c r="N299" i="3315" s="1"/>
  <c r="M303" i="3315"/>
  <c r="N303" i="3315" s="1"/>
  <c r="M308" i="3315"/>
  <c r="N308" i="3315" s="1"/>
  <c r="M313" i="3315"/>
  <c r="N313" i="3315" s="1"/>
  <c r="M318" i="3315"/>
  <c r="N318" i="3315" s="1"/>
  <c r="M324" i="3315"/>
  <c r="N324" i="3315" s="1"/>
  <c r="M329" i="3315"/>
  <c r="N329" i="3315" s="1"/>
  <c r="M334" i="3315"/>
  <c r="N334" i="3315" s="1"/>
  <c r="M340" i="3315"/>
  <c r="N340" i="3315" s="1"/>
  <c r="M345" i="3315"/>
  <c r="N345" i="3315" s="1"/>
  <c r="M350" i="3315"/>
  <c r="N350" i="3315" s="1"/>
  <c r="M357" i="3315"/>
  <c r="N357" i="3315" s="1"/>
  <c r="M364" i="3315"/>
  <c r="M369" i="3315"/>
  <c r="N369" i="3315" s="1"/>
  <c r="M374" i="3315"/>
  <c r="N374" i="3315" s="1"/>
  <c r="M380" i="3315"/>
  <c r="N380" i="3315" s="1"/>
  <c r="M385" i="3315"/>
  <c r="N385" i="3315" s="1"/>
  <c r="M390" i="3315"/>
  <c r="N390" i="3315" s="1"/>
  <c r="M396" i="3315"/>
  <c r="N396" i="3315" s="1"/>
  <c r="M401" i="3315"/>
  <c r="N401" i="3315" s="1"/>
  <c r="M406" i="3315"/>
  <c r="N406" i="3315" s="1"/>
  <c r="M412" i="3315"/>
  <c r="N412" i="3315" s="1"/>
  <c r="M417" i="3315"/>
  <c r="N417" i="3315" s="1"/>
  <c r="M422" i="3315"/>
  <c r="N422" i="3315" s="1"/>
  <c r="M428" i="3315"/>
  <c r="N428" i="3315" s="1"/>
  <c r="M433" i="3315"/>
  <c r="N433" i="3315" s="1"/>
  <c r="M438" i="3315"/>
  <c r="N438" i="3315" s="1"/>
  <c r="M444" i="3315"/>
  <c r="N444" i="3315" s="1"/>
  <c r="M449" i="3315"/>
  <c r="N449" i="3315" s="1"/>
  <c r="M454" i="3315"/>
  <c r="N454" i="3315" s="1"/>
  <c r="M461" i="3315"/>
  <c r="N461" i="3315" s="1"/>
  <c r="M468" i="3315"/>
  <c r="N468" i="3315" s="1"/>
  <c r="M475" i="3315"/>
  <c r="N475" i="3315" s="1"/>
  <c r="M486" i="3315"/>
  <c r="N486" i="3315" s="1"/>
  <c r="M500" i="3315"/>
  <c r="N500" i="3315" s="1"/>
  <c r="M511" i="3315"/>
  <c r="N511" i="3315" s="1"/>
  <c r="M522" i="3315"/>
  <c r="N522" i="3315" s="1"/>
  <c r="M531" i="3315"/>
  <c r="N531" i="3315" s="1"/>
  <c r="M539" i="3315"/>
  <c r="N539" i="3315" s="1"/>
  <c r="M550" i="3315"/>
  <c r="N550" i="3315" s="1"/>
  <c r="M559" i="3315"/>
  <c r="N559" i="3315" s="1"/>
  <c r="M569" i="3315"/>
  <c r="N569" i="3315" s="1"/>
  <c r="M580" i="3315"/>
  <c r="N580" i="3315" s="1"/>
  <c r="M588" i="3315"/>
  <c r="N588" i="3315" s="1"/>
  <c r="M602" i="3315"/>
  <c r="N602" i="3315" s="1"/>
  <c r="M618" i="3315"/>
  <c r="N618" i="3315" s="1"/>
  <c r="M630" i="3315"/>
  <c r="N630" i="3315" s="1"/>
  <c r="M644" i="3315"/>
  <c r="N644" i="3315" s="1"/>
  <c r="M673" i="3315"/>
  <c r="N673" i="3315" s="1"/>
  <c r="M698" i="3315"/>
  <c r="N698" i="3315" s="1"/>
  <c r="M729" i="3315"/>
  <c r="N729" i="3315" s="1"/>
  <c r="M762" i="3315"/>
  <c r="N762" i="3315" s="1"/>
  <c r="M786" i="3315"/>
  <c r="N786" i="3315" s="1"/>
  <c r="M815" i="3315"/>
  <c r="N815" i="3315" s="1"/>
  <c r="M848" i="3315"/>
  <c r="N848" i="3315" s="1"/>
  <c r="M872" i="3315"/>
  <c r="N872" i="3315" s="1"/>
  <c r="M903" i="3315"/>
  <c r="N903" i="3315" s="1"/>
  <c r="M976" i="3315"/>
  <c r="N976" i="3315" s="1"/>
  <c r="Q730" i="3315"/>
  <c r="R730" i="3315" s="1"/>
  <c r="Q116" i="3315"/>
  <c r="R116" i="3315" s="1"/>
  <c r="Q264" i="3315"/>
  <c r="R264" i="3315" s="1"/>
  <c r="Q394" i="3315"/>
  <c r="R394" i="3315" s="1"/>
  <c r="Q533" i="3315"/>
  <c r="R533" i="3315" s="1"/>
  <c r="Q716" i="3315"/>
  <c r="R716" i="3315" s="1"/>
  <c r="M748" i="3315"/>
  <c r="N748" i="3315" s="1"/>
  <c r="M973" i="3315"/>
  <c r="N973" i="3315" s="1"/>
  <c r="M968" i="3315"/>
  <c r="N968" i="3315" s="1"/>
  <c r="M963" i="3315"/>
  <c r="N963" i="3315" s="1"/>
  <c r="M957" i="3315"/>
  <c r="N957" i="3315" s="1"/>
  <c r="M921" i="3315"/>
  <c r="N921" i="3315" s="1"/>
  <c r="M917" i="3315"/>
  <c r="N917" i="3315" s="1"/>
  <c r="M913" i="3315"/>
  <c r="N913" i="3315" s="1"/>
  <c r="M909" i="3315"/>
  <c r="N909" i="3315" s="1"/>
  <c r="M905" i="3315"/>
  <c r="N905" i="3315" s="1"/>
  <c r="M901" i="3315"/>
  <c r="N901" i="3315" s="1"/>
  <c r="M894" i="3315"/>
  <c r="N894" i="3315" s="1"/>
  <c r="M890" i="3315"/>
  <c r="N890" i="3315" s="1"/>
  <c r="M886" i="3315"/>
  <c r="N886" i="3315" s="1"/>
  <c r="M882" i="3315"/>
  <c r="N882" i="3315" s="1"/>
  <c r="M878" i="3315"/>
  <c r="N878" i="3315" s="1"/>
  <c r="M874" i="3315"/>
  <c r="N874" i="3315" s="1"/>
  <c r="M870" i="3315"/>
  <c r="N870" i="3315" s="1"/>
  <c r="M866" i="3315"/>
  <c r="N866" i="3315" s="1"/>
  <c r="M862" i="3315"/>
  <c r="N862" i="3315" s="1"/>
  <c r="M858" i="3315"/>
  <c r="N858" i="3315" s="1"/>
  <c r="M854" i="3315"/>
  <c r="N854" i="3315" s="1"/>
  <c r="M850" i="3315"/>
  <c r="N850" i="3315" s="1"/>
  <c r="M846" i="3315"/>
  <c r="N846" i="3315" s="1"/>
  <c r="M842" i="3315"/>
  <c r="N842" i="3315" s="1"/>
  <c r="M837" i="3315"/>
  <c r="N837" i="3315" s="1"/>
  <c r="M833" i="3315"/>
  <c r="N833" i="3315" s="1"/>
  <c r="M829" i="3315"/>
  <c r="N829" i="3315" s="1"/>
  <c r="M825" i="3315"/>
  <c r="N825" i="3315" s="1"/>
  <c r="M821" i="3315"/>
  <c r="N821" i="3315" s="1"/>
  <c r="M817" i="3315"/>
  <c r="N817" i="3315" s="1"/>
  <c r="M813" i="3315"/>
  <c r="N813" i="3315" s="1"/>
  <c r="M809" i="3315"/>
  <c r="N809" i="3315" s="1"/>
  <c r="M805" i="3315"/>
  <c r="N805" i="3315" s="1"/>
  <c r="M801" i="3315"/>
  <c r="N801" i="3315" s="1"/>
  <c r="M797" i="3315"/>
  <c r="N797" i="3315" s="1"/>
  <c r="M793" i="3315"/>
  <c r="N793" i="3315" s="1"/>
  <c r="M789" i="3315"/>
  <c r="N789" i="3315" s="1"/>
  <c r="M785" i="3315"/>
  <c r="N785" i="3315" s="1"/>
  <c r="M781" i="3315"/>
  <c r="N781" i="3315" s="1"/>
  <c r="M777" i="3315"/>
  <c r="N777" i="3315" s="1"/>
  <c r="M773" i="3315"/>
  <c r="N773" i="3315" s="1"/>
  <c r="M769" i="3315"/>
  <c r="N769" i="3315" s="1"/>
  <c r="M765" i="3315"/>
  <c r="N765" i="3315" s="1"/>
  <c r="M761" i="3315"/>
  <c r="N761" i="3315" s="1"/>
  <c r="M757" i="3315"/>
  <c r="N757" i="3315" s="1"/>
  <c r="M753" i="3315"/>
  <c r="N753" i="3315" s="1"/>
  <c r="M749" i="3315"/>
  <c r="N749" i="3315" s="1"/>
  <c r="M744" i="3315"/>
  <c r="N744" i="3315" s="1"/>
  <c r="M740" i="3315"/>
  <c r="N740" i="3315" s="1"/>
  <c r="M736" i="3315"/>
  <c r="N736" i="3315" s="1"/>
  <c r="M732" i="3315"/>
  <c r="N732" i="3315" s="1"/>
  <c r="M728" i="3315"/>
  <c r="N728" i="3315" s="1"/>
  <c r="M724" i="3315"/>
  <c r="N724" i="3315" s="1"/>
  <c r="M720" i="3315"/>
  <c r="N720" i="3315" s="1"/>
  <c r="M716" i="3315"/>
  <c r="N716" i="3315" s="1"/>
  <c r="M712" i="3315"/>
  <c r="N712" i="3315" s="1"/>
  <c r="M708" i="3315"/>
  <c r="N708" i="3315" s="1"/>
  <c r="M704" i="3315"/>
  <c r="N704" i="3315" s="1"/>
  <c r="M700" i="3315"/>
  <c r="N700" i="3315" s="1"/>
  <c r="M696" i="3315"/>
  <c r="N696" i="3315" s="1"/>
  <c r="M691" i="3315"/>
  <c r="N691" i="3315" s="1"/>
  <c r="M687" i="3315"/>
  <c r="N687" i="3315" s="1"/>
  <c r="M683" i="3315"/>
  <c r="N683" i="3315" s="1"/>
  <c r="M679" i="3315"/>
  <c r="N679" i="3315" s="1"/>
  <c r="M675" i="3315"/>
  <c r="N675" i="3315" s="1"/>
  <c r="M671" i="3315"/>
  <c r="N671" i="3315" s="1"/>
  <c r="M666" i="3315"/>
  <c r="N666" i="3315" s="1"/>
  <c r="M662" i="3315"/>
  <c r="N662" i="3315" s="1"/>
  <c r="M658" i="3315"/>
  <c r="N658" i="3315" s="1"/>
  <c r="M654" i="3315"/>
  <c r="N654" i="3315" s="1"/>
  <c r="M650" i="3315"/>
  <c r="N650" i="3315" s="1"/>
  <c r="M840" i="3315"/>
  <c r="N840" i="3315" s="1"/>
  <c r="M971" i="3315"/>
  <c r="N971" i="3315" s="1"/>
  <c r="M967" i="3315"/>
  <c r="N967" i="3315" s="1"/>
  <c r="M962" i="3315"/>
  <c r="N962" i="3315" s="1"/>
  <c r="M923" i="3315"/>
  <c r="N923" i="3315" s="1"/>
  <c r="M920" i="3315"/>
  <c r="N920" i="3315" s="1"/>
  <c r="M916" i="3315"/>
  <c r="N916" i="3315" s="1"/>
  <c r="M912" i="3315"/>
  <c r="N912" i="3315" s="1"/>
  <c r="M908" i="3315"/>
  <c r="N908" i="3315" s="1"/>
  <c r="M904" i="3315"/>
  <c r="N904" i="3315" s="1"/>
  <c r="M900" i="3315"/>
  <c r="N900" i="3315" s="1"/>
  <c r="M893" i="3315"/>
  <c r="N893" i="3315" s="1"/>
  <c r="M889" i="3315"/>
  <c r="N889" i="3315" s="1"/>
  <c r="M885" i="3315"/>
  <c r="N885" i="3315" s="1"/>
  <c r="M881" i="3315"/>
  <c r="N881" i="3315" s="1"/>
  <c r="M877" i="3315"/>
  <c r="N877" i="3315" s="1"/>
  <c r="M873" i="3315"/>
  <c r="N873" i="3315" s="1"/>
  <c r="M869" i="3315"/>
  <c r="N869" i="3315" s="1"/>
  <c r="M865" i="3315"/>
  <c r="N865" i="3315" s="1"/>
  <c r="M861" i="3315"/>
  <c r="N861" i="3315" s="1"/>
  <c r="M857" i="3315"/>
  <c r="N857" i="3315" s="1"/>
  <c r="M853" i="3315"/>
  <c r="N853" i="3315" s="1"/>
  <c r="M849" i="3315"/>
  <c r="N849" i="3315" s="1"/>
  <c r="M845" i="3315"/>
  <c r="N845" i="3315" s="1"/>
  <c r="M841" i="3315"/>
  <c r="N841" i="3315" s="1"/>
  <c r="M836" i="3315"/>
  <c r="N836" i="3315" s="1"/>
  <c r="M832" i="3315"/>
  <c r="N832" i="3315" s="1"/>
  <c r="M828" i="3315"/>
  <c r="N828" i="3315" s="1"/>
  <c r="M824" i="3315"/>
  <c r="N824" i="3315" s="1"/>
  <c r="M820" i="3315"/>
  <c r="N820" i="3315" s="1"/>
  <c r="M816" i="3315"/>
  <c r="N816" i="3315" s="1"/>
  <c r="M812" i="3315"/>
  <c r="N812" i="3315" s="1"/>
  <c r="M808" i="3315"/>
  <c r="N808" i="3315" s="1"/>
  <c r="M804" i="3315"/>
  <c r="N804" i="3315" s="1"/>
  <c r="M800" i="3315"/>
  <c r="N800" i="3315" s="1"/>
  <c r="M796" i="3315"/>
  <c r="N796" i="3315" s="1"/>
  <c r="M792" i="3315"/>
  <c r="N792" i="3315" s="1"/>
  <c r="M788" i="3315"/>
  <c r="N788" i="3315" s="1"/>
  <c r="M784" i="3315"/>
  <c r="N784" i="3315" s="1"/>
  <c r="M780" i="3315"/>
  <c r="N780" i="3315" s="1"/>
  <c r="M776" i="3315"/>
  <c r="N776" i="3315" s="1"/>
  <c r="M772" i="3315"/>
  <c r="N772" i="3315" s="1"/>
  <c r="M768" i="3315"/>
  <c r="N768" i="3315" s="1"/>
  <c r="M764" i="3315"/>
  <c r="N764" i="3315" s="1"/>
  <c r="M760" i="3315"/>
  <c r="N760" i="3315" s="1"/>
  <c r="M756" i="3315"/>
  <c r="N756" i="3315" s="1"/>
  <c r="M752" i="3315"/>
  <c r="N752" i="3315" s="1"/>
  <c r="M747" i="3315"/>
  <c r="N747" i="3315" s="1"/>
  <c r="M743" i="3315"/>
  <c r="N743" i="3315" s="1"/>
  <c r="M739" i="3315"/>
  <c r="N739" i="3315" s="1"/>
  <c r="M735" i="3315"/>
  <c r="N735" i="3315" s="1"/>
  <c r="M731" i="3315"/>
  <c r="N731" i="3315" s="1"/>
  <c r="M727" i="3315"/>
  <c r="N727" i="3315" s="1"/>
  <c r="M723" i="3315"/>
  <c r="N723" i="3315" s="1"/>
  <c r="M719" i="3315"/>
  <c r="N719" i="3315" s="1"/>
  <c r="M715" i="3315"/>
  <c r="N715" i="3315" s="1"/>
  <c r="M711" i="3315"/>
  <c r="N711" i="3315" s="1"/>
  <c r="M707" i="3315"/>
  <c r="N707" i="3315" s="1"/>
  <c r="M703" i="3315"/>
  <c r="N703" i="3315" s="1"/>
  <c r="M699" i="3315"/>
  <c r="N699" i="3315" s="1"/>
  <c r="M695" i="3315"/>
  <c r="N695" i="3315" s="1"/>
  <c r="M690" i="3315"/>
  <c r="N690" i="3315" s="1"/>
  <c r="M686" i="3315"/>
  <c r="N686" i="3315" s="1"/>
  <c r="M682" i="3315"/>
  <c r="N682" i="3315" s="1"/>
  <c r="M678" i="3315"/>
  <c r="N678" i="3315" s="1"/>
  <c r="M674" i="3315"/>
  <c r="N674" i="3315" s="1"/>
  <c r="M670" i="3315"/>
  <c r="N670" i="3315" s="1"/>
  <c r="M665" i="3315"/>
  <c r="N665" i="3315" s="1"/>
  <c r="M661" i="3315"/>
  <c r="N661" i="3315" s="1"/>
  <c r="M657" i="3315"/>
  <c r="N657" i="3315" s="1"/>
  <c r="M653" i="3315"/>
  <c r="N653" i="3315" s="1"/>
  <c r="M649" i="3315"/>
  <c r="N649" i="3315" s="1"/>
  <c r="Q736" i="3315"/>
  <c r="R736" i="3315" s="1"/>
  <c r="Q753" i="3315"/>
  <c r="R753" i="3315" s="1"/>
  <c r="Q769" i="3315"/>
  <c r="R769" i="3315" s="1"/>
  <c r="Q785" i="3315"/>
  <c r="R785" i="3315" s="1"/>
  <c r="Q801" i="3315"/>
  <c r="R801" i="3315" s="1"/>
  <c r="Q74" i="3315"/>
  <c r="R74" i="3315" s="1"/>
  <c r="Q90" i="3315"/>
  <c r="R90" i="3315" s="1"/>
  <c r="Q105" i="3315"/>
  <c r="R105" i="3315" s="1"/>
  <c r="Q121" i="3315"/>
  <c r="R121" i="3315" s="1"/>
  <c r="Q137" i="3315"/>
  <c r="R137" i="3315" s="1"/>
  <c r="Q156" i="3315"/>
  <c r="R156" i="3315" s="1"/>
  <c r="Q178" i="3315"/>
  <c r="R178" i="3315" s="1"/>
  <c r="Q194" i="3315"/>
  <c r="R194" i="3315" s="1"/>
  <c r="Q215" i="3315"/>
  <c r="R215" i="3315" s="1"/>
  <c r="Q234" i="3315"/>
  <c r="R234" i="3315" s="1"/>
  <c r="Q253" i="3315"/>
  <c r="R253" i="3315" s="1"/>
  <c r="Q269" i="3315"/>
  <c r="R269" i="3315" s="1"/>
  <c r="Q284" i="3315"/>
  <c r="R284" i="3315" s="1"/>
  <c r="Q300" i="3315"/>
  <c r="R300" i="3315" s="1"/>
  <c r="Q316" i="3315"/>
  <c r="R316" i="3315" s="1"/>
  <c r="Q332" i="3315"/>
  <c r="R332" i="3315" s="1"/>
  <c r="Q348" i="3315"/>
  <c r="R348" i="3315" s="1"/>
  <c r="Q367" i="3315"/>
  <c r="R367" i="3315" s="1"/>
  <c r="W367" i="3315" s="1"/>
  <c r="Q383" i="3315"/>
  <c r="R383" i="3315" s="1"/>
  <c r="Q399" i="3315"/>
  <c r="R399" i="3315" s="1"/>
  <c r="Q415" i="3315"/>
  <c r="R415" i="3315" s="1"/>
  <c r="Q431" i="3315"/>
  <c r="R431" i="3315" s="1"/>
  <c r="Q447" i="3315"/>
  <c r="R447" i="3315" s="1"/>
  <c r="Q463" i="3315"/>
  <c r="R463" i="3315" s="1"/>
  <c r="Q482" i="3315"/>
  <c r="R482" i="3315" s="1"/>
  <c r="Q506" i="3315"/>
  <c r="R506" i="3315" s="1"/>
  <c r="Q522" i="3315"/>
  <c r="R522" i="3315" s="1"/>
  <c r="Q538" i="3315"/>
  <c r="R538" i="3315" s="1"/>
  <c r="Q554" i="3315"/>
  <c r="R554" i="3315" s="1"/>
  <c r="Q570" i="3315"/>
  <c r="R570" i="3315" s="1"/>
  <c r="Q586" i="3315"/>
  <c r="R586" i="3315" s="1"/>
  <c r="Q607" i="3315"/>
  <c r="R607" i="3315" s="1"/>
  <c r="Q631" i="3315"/>
  <c r="R631" i="3315" s="1"/>
  <c r="Q663" i="3315"/>
  <c r="R663" i="3315" s="1"/>
  <c r="Q695" i="3315"/>
  <c r="R695" i="3315" s="1"/>
  <c r="Q729" i="3315"/>
  <c r="R729" i="3315" s="1"/>
  <c r="Q794" i="3315"/>
  <c r="R794" i="3315" s="1"/>
  <c r="Q834" i="3315"/>
  <c r="R834" i="3315" s="1"/>
  <c r="Q886" i="3315"/>
  <c r="R886" i="3315" s="1"/>
  <c r="Q985" i="3315"/>
  <c r="R985" i="3315" s="1"/>
  <c r="Q1051" i="3315"/>
  <c r="R1051" i="3315" s="1"/>
  <c r="Q73" i="3315"/>
  <c r="R73" i="3315" s="1"/>
  <c r="Q1156" i="3315"/>
  <c r="R1156" i="3315" s="1"/>
  <c r="Q1152" i="3315"/>
  <c r="R1152" i="3315" s="1"/>
  <c r="Q1148" i="3315"/>
  <c r="R1148" i="3315" s="1"/>
  <c r="Q1144" i="3315"/>
  <c r="R1144" i="3315" s="1"/>
  <c r="Q1140" i="3315"/>
  <c r="R1140" i="3315" s="1"/>
  <c r="Q1136" i="3315"/>
  <c r="R1136" i="3315" s="1"/>
  <c r="Q1132" i="3315"/>
  <c r="R1132" i="3315" s="1"/>
  <c r="Q1128" i="3315"/>
  <c r="R1128" i="3315" s="1"/>
  <c r="Q1124" i="3315"/>
  <c r="R1124" i="3315" s="1"/>
  <c r="Q1120" i="3315"/>
  <c r="R1120" i="3315" s="1"/>
  <c r="Q1116" i="3315"/>
  <c r="R1116" i="3315" s="1"/>
  <c r="Q1109" i="3315"/>
  <c r="R1109" i="3315" s="1"/>
  <c r="Q1105" i="3315"/>
  <c r="R1105" i="3315" s="1"/>
  <c r="Q1101" i="3315"/>
  <c r="R1101" i="3315" s="1"/>
  <c r="Q1097" i="3315"/>
  <c r="R1097" i="3315" s="1"/>
  <c r="Q1093" i="3315"/>
  <c r="R1093" i="3315" s="1"/>
  <c r="W1093" i="3315" s="1"/>
  <c r="Q1089" i="3315"/>
  <c r="R1089" i="3315" s="1"/>
  <c r="W1089" i="3315" s="1"/>
  <c r="Q1085" i="3315"/>
  <c r="R1085" i="3315" s="1"/>
  <c r="Q1081" i="3315"/>
  <c r="R1081" i="3315" s="1"/>
  <c r="Q1075" i="3315"/>
  <c r="R1075" i="3315" s="1"/>
  <c r="Q1070" i="3315"/>
  <c r="R1070" i="3315" s="1"/>
  <c r="Q1066" i="3315"/>
  <c r="R1066" i="3315" s="1"/>
  <c r="Q1062" i="3315"/>
  <c r="R1062" i="3315" s="1"/>
  <c r="Q1058" i="3315"/>
  <c r="R1058" i="3315" s="1"/>
  <c r="Q1053" i="3315"/>
  <c r="R1053" i="3315" s="1"/>
  <c r="Q1049" i="3315"/>
  <c r="R1049" i="3315" s="1"/>
  <c r="Q1045" i="3315"/>
  <c r="R1045" i="3315" s="1"/>
  <c r="Q1041" i="3315"/>
  <c r="R1041" i="3315" s="1"/>
  <c r="Q1037" i="3315"/>
  <c r="R1037" i="3315" s="1"/>
  <c r="Q1033" i="3315"/>
  <c r="R1033" i="3315" s="1"/>
  <c r="Q1029" i="3315"/>
  <c r="R1029" i="3315" s="1"/>
  <c r="Q1025" i="3315"/>
  <c r="R1025" i="3315" s="1"/>
  <c r="Q1020" i="3315"/>
  <c r="R1020" i="3315" s="1"/>
  <c r="Q1016" i="3315"/>
  <c r="R1016" i="3315" s="1"/>
  <c r="Q1012" i="3315"/>
  <c r="R1012" i="3315" s="1"/>
  <c r="Q1008" i="3315"/>
  <c r="R1008" i="3315" s="1"/>
  <c r="Q1004" i="3315"/>
  <c r="R1004" i="3315" s="1"/>
  <c r="Q1000" i="3315"/>
  <c r="R1000" i="3315" s="1"/>
  <c r="Q995" i="3315"/>
  <c r="R995" i="3315" s="1"/>
  <c r="Q991" i="3315"/>
  <c r="R991" i="3315" s="1"/>
  <c r="Q987" i="3315"/>
  <c r="R987" i="3315" s="1"/>
  <c r="Q983" i="3315"/>
  <c r="Q976" i="3315"/>
  <c r="R976" i="3315" s="1"/>
  <c r="Q972" i="3315"/>
  <c r="R972" i="3315" s="1"/>
  <c r="Q968" i="3315"/>
  <c r="R968" i="3315" s="1"/>
  <c r="Q964" i="3315"/>
  <c r="R964" i="3315" s="1"/>
  <c r="Q960" i="3315"/>
  <c r="R960" i="3315" s="1"/>
  <c r="Q956" i="3315"/>
  <c r="R956" i="3315" s="1"/>
  <c r="Q922" i="3315"/>
  <c r="R922" i="3315" s="1"/>
  <c r="Q918" i="3315"/>
  <c r="R918" i="3315" s="1"/>
  <c r="Q914" i="3315"/>
  <c r="R914" i="3315" s="1"/>
  <c r="Q910" i="3315"/>
  <c r="R910" i="3315" s="1"/>
  <c r="Q906" i="3315"/>
  <c r="R906" i="3315" s="1"/>
  <c r="Q902" i="3315"/>
  <c r="Q895" i="3315"/>
  <c r="R895" i="3315" s="1"/>
  <c r="Q891" i="3315"/>
  <c r="R891" i="3315" s="1"/>
  <c r="Q884" i="3315"/>
  <c r="R884" i="3315" s="1"/>
  <c r="Q880" i="3315"/>
  <c r="R880" i="3315" s="1"/>
  <c r="Q876" i="3315"/>
  <c r="R876" i="3315" s="1"/>
  <c r="Q872" i="3315"/>
  <c r="R872" i="3315" s="1"/>
  <c r="Q868" i="3315"/>
  <c r="R868" i="3315" s="1"/>
  <c r="Q864" i="3315"/>
  <c r="R864" i="3315" s="1"/>
  <c r="Q860" i="3315"/>
  <c r="R860" i="3315" s="1"/>
  <c r="Q856" i="3315"/>
  <c r="R856" i="3315" s="1"/>
  <c r="Q852" i="3315"/>
  <c r="R852" i="3315" s="1"/>
  <c r="Q848" i="3315"/>
  <c r="R848" i="3315" s="1"/>
  <c r="Q844" i="3315"/>
  <c r="R844" i="3315" s="1"/>
  <c r="Q840" i="3315"/>
  <c r="R840" i="3315" s="1"/>
  <c r="Q836" i="3315"/>
  <c r="R836" i="3315" s="1"/>
  <c r="Q832" i="3315"/>
  <c r="R832" i="3315" s="1"/>
  <c r="Q748" i="3315"/>
  <c r="R748" i="3315" s="1"/>
  <c r="Q1155" i="3315"/>
  <c r="R1155" i="3315" s="1"/>
  <c r="W1155" i="3315" s="1"/>
  <c r="Q1151" i="3315"/>
  <c r="R1151" i="3315" s="1"/>
  <c r="Q1147" i="3315"/>
  <c r="R1147" i="3315" s="1"/>
  <c r="Q1143" i="3315"/>
  <c r="R1143" i="3315" s="1"/>
  <c r="Q1139" i="3315"/>
  <c r="R1139" i="3315" s="1"/>
  <c r="Q1135" i="3315"/>
  <c r="R1135" i="3315" s="1"/>
  <c r="Q1131" i="3315"/>
  <c r="R1131" i="3315" s="1"/>
  <c r="Q1127" i="3315"/>
  <c r="R1127" i="3315" s="1"/>
  <c r="Q1123" i="3315"/>
  <c r="R1123" i="3315" s="1"/>
  <c r="Q1119" i="3315"/>
  <c r="R1119" i="3315" s="1"/>
  <c r="Q1115" i="3315"/>
  <c r="R1115" i="3315" s="1"/>
  <c r="Q1108" i="3315"/>
  <c r="R1108" i="3315" s="1"/>
  <c r="Q1104" i="3315"/>
  <c r="R1104" i="3315" s="1"/>
  <c r="Q1100" i="3315"/>
  <c r="R1100" i="3315" s="1"/>
  <c r="Q1096" i="3315"/>
  <c r="R1096" i="3315" s="1"/>
  <c r="Q1092" i="3315"/>
  <c r="R1092" i="3315" s="1"/>
  <c r="Q1088" i="3315"/>
  <c r="R1088" i="3315" s="1"/>
  <c r="W1088" i="3315" s="1"/>
  <c r="Q1084" i="3315"/>
  <c r="R1084" i="3315" s="1"/>
  <c r="Q1080" i="3315"/>
  <c r="R1080" i="3315" s="1"/>
  <c r="Q1074" i="3315"/>
  <c r="R1074" i="3315" s="1"/>
  <c r="Q1069" i="3315"/>
  <c r="R1069" i="3315" s="1"/>
  <c r="Q1065" i="3315"/>
  <c r="R1065" i="3315" s="1"/>
  <c r="Q1061" i="3315"/>
  <c r="R1061" i="3315" s="1"/>
  <c r="Q1056" i="3315"/>
  <c r="R1056" i="3315" s="1"/>
  <c r="Q1052" i="3315"/>
  <c r="R1052" i="3315" s="1"/>
  <c r="Q1048" i="3315"/>
  <c r="R1048" i="3315" s="1"/>
  <c r="Q1044" i="3315"/>
  <c r="R1044" i="3315" s="1"/>
  <c r="Q1040" i="3315"/>
  <c r="R1040" i="3315" s="1"/>
  <c r="Q1036" i="3315"/>
  <c r="R1036" i="3315" s="1"/>
  <c r="Q1032" i="3315"/>
  <c r="R1032" i="3315" s="1"/>
  <c r="Q1028" i="3315"/>
  <c r="R1028" i="3315" s="1"/>
  <c r="Q1024" i="3315"/>
  <c r="R1024" i="3315" s="1"/>
  <c r="Q1019" i="3315"/>
  <c r="R1019" i="3315" s="1"/>
  <c r="Q1015" i="3315"/>
  <c r="R1015" i="3315" s="1"/>
  <c r="Q1011" i="3315"/>
  <c r="R1011" i="3315" s="1"/>
  <c r="Q1007" i="3315"/>
  <c r="R1007" i="3315" s="1"/>
  <c r="Q1003" i="3315"/>
  <c r="R1003" i="3315" s="1"/>
  <c r="Q999" i="3315"/>
  <c r="R999" i="3315" s="1"/>
  <c r="Q994" i="3315"/>
  <c r="R994" i="3315" s="1"/>
  <c r="Q990" i="3315"/>
  <c r="R990" i="3315" s="1"/>
  <c r="Q986" i="3315"/>
  <c r="R986" i="3315" s="1"/>
  <c r="Q982" i="3315"/>
  <c r="R982" i="3315" s="1"/>
  <c r="Q975" i="3315"/>
  <c r="R975" i="3315" s="1"/>
  <c r="Q971" i="3315"/>
  <c r="R971" i="3315" s="1"/>
  <c r="Q967" i="3315"/>
  <c r="R967" i="3315" s="1"/>
  <c r="Q963" i="3315"/>
  <c r="R963" i="3315" s="1"/>
  <c r="Q959" i="3315"/>
  <c r="R959" i="3315" s="1"/>
  <c r="Q926" i="3315"/>
  <c r="R926" i="3315" s="1"/>
  <c r="Q921" i="3315"/>
  <c r="R921" i="3315" s="1"/>
  <c r="Q917" i="3315"/>
  <c r="R917" i="3315" s="1"/>
  <c r="Q913" i="3315"/>
  <c r="R913" i="3315" s="1"/>
  <c r="Q909" i="3315"/>
  <c r="R909" i="3315" s="1"/>
  <c r="Q905" i="3315"/>
  <c r="R905" i="3315" s="1"/>
  <c r="Q901" i="3315"/>
  <c r="R901" i="3315" s="1"/>
  <c r="Q894" i="3315"/>
  <c r="R894" i="3315" s="1"/>
  <c r="Q890" i="3315"/>
  <c r="R890" i="3315" s="1"/>
  <c r="Q887" i="3315"/>
  <c r="R887" i="3315" s="1"/>
  <c r="Q883" i="3315"/>
  <c r="R883" i="3315" s="1"/>
  <c r="Q879" i="3315"/>
  <c r="R879" i="3315" s="1"/>
  <c r="Q875" i="3315"/>
  <c r="R875" i="3315" s="1"/>
  <c r="Q871" i="3315"/>
  <c r="R871" i="3315" s="1"/>
  <c r="Q867" i="3315"/>
  <c r="R867" i="3315" s="1"/>
  <c r="Q863" i="3315"/>
  <c r="R863" i="3315" s="1"/>
  <c r="Q859" i="3315"/>
  <c r="R859" i="3315" s="1"/>
  <c r="Q1153" i="3315"/>
  <c r="R1153" i="3315" s="1"/>
  <c r="Q1145" i="3315"/>
  <c r="R1145" i="3315" s="1"/>
  <c r="Q1137" i="3315"/>
  <c r="R1137" i="3315" s="1"/>
  <c r="Q1129" i="3315"/>
  <c r="R1129" i="3315" s="1"/>
  <c r="Q1121" i="3315"/>
  <c r="R1121" i="3315" s="1"/>
  <c r="Q1110" i="3315"/>
  <c r="R1110" i="3315" s="1"/>
  <c r="Q1102" i="3315"/>
  <c r="R1102" i="3315" s="1"/>
  <c r="Q1094" i="3315"/>
  <c r="R1094" i="3315" s="1"/>
  <c r="Q1086" i="3315"/>
  <c r="R1086" i="3315" s="1"/>
  <c r="Q1078" i="3315"/>
  <c r="R1078" i="3315" s="1"/>
  <c r="Q1067" i="3315"/>
  <c r="R1067" i="3315" s="1"/>
  <c r="Q1059" i="3315"/>
  <c r="R1059" i="3315" s="1"/>
  <c r="Q1050" i="3315"/>
  <c r="R1050" i="3315" s="1"/>
  <c r="Q1042" i="3315"/>
  <c r="R1042" i="3315" s="1"/>
  <c r="Q1034" i="3315"/>
  <c r="R1034" i="3315" s="1"/>
  <c r="Q1026" i="3315"/>
  <c r="R1026" i="3315" s="1"/>
  <c r="Q1017" i="3315"/>
  <c r="R1017" i="3315" s="1"/>
  <c r="Q1009" i="3315"/>
  <c r="R1009" i="3315" s="1"/>
  <c r="Q1001" i="3315"/>
  <c r="R1001" i="3315" s="1"/>
  <c r="Q992" i="3315"/>
  <c r="R992" i="3315" s="1"/>
  <c r="Q984" i="3315"/>
  <c r="R984" i="3315" s="1"/>
  <c r="Q973" i="3315"/>
  <c r="R973" i="3315" s="1"/>
  <c r="Q965" i="3315"/>
  <c r="R965" i="3315" s="1"/>
  <c r="Q957" i="3315"/>
  <c r="R957" i="3315" s="1"/>
  <c r="Q919" i="3315"/>
  <c r="R919" i="3315" s="1"/>
  <c r="Q911" i="3315"/>
  <c r="R911" i="3315" s="1"/>
  <c r="Q903" i="3315"/>
  <c r="R903" i="3315" s="1"/>
  <c r="Q892" i="3315"/>
  <c r="R892" i="3315" s="1"/>
  <c r="Q885" i="3315"/>
  <c r="R885" i="3315" s="1"/>
  <c r="Q877" i="3315"/>
  <c r="R877" i="3315" s="1"/>
  <c r="Q869" i="3315"/>
  <c r="R869" i="3315" s="1"/>
  <c r="Q861" i="3315"/>
  <c r="R861" i="3315" s="1"/>
  <c r="Q854" i="3315"/>
  <c r="R854" i="3315" s="1"/>
  <c r="Q849" i="3315"/>
  <c r="R849" i="3315" s="1"/>
  <c r="Q843" i="3315"/>
  <c r="R843" i="3315" s="1"/>
  <c r="Q838" i="3315"/>
  <c r="R838" i="3315" s="1"/>
  <c r="Q833" i="3315"/>
  <c r="R833" i="3315" s="1"/>
  <c r="Q828" i="3315"/>
  <c r="R828" i="3315" s="1"/>
  <c r="Q824" i="3315"/>
  <c r="R824" i="3315" s="1"/>
  <c r="Q820" i="3315"/>
  <c r="R820" i="3315" s="1"/>
  <c r="Q816" i="3315"/>
  <c r="R816" i="3315" s="1"/>
  <c r="Q812" i="3315"/>
  <c r="R812" i="3315" s="1"/>
  <c r="Q808" i="3315"/>
  <c r="R808" i="3315" s="1"/>
  <c r="Q800" i="3315"/>
  <c r="R800" i="3315" s="1"/>
  <c r="Q792" i="3315"/>
  <c r="R792" i="3315" s="1"/>
  <c r="Q784" i="3315"/>
  <c r="R784" i="3315" s="1"/>
  <c r="Q776" i="3315"/>
  <c r="R776" i="3315" s="1"/>
  <c r="Q768" i="3315"/>
  <c r="R768" i="3315" s="1"/>
  <c r="Q760" i="3315"/>
  <c r="R760" i="3315" s="1"/>
  <c r="Q752" i="3315"/>
  <c r="R752" i="3315" s="1"/>
  <c r="Q743" i="3315"/>
  <c r="R743" i="3315" s="1"/>
  <c r="Q735" i="3315"/>
  <c r="R735" i="3315" s="1"/>
  <c r="Q727" i="3315"/>
  <c r="R727" i="3315" s="1"/>
  <c r="Q722" i="3315"/>
  <c r="R722" i="3315" s="1"/>
  <c r="Q718" i="3315"/>
  <c r="R718" i="3315" s="1"/>
  <c r="Q714" i="3315"/>
  <c r="R714" i="3315" s="1"/>
  <c r="Q710" i="3315"/>
  <c r="R710" i="3315" s="1"/>
  <c r="Q706" i="3315"/>
  <c r="R706" i="3315" s="1"/>
  <c r="Q702" i="3315"/>
  <c r="R702" i="3315" s="1"/>
  <c r="Q698" i="3315"/>
  <c r="R698" i="3315" s="1"/>
  <c r="Q694" i="3315"/>
  <c r="R694" i="3315" s="1"/>
  <c r="Q690" i="3315"/>
  <c r="R690" i="3315" s="1"/>
  <c r="Q686" i="3315"/>
  <c r="R686" i="3315" s="1"/>
  <c r="Q682" i="3315"/>
  <c r="R682" i="3315" s="1"/>
  <c r="Q678" i="3315"/>
  <c r="R678" i="3315" s="1"/>
  <c r="Q674" i="3315"/>
  <c r="R674" i="3315" s="1"/>
  <c r="Q670" i="3315"/>
  <c r="R670" i="3315" s="1"/>
  <c r="Q666" i="3315"/>
  <c r="R666" i="3315" s="1"/>
  <c r="Q662" i="3315"/>
  <c r="R662" i="3315" s="1"/>
  <c r="Q658" i="3315"/>
  <c r="R658" i="3315" s="1"/>
  <c r="Q654" i="3315"/>
  <c r="R654" i="3315" s="1"/>
  <c r="Q650" i="3315"/>
  <c r="R650" i="3315" s="1"/>
  <c r="Q646" i="3315"/>
  <c r="R646" i="3315" s="1"/>
  <c r="Q642" i="3315"/>
  <c r="R642" i="3315" s="1"/>
  <c r="Q638" i="3315"/>
  <c r="R638" i="3315" s="1"/>
  <c r="Q634" i="3315"/>
  <c r="R634" i="3315" s="1"/>
  <c r="Q630" i="3315"/>
  <c r="R630" i="3315" s="1"/>
  <c r="Q626" i="3315"/>
  <c r="R626" i="3315" s="1"/>
  <c r="Q622" i="3315"/>
  <c r="R622" i="3315" s="1"/>
  <c r="Q618" i="3315"/>
  <c r="R618" i="3315" s="1"/>
  <c r="Q614" i="3315"/>
  <c r="R614" i="3315" s="1"/>
  <c r="Q610" i="3315"/>
  <c r="R610" i="3315" s="1"/>
  <c r="Q606" i="3315"/>
  <c r="R606" i="3315" s="1"/>
  <c r="Q602" i="3315"/>
  <c r="R602" i="3315" s="1"/>
  <c r="Q598" i="3315"/>
  <c r="R598" i="3315" s="1"/>
  <c r="Q594" i="3315"/>
  <c r="R594" i="3315" s="1"/>
  <c r="Q590" i="3315"/>
  <c r="R590" i="3315" s="1"/>
  <c r="Q1158" i="3315"/>
  <c r="R1158" i="3315" s="1"/>
  <c r="Q1150" i="3315"/>
  <c r="R1150" i="3315" s="1"/>
  <c r="Q1142" i="3315"/>
  <c r="R1142" i="3315" s="1"/>
  <c r="Q1134" i="3315"/>
  <c r="R1134" i="3315" s="1"/>
  <c r="Q1126" i="3315"/>
  <c r="R1126" i="3315" s="1"/>
  <c r="Q1118" i="3315"/>
  <c r="R1118" i="3315" s="1"/>
  <c r="Q1107" i="3315"/>
  <c r="R1107" i="3315" s="1"/>
  <c r="Q1099" i="3315"/>
  <c r="R1099" i="3315" s="1"/>
  <c r="Q1091" i="3315"/>
  <c r="R1091" i="3315" s="1"/>
  <c r="Q1083" i="3315"/>
  <c r="R1083" i="3315" s="1"/>
  <c r="Q1072" i="3315"/>
  <c r="R1072" i="3315" s="1"/>
  <c r="Q1064" i="3315"/>
  <c r="R1064" i="3315" s="1"/>
  <c r="Q1055" i="3315"/>
  <c r="R1055" i="3315" s="1"/>
  <c r="Q1047" i="3315"/>
  <c r="R1047" i="3315" s="1"/>
  <c r="Q1039" i="3315"/>
  <c r="R1039" i="3315" s="1"/>
  <c r="Q1031" i="3315"/>
  <c r="R1031" i="3315" s="1"/>
  <c r="Q1023" i="3315"/>
  <c r="R1023" i="3315" s="1"/>
  <c r="Q1014" i="3315"/>
  <c r="R1014" i="3315" s="1"/>
  <c r="Q1006" i="3315"/>
  <c r="R1006" i="3315" s="1"/>
  <c r="Q998" i="3315"/>
  <c r="R998" i="3315" s="1"/>
  <c r="Q989" i="3315"/>
  <c r="R989" i="3315" s="1"/>
  <c r="Q981" i="3315"/>
  <c r="R981" i="3315" s="1"/>
  <c r="Q970" i="3315"/>
  <c r="R970" i="3315" s="1"/>
  <c r="Q962" i="3315"/>
  <c r="R962" i="3315" s="1"/>
  <c r="Q69" i="3315"/>
  <c r="R69" i="3315" s="1"/>
  <c r="Q916" i="3315"/>
  <c r="R916" i="3315" s="1"/>
  <c r="Q908" i="3315"/>
  <c r="R908" i="3315" s="1"/>
  <c r="Q900" i="3315"/>
  <c r="R900" i="3315" s="1"/>
  <c r="Q889" i="3315"/>
  <c r="R889" i="3315" s="1"/>
  <c r="Q882" i="3315"/>
  <c r="R882" i="3315" s="1"/>
  <c r="Q874" i="3315"/>
  <c r="R874" i="3315" s="1"/>
  <c r="Q866" i="3315"/>
  <c r="R866" i="3315" s="1"/>
  <c r="Q858" i="3315"/>
  <c r="R858" i="3315" s="1"/>
  <c r="Q853" i="3315"/>
  <c r="R853" i="3315" s="1"/>
  <c r="Q847" i="3315"/>
  <c r="R847" i="3315" s="1"/>
  <c r="Q842" i="3315"/>
  <c r="R842" i="3315" s="1"/>
  <c r="Q837" i="3315"/>
  <c r="R837" i="3315" s="1"/>
  <c r="Q831" i="3315"/>
  <c r="R831" i="3315" s="1"/>
  <c r="Q827" i="3315"/>
  <c r="R827" i="3315" s="1"/>
  <c r="Q823" i="3315"/>
  <c r="R823" i="3315" s="1"/>
  <c r="Q819" i="3315"/>
  <c r="R819" i="3315" s="1"/>
  <c r="Q815" i="3315"/>
  <c r="R815" i="3315" s="1"/>
  <c r="Q811" i="3315"/>
  <c r="R811" i="3315" s="1"/>
  <c r="Q806" i="3315"/>
  <c r="R806" i="3315" s="1"/>
  <c r="Q798" i="3315"/>
  <c r="R798" i="3315" s="1"/>
  <c r="Q790" i="3315"/>
  <c r="R790" i="3315" s="1"/>
  <c r="Q782" i="3315"/>
  <c r="R782" i="3315" s="1"/>
  <c r="Q774" i="3315"/>
  <c r="R774" i="3315" s="1"/>
  <c r="Q766" i="3315"/>
  <c r="R766" i="3315" s="1"/>
  <c r="Q758" i="3315"/>
  <c r="R758" i="3315" s="1"/>
  <c r="Q750" i="3315"/>
  <c r="R750" i="3315" s="1"/>
  <c r="Q741" i="3315"/>
  <c r="R741" i="3315" s="1"/>
  <c r="Q733" i="3315"/>
  <c r="R733" i="3315" s="1"/>
  <c r="Q725" i="3315"/>
  <c r="R725" i="3315" s="1"/>
  <c r="Q721" i="3315"/>
  <c r="R721" i="3315" s="1"/>
  <c r="Q717" i="3315"/>
  <c r="R717" i="3315" s="1"/>
  <c r="Q713" i="3315"/>
  <c r="R713" i="3315" s="1"/>
  <c r="Q709" i="3315"/>
  <c r="R709" i="3315" s="1"/>
  <c r="Q705" i="3315"/>
  <c r="R705" i="3315" s="1"/>
  <c r="Q701" i="3315"/>
  <c r="R701" i="3315" s="1"/>
  <c r="Q697" i="3315"/>
  <c r="R697" i="3315" s="1"/>
  <c r="Q693" i="3315"/>
  <c r="R693" i="3315" s="1"/>
  <c r="Q689" i="3315"/>
  <c r="R689" i="3315" s="1"/>
  <c r="Q685" i="3315"/>
  <c r="R685" i="3315" s="1"/>
  <c r="Q681" i="3315"/>
  <c r="R681" i="3315" s="1"/>
  <c r="Q677" i="3315"/>
  <c r="R677" i="3315" s="1"/>
  <c r="Q673" i="3315"/>
  <c r="R673" i="3315" s="1"/>
  <c r="Q669" i="3315"/>
  <c r="R669" i="3315" s="1"/>
  <c r="Q665" i="3315"/>
  <c r="R665" i="3315" s="1"/>
  <c r="Q661" i="3315"/>
  <c r="R661" i="3315" s="1"/>
  <c r="Q657" i="3315"/>
  <c r="R657" i="3315" s="1"/>
  <c r="Q653" i="3315"/>
  <c r="R653" i="3315" s="1"/>
  <c r="Q649" i="3315"/>
  <c r="R649" i="3315" s="1"/>
  <c r="Q645" i="3315"/>
  <c r="R645" i="3315" s="1"/>
  <c r="Q641" i="3315"/>
  <c r="R641" i="3315" s="1"/>
  <c r="Q637" i="3315"/>
  <c r="R637" i="3315" s="1"/>
  <c r="Q633" i="3315"/>
  <c r="R633" i="3315" s="1"/>
  <c r="Q629" i="3315"/>
  <c r="R629" i="3315" s="1"/>
  <c r="Q625" i="3315"/>
  <c r="R625" i="3315" s="1"/>
  <c r="Q1146" i="3315"/>
  <c r="R1146" i="3315" s="1"/>
  <c r="Q1130" i="3315"/>
  <c r="R1130" i="3315" s="1"/>
  <c r="Q1111" i="3315"/>
  <c r="R1111" i="3315" s="1"/>
  <c r="Q1095" i="3315"/>
  <c r="R1095" i="3315" s="1"/>
  <c r="W1095" i="3315" s="1"/>
  <c r="Q1079" i="3315"/>
  <c r="R1079" i="3315" s="1"/>
  <c r="Q1060" i="3315"/>
  <c r="R1060" i="3315" s="1"/>
  <c r="Q1043" i="3315"/>
  <c r="R1043" i="3315" s="1"/>
  <c r="Q1027" i="3315"/>
  <c r="R1027" i="3315" s="1"/>
  <c r="Q1010" i="3315"/>
  <c r="R1010" i="3315" s="1"/>
  <c r="Q993" i="3315"/>
  <c r="R993" i="3315" s="1"/>
  <c r="Q974" i="3315"/>
  <c r="R974" i="3315" s="1"/>
  <c r="Q958" i="3315"/>
  <c r="R958" i="3315" s="1"/>
  <c r="Q912" i="3315"/>
  <c r="R912" i="3315" s="1"/>
  <c r="Q893" i="3315"/>
  <c r="R893" i="3315" s="1"/>
  <c r="Q878" i="3315"/>
  <c r="R878" i="3315" s="1"/>
  <c r="Q862" i="3315"/>
  <c r="R862" i="3315" s="1"/>
  <c r="Q850" i="3315"/>
  <c r="R850" i="3315" s="1"/>
  <c r="Q839" i="3315"/>
  <c r="R839" i="3315" s="1"/>
  <c r="Q829" i="3315"/>
  <c r="R829" i="3315" s="1"/>
  <c r="Q821" i="3315"/>
  <c r="R821" i="3315" s="1"/>
  <c r="Q813" i="3315"/>
  <c r="R813" i="3315" s="1"/>
  <c r="Q802" i="3315"/>
  <c r="R802" i="3315" s="1"/>
  <c r="Q786" i="3315"/>
  <c r="R786" i="3315" s="1"/>
  <c r="Q770" i="3315"/>
  <c r="R770" i="3315" s="1"/>
  <c r="Q754" i="3315"/>
  <c r="R754" i="3315" s="1"/>
  <c r="Q737" i="3315"/>
  <c r="R737" i="3315" s="1"/>
  <c r="Q723" i="3315"/>
  <c r="R723" i="3315" s="1"/>
  <c r="Q715" i="3315"/>
  <c r="R715" i="3315" s="1"/>
  <c r="Q707" i="3315"/>
  <c r="R707" i="3315" s="1"/>
  <c r="Q699" i="3315"/>
  <c r="R699" i="3315" s="1"/>
  <c r="Q691" i="3315"/>
  <c r="R691" i="3315" s="1"/>
  <c r="Q683" i="3315"/>
  <c r="R683" i="3315" s="1"/>
  <c r="Q675" i="3315"/>
  <c r="R675" i="3315" s="1"/>
  <c r="Q667" i="3315"/>
  <c r="R667" i="3315" s="1"/>
  <c r="Q659" i="3315"/>
  <c r="R659" i="3315" s="1"/>
  <c r="Q651" i="3315"/>
  <c r="R651" i="3315" s="1"/>
  <c r="Q643" i="3315"/>
  <c r="R643" i="3315" s="1"/>
  <c r="Q635" i="3315"/>
  <c r="R635" i="3315" s="1"/>
  <c r="Q627" i="3315"/>
  <c r="R627" i="3315" s="1"/>
  <c r="Q620" i="3315"/>
  <c r="R620" i="3315" s="1"/>
  <c r="Q615" i="3315"/>
  <c r="R615" i="3315" s="1"/>
  <c r="Q609" i="3315"/>
  <c r="R609" i="3315" s="1"/>
  <c r="Q604" i="3315"/>
  <c r="R604" i="3315" s="1"/>
  <c r="Q599" i="3315"/>
  <c r="R599" i="3315" s="1"/>
  <c r="Q593" i="3315"/>
  <c r="R593" i="3315" s="1"/>
  <c r="Q588" i="3315"/>
  <c r="R588" i="3315" s="1"/>
  <c r="Q584" i="3315"/>
  <c r="R584" i="3315" s="1"/>
  <c r="Q580" i="3315"/>
  <c r="R580" i="3315" s="1"/>
  <c r="Q576" i="3315"/>
  <c r="R576" i="3315" s="1"/>
  <c r="Q572" i="3315"/>
  <c r="R572" i="3315" s="1"/>
  <c r="Q568" i="3315"/>
  <c r="R568" i="3315" s="1"/>
  <c r="Q564" i="3315"/>
  <c r="R564" i="3315" s="1"/>
  <c r="Q560" i="3315"/>
  <c r="R560" i="3315" s="1"/>
  <c r="Q556" i="3315"/>
  <c r="R556" i="3315" s="1"/>
  <c r="Q552" i="3315"/>
  <c r="R552" i="3315" s="1"/>
  <c r="Q548" i="3315"/>
  <c r="R548" i="3315" s="1"/>
  <c r="Q544" i="3315"/>
  <c r="R544" i="3315" s="1"/>
  <c r="Q540" i="3315"/>
  <c r="R540" i="3315" s="1"/>
  <c r="Q536" i="3315"/>
  <c r="R536" i="3315" s="1"/>
  <c r="Q532" i="3315"/>
  <c r="R532" i="3315" s="1"/>
  <c r="Q528" i="3315"/>
  <c r="R528" i="3315" s="1"/>
  <c r="Q524" i="3315"/>
  <c r="R524" i="3315" s="1"/>
  <c r="Q520" i="3315"/>
  <c r="R520" i="3315" s="1"/>
  <c r="Q516" i="3315"/>
  <c r="R516" i="3315" s="1"/>
  <c r="Q512" i="3315"/>
  <c r="R512" i="3315" s="1"/>
  <c r="Q508" i="3315"/>
  <c r="R508" i="3315" s="1"/>
  <c r="Q504" i="3315"/>
  <c r="R504" i="3315" s="1"/>
  <c r="Q500" i="3315"/>
  <c r="R500" i="3315" s="1"/>
  <c r="Q496" i="3315"/>
  <c r="R496" i="3315" s="1"/>
  <c r="Q484" i="3315"/>
  <c r="R484" i="3315" s="1"/>
  <c r="Q477" i="3315"/>
  <c r="R477" i="3315" s="1"/>
  <c r="Q473" i="3315"/>
  <c r="R473" i="3315" s="1"/>
  <c r="Q469" i="3315"/>
  <c r="R469" i="3315" s="1"/>
  <c r="Q465" i="3315"/>
  <c r="R465" i="3315" s="1"/>
  <c r="Q461" i="3315"/>
  <c r="R461" i="3315" s="1"/>
  <c r="Q457" i="3315"/>
  <c r="R457" i="3315" s="1"/>
  <c r="Q453" i="3315"/>
  <c r="R453" i="3315" s="1"/>
  <c r="Q449" i="3315"/>
  <c r="R449" i="3315" s="1"/>
  <c r="Q445" i="3315"/>
  <c r="R445" i="3315" s="1"/>
  <c r="Q441" i="3315"/>
  <c r="R441" i="3315" s="1"/>
  <c r="Q437" i="3315"/>
  <c r="R437" i="3315" s="1"/>
  <c r="Q433" i="3315"/>
  <c r="R433" i="3315" s="1"/>
  <c r="Q429" i="3315"/>
  <c r="R429" i="3315" s="1"/>
  <c r="Q425" i="3315"/>
  <c r="R425" i="3315" s="1"/>
  <c r="Q421" i="3315"/>
  <c r="R421" i="3315" s="1"/>
  <c r="Q417" i="3315"/>
  <c r="R417" i="3315" s="1"/>
  <c r="Q413" i="3315"/>
  <c r="R413" i="3315" s="1"/>
  <c r="Q409" i="3315"/>
  <c r="R409" i="3315" s="1"/>
  <c r="Q405" i="3315"/>
  <c r="R405" i="3315" s="1"/>
  <c r="Q401" i="3315"/>
  <c r="R401" i="3315" s="1"/>
  <c r="Q397" i="3315"/>
  <c r="R397" i="3315" s="1"/>
  <c r="Q393" i="3315"/>
  <c r="R393" i="3315" s="1"/>
  <c r="Q389" i="3315"/>
  <c r="R389" i="3315" s="1"/>
  <c r="Q385" i="3315"/>
  <c r="R385" i="3315" s="1"/>
  <c r="Q381" i="3315"/>
  <c r="R381" i="3315" s="1"/>
  <c r="Q377" i="3315"/>
  <c r="R377" i="3315" s="1"/>
  <c r="Q373" i="3315"/>
  <c r="R373" i="3315" s="1"/>
  <c r="Q369" i="3315"/>
  <c r="R369" i="3315" s="1"/>
  <c r="Q365" i="3315"/>
  <c r="R365" i="3315" s="1"/>
  <c r="Q358" i="3315"/>
  <c r="R358" i="3315" s="1"/>
  <c r="Q354" i="3315"/>
  <c r="R354" i="3315" s="1"/>
  <c r="Q350" i="3315"/>
  <c r="R350" i="3315" s="1"/>
  <c r="Q346" i="3315"/>
  <c r="R346" i="3315" s="1"/>
  <c r="Q342" i="3315"/>
  <c r="R342" i="3315" s="1"/>
  <c r="Q338" i="3315"/>
  <c r="R338" i="3315" s="1"/>
  <c r="Q334" i="3315"/>
  <c r="R334" i="3315" s="1"/>
  <c r="Q330" i="3315"/>
  <c r="R330" i="3315" s="1"/>
  <c r="Q326" i="3315"/>
  <c r="R326" i="3315" s="1"/>
  <c r="Q322" i="3315"/>
  <c r="R322" i="3315" s="1"/>
  <c r="Q318" i="3315"/>
  <c r="R318" i="3315" s="1"/>
  <c r="Q314" i="3315"/>
  <c r="R314" i="3315" s="1"/>
  <c r="Q310" i="3315"/>
  <c r="R310" i="3315" s="1"/>
  <c r="Q306" i="3315"/>
  <c r="R306" i="3315" s="1"/>
  <c r="Q302" i="3315"/>
  <c r="R302" i="3315" s="1"/>
  <c r="Q298" i="3315"/>
  <c r="R298" i="3315" s="1"/>
  <c r="Q294" i="3315"/>
  <c r="R294" i="3315" s="1"/>
  <c r="Q290" i="3315"/>
  <c r="R290" i="3315" s="1"/>
  <c r="Q286" i="3315"/>
  <c r="R286" i="3315" s="1"/>
  <c r="Q282" i="3315"/>
  <c r="R282" i="3315" s="1"/>
  <c r="Q279" i="3315"/>
  <c r="R279" i="3315" s="1"/>
  <c r="Q275" i="3315"/>
  <c r="R275" i="3315" s="1"/>
  <c r="Q271" i="3315"/>
  <c r="R271" i="3315" s="1"/>
  <c r="Q267" i="3315"/>
  <c r="R267" i="3315" s="1"/>
  <c r="Q263" i="3315"/>
  <c r="R263" i="3315" s="1"/>
  <c r="Q259" i="3315"/>
  <c r="R259" i="3315" s="1"/>
  <c r="Q255" i="3315"/>
  <c r="R255" i="3315" s="1"/>
  <c r="Q251" i="3315"/>
  <c r="R251" i="3315" s="1"/>
  <c r="Q244" i="3315"/>
  <c r="R244" i="3315" s="1"/>
  <c r="Q240" i="3315"/>
  <c r="R240" i="3315" s="1"/>
  <c r="Q236" i="3315"/>
  <c r="R236" i="3315" s="1"/>
  <c r="Q232" i="3315"/>
  <c r="R232" i="3315" s="1"/>
  <c r="R248" i="3315" s="1"/>
  <c r="Q225" i="3315"/>
  <c r="R225" i="3315" s="1"/>
  <c r="Q221" i="3315"/>
  <c r="R221" i="3315" s="1"/>
  <c r="Q217" i="3315"/>
  <c r="R217" i="3315" s="1"/>
  <c r="Q213" i="3315"/>
  <c r="R213" i="3315" s="1"/>
  <c r="Q209" i="3315"/>
  <c r="R209" i="3315" s="1"/>
  <c r="Q205" i="3315"/>
  <c r="R205" i="3315" s="1"/>
  <c r="Q201" i="3315"/>
  <c r="Q192" i="3315"/>
  <c r="R192" i="3315" s="1"/>
  <c r="Q188" i="3315"/>
  <c r="R188" i="3315" s="1"/>
  <c r="Q184" i="3315"/>
  <c r="R184" i="3315" s="1"/>
  <c r="Q180" i="3315"/>
  <c r="R180" i="3315" s="1"/>
  <c r="Q176" i="3315"/>
  <c r="R176" i="3315" s="1"/>
  <c r="Q169" i="3315"/>
  <c r="R169" i="3315" s="1"/>
  <c r="Q165" i="3315"/>
  <c r="Q158" i="3315"/>
  <c r="R158" i="3315" s="1"/>
  <c r="Q154" i="3315"/>
  <c r="R154" i="3315" s="1"/>
  <c r="Q150" i="3315"/>
  <c r="R150" i="3315" s="1"/>
  <c r="Q146" i="3315"/>
  <c r="R146" i="3315" s="1"/>
  <c r="Q142" i="3315"/>
  <c r="R142" i="3315" s="1"/>
  <c r="Q135" i="3315"/>
  <c r="R135" i="3315" s="1"/>
  <c r="Q131" i="3315"/>
  <c r="R131" i="3315" s="1"/>
  <c r="Q127" i="3315"/>
  <c r="R127" i="3315" s="1"/>
  <c r="Q123" i="3315"/>
  <c r="R123" i="3315" s="1"/>
  <c r="Q119" i="3315"/>
  <c r="R119" i="3315" s="1"/>
  <c r="Q115" i="3315"/>
  <c r="R115" i="3315" s="1"/>
  <c r="Q111" i="3315"/>
  <c r="R111" i="3315" s="1"/>
  <c r="Q107" i="3315"/>
  <c r="R107" i="3315" s="1"/>
  <c r="Q100" i="3315"/>
  <c r="R100" i="3315" s="1"/>
  <c r="Q96" i="3315"/>
  <c r="R96" i="3315" s="1"/>
  <c r="W96" i="3315" s="1"/>
  <c r="Q92" i="3315"/>
  <c r="R92" i="3315" s="1"/>
  <c r="Q88" i="3315"/>
  <c r="R88" i="3315" s="1"/>
  <c r="Q84" i="3315"/>
  <c r="Q77" i="3315"/>
  <c r="R77" i="3315" s="1"/>
  <c r="Q1157" i="3315"/>
  <c r="R1157" i="3315" s="1"/>
  <c r="Q1141" i="3315"/>
  <c r="R1141" i="3315" s="1"/>
  <c r="Q1125" i="3315"/>
  <c r="R1125" i="3315" s="1"/>
  <c r="Q1106" i="3315"/>
  <c r="R1106" i="3315" s="1"/>
  <c r="Q1090" i="3315"/>
  <c r="R1090" i="3315" s="1"/>
  <c r="Q1071" i="3315"/>
  <c r="R1071" i="3315" s="1"/>
  <c r="Q1054" i="3315"/>
  <c r="R1054" i="3315" s="1"/>
  <c r="Q1038" i="3315"/>
  <c r="R1038" i="3315" s="1"/>
  <c r="Q1021" i="3315"/>
  <c r="R1021" i="3315" s="1"/>
  <c r="Q1005" i="3315"/>
  <c r="R1005" i="3315" s="1"/>
  <c r="Q988" i="3315"/>
  <c r="R988" i="3315" s="1"/>
  <c r="Q969" i="3315"/>
  <c r="R969" i="3315" s="1"/>
  <c r="Q923" i="3315"/>
  <c r="R923" i="3315" s="1"/>
  <c r="Q907" i="3315"/>
  <c r="R907" i="3315" s="1"/>
  <c r="Q888" i="3315"/>
  <c r="R888" i="3315" s="1"/>
  <c r="Q873" i="3315"/>
  <c r="R873" i="3315" s="1"/>
  <c r="Q857" i="3315"/>
  <c r="R857" i="3315" s="1"/>
  <c r="Q846" i="3315"/>
  <c r="R846" i="3315" s="1"/>
  <c r="Q835" i="3315"/>
  <c r="R835" i="3315" s="1"/>
  <c r="Q826" i="3315"/>
  <c r="R826" i="3315" s="1"/>
  <c r="Q818" i="3315"/>
  <c r="R818" i="3315" s="1"/>
  <c r="Q810" i="3315"/>
  <c r="R810" i="3315" s="1"/>
  <c r="Q796" i="3315"/>
  <c r="R796" i="3315" s="1"/>
  <c r="Q780" i="3315"/>
  <c r="R780" i="3315" s="1"/>
  <c r="Q764" i="3315"/>
  <c r="R764" i="3315" s="1"/>
  <c r="Q747" i="3315"/>
  <c r="R747" i="3315" s="1"/>
  <c r="Q731" i="3315"/>
  <c r="R731" i="3315" s="1"/>
  <c r="Q720" i="3315"/>
  <c r="R720" i="3315" s="1"/>
  <c r="Q712" i="3315"/>
  <c r="R712" i="3315" s="1"/>
  <c r="Q704" i="3315"/>
  <c r="R704" i="3315" s="1"/>
  <c r="Q696" i="3315"/>
  <c r="R696" i="3315" s="1"/>
  <c r="Q688" i="3315"/>
  <c r="R688" i="3315" s="1"/>
  <c r="Q680" i="3315"/>
  <c r="R680" i="3315" s="1"/>
  <c r="Q672" i="3315"/>
  <c r="R672" i="3315" s="1"/>
  <c r="Q664" i="3315"/>
  <c r="R664" i="3315" s="1"/>
  <c r="Q656" i="3315"/>
  <c r="R656" i="3315" s="1"/>
  <c r="Q648" i="3315"/>
  <c r="R648" i="3315" s="1"/>
  <c r="Q640" i="3315"/>
  <c r="R640" i="3315" s="1"/>
  <c r="Q632" i="3315"/>
  <c r="R632" i="3315" s="1"/>
  <c r="Q624" i="3315"/>
  <c r="R624" i="3315" s="1"/>
  <c r="Q619" i="3315"/>
  <c r="R619" i="3315" s="1"/>
  <c r="Q613" i="3315"/>
  <c r="R613" i="3315" s="1"/>
  <c r="Q608" i="3315"/>
  <c r="R608" i="3315" s="1"/>
  <c r="Q603" i="3315"/>
  <c r="R603" i="3315" s="1"/>
  <c r="Q597" i="3315"/>
  <c r="R597" i="3315" s="1"/>
  <c r="Q592" i="3315"/>
  <c r="R592" i="3315" s="1"/>
  <c r="Q587" i="3315"/>
  <c r="R587" i="3315" s="1"/>
  <c r="Q583" i="3315"/>
  <c r="R583" i="3315" s="1"/>
  <c r="Q579" i="3315"/>
  <c r="R579" i="3315" s="1"/>
  <c r="Q575" i="3315"/>
  <c r="R575" i="3315" s="1"/>
  <c r="Q571" i="3315"/>
  <c r="R571" i="3315" s="1"/>
  <c r="Q567" i="3315"/>
  <c r="R567" i="3315" s="1"/>
  <c r="Q563" i="3315"/>
  <c r="R563" i="3315" s="1"/>
  <c r="Q559" i="3315"/>
  <c r="R559" i="3315" s="1"/>
  <c r="Q555" i="3315"/>
  <c r="R555" i="3315" s="1"/>
  <c r="Q551" i="3315"/>
  <c r="R551" i="3315" s="1"/>
  <c r="Q547" i="3315"/>
  <c r="R547" i="3315" s="1"/>
  <c r="Q543" i="3315"/>
  <c r="R543" i="3315" s="1"/>
  <c r="Q539" i="3315"/>
  <c r="R539" i="3315" s="1"/>
  <c r="Q535" i="3315"/>
  <c r="R535" i="3315" s="1"/>
  <c r="Q531" i="3315"/>
  <c r="R531" i="3315" s="1"/>
  <c r="Q527" i="3315"/>
  <c r="R527" i="3315" s="1"/>
  <c r="Q523" i="3315"/>
  <c r="R523" i="3315" s="1"/>
  <c r="Q519" i="3315"/>
  <c r="R519" i="3315" s="1"/>
  <c r="Q515" i="3315"/>
  <c r="R515" i="3315" s="1"/>
  <c r="Q511" i="3315"/>
  <c r="R511" i="3315" s="1"/>
  <c r="Q507" i="3315"/>
  <c r="R507" i="3315" s="1"/>
  <c r="Q503" i="3315"/>
  <c r="R503" i="3315" s="1"/>
  <c r="Q499" i="3315"/>
  <c r="R499" i="3315" s="1"/>
  <c r="Q487" i="3315"/>
  <c r="R487" i="3315" s="1"/>
  <c r="Q483" i="3315"/>
  <c r="R483" i="3315" s="1"/>
  <c r="Q476" i="3315"/>
  <c r="R476" i="3315" s="1"/>
  <c r="Q472" i="3315"/>
  <c r="R472" i="3315" s="1"/>
  <c r="Q468" i="3315"/>
  <c r="R468" i="3315" s="1"/>
  <c r="Q464" i="3315"/>
  <c r="R464" i="3315" s="1"/>
  <c r="Q460" i="3315"/>
  <c r="R460" i="3315" s="1"/>
  <c r="Q456" i="3315"/>
  <c r="R456" i="3315" s="1"/>
  <c r="Q452" i="3315"/>
  <c r="R452" i="3315" s="1"/>
  <c r="Q448" i="3315"/>
  <c r="R448" i="3315" s="1"/>
  <c r="Q444" i="3315"/>
  <c r="R444" i="3315" s="1"/>
  <c r="Q440" i="3315"/>
  <c r="R440" i="3315" s="1"/>
  <c r="Q436" i="3315"/>
  <c r="R436" i="3315" s="1"/>
  <c r="Q432" i="3315"/>
  <c r="R432" i="3315" s="1"/>
  <c r="Q428" i="3315"/>
  <c r="R428" i="3315" s="1"/>
  <c r="Q424" i="3315"/>
  <c r="R424" i="3315" s="1"/>
  <c r="Q420" i="3315"/>
  <c r="R420" i="3315" s="1"/>
  <c r="Q416" i="3315"/>
  <c r="R416" i="3315" s="1"/>
  <c r="Q412" i="3315"/>
  <c r="R412" i="3315" s="1"/>
  <c r="Q408" i="3315"/>
  <c r="R408" i="3315" s="1"/>
  <c r="Q404" i="3315"/>
  <c r="R404" i="3315" s="1"/>
  <c r="Q400" i="3315"/>
  <c r="R400" i="3315" s="1"/>
  <c r="Q396" i="3315"/>
  <c r="R396" i="3315" s="1"/>
  <c r="Q392" i="3315"/>
  <c r="R392" i="3315" s="1"/>
  <c r="Q388" i="3315"/>
  <c r="R388" i="3315" s="1"/>
  <c r="Q384" i="3315"/>
  <c r="R384" i="3315" s="1"/>
  <c r="Q380" i="3315"/>
  <c r="R380" i="3315" s="1"/>
  <c r="Q376" i="3315"/>
  <c r="R376" i="3315" s="1"/>
  <c r="Q372" i="3315"/>
  <c r="R372" i="3315" s="1"/>
  <c r="Q368" i="3315"/>
  <c r="R368" i="3315" s="1"/>
  <c r="Q364" i="3315"/>
  <c r="R364" i="3315" s="1"/>
  <c r="Q357" i="3315"/>
  <c r="R357" i="3315" s="1"/>
  <c r="Q353" i="3315"/>
  <c r="R353" i="3315" s="1"/>
  <c r="Q349" i="3315"/>
  <c r="R349" i="3315" s="1"/>
  <c r="Q345" i="3315"/>
  <c r="R345" i="3315" s="1"/>
  <c r="Q341" i="3315"/>
  <c r="R341" i="3315" s="1"/>
  <c r="Q337" i="3315"/>
  <c r="R337" i="3315" s="1"/>
  <c r="Q333" i="3315"/>
  <c r="R333" i="3315" s="1"/>
  <c r="Q329" i="3315"/>
  <c r="R329" i="3315" s="1"/>
  <c r="Q325" i="3315"/>
  <c r="R325" i="3315" s="1"/>
  <c r="Q321" i="3315"/>
  <c r="R321" i="3315" s="1"/>
  <c r="Q317" i="3315"/>
  <c r="R317" i="3315" s="1"/>
  <c r="Q313" i="3315"/>
  <c r="R313" i="3315" s="1"/>
  <c r="Q309" i="3315"/>
  <c r="R309" i="3315" s="1"/>
  <c r="Q305" i="3315"/>
  <c r="R305" i="3315" s="1"/>
  <c r="Q301" i="3315"/>
  <c r="R301" i="3315" s="1"/>
  <c r="Q297" i="3315"/>
  <c r="R297" i="3315" s="1"/>
  <c r="Q293" i="3315"/>
  <c r="R293" i="3315" s="1"/>
  <c r="Q289" i="3315"/>
  <c r="R289" i="3315" s="1"/>
  <c r="Q285" i="3315"/>
  <c r="R285" i="3315" s="1"/>
  <c r="Q281" i="3315"/>
  <c r="R281" i="3315" s="1"/>
  <c r="Q278" i="3315"/>
  <c r="R278" i="3315" s="1"/>
  <c r="Q274" i="3315"/>
  <c r="R274" i="3315" s="1"/>
  <c r="Q270" i="3315"/>
  <c r="R270" i="3315" s="1"/>
  <c r="Q266" i="3315"/>
  <c r="R266" i="3315" s="1"/>
  <c r="Q262" i="3315"/>
  <c r="R262" i="3315" s="1"/>
  <c r="Q258" i="3315"/>
  <c r="R258" i="3315" s="1"/>
  <c r="Q254" i="3315"/>
  <c r="R254" i="3315" s="1"/>
  <c r="Q247" i="3315"/>
  <c r="R247" i="3315" s="1"/>
  <c r="Q243" i="3315"/>
  <c r="R243" i="3315" s="1"/>
  <c r="Q239" i="3315"/>
  <c r="R239" i="3315" s="1"/>
  <c r="Q235" i="3315"/>
  <c r="R235" i="3315" s="1"/>
  <c r="Q231" i="3315"/>
  <c r="R231" i="3315" s="1"/>
  <c r="Q224" i="3315"/>
  <c r="R224" i="3315" s="1"/>
  <c r="Q220" i="3315"/>
  <c r="R220" i="3315" s="1"/>
  <c r="Q216" i="3315"/>
  <c r="R216" i="3315" s="1"/>
  <c r="Q212" i="3315"/>
  <c r="R212" i="3315" s="1"/>
  <c r="Q208" i="3315"/>
  <c r="R208" i="3315" s="1"/>
  <c r="Q204" i="3315"/>
  <c r="R204" i="3315" s="1"/>
  <c r="Q200" i="3315"/>
  <c r="R200" i="3315" s="1"/>
  <c r="Q191" i="3315"/>
  <c r="R191" i="3315" s="1"/>
  <c r="W191" i="3315" s="1"/>
  <c r="Q187" i="3315"/>
  <c r="R187" i="3315" s="1"/>
  <c r="Q183" i="3315"/>
  <c r="R183" i="3315" s="1"/>
  <c r="Q179" i="3315"/>
  <c r="R179" i="3315" s="1"/>
  <c r="Q172" i="3315"/>
  <c r="R172" i="3315" s="1"/>
  <c r="Q168" i="3315"/>
  <c r="R168" i="3315" s="1"/>
  <c r="Q164" i="3315"/>
  <c r="R164" i="3315" s="1"/>
  <c r="Q157" i="3315"/>
  <c r="R157" i="3315" s="1"/>
  <c r="Q153" i="3315"/>
  <c r="R153" i="3315" s="1"/>
  <c r="Q149" i="3315"/>
  <c r="R149" i="3315" s="1"/>
  <c r="Q145" i="3315"/>
  <c r="R145" i="3315" s="1"/>
  <c r="Q141" i="3315"/>
  <c r="R141" i="3315" s="1"/>
  <c r="Q134" i="3315"/>
  <c r="R134" i="3315" s="1"/>
  <c r="Q130" i="3315"/>
  <c r="R130" i="3315" s="1"/>
  <c r="Q126" i="3315"/>
  <c r="R126" i="3315" s="1"/>
  <c r="Q122" i="3315"/>
  <c r="R122" i="3315" s="1"/>
  <c r="Q118" i="3315"/>
  <c r="R118" i="3315" s="1"/>
  <c r="Q114" i="3315"/>
  <c r="R114" i="3315" s="1"/>
  <c r="Q110" i="3315"/>
  <c r="R110" i="3315" s="1"/>
  <c r="Q106" i="3315"/>
  <c r="R106" i="3315" s="1"/>
  <c r="Q103" i="3315"/>
  <c r="R103" i="3315" s="1"/>
  <c r="Q99" i="3315"/>
  <c r="R99" i="3315" s="1"/>
  <c r="Q95" i="3315"/>
  <c r="R95" i="3315" s="1"/>
  <c r="Q91" i="3315"/>
  <c r="R91" i="3315" s="1"/>
  <c r="Q87" i="3315"/>
  <c r="R87" i="3315" s="1"/>
  <c r="Q80" i="3315"/>
  <c r="R80" i="3315" s="1"/>
  <c r="Q1149" i="3315"/>
  <c r="R1149" i="3315" s="1"/>
  <c r="Q1117" i="3315"/>
  <c r="R1117" i="3315" s="1"/>
  <c r="Q1082" i="3315"/>
  <c r="R1082" i="3315" s="1"/>
  <c r="Q1046" i="3315"/>
  <c r="R1046" i="3315" s="1"/>
  <c r="Q1013" i="3315"/>
  <c r="R1013" i="3315" s="1"/>
  <c r="Q980" i="3315"/>
  <c r="R980" i="3315" s="1"/>
  <c r="Q915" i="3315"/>
  <c r="R915" i="3315" s="1"/>
  <c r="Q881" i="3315"/>
  <c r="R881" i="3315" s="1"/>
  <c r="Q851" i="3315"/>
  <c r="R851" i="3315" s="1"/>
  <c r="Q830" i="3315"/>
  <c r="R830" i="3315" s="1"/>
  <c r="Q814" i="3315"/>
  <c r="R814" i="3315" s="1"/>
  <c r="Q788" i="3315"/>
  <c r="R788" i="3315" s="1"/>
  <c r="Q756" i="3315"/>
  <c r="R756" i="3315" s="1"/>
  <c r="Q724" i="3315"/>
  <c r="R724" i="3315" s="1"/>
  <c r="Q708" i="3315"/>
  <c r="R708" i="3315" s="1"/>
  <c r="Q692" i="3315"/>
  <c r="R692" i="3315" s="1"/>
  <c r="Q676" i="3315"/>
  <c r="R676" i="3315" s="1"/>
  <c r="Q660" i="3315"/>
  <c r="R660" i="3315" s="1"/>
  <c r="Q644" i="3315"/>
  <c r="R644" i="3315" s="1"/>
  <c r="Q628" i="3315"/>
  <c r="R628" i="3315" s="1"/>
  <c r="Q616" i="3315"/>
  <c r="R616" i="3315" s="1"/>
  <c r="Q605" i="3315"/>
  <c r="R605" i="3315" s="1"/>
  <c r="Q595" i="3315"/>
  <c r="R595" i="3315" s="1"/>
  <c r="Q585" i="3315"/>
  <c r="R585" i="3315" s="1"/>
  <c r="Q577" i="3315"/>
  <c r="R577" i="3315" s="1"/>
  <c r="Q569" i="3315"/>
  <c r="R569" i="3315" s="1"/>
  <c r="Q561" i="3315"/>
  <c r="R561" i="3315" s="1"/>
  <c r="Q553" i="3315"/>
  <c r="R553" i="3315" s="1"/>
  <c r="Q545" i="3315"/>
  <c r="R545" i="3315" s="1"/>
  <c r="Q537" i="3315"/>
  <c r="R537" i="3315" s="1"/>
  <c r="Q529" i="3315"/>
  <c r="R529" i="3315" s="1"/>
  <c r="Q521" i="3315"/>
  <c r="R521" i="3315" s="1"/>
  <c r="Q513" i="3315"/>
  <c r="R513" i="3315" s="1"/>
  <c r="Q505" i="3315"/>
  <c r="R505" i="3315" s="1"/>
  <c r="Q497" i="3315"/>
  <c r="R497" i="3315" s="1"/>
  <c r="Q481" i="3315"/>
  <c r="R481" i="3315" s="1"/>
  <c r="Q470" i="3315"/>
  <c r="R470" i="3315" s="1"/>
  <c r="Q462" i="3315"/>
  <c r="R462" i="3315" s="1"/>
  <c r="Q454" i="3315"/>
  <c r="R454" i="3315" s="1"/>
  <c r="Q446" i="3315"/>
  <c r="R446" i="3315" s="1"/>
  <c r="Q438" i="3315"/>
  <c r="R438" i="3315" s="1"/>
  <c r="Q430" i="3315"/>
  <c r="R430" i="3315" s="1"/>
  <c r="Q422" i="3315"/>
  <c r="R422" i="3315" s="1"/>
  <c r="Q414" i="3315"/>
  <c r="R414" i="3315" s="1"/>
  <c r="Q406" i="3315"/>
  <c r="R406" i="3315" s="1"/>
  <c r="Q398" i="3315"/>
  <c r="R398" i="3315" s="1"/>
  <c r="Q390" i="3315"/>
  <c r="R390" i="3315" s="1"/>
  <c r="Q382" i="3315"/>
  <c r="R382" i="3315" s="1"/>
  <c r="Q374" i="3315"/>
  <c r="R374" i="3315" s="1"/>
  <c r="Q366" i="3315"/>
  <c r="R366" i="3315" s="1"/>
  <c r="Q355" i="3315"/>
  <c r="R355" i="3315" s="1"/>
  <c r="Q347" i="3315"/>
  <c r="R347" i="3315" s="1"/>
  <c r="Q339" i="3315"/>
  <c r="R339" i="3315" s="1"/>
  <c r="Q331" i="3315"/>
  <c r="R331" i="3315" s="1"/>
  <c r="Q323" i="3315"/>
  <c r="R323" i="3315" s="1"/>
  <c r="Q315" i="3315"/>
  <c r="R315" i="3315" s="1"/>
  <c r="Q307" i="3315"/>
  <c r="R307" i="3315" s="1"/>
  <c r="Q299" i="3315"/>
  <c r="R299" i="3315" s="1"/>
  <c r="Q291" i="3315"/>
  <c r="R291" i="3315" s="1"/>
  <c r="Q283" i="3315"/>
  <c r="R283" i="3315" s="1"/>
  <c r="Q276" i="3315"/>
  <c r="R276" i="3315" s="1"/>
  <c r="Q268" i="3315"/>
  <c r="R268" i="3315" s="1"/>
  <c r="Q260" i="3315"/>
  <c r="R260" i="3315" s="1"/>
  <c r="Q252" i="3315"/>
  <c r="R252" i="3315" s="1"/>
  <c r="Q241" i="3315"/>
  <c r="R241" i="3315" s="1"/>
  <c r="Q233" i="3315"/>
  <c r="R233" i="3315" s="1"/>
  <c r="Q222" i="3315"/>
  <c r="R222" i="3315" s="1"/>
  <c r="Q214" i="3315"/>
  <c r="R214" i="3315" s="1"/>
  <c r="Q206" i="3315"/>
  <c r="R206" i="3315" s="1"/>
  <c r="Q193" i="3315"/>
  <c r="R193" i="3315" s="1"/>
  <c r="Q185" i="3315"/>
  <c r="R185" i="3315" s="1"/>
  <c r="Q177" i="3315"/>
  <c r="R177" i="3315" s="1"/>
  <c r="Q166" i="3315"/>
  <c r="R166" i="3315" s="1"/>
  <c r="Q155" i="3315"/>
  <c r="R155" i="3315" s="1"/>
  <c r="Q147" i="3315"/>
  <c r="R147" i="3315" s="1"/>
  <c r="Q136" i="3315"/>
  <c r="R136" i="3315" s="1"/>
  <c r="Q128" i="3315"/>
  <c r="R128" i="3315" s="1"/>
  <c r="Q120" i="3315"/>
  <c r="R120" i="3315" s="1"/>
  <c r="Q112" i="3315"/>
  <c r="R112" i="3315" s="1"/>
  <c r="Q104" i="3315"/>
  <c r="R104" i="3315" s="1"/>
  <c r="Q97" i="3315"/>
  <c r="R97" i="3315" s="1"/>
  <c r="Q89" i="3315"/>
  <c r="R89" i="3315" s="1"/>
  <c r="Q78" i="3315"/>
  <c r="R78" i="3315" s="1"/>
  <c r="Q807" i="3315"/>
  <c r="R807" i="3315" s="1"/>
  <c r="Q799" i="3315"/>
  <c r="R799" i="3315" s="1"/>
  <c r="Q791" i="3315"/>
  <c r="R791" i="3315" s="1"/>
  <c r="Q783" i="3315"/>
  <c r="R783" i="3315" s="1"/>
  <c r="Q775" i="3315"/>
  <c r="R775" i="3315" s="1"/>
  <c r="Q767" i="3315"/>
  <c r="R767" i="3315" s="1"/>
  <c r="Q759" i="3315"/>
  <c r="R759" i="3315" s="1"/>
  <c r="Q751" i="3315"/>
  <c r="R751" i="3315" s="1"/>
  <c r="Q742" i="3315"/>
  <c r="R742" i="3315" s="1"/>
  <c r="Q734" i="3315"/>
  <c r="R734" i="3315" s="1"/>
  <c r="Q726" i="3315"/>
  <c r="R726" i="3315" s="1"/>
  <c r="Q1138" i="3315"/>
  <c r="R1138" i="3315" s="1"/>
  <c r="W1138" i="3315" s="1"/>
  <c r="Q1103" i="3315"/>
  <c r="R1103" i="3315" s="1"/>
  <c r="Q1068" i="3315"/>
  <c r="R1068" i="3315" s="1"/>
  <c r="Q1035" i="3315"/>
  <c r="R1035" i="3315" s="1"/>
  <c r="Q1002" i="3315"/>
  <c r="R1002" i="3315" s="1"/>
  <c r="Q966" i="3315"/>
  <c r="R966" i="3315" s="1"/>
  <c r="Q904" i="3315"/>
  <c r="R904" i="3315" s="1"/>
  <c r="Q870" i="3315"/>
  <c r="R870" i="3315" s="1"/>
  <c r="Q845" i="3315"/>
  <c r="R845" i="3315" s="1"/>
  <c r="Q825" i="3315"/>
  <c r="R825" i="3315" s="1"/>
  <c r="Q809" i="3315"/>
  <c r="R809" i="3315" s="1"/>
  <c r="Q778" i="3315"/>
  <c r="R778" i="3315" s="1"/>
  <c r="Q745" i="3315"/>
  <c r="R745" i="3315" s="1"/>
  <c r="Q719" i="3315"/>
  <c r="R719" i="3315" s="1"/>
  <c r="Q703" i="3315"/>
  <c r="R703" i="3315" s="1"/>
  <c r="Q687" i="3315"/>
  <c r="R687" i="3315" s="1"/>
  <c r="Q671" i="3315"/>
  <c r="R671" i="3315" s="1"/>
  <c r="Q655" i="3315"/>
  <c r="R655" i="3315" s="1"/>
  <c r="Q639" i="3315"/>
  <c r="R639" i="3315" s="1"/>
  <c r="Q623" i="3315"/>
  <c r="R623" i="3315" s="1"/>
  <c r="Q612" i="3315"/>
  <c r="R612" i="3315" s="1"/>
  <c r="Q601" i="3315"/>
  <c r="R601" i="3315" s="1"/>
  <c r="Q591" i="3315"/>
  <c r="R591" i="3315" s="1"/>
  <c r="Q582" i="3315"/>
  <c r="R582" i="3315" s="1"/>
  <c r="Q574" i="3315"/>
  <c r="R574" i="3315" s="1"/>
  <c r="Q566" i="3315"/>
  <c r="R566" i="3315" s="1"/>
  <c r="Q558" i="3315"/>
  <c r="R558" i="3315" s="1"/>
  <c r="Q550" i="3315"/>
  <c r="R550" i="3315" s="1"/>
  <c r="Q542" i="3315"/>
  <c r="R542" i="3315" s="1"/>
  <c r="Q534" i="3315"/>
  <c r="R534" i="3315" s="1"/>
  <c r="Q526" i="3315"/>
  <c r="R526" i="3315" s="1"/>
  <c r="Q518" i="3315"/>
  <c r="R518" i="3315" s="1"/>
  <c r="Q510" i="3315"/>
  <c r="R510" i="3315" s="1"/>
  <c r="Q502" i="3315"/>
  <c r="R502" i="3315" s="1"/>
  <c r="Q486" i="3315"/>
  <c r="R486" i="3315" s="1"/>
  <c r="Q475" i="3315"/>
  <c r="R475" i="3315" s="1"/>
  <c r="Q467" i="3315"/>
  <c r="R467" i="3315" s="1"/>
  <c r="Q459" i="3315"/>
  <c r="R459" i="3315" s="1"/>
  <c r="Q451" i="3315"/>
  <c r="R451" i="3315" s="1"/>
  <c r="Q443" i="3315"/>
  <c r="R443" i="3315" s="1"/>
  <c r="Q435" i="3315"/>
  <c r="R435" i="3315" s="1"/>
  <c r="Q427" i="3315"/>
  <c r="R427" i="3315" s="1"/>
  <c r="Q419" i="3315"/>
  <c r="R419" i="3315" s="1"/>
  <c r="Q411" i="3315"/>
  <c r="R411" i="3315" s="1"/>
  <c r="Q403" i="3315"/>
  <c r="R403" i="3315" s="1"/>
  <c r="Q395" i="3315"/>
  <c r="R395" i="3315" s="1"/>
  <c r="Q387" i="3315"/>
  <c r="R387" i="3315" s="1"/>
  <c r="Q379" i="3315"/>
  <c r="R379" i="3315" s="1"/>
  <c r="Q371" i="3315"/>
  <c r="R371" i="3315" s="1"/>
  <c r="Q360" i="3315"/>
  <c r="R360" i="3315" s="1"/>
  <c r="Q352" i="3315"/>
  <c r="R352" i="3315" s="1"/>
  <c r="Q344" i="3315"/>
  <c r="R344" i="3315" s="1"/>
  <c r="Q336" i="3315"/>
  <c r="R336" i="3315" s="1"/>
  <c r="Q328" i="3315"/>
  <c r="R328" i="3315" s="1"/>
  <c r="Q320" i="3315"/>
  <c r="R320" i="3315" s="1"/>
  <c r="Q312" i="3315"/>
  <c r="R312" i="3315" s="1"/>
  <c r="Q304" i="3315"/>
  <c r="R304" i="3315" s="1"/>
  <c r="Q296" i="3315"/>
  <c r="R296" i="3315" s="1"/>
  <c r="Q288" i="3315"/>
  <c r="R288" i="3315" s="1"/>
  <c r="Q273" i="3315"/>
  <c r="R273" i="3315" s="1"/>
  <c r="Q265" i="3315"/>
  <c r="R265" i="3315" s="1"/>
  <c r="Q257" i="3315"/>
  <c r="R257" i="3315" s="1"/>
  <c r="Q246" i="3315"/>
  <c r="R246" i="3315" s="1"/>
  <c r="Q238" i="3315"/>
  <c r="R238" i="3315" s="1"/>
  <c r="Q230" i="3315"/>
  <c r="R230" i="3315" s="1"/>
  <c r="Q219" i="3315"/>
  <c r="R219" i="3315" s="1"/>
  <c r="Q211" i="3315"/>
  <c r="R211" i="3315" s="1"/>
  <c r="Q203" i="3315"/>
  <c r="R203" i="3315" s="1"/>
  <c r="Q190" i="3315"/>
  <c r="R190" i="3315" s="1"/>
  <c r="Q182" i="3315"/>
  <c r="R182" i="3315" s="1"/>
  <c r="Q171" i="3315"/>
  <c r="R171" i="3315" s="1"/>
  <c r="Q163" i="3315"/>
  <c r="R163" i="3315" s="1"/>
  <c r="Q152" i="3315"/>
  <c r="R152" i="3315" s="1"/>
  <c r="Q144" i="3315"/>
  <c r="R144" i="3315" s="1"/>
  <c r="Q133" i="3315"/>
  <c r="R133" i="3315" s="1"/>
  <c r="Q125" i="3315"/>
  <c r="R125" i="3315" s="1"/>
  <c r="Q117" i="3315"/>
  <c r="R117" i="3315" s="1"/>
  <c r="Q109" i="3315"/>
  <c r="R109" i="3315" s="1"/>
  <c r="Q102" i="3315"/>
  <c r="R102" i="3315" s="1"/>
  <c r="Q94" i="3315"/>
  <c r="R94" i="3315" s="1"/>
  <c r="Q86" i="3315"/>
  <c r="R86" i="3315" s="1"/>
  <c r="Q76" i="3315"/>
  <c r="R76" i="3315" s="1"/>
  <c r="Q72" i="3315"/>
  <c r="R72" i="3315" s="1"/>
  <c r="Q805" i="3315"/>
  <c r="R805" i="3315" s="1"/>
  <c r="Q797" i="3315"/>
  <c r="R797" i="3315" s="1"/>
  <c r="Q789" i="3315"/>
  <c r="R789" i="3315" s="1"/>
  <c r="Q781" i="3315"/>
  <c r="R781" i="3315" s="1"/>
  <c r="Q773" i="3315"/>
  <c r="R773" i="3315" s="1"/>
  <c r="Q765" i="3315"/>
  <c r="R765" i="3315" s="1"/>
  <c r="Q757" i="3315"/>
  <c r="R757" i="3315" s="1"/>
  <c r="Q749" i="3315"/>
  <c r="R749" i="3315" s="1"/>
  <c r="Q740" i="3315"/>
  <c r="R740" i="3315" s="1"/>
  <c r="Q732" i="3315"/>
  <c r="R732" i="3315" s="1"/>
  <c r="AF248" i="3315"/>
  <c r="M504" i="3315"/>
  <c r="N504" i="3315" s="1"/>
  <c r="M508" i="3315"/>
  <c r="N508" i="3315" s="1"/>
  <c r="M512" i="3315"/>
  <c r="N512" i="3315" s="1"/>
  <c r="M516" i="3315"/>
  <c r="N516" i="3315" s="1"/>
  <c r="M520" i="3315"/>
  <c r="N520" i="3315" s="1"/>
  <c r="M524" i="3315"/>
  <c r="N524" i="3315" s="1"/>
  <c r="M528" i="3315"/>
  <c r="N528" i="3315" s="1"/>
  <c r="M532" i="3315"/>
  <c r="N532" i="3315" s="1"/>
  <c r="M536" i="3315"/>
  <c r="N536" i="3315" s="1"/>
  <c r="M540" i="3315"/>
  <c r="N540" i="3315" s="1"/>
  <c r="M544" i="3315"/>
  <c r="N544" i="3315" s="1"/>
  <c r="M548" i="3315"/>
  <c r="N548" i="3315" s="1"/>
  <c r="M552" i="3315"/>
  <c r="N552" i="3315" s="1"/>
  <c r="M556" i="3315"/>
  <c r="N556" i="3315" s="1"/>
  <c r="M560" i="3315"/>
  <c r="N560" i="3315" s="1"/>
  <c r="M564" i="3315"/>
  <c r="N564" i="3315" s="1"/>
  <c r="M568" i="3315"/>
  <c r="N568" i="3315" s="1"/>
  <c r="M572" i="3315"/>
  <c r="N572" i="3315" s="1"/>
  <c r="M577" i="3315"/>
  <c r="N577" i="3315" s="1"/>
  <c r="M581" i="3315"/>
  <c r="N581" i="3315" s="1"/>
  <c r="M585" i="3315"/>
  <c r="N585" i="3315" s="1"/>
  <c r="M589" i="3315"/>
  <c r="N589" i="3315" s="1"/>
  <c r="M593" i="3315"/>
  <c r="N593" i="3315" s="1"/>
  <c r="M597" i="3315"/>
  <c r="N597" i="3315" s="1"/>
  <c r="M601" i="3315"/>
  <c r="N601" i="3315" s="1"/>
  <c r="M605" i="3315"/>
  <c r="N605" i="3315" s="1"/>
  <c r="M609" i="3315"/>
  <c r="N609" i="3315" s="1"/>
  <c r="M613" i="3315"/>
  <c r="N613" i="3315" s="1"/>
  <c r="M617" i="3315"/>
  <c r="N617" i="3315" s="1"/>
  <c r="M621" i="3315"/>
  <c r="N621" i="3315" s="1"/>
  <c r="M625" i="3315"/>
  <c r="N625" i="3315" s="1"/>
  <c r="M629" i="3315"/>
  <c r="N629" i="3315" s="1"/>
  <c r="M633" i="3315"/>
  <c r="N633" i="3315" s="1"/>
  <c r="M637" i="3315"/>
  <c r="N637" i="3315" s="1"/>
  <c r="M641" i="3315"/>
  <c r="N641" i="3315" s="1"/>
  <c r="M645" i="3315"/>
  <c r="N645" i="3315" s="1"/>
  <c r="M651" i="3315"/>
  <c r="N651" i="3315" s="1"/>
  <c r="M659" i="3315"/>
  <c r="N659" i="3315" s="1"/>
  <c r="M667" i="3315"/>
  <c r="N667" i="3315" s="1"/>
  <c r="M676" i="3315"/>
  <c r="N676" i="3315" s="1"/>
  <c r="M684" i="3315"/>
  <c r="N684" i="3315" s="1"/>
  <c r="M693" i="3315"/>
  <c r="N693" i="3315" s="1"/>
  <c r="M701" i="3315"/>
  <c r="N701" i="3315" s="1"/>
  <c r="M709" i="3315"/>
  <c r="N709" i="3315" s="1"/>
  <c r="M717" i="3315"/>
  <c r="N717" i="3315" s="1"/>
  <c r="M725" i="3315"/>
  <c r="N725" i="3315" s="1"/>
  <c r="M733" i="3315"/>
  <c r="N733" i="3315" s="1"/>
  <c r="M741" i="3315"/>
  <c r="N741" i="3315" s="1"/>
  <c r="M750" i="3315"/>
  <c r="N750" i="3315" s="1"/>
  <c r="M758" i="3315"/>
  <c r="N758" i="3315" s="1"/>
  <c r="M766" i="3315"/>
  <c r="N766" i="3315" s="1"/>
  <c r="M774" i="3315"/>
  <c r="N774" i="3315" s="1"/>
  <c r="M782" i="3315"/>
  <c r="N782" i="3315" s="1"/>
  <c r="M790" i="3315"/>
  <c r="N790" i="3315" s="1"/>
  <c r="M798" i="3315"/>
  <c r="N798" i="3315" s="1"/>
  <c r="M806" i="3315"/>
  <c r="N806" i="3315" s="1"/>
  <c r="M814" i="3315"/>
  <c r="N814" i="3315" s="1"/>
  <c r="M822" i="3315"/>
  <c r="N822" i="3315" s="1"/>
  <c r="M830" i="3315"/>
  <c r="N830" i="3315" s="1"/>
  <c r="M838" i="3315"/>
  <c r="N838" i="3315" s="1"/>
  <c r="M847" i="3315"/>
  <c r="N847" i="3315" s="1"/>
  <c r="M855" i="3315"/>
  <c r="N855" i="3315" s="1"/>
  <c r="M863" i="3315"/>
  <c r="N863" i="3315" s="1"/>
  <c r="M871" i="3315"/>
  <c r="N871" i="3315" s="1"/>
  <c r="M879" i="3315"/>
  <c r="N879" i="3315" s="1"/>
  <c r="M887" i="3315"/>
  <c r="N887" i="3315" s="1"/>
  <c r="M895" i="3315"/>
  <c r="N895" i="3315" s="1"/>
  <c r="N897" i="3315" s="1"/>
  <c r="M906" i="3315"/>
  <c r="N906" i="3315" s="1"/>
  <c r="M914" i="3315"/>
  <c r="N914" i="3315" s="1"/>
  <c r="M922" i="3315"/>
  <c r="N922" i="3315" s="1"/>
  <c r="M964" i="3315"/>
  <c r="N964" i="3315" s="1"/>
  <c r="M975" i="3315"/>
  <c r="N975" i="3315" s="1"/>
  <c r="Q738" i="3315"/>
  <c r="R738" i="3315" s="1"/>
  <c r="Q755" i="3315"/>
  <c r="R755" i="3315" s="1"/>
  <c r="Q771" i="3315"/>
  <c r="R771" i="3315" s="1"/>
  <c r="Q787" i="3315"/>
  <c r="R787" i="3315" s="1"/>
  <c r="Q803" i="3315"/>
  <c r="R803" i="3315" s="1"/>
  <c r="Q75" i="3315"/>
  <c r="R75" i="3315" s="1"/>
  <c r="Q93" i="3315"/>
  <c r="R93" i="3315" s="1"/>
  <c r="Q108" i="3315"/>
  <c r="R108" i="3315" s="1"/>
  <c r="Q124" i="3315"/>
  <c r="R124" i="3315" s="1"/>
  <c r="Q143" i="3315"/>
  <c r="R143" i="3315" s="1"/>
  <c r="Q159" i="3315"/>
  <c r="R159" i="3315" s="1"/>
  <c r="Q181" i="3315"/>
  <c r="R181" i="3315" s="1"/>
  <c r="Q202" i="3315"/>
  <c r="R202" i="3315" s="1"/>
  <c r="Q218" i="3315"/>
  <c r="R218" i="3315" s="1"/>
  <c r="Q237" i="3315"/>
  <c r="R237" i="3315" s="1"/>
  <c r="Q256" i="3315"/>
  <c r="R256" i="3315" s="1"/>
  <c r="Q272" i="3315"/>
  <c r="R272" i="3315" s="1"/>
  <c r="Q287" i="3315"/>
  <c r="R287" i="3315" s="1"/>
  <c r="Q303" i="3315"/>
  <c r="R303" i="3315" s="1"/>
  <c r="Q319" i="3315"/>
  <c r="R319" i="3315" s="1"/>
  <c r="Q335" i="3315"/>
  <c r="R335" i="3315" s="1"/>
  <c r="Q351" i="3315"/>
  <c r="R351" i="3315" s="1"/>
  <c r="Q370" i="3315"/>
  <c r="R370" i="3315" s="1"/>
  <c r="Q386" i="3315"/>
  <c r="R386" i="3315" s="1"/>
  <c r="Q402" i="3315"/>
  <c r="R402" i="3315" s="1"/>
  <c r="Q418" i="3315"/>
  <c r="R418" i="3315" s="1"/>
  <c r="Q434" i="3315"/>
  <c r="R434" i="3315" s="1"/>
  <c r="Q450" i="3315"/>
  <c r="R450" i="3315" s="1"/>
  <c r="Q466" i="3315"/>
  <c r="R466" i="3315" s="1"/>
  <c r="Q485" i="3315"/>
  <c r="R485" i="3315" s="1"/>
  <c r="Q509" i="3315"/>
  <c r="R509" i="3315" s="1"/>
  <c r="Q525" i="3315"/>
  <c r="R525" i="3315" s="1"/>
  <c r="Q541" i="3315"/>
  <c r="R541" i="3315" s="1"/>
  <c r="Q557" i="3315"/>
  <c r="R557" i="3315" s="1"/>
  <c r="Q573" i="3315"/>
  <c r="R573" i="3315" s="1"/>
  <c r="Q589" i="3315"/>
  <c r="R589" i="3315" s="1"/>
  <c r="Q611" i="3315"/>
  <c r="R611" i="3315" s="1"/>
  <c r="Q636" i="3315"/>
  <c r="R636" i="3315" s="1"/>
  <c r="Q668" i="3315"/>
  <c r="R668" i="3315" s="1"/>
  <c r="Q700" i="3315"/>
  <c r="R700" i="3315" s="1"/>
  <c r="Q739" i="3315"/>
  <c r="R739" i="3315" s="1"/>
  <c r="Q804" i="3315"/>
  <c r="R804" i="3315" s="1"/>
  <c r="Q841" i="3315"/>
  <c r="R841" i="3315" s="1"/>
  <c r="Q896" i="3315"/>
  <c r="R896" i="3315" s="1"/>
  <c r="Q996" i="3315"/>
  <c r="R996" i="3315" s="1"/>
  <c r="Q1063" i="3315"/>
  <c r="R1063" i="3315" s="1"/>
  <c r="Q1133" i="3315"/>
  <c r="R1133" i="3315" s="1"/>
  <c r="AF81" i="3315"/>
  <c r="I165" i="3315"/>
  <c r="J165" i="3315" s="1"/>
  <c r="AF165" i="3315" s="1"/>
  <c r="I975" i="3315"/>
  <c r="J975" i="3315" s="1"/>
  <c r="AF975" i="3315" s="1"/>
  <c r="I969" i="3315"/>
  <c r="J969" i="3315" s="1"/>
  <c r="AF969" i="3315" s="1"/>
  <c r="I964" i="3315"/>
  <c r="J964" i="3315" s="1"/>
  <c r="AF964" i="3315" s="1"/>
  <c r="I958" i="3315"/>
  <c r="J958" i="3315" s="1"/>
  <c r="I921" i="3315"/>
  <c r="J921" i="3315" s="1"/>
  <c r="AF921" i="3315" s="1"/>
  <c r="I917" i="3315"/>
  <c r="J917" i="3315" s="1"/>
  <c r="AF917" i="3315" s="1"/>
  <c r="I913" i="3315"/>
  <c r="J913" i="3315" s="1"/>
  <c r="AF913" i="3315" s="1"/>
  <c r="I909" i="3315"/>
  <c r="J909" i="3315" s="1"/>
  <c r="AF909" i="3315" s="1"/>
  <c r="I905" i="3315"/>
  <c r="J905" i="3315" s="1"/>
  <c r="AF905" i="3315" s="1"/>
  <c r="I901" i="3315"/>
  <c r="J901" i="3315" s="1"/>
  <c r="AF901" i="3315" s="1"/>
  <c r="I894" i="3315"/>
  <c r="J894" i="3315" s="1"/>
  <c r="AF894" i="3315" s="1"/>
  <c r="I888" i="3315"/>
  <c r="J888" i="3315" s="1"/>
  <c r="AF888" i="3315" s="1"/>
  <c r="I884" i="3315"/>
  <c r="J884" i="3315" s="1"/>
  <c r="AF884" i="3315" s="1"/>
  <c r="I880" i="3315"/>
  <c r="J880" i="3315" s="1"/>
  <c r="AF880" i="3315" s="1"/>
  <c r="I876" i="3315"/>
  <c r="J876" i="3315" s="1"/>
  <c r="AF876" i="3315" s="1"/>
  <c r="I872" i="3315"/>
  <c r="J872" i="3315" s="1"/>
  <c r="AF872" i="3315" s="1"/>
  <c r="I868" i="3315"/>
  <c r="J868" i="3315" s="1"/>
  <c r="AF868" i="3315" s="1"/>
  <c r="I863" i="3315"/>
  <c r="J863" i="3315" s="1"/>
  <c r="AF863" i="3315" s="1"/>
  <c r="I859" i="3315"/>
  <c r="J859" i="3315" s="1"/>
  <c r="AF859" i="3315" s="1"/>
  <c r="I855" i="3315"/>
  <c r="J855" i="3315" s="1"/>
  <c r="AF855" i="3315" s="1"/>
  <c r="I851" i="3315"/>
  <c r="J851" i="3315" s="1"/>
  <c r="AF851" i="3315" s="1"/>
  <c r="I847" i="3315"/>
  <c r="J847" i="3315" s="1"/>
  <c r="AF847" i="3315" s="1"/>
  <c r="I843" i="3315"/>
  <c r="J843" i="3315" s="1"/>
  <c r="AF843" i="3315" s="1"/>
  <c r="I838" i="3315"/>
  <c r="J838" i="3315" s="1"/>
  <c r="AF838" i="3315" s="1"/>
  <c r="I834" i="3315"/>
  <c r="J834" i="3315" s="1"/>
  <c r="AF834" i="3315" s="1"/>
  <c r="I830" i="3315"/>
  <c r="J830" i="3315" s="1"/>
  <c r="AF830" i="3315" s="1"/>
  <c r="I826" i="3315"/>
  <c r="J826" i="3315" s="1"/>
  <c r="AF826" i="3315" s="1"/>
  <c r="I822" i="3315"/>
  <c r="J822" i="3315" s="1"/>
  <c r="AF822" i="3315" s="1"/>
  <c r="I818" i="3315"/>
  <c r="J818" i="3315" s="1"/>
  <c r="AF818" i="3315" s="1"/>
  <c r="I814" i="3315"/>
  <c r="J814" i="3315" s="1"/>
  <c r="AF814" i="3315" s="1"/>
  <c r="I810" i="3315"/>
  <c r="J810" i="3315" s="1"/>
  <c r="AF810" i="3315" s="1"/>
  <c r="I806" i="3315"/>
  <c r="J806" i="3315" s="1"/>
  <c r="AF806" i="3315" s="1"/>
  <c r="I802" i="3315"/>
  <c r="J802" i="3315" s="1"/>
  <c r="AF802" i="3315" s="1"/>
  <c r="I798" i="3315"/>
  <c r="J798" i="3315" s="1"/>
  <c r="AF798" i="3315" s="1"/>
  <c r="I794" i="3315"/>
  <c r="J794" i="3315" s="1"/>
  <c r="AF794" i="3315" s="1"/>
  <c r="I790" i="3315"/>
  <c r="J790" i="3315" s="1"/>
  <c r="AF790" i="3315" s="1"/>
  <c r="I786" i="3315"/>
  <c r="J786" i="3315" s="1"/>
  <c r="AF786" i="3315" s="1"/>
  <c r="I782" i="3315"/>
  <c r="J782" i="3315" s="1"/>
  <c r="AF782" i="3315" s="1"/>
  <c r="I778" i="3315"/>
  <c r="J778" i="3315" s="1"/>
  <c r="AF778" i="3315" s="1"/>
  <c r="I774" i="3315"/>
  <c r="J774" i="3315" s="1"/>
  <c r="AF774" i="3315" s="1"/>
  <c r="I770" i="3315"/>
  <c r="J770" i="3315" s="1"/>
  <c r="AF770" i="3315" s="1"/>
  <c r="I766" i="3315"/>
  <c r="J766" i="3315" s="1"/>
  <c r="AF766" i="3315" s="1"/>
  <c r="I762" i="3315"/>
  <c r="J762" i="3315" s="1"/>
  <c r="AF762" i="3315" s="1"/>
  <c r="I758" i="3315"/>
  <c r="J758" i="3315" s="1"/>
  <c r="AF758" i="3315" s="1"/>
  <c r="I754" i="3315"/>
  <c r="J754" i="3315" s="1"/>
  <c r="AF754" i="3315" s="1"/>
  <c r="I840" i="3315"/>
  <c r="J840" i="3315" s="1"/>
  <c r="AF840" i="3315" s="1"/>
  <c r="I970" i="3315"/>
  <c r="J970" i="3315" s="1"/>
  <c r="AF970" i="3315" s="1"/>
  <c r="I963" i="3315"/>
  <c r="J963" i="3315" s="1"/>
  <c r="AF963" i="3315" s="1"/>
  <c r="I923" i="3315"/>
  <c r="J923" i="3315" s="1"/>
  <c r="AF923" i="3315" s="1"/>
  <c r="I918" i="3315"/>
  <c r="J918" i="3315" s="1"/>
  <c r="AF918" i="3315" s="1"/>
  <c r="I912" i="3315"/>
  <c r="J912" i="3315" s="1"/>
  <c r="AF912" i="3315" s="1"/>
  <c r="I907" i="3315"/>
  <c r="J907" i="3315" s="1"/>
  <c r="AF907" i="3315" s="1"/>
  <c r="I902" i="3315"/>
  <c r="J902" i="3315" s="1"/>
  <c r="AF902" i="3315" s="1"/>
  <c r="I891" i="3315"/>
  <c r="J891" i="3315" s="1"/>
  <c r="AF891" i="3315" s="1"/>
  <c r="I886" i="3315"/>
  <c r="J886" i="3315" s="1"/>
  <c r="AF886" i="3315" s="1"/>
  <c r="I881" i="3315"/>
  <c r="J881" i="3315" s="1"/>
  <c r="AF881" i="3315" s="1"/>
  <c r="I875" i="3315"/>
  <c r="J875" i="3315" s="1"/>
  <c r="AF875" i="3315" s="1"/>
  <c r="I870" i="3315"/>
  <c r="J870" i="3315" s="1"/>
  <c r="AF870" i="3315" s="1"/>
  <c r="I864" i="3315"/>
  <c r="J864" i="3315" s="1"/>
  <c r="AF864" i="3315" s="1"/>
  <c r="I858" i="3315"/>
  <c r="J858" i="3315" s="1"/>
  <c r="AF858" i="3315" s="1"/>
  <c r="I853" i="3315"/>
  <c r="J853" i="3315" s="1"/>
  <c r="AF853" i="3315" s="1"/>
  <c r="I848" i="3315"/>
  <c r="J848" i="3315" s="1"/>
  <c r="AF848" i="3315" s="1"/>
  <c r="I842" i="3315"/>
  <c r="J842" i="3315" s="1"/>
  <c r="AF842" i="3315" s="1"/>
  <c r="I836" i="3315"/>
  <c r="J836" i="3315" s="1"/>
  <c r="AF836" i="3315" s="1"/>
  <c r="I831" i="3315"/>
  <c r="J831" i="3315" s="1"/>
  <c r="AF831" i="3315" s="1"/>
  <c r="I825" i="3315"/>
  <c r="J825" i="3315" s="1"/>
  <c r="AF825" i="3315" s="1"/>
  <c r="I820" i="3315"/>
  <c r="J820" i="3315" s="1"/>
  <c r="AF820" i="3315" s="1"/>
  <c r="I815" i="3315"/>
  <c r="J815" i="3315" s="1"/>
  <c r="AF815" i="3315" s="1"/>
  <c r="I809" i="3315"/>
  <c r="J809" i="3315" s="1"/>
  <c r="AF809" i="3315" s="1"/>
  <c r="I804" i="3315"/>
  <c r="J804" i="3315" s="1"/>
  <c r="AF804" i="3315" s="1"/>
  <c r="I799" i="3315"/>
  <c r="J799" i="3315" s="1"/>
  <c r="AF799" i="3315" s="1"/>
  <c r="I793" i="3315"/>
  <c r="J793" i="3315" s="1"/>
  <c r="AF793" i="3315" s="1"/>
  <c r="I788" i="3315"/>
  <c r="J788" i="3315" s="1"/>
  <c r="AF788" i="3315" s="1"/>
  <c r="I783" i="3315"/>
  <c r="J783" i="3315" s="1"/>
  <c r="AF783" i="3315" s="1"/>
  <c r="I777" i="3315"/>
  <c r="J777" i="3315" s="1"/>
  <c r="AF777" i="3315" s="1"/>
  <c r="I772" i="3315"/>
  <c r="J772" i="3315" s="1"/>
  <c r="AF772" i="3315" s="1"/>
  <c r="I767" i="3315"/>
  <c r="J767" i="3315" s="1"/>
  <c r="AF767" i="3315" s="1"/>
  <c r="I761" i="3315"/>
  <c r="J761" i="3315" s="1"/>
  <c r="AF761" i="3315" s="1"/>
  <c r="I756" i="3315"/>
  <c r="J756" i="3315" s="1"/>
  <c r="AF756" i="3315" s="1"/>
  <c r="I751" i="3315"/>
  <c r="J751" i="3315" s="1"/>
  <c r="AF751" i="3315" s="1"/>
  <c r="I746" i="3315"/>
  <c r="J746" i="3315" s="1"/>
  <c r="AF746" i="3315" s="1"/>
  <c r="I742" i="3315"/>
  <c r="J742" i="3315" s="1"/>
  <c r="AF742" i="3315" s="1"/>
  <c r="I738" i="3315"/>
  <c r="J738" i="3315" s="1"/>
  <c r="AF738" i="3315" s="1"/>
  <c r="I734" i="3315"/>
  <c r="J734" i="3315" s="1"/>
  <c r="AF734" i="3315" s="1"/>
  <c r="I730" i="3315"/>
  <c r="J730" i="3315" s="1"/>
  <c r="AF730" i="3315" s="1"/>
  <c r="I726" i="3315"/>
  <c r="J726" i="3315" s="1"/>
  <c r="AF726" i="3315" s="1"/>
  <c r="I721" i="3315"/>
  <c r="J721" i="3315" s="1"/>
  <c r="AF721" i="3315" s="1"/>
  <c r="I717" i="3315"/>
  <c r="J717" i="3315" s="1"/>
  <c r="AF717" i="3315" s="1"/>
  <c r="I713" i="3315"/>
  <c r="J713" i="3315" s="1"/>
  <c r="AF713" i="3315" s="1"/>
  <c r="I709" i="3315"/>
  <c r="J709" i="3315" s="1"/>
  <c r="AF709" i="3315" s="1"/>
  <c r="I705" i="3315"/>
  <c r="J705" i="3315" s="1"/>
  <c r="AF705" i="3315" s="1"/>
  <c r="I701" i="3315"/>
  <c r="J701" i="3315" s="1"/>
  <c r="AF701" i="3315" s="1"/>
  <c r="I697" i="3315"/>
  <c r="J697" i="3315" s="1"/>
  <c r="AF697" i="3315" s="1"/>
  <c r="I693" i="3315"/>
  <c r="J693" i="3315" s="1"/>
  <c r="AF693" i="3315" s="1"/>
  <c r="I688" i="3315"/>
  <c r="J688" i="3315" s="1"/>
  <c r="AF688" i="3315" s="1"/>
  <c r="I684" i="3315"/>
  <c r="J684" i="3315" s="1"/>
  <c r="AF684" i="3315" s="1"/>
  <c r="I680" i="3315"/>
  <c r="J680" i="3315" s="1"/>
  <c r="AF680" i="3315" s="1"/>
  <c r="I676" i="3315"/>
  <c r="J676" i="3315" s="1"/>
  <c r="AF676" i="3315" s="1"/>
  <c r="I672" i="3315"/>
  <c r="J672" i="3315" s="1"/>
  <c r="AF672" i="3315" s="1"/>
  <c r="I666" i="3315"/>
  <c r="J666" i="3315" s="1"/>
  <c r="AF666" i="3315" s="1"/>
  <c r="I662" i="3315"/>
  <c r="J662" i="3315" s="1"/>
  <c r="AF662" i="3315" s="1"/>
  <c r="I658" i="3315"/>
  <c r="J658" i="3315" s="1"/>
  <c r="AF658" i="3315" s="1"/>
  <c r="I654" i="3315"/>
  <c r="J654" i="3315" s="1"/>
  <c r="AF654" i="3315" s="1"/>
  <c r="I650" i="3315"/>
  <c r="J650" i="3315" s="1"/>
  <c r="AF650" i="3315" s="1"/>
  <c r="I646" i="3315"/>
  <c r="J646" i="3315" s="1"/>
  <c r="AF646" i="3315" s="1"/>
  <c r="I642" i="3315"/>
  <c r="J642" i="3315" s="1"/>
  <c r="AF642" i="3315" s="1"/>
  <c r="I638" i="3315"/>
  <c r="J638" i="3315" s="1"/>
  <c r="AF638" i="3315" s="1"/>
  <c r="I634" i="3315"/>
  <c r="J634" i="3315" s="1"/>
  <c r="AF634" i="3315" s="1"/>
  <c r="I630" i="3315"/>
  <c r="J630" i="3315" s="1"/>
  <c r="AF630" i="3315" s="1"/>
  <c r="I626" i="3315"/>
  <c r="J626" i="3315" s="1"/>
  <c r="AF626" i="3315" s="1"/>
  <c r="I622" i="3315"/>
  <c r="J622" i="3315" s="1"/>
  <c r="AF622" i="3315" s="1"/>
  <c r="I618" i="3315"/>
  <c r="J618" i="3315" s="1"/>
  <c r="AF618" i="3315" s="1"/>
  <c r="I613" i="3315"/>
  <c r="J613" i="3315" s="1"/>
  <c r="AF613" i="3315" s="1"/>
  <c r="I609" i="3315"/>
  <c r="J609" i="3315" s="1"/>
  <c r="AF609" i="3315" s="1"/>
  <c r="I976" i="3315"/>
  <c r="J976" i="3315" s="1"/>
  <c r="AF976" i="3315" s="1"/>
  <c r="I968" i="3315"/>
  <c r="J968" i="3315" s="1"/>
  <c r="AF968" i="3315" s="1"/>
  <c r="I962" i="3315"/>
  <c r="J962" i="3315" s="1"/>
  <c r="AF962" i="3315" s="1"/>
  <c r="I922" i="3315"/>
  <c r="J922" i="3315" s="1"/>
  <c r="AF922" i="3315" s="1"/>
  <c r="I916" i="3315"/>
  <c r="J916" i="3315" s="1"/>
  <c r="AF916" i="3315" s="1"/>
  <c r="I911" i="3315"/>
  <c r="J911" i="3315" s="1"/>
  <c r="AF911" i="3315" s="1"/>
  <c r="I906" i="3315"/>
  <c r="J906" i="3315" s="1"/>
  <c r="AF906" i="3315" s="1"/>
  <c r="I900" i="3315"/>
  <c r="J900" i="3315" s="1"/>
  <c r="AF900" i="3315" s="1"/>
  <c r="I890" i="3315"/>
  <c r="J890" i="3315" s="1"/>
  <c r="AF890" i="3315" s="1"/>
  <c r="I885" i="3315"/>
  <c r="J885" i="3315" s="1"/>
  <c r="AF885" i="3315" s="1"/>
  <c r="I879" i="3315"/>
  <c r="J879" i="3315" s="1"/>
  <c r="AF879" i="3315" s="1"/>
  <c r="I874" i="3315"/>
  <c r="J874" i="3315" s="1"/>
  <c r="AF874" i="3315" s="1"/>
  <c r="I869" i="3315"/>
  <c r="J869" i="3315" s="1"/>
  <c r="AF869" i="3315" s="1"/>
  <c r="I862" i="3315"/>
  <c r="J862" i="3315" s="1"/>
  <c r="AF862" i="3315" s="1"/>
  <c r="I857" i="3315"/>
  <c r="J857" i="3315" s="1"/>
  <c r="AF857" i="3315" s="1"/>
  <c r="I852" i="3315"/>
  <c r="J852" i="3315" s="1"/>
  <c r="AF852" i="3315" s="1"/>
  <c r="I846" i="3315"/>
  <c r="J846" i="3315" s="1"/>
  <c r="AF846" i="3315" s="1"/>
  <c r="I841" i="3315"/>
  <c r="J841" i="3315" s="1"/>
  <c r="AF841" i="3315" s="1"/>
  <c r="I835" i="3315"/>
  <c r="J835" i="3315" s="1"/>
  <c r="AF835" i="3315" s="1"/>
  <c r="I829" i="3315"/>
  <c r="J829" i="3315" s="1"/>
  <c r="AF829" i="3315" s="1"/>
  <c r="I824" i="3315"/>
  <c r="J824" i="3315" s="1"/>
  <c r="AF824" i="3315" s="1"/>
  <c r="I819" i="3315"/>
  <c r="J819" i="3315" s="1"/>
  <c r="AF819" i="3315" s="1"/>
  <c r="I813" i="3315"/>
  <c r="J813" i="3315" s="1"/>
  <c r="AF813" i="3315" s="1"/>
  <c r="I808" i="3315"/>
  <c r="J808" i="3315" s="1"/>
  <c r="AF808" i="3315" s="1"/>
  <c r="I803" i="3315"/>
  <c r="J803" i="3315" s="1"/>
  <c r="AF803" i="3315" s="1"/>
  <c r="I797" i="3315"/>
  <c r="J797" i="3315" s="1"/>
  <c r="AF797" i="3315" s="1"/>
  <c r="I792" i="3315"/>
  <c r="J792" i="3315" s="1"/>
  <c r="AF792" i="3315" s="1"/>
  <c r="I787" i="3315"/>
  <c r="J787" i="3315" s="1"/>
  <c r="U787" i="3315" s="1"/>
  <c r="I781" i="3315"/>
  <c r="J781" i="3315" s="1"/>
  <c r="AF781" i="3315" s="1"/>
  <c r="I776" i="3315"/>
  <c r="J776" i="3315" s="1"/>
  <c r="AF776" i="3315" s="1"/>
  <c r="I771" i="3315"/>
  <c r="J771" i="3315" s="1"/>
  <c r="AF771" i="3315" s="1"/>
  <c r="I765" i="3315"/>
  <c r="J765" i="3315" s="1"/>
  <c r="AF765" i="3315" s="1"/>
  <c r="I760" i="3315"/>
  <c r="J760" i="3315" s="1"/>
  <c r="AF760" i="3315" s="1"/>
  <c r="I755" i="3315"/>
  <c r="J755" i="3315" s="1"/>
  <c r="AF755" i="3315" s="1"/>
  <c r="I750" i="3315"/>
  <c r="J750" i="3315" s="1"/>
  <c r="AF750" i="3315" s="1"/>
  <c r="I745" i="3315"/>
  <c r="J745" i="3315" s="1"/>
  <c r="AF745" i="3315" s="1"/>
  <c r="I741" i="3315"/>
  <c r="J741" i="3315" s="1"/>
  <c r="AF741" i="3315" s="1"/>
  <c r="I737" i="3315"/>
  <c r="J737" i="3315" s="1"/>
  <c r="AF737" i="3315" s="1"/>
  <c r="I733" i="3315"/>
  <c r="J733" i="3315" s="1"/>
  <c r="AF733" i="3315" s="1"/>
  <c r="I729" i="3315"/>
  <c r="J729" i="3315" s="1"/>
  <c r="AF729" i="3315" s="1"/>
  <c r="I725" i="3315"/>
  <c r="J725" i="3315" s="1"/>
  <c r="AF725" i="3315" s="1"/>
  <c r="I720" i="3315"/>
  <c r="J720" i="3315" s="1"/>
  <c r="AF720" i="3315" s="1"/>
  <c r="I716" i="3315"/>
  <c r="J716" i="3315" s="1"/>
  <c r="AF716" i="3315" s="1"/>
  <c r="I712" i="3315"/>
  <c r="J712" i="3315" s="1"/>
  <c r="AF712" i="3315" s="1"/>
  <c r="I708" i="3315"/>
  <c r="J708" i="3315" s="1"/>
  <c r="AF708" i="3315" s="1"/>
  <c r="I704" i="3315"/>
  <c r="J704" i="3315" s="1"/>
  <c r="AF704" i="3315" s="1"/>
  <c r="I700" i="3315"/>
  <c r="J700" i="3315" s="1"/>
  <c r="AF700" i="3315" s="1"/>
  <c r="I696" i="3315"/>
  <c r="J696" i="3315" s="1"/>
  <c r="AF696" i="3315" s="1"/>
  <c r="I691" i="3315"/>
  <c r="J691" i="3315" s="1"/>
  <c r="AF691" i="3315" s="1"/>
  <c r="I687" i="3315"/>
  <c r="J687" i="3315" s="1"/>
  <c r="AF687" i="3315" s="1"/>
  <c r="I683" i="3315"/>
  <c r="J683" i="3315" s="1"/>
  <c r="AF683" i="3315" s="1"/>
  <c r="I679" i="3315"/>
  <c r="J679" i="3315" s="1"/>
  <c r="AF679" i="3315" s="1"/>
  <c r="I675" i="3315"/>
  <c r="J675" i="3315" s="1"/>
  <c r="AF675" i="3315" s="1"/>
  <c r="I671" i="3315"/>
  <c r="J671" i="3315" s="1"/>
  <c r="AF671" i="3315" s="1"/>
  <c r="I665" i="3315"/>
  <c r="J665" i="3315" s="1"/>
  <c r="AF665" i="3315" s="1"/>
  <c r="I661" i="3315"/>
  <c r="J661" i="3315" s="1"/>
  <c r="AF661" i="3315" s="1"/>
  <c r="I657" i="3315"/>
  <c r="J657" i="3315" s="1"/>
  <c r="AF657" i="3315" s="1"/>
  <c r="I653" i="3315"/>
  <c r="J653" i="3315" s="1"/>
  <c r="AF653" i="3315" s="1"/>
  <c r="I649" i="3315"/>
  <c r="J649" i="3315" s="1"/>
  <c r="AF649" i="3315" s="1"/>
  <c r="I645" i="3315"/>
  <c r="J645" i="3315" s="1"/>
  <c r="AF645" i="3315" s="1"/>
  <c r="I641" i="3315"/>
  <c r="J641" i="3315" s="1"/>
  <c r="AF641" i="3315" s="1"/>
  <c r="I637" i="3315"/>
  <c r="J637" i="3315" s="1"/>
  <c r="AF637" i="3315" s="1"/>
  <c r="I633" i="3315"/>
  <c r="J633" i="3315" s="1"/>
  <c r="AF633" i="3315" s="1"/>
  <c r="I629" i="3315"/>
  <c r="J629" i="3315" s="1"/>
  <c r="AF629" i="3315" s="1"/>
  <c r="I625" i="3315"/>
  <c r="J625" i="3315" s="1"/>
  <c r="AF625" i="3315" s="1"/>
  <c r="I621" i="3315"/>
  <c r="J621" i="3315" s="1"/>
  <c r="AF621" i="3315" s="1"/>
  <c r="I617" i="3315"/>
  <c r="J617" i="3315" s="1"/>
  <c r="AF617" i="3315" s="1"/>
  <c r="I612" i="3315"/>
  <c r="J612" i="3315" s="1"/>
  <c r="AF612" i="3315" s="1"/>
  <c r="D953" i="3315"/>
  <c r="AF10" i="3315"/>
  <c r="AF48" i="3315"/>
  <c r="J951" i="3315"/>
  <c r="H1161" i="3315"/>
  <c r="J488" i="3315"/>
  <c r="AF481" i="3315"/>
  <c r="AF488" i="3315" s="1"/>
  <c r="Z22" i="3315"/>
  <c r="Z897" i="3315"/>
  <c r="AD897" i="3315" s="1"/>
  <c r="I983" i="3315"/>
  <c r="J983" i="3315" s="1"/>
  <c r="AF983" i="3315" s="1"/>
  <c r="I987" i="3315"/>
  <c r="J987" i="3315" s="1"/>
  <c r="AF987" i="3315" s="1"/>
  <c r="I992" i="3315"/>
  <c r="J992" i="3315" s="1"/>
  <c r="AF992" i="3315" s="1"/>
  <c r="I996" i="3315"/>
  <c r="J996" i="3315" s="1"/>
  <c r="AF996" i="3315" s="1"/>
  <c r="I1005" i="3315"/>
  <c r="J1005" i="3315" s="1"/>
  <c r="AF1005" i="3315" s="1"/>
  <c r="I1009" i="3315"/>
  <c r="J1009" i="3315" s="1"/>
  <c r="AF1009" i="3315" s="1"/>
  <c r="I1012" i="3315"/>
  <c r="J1012" i="3315" s="1"/>
  <c r="AF1012" i="3315" s="1"/>
  <c r="I1015" i="3315"/>
  <c r="J1015" i="3315" s="1"/>
  <c r="AF1015" i="3315" s="1"/>
  <c r="I1018" i="3315"/>
  <c r="J1018" i="3315" s="1"/>
  <c r="AF1018" i="3315" s="1"/>
  <c r="I1021" i="3315"/>
  <c r="J1021" i="3315" s="1"/>
  <c r="AF1021" i="3315" s="1"/>
  <c r="I1025" i="3315"/>
  <c r="J1025" i="3315" s="1"/>
  <c r="AF1025" i="3315" s="1"/>
  <c r="I1032" i="3315"/>
  <c r="J1032" i="3315" s="1"/>
  <c r="AF1032" i="3315" s="1"/>
  <c r="I1035" i="3315"/>
  <c r="J1035" i="3315" s="1"/>
  <c r="AF1035" i="3315" s="1"/>
  <c r="I1042" i="3315"/>
  <c r="J1042" i="3315" s="1"/>
  <c r="AF1042" i="3315" s="1"/>
  <c r="I1050" i="3315"/>
  <c r="J1050" i="3315" s="1"/>
  <c r="AF1050" i="3315" s="1"/>
  <c r="I1053" i="3315"/>
  <c r="J1053" i="3315" s="1"/>
  <c r="AF1053" i="3315" s="1"/>
  <c r="I1061" i="3315"/>
  <c r="J1061" i="3315" s="1"/>
  <c r="AF1061" i="3315" s="1"/>
  <c r="I1065" i="3315"/>
  <c r="J1065" i="3315" s="1"/>
  <c r="AF1065" i="3315" s="1"/>
  <c r="I1069" i="3315"/>
  <c r="J1069" i="3315" s="1"/>
  <c r="AF1069" i="3315" s="1"/>
  <c r="I1074" i="3315"/>
  <c r="J1074" i="3315" s="1"/>
  <c r="AF1074" i="3315" s="1"/>
  <c r="I1080" i="3315"/>
  <c r="J1080" i="3315" s="1"/>
  <c r="AF1080" i="3315" s="1"/>
  <c r="I1085" i="3315"/>
  <c r="J1085" i="3315" s="1"/>
  <c r="AF1085" i="3315" s="1"/>
  <c r="I1089" i="3315"/>
  <c r="J1089" i="3315" s="1"/>
  <c r="AF1089" i="3315" s="1"/>
  <c r="I1092" i="3315"/>
  <c r="J1092" i="3315" s="1"/>
  <c r="AF1092" i="3315" s="1"/>
  <c r="I1096" i="3315"/>
  <c r="J1096" i="3315" s="1"/>
  <c r="AF1096" i="3315" s="1"/>
  <c r="I1100" i="3315"/>
  <c r="J1100" i="3315" s="1"/>
  <c r="AF1100" i="3315" s="1"/>
  <c r="I1106" i="3315"/>
  <c r="J1106" i="3315" s="1"/>
  <c r="AF1106" i="3315" s="1"/>
  <c r="I1110" i="3315"/>
  <c r="J1110" i="3315" s="1"/>
  <c r="AF1110" i="3315" s="1"/>
  <c r="I1117" i="3315"/>
  <c r="J1117" i="3315" s="1"/>
  <c r="AF1117" i="3315" s="1"/>
  <c r="I1122" i="3315"/>
  <c r="J1122" i="3315" s="1"/>
  <c r="AF1122" i="3315" s="1"/>
  <c r="I1126" i="3315"/>
  <c r="J1126" i="3315" s="1"/>
  <c r="AF1126" i="3315" s="1"/>
  <c r="I1130" i="3315"/>
  <c r="J1130" i="3315" s="1"/>
  <c r="AF1130" i="3315" s="1"/>
  <c r="I1135" i="3315"/>
  <c r="J1135" i="3315" s="1"/>
  <c r="AF1135" i="3315" s="1"/>
  <c r="I1139" i="3315"/>
  <c r="J1139" i="3315" s="1"/>
  <c r="AF1139" i="3315" s="1"/>
  <c r="I1142" i="3315"/>
  <c r="J1142" i="3315" s="1"/>
  <c r="AF1142" i="3315" s="1"/>
  <c r="I1146" i="3315"/>
  <c r="J1146" i="3315" s="1"/>
  <c r="AF1146" i="3315" s="1"/>
  <c r="I1149" i="3315"/>
  <c r="J1149" i="3315" s="1"/>
  <c r="AF1149" i="3315" s="1"/>
  <c r="I1152" i="3315"/>
  <c r="J1152" i="3315" s="1"/>
  <c r="AF1152" i="3315" s="1"/>
  <c r="I1156" i="3315"/>
  <c r="J1156" i="3315" s="1"/>
  <c r="AF1156" i="3315" s="1"/>
  <c r="J22" i="3315"/>
  <c r="AF21" i="3315"/>
  <c r="AA1182" i="3315"/>
  <c r="AF7" i="3315"/>
  <c r="AF227" i="3315"/>
  <c r="M248" i="3315"/>
  <c r="AF46" i="3315"/>
  <c r="AF29" i="3315"/>
  <c r="AF361" i="3315"/>
  <c r="I984" i="3315"/>
  <c r="J984" i="3315" s="1"/>
  <c r="AF984" i="3315" s="1"/>
  <c r="I988" i="3315"/>
  <c r="J988" i="3315" s="1"/>
  <c r="AF988" i="3315" s="1"/>
  <c r="I993" i="3315"/>
  <c r="J993" i="3315" s="1"/>
  <c r="AF993" i="3315" s="1"/>
  <c r="I998" i="3315"/>
  <c r="J998" i="3315" s="1"/>
  <c r="AF998" i="3315" s="1"/>
  <c r="I1006" i="3315"/>
  <c r="J1006" i="3315" s="1"/>
  <c r="AF1006" i="3315" s="1"/>
  <c r="I1010" i="3315"/>
  <c r="J1010" i="3315" s="1"/>
  <c r="AF1010" i="3315" s="1"/>
  <c r="I1013" i="3315"/>
  <c r="J1013" i="3315" s="1"/>
  <c r="AF1013" i="3315" s="1"/>
  <c r="I1019" i="3315"/>
  <c r="J1019" i="3315" s="1"/>
  <c r="AF1019" i="3315" s="1"/>
  <c r="I1026" i="3315"/>
  <c r="J1026" i="3315" s="1"/>
  <c r="AF1026" i="3315" s="1"/>
  <c r="I1029" i="3315"/>
  <c r="J1029" i="3315" s="1"/>
  <c r="AF1029" i="3315" s="1"/>
  <c r="I1036" i="3315"/>
  <c r="J1036" i="3315" s="1"/>
  <c r="AF1036" i="3315" s="1"/>
  <c r="I1040" i="3315"/>
  <c r="J1040" i="3315" s="1"/>
  <c r="AF1040" i="3315" s="1"/>
  <c r="I1043" i="3315"/>
  <c r="J1043" i="3315" s="1"/>
  <c r="AF1043" i="3315" s="1"/>
  <c r="I1046" i="3315"/>
  <c r="J1046" i="3315" s="1"/>
  <c r="AF1046" i="3315" s="1"/>
  <c r="I1051" i="3315"/>
  <c r="J1051" i="3315" s="1"/>
  <c r="AF1051" i="3315" s="1"/>
  <c r="I1055" i="3315"/>
  <c r="J1055" i="3315" s="1"/>
  <c r="AF1055" i="3315" s="1"/>
  <c r="I1062" i="3315"/>
  <c r="J1062" i="3315" s="1"/>
  <c r="AF1062" i="3315" s="1"/>
  <c r="I1066" i="3315"/>
  <c r="J1066" i="3315" s="1"/>
  <c r="AF1066" i="3315" s="1"/>
  <c r="I1070" i="3315"/>
  <c r="J1070" i="3315" s="1"/>
  <c r="AF1070" i="3315" s="1"/>
  <c r="I1075" i="3315"/>
  <c r="J1075" i="3315" s="1"/>
  <c r="AF1075" i="3315" s="1"/>
  <c r="I1081" i="3315"/>
  <c r="J1081" i="3315" s="1"/>
  <c r="AF1081" i="3315" s="1"/>
  <c r="I1086" i="3315"/>
  <c r="J1086" i="3315" s="1"/>
  <c r="AF1086" i="3315" s="1"/>
  <c r="I1090" i="3315"/>
  <c r="J1090" i="3315" s="1"/>
  <c r="AF1090" i="3315" s="1"/>
  <c r="I1093" i="3315"/>
  <c r="J1093" i="3315" s="1"/>
  <c r="AF1093" i="3315" s="1"/>
  <c r="I1097" i="3315"/>
  <c r="J1097" i="3315" s="1"/>
  <c r="AF1097" i="3315" s="1"/>
  <c r="I1101" i="3315"/>
  <c r="J1101" i="3315" s="1"/>
  <c r="AF1101" i="3315" s="1"/>
  <c r="I1107" i="3315"/>
  <c r="J1107" i="3315" s="1"/>
  <c r="AF1107" i="3315" s="1"/>
  <c r="I1111" i="3315"/>
  <c r="J1111" i="3315" s="1"/>
  <c r="AF1111" i="3315" s="1"/>
  <c r="I1119" i="3315"/>
  <c r="J1119" i="3315" s="1"/>
  <c r="AF1119" i="3315" s="1"/>
  <c r="I1123" i="3315"/>
  <c r="J1123" i="3315" s="1"/>
  <c r="AF1123" i="3315" s="1"/>
  <c r="I1127" i="3315"/>
  <c r="J1127" i="3315" s="1"/>
  <c r="AF1127" i="3315" s="1"/>
  <c r="I1131" i="3315"/>
  <c r="J1131" i="3315" s="1"/>
  <c r="AF1131" i="3315" s="1"/>
  <c r="I1136" i="3315"/>
  <c r="J1136" i="3315" s="1"/>
  <c r="AF1136" i="3315" s="1"/>
  <c r="I1140" i="3315"/>
  <c r="J1140" i="3315" s="1"/>
  <c r="AF1140" i="3315" s="1"/>
  <c r="I1143" i="3315"/>
  <c r="J1143" i="3315" s="1"/>
  <c r="AF1143" i="3315" s="1"/>
  <c r="I1147" i="3315"/>
  <c r="J1147" i="3315" s="1"/>
  <c r="AF1147" i="3315" s="1"/>
  <c r="I1153" i="3315"/>
  <c r="J1153" i="3315" s="1"/>
  <c r="AF1153" i="3315" s="1"/>
  <c r="I1157" i="3315"/>
  <c r="J1157" i="3315" s="1"/>
  <c r="AF1157" i="3315" s="1"/>
  <c r="AF49" i="3315"/>
  <c r="N951" i="3315"/>
  <c r="AF950" i="3315"/>
  <c r="AF951" i="3315" s="1"/>
  <c r="I171" i="3315"/>
  <c r="J171" i="3315" s="1"/>
  <c r="AF171" i="3315" s="1"/>
  <c r="AD930" i="3315"/>
  <c r="AD951" i="3315" s="1"/>
  <c r="Z951" i="3315"/>
  <c r="M1157" i="3315"/>
  <c r="N1157" i="3315" s="1"/>
  <c r="M1153" i="3315"/>
  <c r="N1153" i="3315" s="1"/>
  <c r="M1149" i="3315"/>
  <c r="N1149" i="3315" s="1"/>
  <c r="M1145" i="3315"/>
  <c r="N1145" i="3315" s="1"/>
  <c r="M1141" i="3315"/>
  <c r="N1141" i="3315" s="1"/>
  <c r="M1137" i="3315"/>
  <c r="N1137" i="3315" s="1"/>
  <c r="M1133" i="3315"/>
  <c r="N1133" i="3315" s="1"/>
  <c r="M1129" i="3315"/>
  <c r="N1129" i="3315" s="1"/>
  <c r="M1125" i="3315"/>
  <c r="N1125" i="3315" s="1"/>
  <c r="M1121" i="3315"/>
  <c r="N1121" i="3315" s="1"/>
  <c r="M1117" i="3315"/>
  <c r="N1117" i="3315" s="1"/>
  <c r="M1110" i="3315"/>
  <c r="N1110" i="3315" s="1"/>
  <c r="M1106" i="3315"/>
  <c r="N1106" i="3315" s="1"/>
  <c r="M1101" i="3315"/>
  <c r="N1101" i="3315" s="1"/>
  <c r="M1097" i="3315"/>
  <c r="N1097" i="3315" s="1"/>
  <c r="M1094" i="3315"/>
  <c r="N1094" i="3315" s="1"/>
  <c r="M1091" i="3315"/>
  <c r="N1091" i="3315" s="1"/>
  <c r="M1087" i="3315"/>
  <c r="N1087" i="3315" s="1"/>
  <c r="M1083" i="3315"/>
  <c r="N1083" i="3315" s="1"/>
  <c r="M1079" i="3315"/>
  <c r="N1079" i="3315" s="1"/>
  <c r="M1075" i="3315"/>
  <c r="N1075" i="3315" s="1"/>
  <c r="M1071" i="3315"/>
  <c r="N1071" i="3315" s="1"/>
  <c r="M1067" i="3315"/>
  <c r="N1067" i="3315" s="1"/>
  <c r="M1063" i="3315"/>
  <c r="N1063" i="3315" s="1"/>
  <c r="M1059" i="3315"/>
  <c r="N1059" i="3315" s="1"/>
  <c r="M1053" i="3315"/>
  <c r="N1053" i="3315" s="1"/>
  <c r="H490" i="3315"/>
  <c r="AE1200" i="3315"/>
  <c r="I169" i="3315"/>
  <c r="J169" i="3315" s="1"/>
  <c r="AF169" i="3315" s="1"/>
  <c r="I163" i="3315"/>
  <c r="J163" i="3315" s="1"/>
  <c r="AF163" i="3315" s="1"/>
  <c r="AC197" i="3315"/>
  <c r="M81" i="3315"/>
  <c r="I248" i="3315"/>
  <c r="N248" i="3315"/>
  <c r="H64" i="3315"/>
  <c r="L953" i="3315"/>
  <c r="Q488" i="3315"/>
  <c r="I488" i="3315"/>
  <c r="P197" i="3315"/>
  <c r="AD1200" i="3315"/>
  <c r="Z1159" i="3315"/>
  <c r="AD1159" i="3315" s="1"/>
  <c r="AD1118" i="3315"/>
  <c r="R195" i="3315"/>
  <c r="P34" i="3315"/>
  <c r="AB1202" i="3315"/>
  <c r="D490" i="3315"/>
  <c r="Z361" i="3315"/>
  <c r="AD361" i="3315" s="1"/>
  <c r="AD251" i="3315"/>
  <c r="AC490" i="3315"/>
  <c r="Z227" i="3315"/>
  <c r="AD227" i="3315" s="1"/>
  <c r="R951" i="3315"/>
  <c r="AC1161" i="3315"/>
  <c r="D1161" i="3315"/>
  <c r="N160" i="3315"/>
  <c r="U612" i="3315"/>
  <c r="U359" i="3315"/>
  <c r="J81" i="3315"/>
  <c r="I928" i="3315"/>
  <c r="I951" i="3315" s="1"/>
  <c r="H951" i="3315"/>
  <c r="H953" i="3315" s="1"/>
  <c r="N8" i="3315"/>
  <c r="J8" i="3315"/>
  <c r="J60" i="3315"/>
  <c r="AF60" i="3315" s="1"/>
  <c r="R60" i="3315"/>
  <c r="E91" i="4608"/>
  <c r="U763" i="3315"/>
  <c r="U708" i="3315"/>
  <c r="U1011" i="3315"/>
  <c r="U1091" i="3315"/>
  <c r="J1115" i="3315"/>
  <c r="AF1115" i="3315" s="1"/>
  <c r="N202" i="3315"/>
  <c r="N227" i="3315" s="1"/>
  <c r="R165" i="3315"/>
  <c r="U724" i="3315"/>
  <c r="N28" i="3315"/>
  <c r="J28" i="3315"/>
  <c r="R28" i="3315"/>
  <c r="N63" i="3315"/>
  <c r="L63" i="3315"/>
  <c r="L64" i="3315" s="1"/>
  <c r="Z60" i="3315"/>
  <c r="P10" i="3315"/>
  <c r="P13" i="3315" s="1"/>
  <c r="P18" i="3315" s="1"/>
  <c r="D13" i="3315"/>
  <c r="D18" i="3315" s="1"/>
  <c r="L10" i="3315"/>
  <c r="L13" i="3315" s="1"/>
  <c r="L18" i="3315" s="1"/>
  <c r="R10" i="3315"/>
  <c r="H9" i="3315"/>
  <c r="H13" i="3315" s="1"/>
  <c r="J9" i="3315"/>
  <c r="E11" i="4608"/>
  <c r="E12" i="4608"/>
  <c r="L15" i="3315"/>
  <c r="N15" i="3315"/>
  <c r="L14" i="3315"/>
  <c r="H14" i="3315"/>
  <c r="H17" i="3315" s="1"/>
  <c r="E51" i="4608"/>
  <c r="E48" i="4608"/>
  <c r="F46" i="4608"/>
  <c r="E49" i="4608"/>
  <c r="E53" i="4608"/>
  <c r="U669" i="3315"/>
  <c r="U577" i="3315"/>
  <c r="U877" i="3315"/>
  <c r="U837" i="3315"/>
  <c r="U795" i="3315"/>
  <c r="U567" i="3315"/>
  <c r="U517" i="3315"/>
  <c r="N980" i="3315"/>
  <c r="U762" i="3315"/>
  <c r="N7" i="3315"/>
  <c r="I361" i="3315"/>
  <c r="U1088" i="3315"/>
  <c r="U1095" i="3315"/>
  <c r="U1138" i="3315"/>
  <c r="V191" i="3315"/>
  <c r="U254" i="3315"/>
  <c r="U126" i="3315"/>
  <c r="U74" i="3315"/>
  <c r="W74" i="3315"/>
  <c r="W108" i="3315"/>
  <c r="W372" i="3315"/>
  <c r="J498" i="3315"/>
  <c r="U605" i="3315"/>
  <c r="J14" i="3315"/>
  <c r="V47" i="3315"/>
  <c r="P14" i="3315"/>
  <c r="P490" i="3315"/>
  <c r="L7" i="4608"/>
  <c r="N9" i="3079"/>
  <c r="U625" i="3315"/>
  <c r="U824" i="3315"/>
  <c r="U878" i="3315"/>
  <c r="U501" i="3315"/>
  <c r="U543" i="3315"/>
  <c r="U579" i="3315"/>
  <c r="U644" i="3315"/>
  <c r="U690" i="3315"/>
  <c r="U749" i="3315"/>
  <c r="W57" i="3315"/>
  <c r="V12" i="3315"/>
  <c r="U552" i="3315"/>
  <c r="U702" i="3315"/>
  <c r="U720" i="3315"/>
  <c r="U882" i="3315"/>
  <c r="U145" i="3315"/>
  <c r="U103" i="3315"/>
  <c r="U531" i="3315"/>
  <c r="U561" i="3315"/>
  <c r="U583" i="3315"/>
  <c r="U611" i="3315"/>
  <c r="U656" i="3315"/>
  <c r="U801" i="3315"/>
  <c r="U844" i="3315"/>
  <c r="N960" i="3315"/>
  <c r="R84" i="3315"/>
  <c r="U506" i="3315"/>
  <c r="U768" i="3315"/>
  <c r="U800" i="3315"/>
  <c r="AE1208" i="3315"/>
  <c r="AE1212" i="3315" s="1"/>
  <c r="AE1218" i="3315" s="1"/>
  <c r="AD1212" i="3315"/>
  <c r="AD1218" i="3315" s="1"/>
  <c r="U723" i="3315"/>
  <c r="U707" i="3315"/>
  <c r="U573" i="3315"/>
  <c r="U130" i="3315"/>
  <c r="I227" i="3315"/>
  <c r="U764" i="3315"/>
  <c r="U1087" i="3315"/>
  <c r="U191" i="3315"/>
  <c r="J164" i="3315"/>
  <c r="AF164" i="3315" s="1"/>
  <c r="W820" i="3315"/>
  <c r="U711" i="3315"/>
  <c r="U503" i="3315"/>
  <c r="U550" i="3315"/>
  <c r="U893" i="3315"/>
  <c r="U748" i="3315"/>
  <c r="U864" i="3315"/>
  <c r="U777" i="3315"/>
  <c r="U744" i="3315"/>
  <c r="U603" i="3315"/>
  <c r="U541" i="3315"/>
  <c r="U241" i="3315"/>
  <c r="U794" i="3315"/>
  <c r="U739" i="3315"/>
  <c r="U685" i="3315"/>
  <c r="R8" i="3315"/>
  <c r="N86" i="3315"/>
  <c r="N252" i="3315"/>
  <c r="M361" i="3315"/>
  <c r="N364" i="3315"/>
  <c r="V372" i="3315"/>
  <c r="N483" i="3315"/>
  <c r="N488" i="3315" s="1"/>
  <c r="I81" i="3315"/>
  <c r="W787" i="3315"/>
  <c r="R201" i="3315"/>
  <c r="R902" i="3315"/>
  <c r="Q924" i="3315"/>
  <c r="R983" i="3315"/>
  <c r="U515" i="3315"/>
  <c r="U521" i="3315"/>
  <c r="U701" i="3315"/>
  <c r="U826" i="3315"/>
  <c r="J16" i="3315"/>
  <c r="Q928" i="3315"/>
  <c r="Q951" i="3315" s="1"/>
  <c r="P951" i="3315"/>
  <c r="P953" i="3315" s="1"/>
  <c r="V109" i="3315"/>
  <c r="V318" i="3315"/>
  <c r="W410" i="3315"/>
  <c r="U318" i="3315"/>
  <c r="U354" i="3315"/>
  <c r="AB1184" i="3315"/>
  <c r="P1161" i="3315"/>
  <c r="AA18" i="3315"/>
  <c r="Z478" i="3315"/>
  <c r="AD478" i="3315" s="1"/>
  <c r="AD367" i="3315"/>
  <c r="Z248" i="3315"/>
  <c r="AD248" i="3315" s="1"/>
  <c r="AD230" i="3315"/>
  <c r="U223" i="3315"/>
  <c r="U1059" i="3315"/>
  <c r="U1093" i="3315"/>
  <c r="U1155" i="3315"/>
  <c r="V367" i="3315"/>
  <c r="V820" i="3315"/>
  <c r="U109" i="3315"/>
  <c r="J7" i="4608"/>
  <c r="M9" i="3079"/>
  <c r="AC1171" i="3315"/>
  <c r="AC1176" i="3315" s="1"/>
  <c r="AA1176" i="3315"/>
  <c r="D197" i="3315"/>
  <c r="Z173" i="3315"/>
  <c r="AD173" i="3315" s="1"/>
  <c r="AD164" i="3315"/>
  <c r="W318" i="3315"/>
  <c r="W354" i="3315"/>
  <c r="U319" i="3315"/>
  <c r="AB18" i="3315"/>
  <c r="AB37" i="3315" s="1"/>
  <c r="H197" i="3315"/>
  <c r="P64" i="3315"/>
  <c r="AA492" i="3315"/>
  <c r="AA1163" i="3315" s="1"/>
  <c r="AD204" i="3315"/>
  <c r="E13" i="4608"/>
  <c r="U623" i="3315"/>
  <c r="U769" i="3315"/>
  <c r="U820" i="3315"/>
  <c r="U915" i="3315"/>
  <c r="H34" i="3315"/>
  <c r="Z81" i="3315"/>
  <c r="AD81" i="3315" s="1"/>
  <c r="AD70" i="3315"/>
  <c r="Z63" i="3315"/>
  <c r="N60" i="3315"/>
  <c r="N10" i="3315"/>
  <c r="AD1195" i="3315"/>
  <c r="Z160" i="3315"/>
  <c r="AD160" i="3315" s="1"/>
  <c r="Z195" i="3315"/>
  <c r="AD195" i="3315" s="1"/>
  <c r="Z138" i="3315"/>
  <c r="AD138" i="3315" s="1"/>
  <c r="AD980" i="3315"/>
  <c r="Z1112" i="3315"/>
  <c r="Z6" i="3315"/>
  <c r="J6" i="3315"/>
  <c r="Z14" i="3315"/>
  <c r="N14" i="3315"/>
  <c r="E47" i="4608"/>
  <c r="U209" i="3315" s="1"/>
  <c r="E52" i="4608"/>
  <c r="U171" i="3315" s="1"/>
  <c r="E50" i="4608"/>
  <c r="AC1200" i="3315"/>
  <c r="N54" i="3315"/>
  <c r="R46" i="3315"/>
  <c r="Z25" i="3315"/>
  <c r="Z924" i="3315"/>
  <c r="AD924" i="3315" s="1"/>
  <c r="I186" i="3315"/>
  <c r="J186" i="3315" s="1"/>
  <c r="AF186" i="3315" s="1"/>
  <c r="I475" i="3315"/>
  <c r="J475" i="3315" s="1"/>
  <c r="AF475" i="3315" s="1"/>
  <c r="I471" i="3315"/>
  <c r="J471" i="3315" s="1"/>
  <c r="AF471" i="3315" s="1"/>
  <c r="I423" i="3315"/>
  <c r="J423" i="3315" s="1"/>
  <c r="AF423" i="3315" s="1"/>
  <c r="I407" i="3315"/>
  <c r="J407" i="3315" s="1"/>
  <c r="AF407" i="3315" s="1"/>
  <c r="I403" i="3315"/>
  <c r="J403" i="3315" s="1"/>
  <c r="AF403" i="3315" s="1"/>
  <c r="I399" i="3315"/>
  <c r="J399" i="3315" s="1"/>
  <c r="I395" i="3315"/>
  <c r="J395" i="3315" s="1"/>
  <c r="AF395" i="3315" s="1"/>
  <c r="I391" i="3315"/>
  <c r="J391" i="3315" s="1"/>
  <c r="AF391" i="3315" s="1"/>
  <c r="I383" i="3315"/>
  <c r="J383" i="3315" s="1"/>
  <c r="AF383" i="3315" s="1"/>
  <c r="I367" i="3315"/>
  <c r="I477" i="3315"/>
  <c r="J477" i="3315" s="1"/>
  <c r="AF477" i="3315" s="1"/>
  <c r="I409" i="3315"/>
  <c r="J409" i="3315" s="1"/>
  <c r="AF409" i="3315" s="1"/>
  <c r="I401" i="3315"/>
  <c r="J401" i="3315" s="1"/>
  <c r="AF401" i="3315" s="1"/>
  <c r="I393" i="3315"/>
  <c r="J393" i="3315" s="1"/>
  <c r="I385" i="3315"/>
  <c r="J385" i="3315" s="1"/>
  <c r="AF385" i="3315" s="1"/>
  <c r="I472" i="3315"/>
  <c r="J472" i="3315" s="1"/>
  <c r="AF472" i="3315" s="1"/>
  <c r="I432" i="3315"/>
  <c r="J432" i="3315" s="1"/>
  <c r="AF432" i="3315" s="1"/>
  <c r="I408" i="3315"/>
  <c r="J408" i="3315" s="1"/>
  <c r="I404" i="3315"/>
  <c r="J404" i="3315" s="1"/>
  <c r="AF404" i="3315" s="1"/>
  <c r="I396" i="3315"/>
  <c r="J396" i="3315" s="1"/>
  <c r="AF396" i="3315" s="1"/>
  <c r="I388" i="3315"/>
  <c r="J388" i="3315" s="1"/>
  <c r="AF388" i="3315" s="1"/>
  <c r="I372" i="3315"/>
  <c r="J372" i="3315" s="1"/>
  <c r="I474" i="3315"/>
  <c r="J474" i="3315" s="1"/>
  <c r="AF474" i="3315" s="1"/>
  <c r="I446" i="3315"/>
  <c r="J446" i="3315" s="1"/>
  <c r="AF446" i="3315" s="1"/>
  <c r="I434" i="3315"/>
  <c r="J434" i="3315" s="1"/>
  <c r="AF434" i="3315" s="1"/>
  <c r="I422" i="3315"/>
  <c r="J422" i="3315" s="1"/>
  <c r="I410" i="3315"/>
  <c r="J410" i="3315" s="1"/>
  <c r="I406" i="3315"/>
  <c r="J406" i="3315" s="1"/>
  <c r="AF406" i="3315" s="1"/>
  <c r="I402" i="3315"/>
  <c r="J402" i="3315" s="1"/>
  <c r="AF402" i="3315" s="1"/>
  <c r="I398" i="3315"/>
  <c r="J398" i="3315" s="1"/>
  <c r="I394" i="3315"/>
  <c r="J394" i="3315" s="1"/>
  <c r="AF394" i="3315" s="1"/>
  <c r="I390" i="3315"/>
  <c r="J390" i="3315" s="1"/>
  <c r="AF390" i="3315" s="1"/>
  <c r="I386" i="3315"/>
  <c r="J386" i="3315" s="1"/>
  <c r="AF386" i="3315" s="1"/>
  <c r="I382" i="3315"/>
  <c r="J382" i="3315" s="1"/>
  <c r="AF382" i="3315" s="1"/>
  <c r="I473" i="3315"/>
  <c r="J473" i="3315" s="1"/>
  <c r="AF473" i="3315" s="1"/>
  <c r="I433" i="3315"/>
  <c r="J433" i="3315" s="1"/>
  <c r="AF433" i="3315" s="1"/>
  <c r="I405" i="3315"/>
  <c r="J405" i="3315" s="1"/>
  <c r="AF405" i="3315" s="1"/>
  <c r="I397" i="3315"/>
  <c r="J397" i="3315" s="1"/>
  <c r="I389" i="3315"/>
  <c r="J389" i="3315" s="1"/>
  <c r="AF389" i="3315" s="1"/>
  <c r="I424" i="3315"/>
  <c r="J424" i="3315" s="1"/>
  <c r="AF424" i="3315" s="1"/>
  <c r="I400" i="3315"/>
  <c r="J400" i="3315" s="1"/>
  <c r="AF400" i="3315" s="1"/>
  <c r="I392" i="3315"/>
  <c r="J392" i="3315" s="1"/>
  <c r="AF392" i="3315" s="1"/>
  <c r="I384" i="3315"/>
  <c r="J384" i="3315" s="1"/>
  <c r="AF384" i="3315" s="1"/>
  <c r="I167" i="3315"/>
  <c r="J167" i="3315" s="1"/>
  <c r="AF167" i="3315" s="1"/>
  <c r="R61" i="3315"/>
  <c r="R59" i="3315"/>
  <c r="R58" i="3315"/>
  <c r="R55" i="3315"/>
  <c r="Z54" i="3315"/>
  <c r="R49" i="3315"/>
  <c r="N6" i="3315"/>
  <c r="E10" i="4608"/>
  <c r="N16" i="3315"/>
  <c r="D93" i="4608"/>
  <c r="E93" i="4608" s="1"/>
  <c r="U698" i="3315"/>
  <c r="U694" i="3315"/>
  <c r="U681" i="3315"/>
  <c r="U663" i="3315"/>
  <c r="U641" i="3315"/>
  <c r="U619" i="3315"/>
  <c r="U600" i="3315"/>
  <c r="U570" i="3315"/>
  <c r="U540" i="3315"/>
  <c r="U70" i="3315"/>
  <c r="R43" i="3315"/>
  <c r="Z33" i="3315"/>
  <c r="N33" i="3315"/>
  <c r="Z30" i="3315"/>
  <c r="L490" i="3315"/>
  <c r="AC1182" i="3315"/>
  <c r="AE1195" i="3315"/>
  <c r="AC1212" i="3315"/>
  <c r="AC1218" i="3315" s="1"/>
  <c r="AC1195" i="3315"/>
  <c r="AB492" i="3315"/>
  <c r="AB1163" i="3315" s="1"/>
  <c r="W109" i="3315"/>
  <c r="W319" i="3315"/>
  <c r="V787" i="3315"/>
  <c r="U192" i="3315"/>
  <c r="Z53" i="3315"/>
  <c r="R52" i="3315"/>
  <c r="N48" i="3315"/>
  <c r="Z47" i="3315"/>
  <c r="R45" i="3315"/>
  <c r="R44" i="3315"/>
  <c r="Z32" i="3315"/>
  <c r="Z28" i="3315"/>
  <c r="N27" i="3315"/>
  <c r="V27" i="3315" s="1"/>
  <c r="Z26" i="3315"/>
  <c r="J12" i="3315"/>
  <c r="R14" i="3315"/>
  <c r="D94" i="4608"/>
  <c r="F94" i="4608" s="1"/>
  <c r="F92" i="4608"/>
  <c r="L34" i="3315"/>
  <c r="J41" i="3315"/>
  <c r="L197" i="3315"/>
  <c r="D95" i="4608"/>
  <c r="U673" i="3315"/>
  <c r="U647" i="3315"/>
  <c r="U631" i="3315"/>
  <c r="U614" i="3315"/>
  <c r="U608" i="3315"/>
  <c r="U594" i="3315"/>
  <c r="U586" i="3315"/>
  <c r="U566" i="3315"/>
  <c r="U544" i="3315"/>
  <c r="U516" i="3315"/>
  <c r="U504" i="3315"/>
  <c r="U89" i="3315"/>
  <c r="U101" i="3315"/>
  <c r="U189" i="3315"/>
  <c r="U188" i="3315"/>
  <c r="F53" i="4608"/>
  <c r="R12" i="3315"/>
  <c r="W12" i="3315" s="1"/>
  <c r="Z12" i="3315"/>
  <c r="Z11" i="3315"/>
  <c r="R15" i="3315"/>
  <c r="E121" i="4608"/>
  <c r="U1144" i="3315" s="1"/>
  <c r="N53" i="3315"/>
  <c r="R47" i="3315"/>
  <c r="W47" i="3315" s="1"/>
  <c r="R42" i="3315"/>
  <c r="R41" i="3315"/>
  <c r="Z40" i="3315"/>
  <c r="N40" i="3315"/>
  <c r="R33" i="3315"/>
  <c r="Z31" i="3315"/>
  <c r="J227" i="3315"/>
  <c r="F54" i="4608"/>
  <c r="D55" i="4608"/>
  <c r="E55" i="4608" s="1"/>
  <c r="U253" i="3315"/>
  <c r="J361" i="3315"/>
  <c r="U232" i="3315"/>
  <c r="J248" i="3315"/>
  <c r="U995" i="3315"/>
  <c r="V96" i="3315"/>
  <c r="U124" i="3315"/>
  <c r="U147" i="3315"/>
  <c r="U243" i="3315"/>
  <c r="E54" i="4608"/>
  <c r="J11" i="3315"/>
  <c r="AF11" i="3315" s="1"/>
  <c r="R11" i="3315"/>
  <c r="N11" i="3315"/>
  <c r="J25" i="3315"/>
  <c r="R25" i="3315"/>
  <c r="N30" i="3315"/>
  <c r="J30" i="3315"/>
  <c r="AF30" i="3315" s="1"/>
  <c r="R30" i="3315"/>
  <c r="J31" i="3315"/>
  <c r="AF31" i="3315" s="1"/>
  <c r="R31" i="3315"/>
  <c r="J26" i="3315"/>
  <c r="R26" i="3315"/>
  <c r="N57" i="3315"/>
  <c r="V57" i="3315" s="1"/>
  <c r="J57" i="3315"/>
  <c r="R50" i="3315"/>
  <c r="J50" i="3315"/>
  <c r="Z488" i="3315"/>
  <c r="J63" i="3315"/>
  <c r="AF63" i="3315" s="1"/>
  <c r="J61" i="3315"/>
  <c r="AF61" i="3315" s="1"/>
  <c r="J44" i="3315"/>
  <c r="Z977" i="3315"/>
  <c r="AD977" i="3315" s="1"/>
  <c r="AD956" i="3315"/>
  <c r="J52" i="3315"/>
  <c r="J40" i="3315"/>
  <c r="R54" i="3315"/>
  <c r="J42" i="3315"/>
  <c r="AF42" i="3315" s="1"/>
  <c r="J33" i="3315"/>
  <c r="I84" i="3315"/>
  <c r="I88" i="3315"/>
  <c r="J88" i="3315" s="1"/>
  <c r="AF88" i="3315" s="1"/>
  <c r="I90" i="3315"/>
  <c r="J90" i="3315" s="1"/>
  <c r="AF90" i="3315" s="1"/>
  <c r="I92" i="3315"/>
  <c r="J92" i="3315" s="1"/>
  <c r="AF92" i="3315" s="1"/>
  <c r="I94" i="3315"/>
  <c r="J94" i="3315" s="1"/>
  <c r="AF94" i="3315" s="1"/>
  <c r="I96" i="3315"/>
  <c r="J96" i="3315" s="1"/>
  <c r="I98" i="3315"/>
  <c r="J98" i="3315" s="1"/>
  <c r="AF98" i="3315" s="1"/>
  <c r="I100" i="3315"/>
  <c r="J100" i="3315" s="1"/>
  <c r="AF100" i="3315" s="1"/>
  <c r="I102" i="3315"/>
  <c r="J102" i="3315" s="1"/>
  <c r="AF102" i="3315" s="1"/>
  <c r="I104" i="3315"/>
  <c r="J104" i="3315" s="1"/>
  <c r="AF104" i="3315" s="1"/>
  <c r="I106" i="3315"/>
  <c r="J106" i="3315" s="1"/>
  <c r="AF106" i="3315" s="1"/>
  <c r="I108" i="3315"/>
  <c r="J108" i="3315" s="1"/>
  <c r="I110" i="3315"/>
  <c r="J110" i="3315" s="1"/>
  <c r="I112" i="3315"/>
  <c r="J112" i="3315" s="1"/>
  <c r="I114" i="3315"/>
  <c r="J114" i="3315" s="1"/>
  <c r="AF114" i="3315" s="1"/>
  <c r="I116" i="3315"/>
  <c r="J116" i="3315" s="1"/>
  <c r="AF116" i="3315" s="1"/>
  <c r="I118" i="3315"/>
  <c r="J118" i="3315" s="1"/>
  <c r="I123" i="3315"/>
  <c r="J123" i="3315" s="1"/>
  <c r="I125" i="3315"/>
  <c r="J125" i="3315" s="1"/>
  <c r="I127" i="3315"/>
  <c r="J127" i="3315" s="1"/>
  <c r="I129" i="3315"/>
  <c r="J129" i="3315" s="1"/>
  <c r="I131" i="3315"/>
  <c r="J131" i="3315" s="1"/>
  <c r="AF131" i="3315" s="1"/>
  <c r="I133" i="3315"/>
  <c r="J133" i="3315" s="1"/>
  <c r="I135" i="3315"/>
  <c r="J135" i="3315" s="1"/>
  <c r="AF135" i="3315" s="1"/>
  <c r="I137" i="3315"/>
  <c r="J137" i="3315" s="1"/>
  <c r="AF137" i="3315" s="1"/>
  <c r="I142" i="3315"/>
  <c r="I144" i="3315"/>
  <c r="J144" i="3315" s="1"/>
  <c r="AF144" i="3315" s="1"/>
  <c r="I146" i="3315"/>
  <c r="J146" i="3315" s="1"/>
  <c r="AF146" i="3315" s="1"/>
  <c r="I176" i="3315"/>
  <c r="I178" i="3315"/>
  <c r="J178" i="3315" s="1"/>
  <c r="AF178" i="3315" s="1"/>
  <c r="I180" i="3315"/>
  <c r="J180" i="3315" s="1"/>
  <c r="I182" i="3315"/>
  <c r="J182" i="3315" s="1"/>
  <c r="AF182" i="3315" s="1"/>
  <c r="I184" i="3315"/>
  <c r="J184" i="3315" s="1"/>
  <c r="J117" i="4608"/>
  <c r="J80" i="4608"/>
  <c r="E14" i="4608"/>
  <c r="U303" i="3315" s="1"/>
  <c r="K6" i="4608"/>
  <c r="V354" i="3315" s="1"/>
  <c r="Z61" i="3315"/>
  <c r="N61" i="3315"/>
  <c r="Z59" i="3315"/>
  <c r="N59" i="3315"/>
  <c r="J59" i="3315"/>
  <c r="Z58" i="3315"/>
  <c r="N58" i="3315"/>
  <c r="J58" i="3315"/>
  <c r="AF58" i="3315" s="1"/>
  <c r="Z57" i="3315"/>
  <c r="J56" i="3315"/>
  <c r="N55" i="3315"/>
  <c r="J54" i="3315"/>
  <c r="R51" i="3315"/>
  <c r="R48" i="3315"/>
  <c r="J45" i="3315"/>
  <c r="AF45" i="3315" s="1"/>
  <c r="J43" i="3315"/>
  <c r="AF43" i="3315" s="1"/>
  <c r="Z41" i="3315"/>
  <c r="R40" i="3315"/>
  <c r="R27" i="3315"/>
  <c r="W27" i="3315" s="1"/>
  <c r="J27" i="3315"/>
  <c r="R21" i="3315"/>
  <c r="R6" i="3315"/>
  <c r="Z16" i="3315"/>
  <c r="J15" i="3315"/>
  <c r="E15" i="4608"/>
  <c r="U946" i="3315" s="1"/>
  <c r="E126" i="4608"/>
  <c r="F126" i="4608"/>
  <c r="D127" i="4608"/>
  <c r="W1092" i="3315"/>
  <c r="W1090" i="3315"/>
  <c r="W1059" i="3315"/>
  <c r="W1011" i="3315"/>
  <c r="W995" i="3315"/>
  <c r="W1097" i="3315"/>
  <c r="W1091" i="3315"/>
  <c r="W1087" i="3315"/>
  <c r="W1012" i="3315"/>
  <c r="W1010" i="3315"/>
  <c r="E16" i="4608"/>
  <c r="U950" i="3315" s="1"/>
  <c r="D17" i="4608"/>
  <c r="U1107" i="3315"/>
  <c r="U933" i="3315"/>
  <c r="U284" i="3315"/>
  <c r="U312" i="3315"/>
  <c r="U938" i="3315"/>
  <c r="U263" i="3315"/>
  <c r="U289" i="3315"/>
  <c r="U305" i="3315"/>
  <c r="U940" i="3315"/>
  <c r="U256" i="3315"/>
  <c r="U296" i="3315"/>
  <c r="U947" i="3315"/>
  <c r="U932" i="3315"/>
  <c r="U287" i="3315"/>
  <c r="J47" i="3315"/>
  <c r="R897" i="3315" l="1"/>
  <c r="N361" i="3315"/>
  <c r="M195" i="3315"/>
  <c r="M197" i="3315" s="1"/>
  <c r="U847" i="3315"/>
  <c r="I924" i="3315"/>
  <c r="M138" i="3315"/>
  <c r="R173" i="3315"/>
  <c r="R197" i="3315" s="1"/>
  <c r="R1159" i="3315"/>
  <c r="R1161" i="3315" s="1"/>
  <c r="R160" i="3315"/>
  <c r="R488" i="3315"/>
  <c r="Q138" i="3315"/>
  <c r="D492" i="3315"/>
  <c r="D1163" i="3315" s="1"/>
  <c r="N478" i="3315"/>
  <c r="U712" i="3315"/>
  <c r="U696" i="3315"/>
  <c r="M160" i="3315"/>
  <c r="Q977" i="3315"/>
  <c r="AF787" i="3315"/>
  <c r="R478" i="3315"/>
  <c r="R490" i="3315" s="1"/>
  <c r="U798" i="3315"/>
  <c r="Q173" i="3315"/>
  <c r="R361" i="3315"/>
  <c r="R977" i="3315"/>
  <c r="U1097" i="3315"/>
  <c r="U1089" i="3315"/>
  <c r="R1112" i="3315"/>
  <c r="Q227" i="3315"/>
  <c r="M488" i="3315"/>
  <c r="M490" i="3315" s="1"/>
  <c r="M478" i="3315"/>
  <c r="U1012" i="3315"/>
  <c r="U818" i="3315"/>
  <c r="M227" i="3315"/>
  <c r="Q478" i="3315"/>
  <c r="M173" i="3315"/>
  <c r="AF924" i="3315"/>
  <c r="U1090" i="3315"/>
  <c r="R924" i="3315"/>
  <c r="R953" i="3315" s="1"/>
  <c r="R227" i="3315"/>
  <c r="U902" i="3315"/>
  <c r="Q81" i="3315"/>
  <c r="U797" i="3315"/>
  <c r="U754" i="3315"/>
  <c r="M924" i="3315"/>
  <c r="Q1159" i="3315"/>
  <c r="N977" i="3315"/>
  <c r="R138" i="3315"/>
  <c r="M897" i="3315"/>
  <c r="J924" i="3315"/>
  <c r="U621" i="3315"/>
  <c r="Q1112" i="3315"/>
  <c r="Q248" i="3315"/>
  <c r="M977" i="3315"/>
  <c r="U758" i="3315"/>
  <c r="Q361" i="3315"/>
  <c r="Q897" i="3315"/>
  <c r="Q953" i="3315" s="1"/>
  <c r="Q160" i="3315"/>
  <c r="Q197" i="3315" s="1"/>
  <c r="Q195" i="3315"/>
  <c r="AF1112" i="3315"/>
  <c r="U1110" i="3315"/>
  <c r="N953" i="3315"/>
  <c r="U831" i="3315"/>
  <c r="U771" i="3315"/>
  <c r="U704" i="3315"/>
  <c r="U634" i="3315"/>
  <c r="I977" i="3315"/>
  <c r="J1112" i="3315"/>
  <c r="U879" i="3315"/>
  <c r="U653" i="3315"/>
  <c r="H492" i="3315"/>
  <c r="AA1184" i="3315"/>
  <c r="U1092" i="3315"/>
  <c r="U770" i="3315"/>
  <c r="U662" i="3315"/>
  <c r="U755" i="3315"/>
  <c r="U649" i="3315"/>
  <c r="I897" i="3315"/>
  <c r="U613" i="3315"/>
  <c r="N1159" i="3315"/>
  <c r="N1161" i="3315" s="1"/>
  <c r="U397" i="3315"/>
  <c r="AF397" i="3315"/>
  <c r="U398" i="3315"/>
  <c r="AF398" i="3315"/>
  <c r="U372" i="3315"/>
  <c r="X372" i="3315" s="1"/>
  <c r="AE372" i="3315" s="1"/>
  <c r="AF372" i="3315"/>
  <c r="U408" i="3315"/>
  <c r="AF408" i="3315"/>
  <c r="AF16" i="3315"/>
  <c r="U180" i="3315"/>
  <c r="AF180" i="3315"/>
  <c r="U133" i="3315"/>
  <c r="AF133" i="3315"/>
  <c r="U125" i="3315"/>
  <c r="AF125" i="3315"/>
  <c r="U52" i="3315"/>
  <c r="AF52" i="3315"/>
  <c r="U57" i="3315"/>
  <c r="X57" i="3315" s="1"/>
  <c r="AF57" i="3315"/>
  <c r="AF25" i="3315"/>
  <c r="AF41" i="3315"/>
  <c r="I1112" i="3315"/>
  <c r="U47" i="3315"/>
  <c r="X47" i="3315" s="1"/>
  <c r="AF47" i="3315"/>
  <c r="AF59" i="3315"/>
  <c r="U123" i="3315"/>
  <c r="AF123" i="3315"/>
  <c r="U112" i="3315"/>
  <c r="AF112" i="3315"/>
  <c r="U96" i="3315"/>
  <c r="X96" i="3315" s="1"/>
  <c r="AE96" i="3315" s="1"/>
  <c r="AF96" i="3315"/>
  <c r="AF50" i="3315"/>
  <c r="U12" i="3315"/>
  <c r="X12" i="3315" s="1"/>
  <c r="AF12" i="3315"/>
  <c r="AB1165" i="3315"/>
  <c r="AB1223" i="3315" s="1"/>
  <c r="AB1224" i="3315" s="1"/>
  <c r="AB1229" i="3315" s="1"/>
  <c r="U410" i="3315"/>
  <c r="AF410" i="3315"/>
  <c r="U1010" i="3315"/>
  <c r="AF9" i="3315"/>
  <c r="AF28" i="3315"/>
  <c r="I1159" i="3315"/>
  <c r="M1112" i="3315"/>
  <c r="N1112" i="3315"/>
  <c r="J17" i="3315"/>
  <c r="AF15" i="3315"/>
  <c r="U27" i="3315"/>
  <c r="X27" i="3315" s="1"/>
  <c r="AF27" i="3315"/>
  <c r="U54" i="3315"/>
  <c r="AF54" i="3315"/>
  <c r="U118" i="3315"/>
  <c r="AF118" i="3315"/>
  <c r="U127" i="3315"/>
  <c r="AF127" i="3315"/>
  <c r="U108" i="3315"/>
  <c r="AF108" i="3315"/>
  <c r="AF26" i="3315"/>
  <c r="J1159" i="3315"/>
  <c r="J1161" i="3315" s="1"/>
  <c r="AF14" i="3315"/>
  <c r="J897" i="3315"/>
  <c r="AF498" i="3315"/>
  <c r="AF897" i="3315" s="1"/>
  <c r="AF953" i="3315" s="1"/>
  <c r="AF8" i="3315"/>
  <c r="U184" i="3315"/>
  <c r="AF184" i="3315"/>
  <c r="U129" i="3315"/>
  <c r="AF129" i="3315"/>
  <c r="U110" i="3315"/>
  <c r="AF110" i="3315"/>
  <c r="AF40" i="3315"/>
  <c r="U422" i="3315"/>
  <c r="AF422" i="3315"/>
  <c r="U393" i="3315"/>
  <c r="AF393" i="3315"/>
  <c r="U399" i="3315"/>
  <c r="AF399" i="3315"/>
  <c r="AF6" i="3315"/>
  <c r="AF33" i="3315"/>
  <c r="U56" i="3315"/>
  <c r="AF56" i="3315"/>
  <c r="AF44" i="3315"/>
  <c r="J977" i="3315"/>
  <c r="AF958" i="3315"/>
  <c r="AF977" i="3315" s="1"/>
  <c r="P492" i="3315"/>
  <c r="P1163" i="3315" s="1"/>
  <c r="M953" i="3315"/>
  <c r="AF1159" i="3315"/>
  <c r="AF1161" i="3315" s="1"/>
  <c r="AF173" i="3315"/>
  <c r="AC953" i="3315"/>
  <c r="X109" i="3315"/>
  <c r="AE109" i="3315" s="1"/>
  <c r="Q490" i="3315"/>
  <c r="AC492" i="3315"/>
  <c r="AD953" i="3315"/>
  <c r="AC1184" i="3315"/>
  <c r="L492" i="3315"/>
  <c r="L1163" i="3315" s="1"/>
  <c r="U498" i="3315"/>
  <c r="M1159" i="3315"/>
  <c r="Z34" i="3315"/>
  <c r="P37" i="3315"/>
  <c r="Z17" i="3315"/>
  <c r="N13" i="3315"/>
  <c r="X191" i="3315"/>
  <c r="AE191" i="3315" s="1"/>
  <c r="L37" i="3315"/>
  <c r="R13" i="3315"/>
  <c r="R64" i="3315"/>
  <c r="X74" i="3315"/>
  <c r="AE74" i="3315" s="1"/>
  <c r="I173" i="3315"/>
  <c r="H1163" i="3315"/>
  <c r="N17" i="3315"/>
  <c r="AC1202" i="3315"/>
  <c r="H18" i="3315"/>
  <c r="H37" i="3315" s="1"/>
  <c r="Z197" i="3315"/>
  <c r="Z64" i="3315"/>
  <c r="AD1202" i="3315"/>
  <c r="AE1202" i="3315" s="1"/>
  <c r="N490" i="3315"/>
  <c r="D37" i="3315"/>
  <c r="J367" i="3315"/>
  <c r="AF367" i="3315" s="1"/>
  <c r="I478" i="3315"/>
  <c r="I490" i="3315" s="1"/>
  <c r="U549" i="3315"/>
  <c r="U574" i="3315"/>
  <c r="U900" i="3315"/>
  <c r="U753" i="3315"/>
  <c r="J81" i="4608"/>
  <c r="K8" i="4608"/>
  <c r="J44" i="4608"/>
  <c r="K7" i="4608"/>
  <c r="J118" i="4608"/>
  <c r="U640" i="3315"/>
  <c r="U706" i="3315"/>
  <c r="U568" i="3315"/>
  <c r="U537" i="3315"/>
  <c r="U202" i="3315"/>
  <c r="U205" i="3315"/>
  <c r="U213" i="3315"/>
  <c r="U281" i="3315"/>
  <c r="U928" i="3315"/>
  <c r="U128" i="3315"/>
  <c r="U26" i="3315"/>
  <c r="U277" i="3315"/>
  <c r="U941" i="3315"/>
  <c r="U272" i="3315"/>
  <c r="U942" i="3315"/>
  <c r="U31" i="3315"/>
  <c r="U400" i="3315"/>
  <c r="U386" i="3315"/>
  <c r="U434" i="3315"/>
  <c r="U401" i="3315"/>
  <c r="U737" i="3315"/>
  <c r="U576" i="3315"/>
  <c r="U814" i="3315"/>
  <c r="U617" i="3315"/>
  <c r="U911" i="3315"/>
  <c r="U652" i="3315"/>
  <c r="U224" i="3315"/>
  <c r="U267" i="3315"/>
  <c r="L8" i="4608"/>
  <c r="M8" i="4608" s="1"/>
  <c r="N10" i="3079"/>
  <c r="Z953" i="3315"/>
  <c r="U309" i="3315"/>
  <c r="U939" i="3315"/>
  <c r="U931" i="3315"/>
  <c r="U8" i="3315"/>
  <c r="U273" i="3315"/>
  <c r="U945" i="3315"/>
  <c r="U1130" i="3315"/>
  <c r="X354" i="3315"/>
  <c r="AE354" i="3315" s="1"/>
  <c r="N197" i="3315"/>
  <c r="N492" i="3315" s="1"/>
  <c r="E95" i="4608"/>
  <c r="U51" i="3315"/>
  <c r="U53" i="3315"/>
  <c r="U424" i="3315"/>
  <c r="U433" i="3315"/>
  <c r="U406" i="3315"/>
  <c r="U396" i="3315"/>
  <c r="U409" i="3315"/>
  <c r="U391" i="3315"/>
  <c r="U407" i="3315"/>
  <c r="AD1112" i="3315"/>
  <c r="AD1161" i="3315" s="1"/>
  <c r="Z1161" i="3315"/>
  <c r="X820" i="3315"/>
  <c r="AE820" i="3315" s="1"/>
  <c r="U699" i="3315"/>
  <c r="U500" i="3315"/>
  <c r="U121" i="3315"/>
  <c r="U756" i="3315"/>
  <c r="U520" i="3315"/>
  <c r="U793" i="3315"/>
  <c r="U629" i="3315"/>
  <c r="X318" i="3315"/>
  <c r="AE318" i="3315" s="1"/>
  <c r="U225" i="3315"/>
  <c r="U598" i="3315"/>
  <c r="J173" i="3315"/>
  <c r="L44" i="4608"/>
  <c r="M7" i="4608"/>
  <c r="U609" i="3315"/>
  <c r="U143" i="3315"/>
  <c r="U97" i="3315"/>
  <c r="U733" i="3315"/>
  <c r="U264" i="3315"/>
  <c r="U535" i="3315"/>
  <c r="U658" i="3315"/>
  <c r="U765" i="3315"/>
  <c r="U858" i="3315"/>
  <c r="U922" i="3315"/>
  <c r="U122" i="3315"/>
  <c r="U677" i="3315"/>
  <c r="U778" i="3315"/>
  <c r="U828" i="3315"/>
  <c r="U99" i="3315"/>
  <c r="U597" i="3315"/>
  <c r="U736" i="3315"/>
  <c r="U821" i="3315"/>
  <c r="U881" i="3315"/>
  <c r="U865" i="3315"/>
  <c r="U909" i="3315"/>
  <c r="U846" i="3315"/>
  <c r="J953" i="3315"/>
  <c r="U920" i="3315"/>
  <c r="U757" i="3315"/>
  <c r="U916" i="3315"/>
  <c r="U86" i="3315"/>
  <c r="U904" i="3315"/>
  <c r="U266" i="3315"/>
  <c r="U505" i="3315"/>
  <c r="U240" i="3315"/>
  <c r="U226" i="3315"/>
  <c r="U691" i="3315"/>
  <c r="U601" i="3315"/>
  <c r="U204" i="3315"/>
  <c r="U25" i="3315"/>
  <c r="U936" i="3315"/>
  <c r="U280" i="3315"/>
  <c r="U944" i="3315"/>
  <c r="U301" i="3315"/>
  <c r="U259" i="3315"/>
  <c r="U308" i="3315"/>
  <c r="AC18" i="3315"/>
  <c r="AD197" i="3315"/>
  <c r="U405" i="3315"/>
  <c r="U402" i="3315"/>
  <c r="U432" i="3315"/>
  <c r="U403" i="3315"/>
  <c r="U845" i="3315"/>
  <c r="U571" i="3315"/>
  <c r="U654" i="3315"/>
  <c r="U919" i="3315"/>
  <c r="U533" i="3315"/>
  <c r="U163" i="3315"/>
  <c r="U633" i="3315"/>
  <c r="U261" i="3315"/>
  <c r="U310" i="3315"/>
  <c r="U274" i="3315"/>
  <c r="U948" i="3315"/>
  <c r="U297" i="3315"/>
  <c r="U930" i="3315"/>
  <c r="U298" i="3315"/>
  <c r="U262" i="3315"/>
  <c r="Z13" i="3315"/>
  <c r="U295" i="3315"/>
  <c r="U257" i="3315"/>
  <c r="U943" i="3315"/>
  <c r="U306" i="3315"/>
  <c r="U260" i="3315"/>
  <c r="U935" i="3315"/>
  <c r="U317" i="3315"/>
  <c r="U311" i="3315"/>
  <c r="U293" i="3315"/>
  <c r="U269" i="3315"/>
  <c r="U934" i="3315"/>
  <c r="U949" i="3315"/>
  <c r="U292" i="3315"/>
  <c r="U258" i="3315"/>
  <c r="J34" i="3315"/>
  <c r="U182" i="3315"/>
  <c r="U30" i="3315"/>
  <c r="F93" i="4608"/>
  <c r="R17" i="3315"/>
  <c r="E94" i="4608"/>
  <c r="U926" i="3315" s="1"/>
  <c r="X787" i="3315"/>
  <c r="AE787" i="3315" s="1"/>
  <c r="U384" i="3315"/>
  <c r="U389" i="3315"/>
  <c r="U394" i="3315"/>
  <c r="U404" i="3315"/>
  <c r="U385" i="3315"/>
  <c r="U477" i="3315"/>
  <c r="U395" i="3315"/>
  <c r="U923" i="3315"/>
  <c r="U799" i="3315"/>
  <c r="U651" i="3315"/>
  <c r="U484" i="3315"/>
  <c r="U906" i="3315"/>
  <c r="J8" i="4608"/>
  <c r="M10" i="3079"/>
  <c r="U908" i="3315"/>
  <c r="U657" i="3315"/>
  <c r="U497" i="3315"/>
  <c r="U193" i="3315"/>
  <c r="AA37" i="3315"/>
  <c r="AA1165" i="3315" s="1"/>
  <c r="AA1223" i="3315" s="1"/>
  <c r="AA1224" i="3315" s="1"/>
  <c r="U734" i="3315"/>
  <c r="U592" i="3315"/>
  <c r="U822" i="3315"/>
  <c r="U595" i="3315"/>
  <c r="U55" i="3315"/>
  <c r="U87" i="3315"/>
  <c r="U588" i="3315"/>
  <c r="U890" i="3315"/>
  <c r="U705" i="3315"/>
  <c r="U519" i="3315"/>
  <c r="U91" i="3315"/>
  <c r="U134" i="3315"/>
  <c r="U929" i="3315"/>
  <c r="U937" i="3315"/>
  <c r="D96" i="4608"/>
  <c r="E96" i="4608" s="1"/>
  <c r="F95" i="4608"/>
  <c r="U114" i="3315"/>
  <c r="U102" i="3315"/>
  <c r="U178" i="3315"/>
  <c r="U116" i="3315"/>
  <c r="U104" i="3315"/>
  <c r="U9" i="3315"/>
  <c r="U10" i="3315"/>
  <c r="U28" i="3315"/>
  <c r="U7" i="3315"/>
  <c r="U29" i="3315"/>
  <c r="K80" i="4608"/>
  <c r="K81" i="4608"/>
  <c r="J176" i="3315"/>
  <c r="I195" i="3315"/>
  <c r="I138" i="3315"/>
  <c r="J84" i="3315"/>
  <c r="AF84" i="3315" s="1"/>
  <c r="U313" i="3315"/>
  <c r="U356" i="3315"/>
  <c r="U115" i="3315"/>
  <c r="U483" i="3315"/>
  <c r="U322" i="3315"/>
  <c r="U119" i="3315"/>
  <c r="U482" i="3315"/>
  <c r="U206" i="3315"/>
  <c r="U321" i="3315"/>
  <c r="U117" i="3315"/>
  <c r="U255" i="3315"/>
  <c r="U323" i="3315"/>
  <c r="U876" i="3315"/>
  <c r="U830" i="3315"/>
  <c r="U682" i="3315"/>
  <c r="U674" i="3315"/>
  <c r="U642" i="3315"/>
  <c r="U585" i="3315"/>
  <c r="U556" i="3315"/>
  <c r="U539" i="3315"/>
  <c r="U688" i="3315"/>
  <c r="U659" i="3315"/>
  <c r="U648" i="3315"/>
  <c r="U278" i="3315"/>
  <c r="U288" i="3315"/>
  <c r="U271" i="3315"/>
  <c r="U314" i="3315"/>
  <c r="U285" i="3315"/>
  <c r="U299" i="3315"/>
  <c r="R22" i="3315"/>
  <c r="N64" i="3315"/>
  <c r="K117" i="4608"/>
  <c r="K118" i="4608"/>
  <c r="J142" i="3315"/>
  <c r="AF142" i="3315" s="1"/>
  <c r="AF160" i="3315" s="1"/>
  <c r="I160" i="3315"/>
  <c r="AD488" i="3315"/>
  <c r="AD490" i="3315" s="1"/>
  <c r="Z490" i="3315"/>
  <c r="N34" i="3315"/>
  <c r="R34" i="3315"/>
  <c r="J13" i="3315"/>
  <c r="J18" i="3315" s="1"/>
  <c r="U11" i="3315"/>
  <c r="D56" i="4608"/>
  <c r="F55" i="4608"/>
  <c r="U863" i="3315"/>
  <c r="U796" i="3315"/>
  <c r="U678" i="3315"/>
  <c r="U670" i="3315"/>
  <c r="U587" i="3315"/>
  <c r="U563" i="3315"/>
  <c r="U542" i="3315"/>
  <c r="U817" i="3315"/>
  <c r="U687" i="3315"/>
  <c r="U650" i="3315"/>
  <c r="U645" i="3315"/>
  <c r="U111" i="3315"/>
  <c r="V223" i="3315"/>
  <c r="X223" i="3315" s="1"/>
  <c r="AE223" i="3315" s="1"/>
  <c r="U113" i="3315"/>
  <c r="V319" i="3315"/>
  <c r="X319" i="3315" s="1"/>
  <c r="AE319" i="3315" s="1"/>
  <c r="V410" i="3315"/>
  <c r="X410" i="3315" s="1"/>
  <c r="AE410" i="3315" s="1"/>
  <c r="V108" i="3315"/>
  <c r="U275" i="3315"/>
  <c r="U316" i="3315"/>
  <c r="U291" i="3315"/>
  <c r="E17" i="4608"/>
  <c r="D18" i="4608"/>
  <c r="D19" i="4608" s="1"/>
  <c r="D20" i="4608" s="1"/>
  <c r="D21" i="4608" s="1"/>
  <c r="D22" i="4608" s="1"/>
  <c r="D23" i="4608" s="1"/>
  <c r="D24" i="4608" s="1"/>
  <c r="D25" i="4608" s="1"/>
  <c r="D26" i="4608" s="1"/>
  <c r="D27" i="4608" s="1"/>
  <c r="D28" i="4608" s="1"/>
  <c r="D29" i="4608" s="1"/>
  <c r="D30" i="4608" s="1"/>
  <c r="D31" i="4608" s="1"/>
  <c r="D32" i="4608" s="1"/>
  <c r="D33" i="4608" s="1"/>
  <c r="D34" i="4608" s="1"/>
  <c r="D35" i="4608" s="1"/>
  <c r="D128" i="4608"/>
  <c r="F127" i="4608"/>
  <c r="E127" i="4608"/>
  <c r="U1125" i="3315" s="1"/>
  <c r="U1066" i="3315"/>
  <c r="U1120" i="3315"/>
  <c r="U1128" i="3315"/>
  <c r="U1137" i="3315"/>
  <c r="U991" i="3315"/>
  <c r="U1117" i="3315"/>
  <c r="U1135" i="3315"/>
  <c r="U1145" i="3315"/>
  <c r="U1149" i="3315"/>
  <c r="U1157" i="3315"/>
  <c r="U1118" i="3315"/>
  <c r="U1134" i="3315"/>
  <c r="U989" i="3315"/>
  <c r="U1119" i="3315"/>
  <c r="U1133" i="3315"/>
  <c r="U1142" i="3315"/>
  <c r="U1150" i="3315"/>
  <c r="U1156" i="3315"/>
  <c r="U990" i="3315"/>
  <c r="U1126" i="3315"/>
  <c r="U1139" i="3315"/>
  <c r="U1147" i="3315"/>
  <c r="U1151" i="3315"/>
  <c r="U987" i="3315"/>
  <c r="U996" i="3315"/>
  <c r="U1123" i="3315"/>
  <c r="U1129" i="3315"/>
  <c r="U1140" i="3315"/>
  <c r="U1146" i="3315"/>
  <c r="U1154" i="3315"/>
  <c r="J64" i="3315"/>
  <c r="M492" i="3315" l="1"/>
  <c r="Z492" i="3315"/>
  <c r="I1161" i="3315"/>
  <c r="I1162" i="3315" s="1"/>
  <c r="Q1161" i="3315"/>
  <c r="Q1162" i="3315" s="1"/>
  <c r="AA1229" i="3315"/>
  <c r="X108" i="3315"/>
  <c r="AE108" i="3315" s="1"/>
  <c r="AF138" i="3315"/>
  <c r="Z18" i="3315"/>
  <c r="Z37" i="3315" s="1"/>
  <c r="AD18" i="3315"/>
  <c r="AD37" i="3315" s="1"/>
  <c r="J195" i="3315"/>
  <c r="AF176" i="3315"/>
  <c r="AF195" i="3315" s="1"/>
  <c r="AF197" i="3315" s="1"/>
  <c r="R492" i="3315"/>
  <c r="R1163" i="3315" s="1"/>
  <c r="P1165" i="3315"/>
  <c r="AF34" i="3315"/>
  <c r="AF478" i="3315"/>
  <c r="AF490" i="3315" s="1"/>
  <c r="AF492" i="3315" s="1"/>
  <c r="M1161" i="3315"/>
  <c r="M1162" i="3315" s="1"/>
  <c r="N18" i="3315"/>
  <c r="N37" i="3315" s="1"/>
  <c r="AF13" i="3315"/>
  <c r="AF64" i="3315"/>
  <c r="AF17" i="3315"/>
  <c r="Q492" i="3315"/>
  <c r="AD492" i="3315"/>
  <c r="AC1163" i="3315"/>
  <c r="H1165" i="3315"/>
  <c r="L1165" i="3315"/>
  <c r="AC37" i="3315"/>
  <c r="R18" i="3315"/>
  <c r="R37" i="3315" s="1"/>
  <c r="U951" i="3315"/>
  <c r="K44" i="4608"/>
  <c r="M11" i="3079"/>
  <c r="J9" i="4608"/>
  <c r="Z1163" i="3315"/>
  <c r="AA1164" i="3315" s="1"/>
  <c r="J119" i="4608"/>
  <c r="J82" i="4608"/>
  <c r="J45" i="4608"/>
  <c r="K45" i="4608" s="1"/>
  <c r="L81" i="4608"/>
  <c r="M44" i="4608"/>
  <c r="L9" i="4608"/>
  <c r="N11" i="3079"/>
  <c r="N1163" i="3315"/>
  <c r="L45" i="4608"/>
  <c r="L82" i="4608" s="1"/>
  <c r="L119" i="4608" s="1"/>
  <c r="AD1163" i="3315"/>
  <c r="U367" i="3315"/>
  <c r="X367" i="3315" s="1"/>
  <c r="AE367" i="3315" s="1"/>
  <c r="J478" i="3315"/>
  <c r="D1165" i="3315"/>
  <c r="D1223" i="3315" s="1"/>
  <c r="D1224" i="3315" s="1"/>
  <c r="D1229" i="3315" s="1"/>
  <c r="E34" i="4608"/>
  <c r="E27" i="4608"/>
  <c r="J37" i="3315"/>
  <c r="D97" i="4608"/>
  <c r="F96" i="4608"/>
  <c r="E29" i="4608"/>
  <c r="E23" i="4608"/>
  <c r="U59" i="3315" s="1"/>
  <c r="E56" i="4608"/>
  <c r="D57" i="4608"/>
  <c r="F56" i="4608"/>
  <c r="U142" i="3315"/>
  <c r="J160" i="3315"/>
  <c r="V1010" i="3315"/>
  <c r="X1010" i="3315" s="1"/>
  <c r="AE1010" i="3315" s="1"/>
  <c r="V1087" i="3315"/>
  <c r="X1087" i="3315" s="1"/>
  <c r="AE1087" i="3315" s="1"/>
  <c r="V1091" i="3315"/>
  <c r="X1091" i="3315" s="1"/>
  <c r="AE1091" i="3315" s="1"/>
  <c r="V1012" i="3315"/>
  <c r="X1012" i="3315" s="1"/>
  <c r="AE1012" i="3315" s="1"/>
  <c r="V1089" i="3315"/>
  <c r="X1089" i="3315" s="1"/>
  <c r="AE1089" i="3315" s="1"/>
  <c r="V1093" i="3315"/>
  <c r="X1093" i="3315" s="1"/>
  <c r="AE1093" i="3315" s="1"/>
  <c r="V1097" i="3315"/>
  <c r="X1097" i="3315" s="1"/>
  <c r="AE1097" i="3315" s="1"/>
  <c r="V995" i="3315"/>
  <c r="X995" i="3315" s="1"/>
  <c r="AE995" i="3315" s="1"/>
  <c r="V1059" i="3315"/>
  <c r="X1059" i="3315" s="1"/>
  <c r="AE1059" i="3315" s="1"/>
  <c r="V1090" i="3315"/>
  <c r="X1090" i="3315" s="1"/>
  <c r="AE1090" i="3315" s="1"/>
  <c r="V1138" i="3315"/>
  <c r="X1138" i="3315" s="1"/>
  <c r="AE1138" i="3315" s="1"/>
  <c r="V1011" i="3315"/>
  <c r="X1011" i="3315" s="1"/>
  <c r="AE1011" i="3315" s="1"/>
  <c r="V1088" i="3315"/>
  <c r="X1088" i="3315" s="1"/>
  <c r="AE1088" i="3315" s="1"/>
  <c r="V1092" i="3315"/>
  <c r="X1092" i="3315" s="1"/>
  <c r="AE1092" i="3315" s="1"/>
  <c r="V1095" i="3315"/>
  <c r="X1095" i="3315" s="1"/>
  <c r="AE1095" i="3315" s="1"/>
  <c r="V1155" i="3315"/>
  <c r="X1155" i="3315" s="1"/>
  <c r="AE1155" i="3315" s="1"/>
  <c r="U84" i="3315"/>
  <c r="J138" i="3315"/>
  <c r="E33" i="4608"/>
  <c r="E30" i="4608"/>
  <c r="U93" i="3315" s="1"/>
  <c r="E25" i="4608"/>
  <c r="E20" i="4608"/>
  <c r="I197" i="3315"/>
  <c r="I492" i="3315" s="1"/>
  <c r="I1163" i="3315" s="1"/>
  <c r="I1165" i="3315" s="1"/>
  <c r="U423" i="3315"/>
  <c r="U327" i="3315"/>
  <c r="U750" i="3315"/>
  <c r="U221" i="3315"/>
  <c r="U230" i="3315"/>
  <c r="U105" i="3315"/>
  <c r="U526" i="3315"/>
  <c r="U806" i="3315"/>
  <c r="U872" i="3315"/>
  <c r="U233" i="3315"/>
  <c r="U854" i="3315"/>
  <c r="U524" i="3315"/>
  <c r="U788" i="3315"/>
  <c r="U347" i="3315"/>
  <c r="U751" i="3315"/>
  <c r="U852" i="3315"/>
  <c r="U869" i="3315"/>
  <c r="U522" i="3315"/>
  <c r="U665" i="3315"/>
  <c r="U859" i="3315"/>
  <c r="U905" i="3315"/>
  <c r="U551" i="3315"/>
  <c r="U208" i="3315"/>
  <c r="U731" i="3315"/>
  <c r="U861" i="3315"/>
  <c r="U721" i="3315"/>
  <c r="U811" i="3315"/>
  <c r="U856" i="3315"/>
  <c r="U481" i="3315"/>
  <c r="E19" i="4608"/>
  <c r="D129" i="4608"/>
  <c r="F128" i="4608"/>
  <c r="E35" i="4608"/>
  <c r="E32" i="4608"/>
  <c r="E31" i="4608"/>
  <c r="E28" i="4608"/>
  <c r="E26" i="4608"/>
  <c r="E24" i="4608"/>
  <c r="E22" i="4608"/>
  <c r="E18" i="4608"/>
  <c r="E21" i="4608"/>
  <c r="E128" i="4608"/>
  <c r="Q1163" i="3315" l="1"/>
  <c r="Q1165" i="3315" s="1"/>
  <c r="AF18" i="3315"/>
  <c r="AF1163" i="3315"/>
  <c r="M1163" i="3315"/>
  <c r="M1165" i="3315" s="1"/>
  <c r="AF37" i="3315"/>
  <c r="R1165" i="3315"/>
  <c r="N1165" i="3315"/>
  <c r="AC1165" i="3315"/>
  <c r="Z1165" i="3315"/>
  <c r="Z1223" i="3315" s="1"/>
  <c r="Z1224" i="3315" s="1"/>
  <c r="Z1229" i="3315" s="1"/>
  <c r="AD1165" i="3315"/>
  <c r="AD1223" i="3315" s="1"/>
  <c r="AD1224" i="3315" s="1"/>
  <c r="J490" i="3315"/>
  <c r="N12" i="3079"/>
  <c r="L10" i="4608"/>
  <c r="M12" i="3079"/>
  <c r="J10" i="4608"/>
  <c r="L46" i="4608"/>
  <c r="M9" i="4608"/>
  <c r="K119" i="4608"/>
  <c r="U6" i="3315"/>
  <c r="U13" i="3315" s="1"/>
  <c r="U528" i="3315"/>
  <c r="U849" i="3315"/>
  <c r="K83" i="4608"/>
  <c r="K82" i="4608"/>
  <c r="M45" i="4608"/>
  <c r="M81" i="4608"/>
  <c r="L118" i="4608"/>
  <c r="M82" i="4608"/>
  <c r="U740" i="3315"/>
  <c r="J120" i="4608"/>
  <c r="K120" i="4608" s="1"/>
  <c r="J46" i="4608"/>
  <c r="J83" i="4608"/>
  <c r="K9" i="4608"/>
  <c r="K46" i="4608"/>
  <c r="D98" i="4608"/>
  <c r="E98" i="4608" s="1"/>
  <c r="F97" i="4608"/>
  <c r="E97" i="4608"/>
  <c r="D58" i="4608"/>
  <c r="F57" i="4608"/>
  <c r="E57" i="4608"/>
  <c r="J197" i="3315"/>
  <c r="U332" i="3315"/>
  <c r="U340" i="3315"/>
  <c r="U348" i="3315"/>
  <c r="U333" i="3315"/>
  <c r="U341" i="3315"/>
  <c r="U349" i="3315"/>
  <c r="U334" i="3315"/>
  <c r="U336" i="3315"/>
  <c r="U344" i="3315"/>
  <c r="U352" i="3315"/>
  <c r="U337" i="3315"/>
  <c r="U345" i="3315"/>
  <c r="U353" i="3315"/>
  <c r="U338" i="3315"/>
  <c r="U346" i="3315"/>
  <c r="U331" i="3315"/>
  <c r="U339" i="3315"/>
  <c r="U351" i="3315"/>
  <c r="U342" i="3315"/>
  <c r="U350" i="3315"/>
  <c r="U335" i="3315"/>
  <c r="U343" i="3315"/>
  <c r="D130" i="4608"/>
  <c r="E130" i="4608" s="1"/>
  <c r="F129" i="4608"/>
  <c r="E129" i="4608"/>
  <c r="AF1165" i="3315" l="1"/>
  <c r="AC1223" i="3315"/>
  <c r="K47" i="4608"/>
  <c r="L83" i="4608"/>
  <c r="L11" i="4608"/>
  <c r="N13" i="3079"/>
  <c r="M118" i="4608"/>
  <c r="M119" i="4608"/>
  <c r="M46" i="4608"/>
  <c r="K10" i="4608"/>
  <c r="J84" i="4608"/>
  <c r="J121" i="4608"/>
  <c r="K121" i="4608" s="1"/>
  <c r="J47" i="4608"/>
  <c r="K11" i="4608"/>
  <c r="M13" i="3079"/>
  <c r="J11" i="4608"/>
  <c r="J492" i="3315"/>
  <c r="L47" i="4608"/>
  <c r="M10" i="4608"/>
  <c r="D99" i="4608"/>
  <c r="F98" i="4608"/>
  <c r="U90" i="3315"/>
  <c r="U575" i="3315"/>
  <c r="U892" i="3315"/>
  <c r="U77" i="3315"/>
  <c r="U167" i="3315"/>
  <c r="U78" i="3315"/>
  <c r="U85" i="3315"/>
  <c r="U60" i="3315"/>
  <c r="U265" i="3315"/>
  <c r="U211" i="3315"/>
  <c r="U315" i="3315"/>
  <c r="U282" i="3315"/>
  <c r="U239" i="3315"/>
  <c r="U220" i="3315"/>
  <c r="U181" i="3315"/>
  <c r="U159" i="3315"/>
  <c r="U324" i="3315"/>
  <c r="U388" i="3315"/>
  <c r="U472" i="3315"/>
  <c r="U510" i="3315"/>
  <c r="U518" i="3315"/>
  <c r="U538" i="3315"/>
  <c r="U560" i="3315"/>
  <c r="U572" i="3315"/>
  <c r="U584" i="3315"/>
  <c r="U604" i="3315"/>
  <c r="U661" i="3315"/>
  <c r="U675" i="3315"/>
  <c r="U683" i="3315"/>
  <c r="U716" i="3315"/>
  <c r="U729" i="3315"/>
  <c r="U745" i="3315"/>
  <c r="U774" i="3315"/>
  <c r="U786" i="3315"/>
  <c r="U802" i="3315"/>
  <c r="U834" i="3315"/>
  <c r="U868" i="3315"/>
  <c r="U884" i="3315"/>
  <c r="U901" i="3315"/>
  <c r="U917" i="3315"/>
  <c r="U244" i="3315"/>
  <c r="U300" i="3315"/>
  <c r="U268" i="3315"/>
  <c r="U214" i="3315"/>
  <c r="U179" i="3315"/>
  <c r="U157" i="3315"/>
  <c r="U107" i="3315"/>
  <c r="U71" i="3315"/>
  <c r="U360" i="3315"/>
  <c r="U471" i="3315"/>
  <c r="U487" i="3315"/>
  <c r="U509" i="3315"/>
  <c r="U529" i="3315"/>
  <c r="U555" i="3315"/>
  <c r="U591" i="3315"/>
  <c r="U615" i="3315"/>
  <c r="U624" i="3315"/>
  <c r="U632" i="3315"/>
  <c r="U660" i="3315"/>
  <c r="U695" i="3315"/>
  <c r="U715" i="3315"/>
  <c r="U732" i="3315"/>
  <c r="U773" i="3315"/>
  <c r="U785" i="3315"/>
  <c r="U805" i="3315"/>
  <c r="U813" i="3315"/>
  <c r="U829" i="3315"/>
  <c r="U842" i="3315"/>
  <c r="U862" i="3315"/>
  <c r="U871" i="3315"/>
  <c r="U883" i="3315"/>
  <c r="U910" i="3315"/>
  <c r="U918" i="3315"/>
  <c r="U302" i="3315"/>
  <c r="U286" i="3315"/>
  <c r="U235" i="3315"/>
  <c r="U185" i="3315"/>
  <c r="U155" i="3315"/>
  <c r="U80" i="3315"/>
  <c r="U326" i="3315"/>
  <c r="U390" i="3315"/>
  <c r="U474" i="3315"/>
  <c r="U512" i="3315"/>
  <c r="U536" i="3315"/>
  <c r="U554" i="3315"/>
  <c r="U562" i="3315"/>
  <c r="U582" i="3315"/>
  <c r="U602" i="3315"/>
  <c r="U627" i="3315"/>
  <c r="U639" i="3315"/>
  <c r="U655" i="3315"/>
  <c r="U689" i="3315"/>
  <c r="U714" i="3315"/>
  <c r="U727" i="3315"/>
  <c r="U743" i="3315"/>
  <c r="U760" i="3315"/>
  <c r="U776" i="3315"/>
  <c r="U784" i="3315"/>
  <c r="U804" i="3315"/>
  <c r="U812" i="3315"/>
  <c r="U832" i="3315"/>
  <c r="U841" i="3315"/>
  <c r="U870" i="3315"/>
  <c r="U886" i="3315"/>
  <c r="U903" i="3315"/>
  <c r="U840" i="3315"/>
  <c r="U190" i="3315"/>
  <c r="U245" i="3315"/>
  <c r="U218" i="3315"/>
  <c r="U183" i="3315"/>
  <c r="U164" i="3315"/>
  <c r="U73" i="3315"/>
  <c r="U473" i="3315"/>
  <c r="U507" i="3315"/>
  <c r="U547" i="3315"/>
  <c r="U557" i="3315"/>
  <c r="U569" i="3315"/>
  <c r="U589" i="3315"/>
  <c r="U618" i="3315"/>
  <c r="U626" i="3315"/>
  <c r="U638" i="3315"/>
  <c r="U666" i="3315"/>
  <c r="U676" i="3315"/>
  <c r="U684" i="3315"/>
  <c r="U697" i="3315"/>
  <c r="U713" i="3315"/>
  <c r="U726" i="3315"/>
  <c r="U738" i="3315"/>
  <c r="U759" i="3315"/>
  <c r="U775" i="3315"/>
  <c r="U783" i="3315"/>
  <c r="U803" i="3315"/>
  <c r="U815" i="3315"/>
  <c r="U823" i="3315"/>
  <c r="U835" i="3315"/>
  <c r="U860" i="3315"/>
  <c r="U885" i="3315"/>
  <c r="U895" i="3315"/>
  <c r="U69" i="3315"/>
  <c r="U201" i="3315"/>
  <c r="U496" i="3315"/>
  <c r="U165" i="3315"/>
  <c r="U502" i="3315"/>
  <c r="U668" i="3315"/>
  <c r="U616" i="3315"/>
  <c r="U76" i="3315"/>
  <c r="U62" i="3315"/>
  <c r="U32" i="3315"/>
  <c r="U246" i="3315"/>
  <c r="U203" i="3315"/>
  <c r="U290" i="3315"/>
  <c r="U247" i="3315"/>
  <c r="U231" i="3315"/>
  <c r="U212" i="3315"/>
  <c r="U170" i="3315"/>
  <c r="U151" i="3315"/>
  <c r="U328" i="3315"/>
  <c r="U392" i="3315"/>
  <c r="U486" i="3315"/>
  <c r="U514" i="3315"/>
  <c r="U534" i="3315"/>
  <c r="U546" i="3315"/>
  <c r="U564" i="3315"/>
  <c r="U580" i="3315"/>
  <c r="U596" i="3315"/>
  <c r="U637" i="3315"/>
  <c r="U671" i="3315"/>
  <c r="U679" i="3315"/>
  <c r="U700" i="3315"/>
  <c r="U725" i="3315"/>
  <c r="U741" i="3315"/>
  <c r="U766" i="3315"/>
  <c r="U782" i="3315"/>
  <c r="U790" i="3315"/>
  <c r="U810" i="3315"/>
  <c r="U838" i="3315"/>
  <c r="U880" i="3315"/>
  <c r="U894" i="3315"/>
  <c r="U913" i="3315"/>
  <c r="U921" i="3315"/>
  <c r="U194" i="3315"/>
  <c r="U276" i="3315"/>
  <c r="U252" i="3315"/>
  <c r="U187" i="3315"/>
  <c r="U168" i="3315"/>
  <c r="U149" i="3315"/>
  <c r="U75" i="3315"/>
  <c r="U329" i="3315"/>
  <c r="U383" i="3315"/>
  <c r="U475" i="3315"/>
  <c r="U499" i="3315"/>
  <c r="U513" i="3315"/>
  <c r="U545" i="3315"/>
  <c r="U559" i="3315"/>
  <c r="U599" i="3315"/>
  <c r="U620" i="3315"/>
  <c r="U628" i="3315"/>
  <c r="U636" i="3315"/>
  <c r="U686" i="3315"/>
  <c r="U703" i="3315"/>
  <c r="U728" i="3315"/>
  <c r="U761" i="3315"/>
  <c r="U781" i="3315"/>
  <c r="U789" i="3315"/>
  <c r="U809" i="3315"/>
  <c r="U825" i="3315"/>
  <c r="U833" i="3315"/>
  <c r="U850" i="3315"/>
  <c r="U867" i="3315"/>
  <c r="U875" i="3315"/>
  <c r="U887" i="3315"/>
  <c r="U914" i="3315"/>
  <c r="U242" i="3315"/>
  <c r="U294" i="3315"/>
  <c r="U270" i="3315"/>
  <c r="U216" i="3315"/>
  <c r="U166" i="3315"/>
  <c r="U136" i="3315"/>
  <c r="U72" i="3315"/>
  <c r="U382" i="3315"/>
  <c r="U446" i="3315"/>
  <c r="U508" i="3315"/>
  <c r="U532" i="3315"/>
  <c r="U548" i="3315"/>
  <c r="U558" i="3315"/>
  <c r="U578" i="3315"/>
  <c r="U590" i="3315"/>
  <c r="U610" i="3315"/>
  <c r="U635" i="3315"/>
  <c r="U643" i="3315"/>
  <c r="U667" i="3315"/>
  <c r="U710" i="3315"/>
  <c r="U722" i="3315"/>
  <c r="U735" i="3315"/>
  <c r="U747" i="3315"/>
  <c r="U772" i="3315"/>
  <c r="U780" i="3315"/>
  <c r="U792" i="3315"/>
  <c r="U808" i="3315"/>
  <c r="U816" i="3315"/>
  <c r="U836" i="3315"/>
  <c r="U866" i="3315"/>
  <c r="U874" i="3315"/>
  <c r="U896" i="3315"/>
  <c r="U907" i="3315"/>
  <c r="U304" i="3315"/>
  <c r="U237" i="3315"/>
  <c r="U210" i="3315"/>
  <c r="U172" i="3315"/>
  <c r="U153" i="3315"/>
  <c r="U358" i="3315"/>
  <c r="U485" i="3315"/>
  <c r="U511" i="3315"/>
  <c r="U553" i="3315"/>
  <c r="U565" i="3315"/>
  <c r="U581" i="3315"/>
  <c r="U593" i="3315"/>
  <c r="U622" i="3315"/>
  <c r="U630" i="3315"/>
  <c r="U646" i="3315"/>
  <c r="U672" i="3315"/>
  <c r="U680" i="3315"/>
  <c r="U693" i="3315"/>
  <c r="U709" i="3315"/>
  <c r="U717" i="3315"/>
  <c r="U730" i="3315"/>
  <c r="U746" i="3315"/>
  <c r="U767" i="3315"/>
  <c r="U779" i="3315"/>
  <c r="U791" i="3315"/>
  <c r="U807" i="3315"/>
  <c r="U819" i="3315"/>
  <c r="U827" i="3315"/>
  <c r="U839" i="3315"/>
  <c r="U873" i="3315"/>
  <c r="U889" i="3315"/>
  <c r="U912" i="3315"/>
  <c r="U141" i="3315"/>
  <c r="U251" i="3315"/>
  <c r="U207" i="3315"/>
  <c r="U238" i="3315"/>
  <c r="U283" i="3315"/>
  <c r="U236" i="3315"/>
  <c r="U41" i="3315"/>
  <c r="U61" i="3315"/>
  <c r="U79" i="3315"/>
  <c r="U169" i="3315"/>
  <c r="U148" i="3315"/>
  <c r="U98" i="3315"/>
  <c r="U307" i="3315"/>
  <c r="U234" i="3315"/>
  <c r="U219" i="3315"/>
  <c r="U279" i="3315"/>
  <c r="U217" i="3315"/>
  <c r="U120" i="3315"/>
  <c r="U44" i="3315"/>
  <c r="U355" i="3315"/>
  <c r="U692" i="3315"/>
  <c r="U156" i="3315"/>
  <c r="U137" i="3315"/>
  <c r="U63" i="3315"/>
  <c r="U152" i="3315"/>
  <c r="U94" i="3315"/>
  <c r="U158" i="3315"/>
  <c r="U150" i="3315"/>
  <c r="U135" i="3315"/>
  <c r="U92" i="3315"/>
  <c r="U43" i="3315"/>
  <c r="U58" i="3315"/>
  <c r="U15" i="3315"/>
  <c r="U144" i="3315"/>
  <c r="U106" i="3315"/>
  <c r="U40" i="3315"/>
  <c r="U45" i="3315"/>
  <c r="U154" i="3315"/>
  <c r="U146" i="3315"/>
  <c r="U100" i="3315"/>
  <c r="U88" i="3315"/>
  <c r="D59" i="4608"/>
  <c r="F58" i="4608"/>
  <c r="E58" i="4608"/>
  <c r="U1000" i="3315"/>
  <c r="U1004" i="3315"/>
  <c r="U1046" i="3315"/>
  <c r="U1024" i="3315"/>
  <c r="U1080" i="3315"/>
  <c r="U1096" i="3315"/>
  <c r="U1077" i="3315"/>
  <c r="U1029" i="3315"/>
  <c r="U1084" i="3315"/>
  <c r="U1041" i="3315"/>
  <c r="U1081" i="3315"/>
  <c r="U1021" i="3315"/>
  <c r="F130" i="4608"/>
  <c r="D131" i="4608"/>
  <c r="AC1224" i="3315" l="1"/>
  <c r="J1163" i="3315"/>
  <c r="J1165" i="3315" s="1"/>
  <c r="J1223" i="3315" s="1"/>
  <c r="J1224" i="3315" s="1"/>
  <c r="J1229" i="3315" s="1"/>
  <c r="V1110" i="3315"/>
  <c r="V1107" i="3315"/>
  <c r="V1144" i="3315"/>
  <c r="V1130" i="3315"/>
  <c r="W52" i="3315"/>
  <c r="W55" i="3315"/>
  <c r="W56" i="3315"/>
  <c r="W53" i="3315"/>
  <c r="W54" i="3315"/>
  <c r="W51" i="3315"/>
  <c r="K84" i="4608"/>
  <c r="V226" i="3315"/>
  <c r="V396" i="3315"/>
  <c r="V433" i="3315"/>
  <c r="V384" i="3315"/>
  <c r="V385" i="3315"/>
  <c r="V477" i="3315"/>
  <c r="V402" i="3315"/>
  <c r="V399" i="3315"/>
  <c r="V395" i="3315"/>
  <c r="V406" i="3315"/>
  <c r="V401" i="3315"/>
  <c r="V576" i="3315"/>
  <c r="V397" i="3315"/>
  <c r="V213" i="3315"/>
  <c r="V394" i="3315"/>
  <c r="V432" i="3315"/>
  <c r="V434" i="3315"/>
  <c r="V204" i="3315"/>
  <c r="V408" i="3315"/>
  <c r="V393" i="3315"/>
  <c r="V904" i="3315"/>
  <c r="V424" i="3315"/>
  <c r="V407" i="3315"/>
  <c r="V163" i="3315"/>
  <c r="V253" i="3315"/>
  <c r="V205" i="3315"/>
  <c r="V224" i="3315"/>
  <c r="V386" i="3315"/>
  <c r="V121" i="3315"/>
  <c r="V403" i="3315"/>
  <c r="V409" i="3315"/>
  <c r="V391" i="3315"/>
  <c r="V225" i="3315"/>
  <c r="V389" i="3315"/>
  <c r="V400" i="3315"/>
  <c r="V484" i="3315"/>
  <c r="V405" i="3315"/>
  <c r="V398" i="3315"/>
  <c r="V209" i="3315"/>
  <c r="V404" i="3315"/>
  <c r="V202" i="3315"/>
  <c r="L84" i="4608"/>
  <c r="L121" i="4608" s="1"/>
  <c r="M47" i="4608"/>
  <c r="J48" i="4608"/>
  <c r="J85" i="4608"/>
  <c r="J122" i="4608"/>
  <c r="V56" i="3315"/>
  <c r="V54" i="3315"/>
  <c r="V52" i="3315"/>
  <c r="V51" i="3315"/>
  <c r="V53" i="3315"/>
  <c r="X53" i="3315" s="1"/>
  <c r="V55" i="3315"/>
  <c r="L120" i="4608"/>
  <c r="M83" i="4608"/>
  <c r="K12" i="4608"/>
  <c r="L48" i="4608"/>
  <c r="M12" i="4608"/>
  <c r="M11" i="4608"/>
  <c r="K85" i="4608"/>
  <c r="J12" i="4608"/>
  <c r="M14" i="3079"/>
  <c r="N14" i="3079"/>
  <c r="L12" i="4608"/>
  <c r="E99" i="4608"/>
  <c r="D100" i="4608"/>
  <c r="E100" i="4608" s="1"/>
  <c r="F99" i="4608"/>
  <c r="D60" i="4608"/>
  <c r="E60" i="4608" s="1"/>
  <c r="F59" i="4608"/>
  <c r="E59" i="4608"/>
  <c r="U160" i="3315"/>
  <c r="U488" i="3315"/>
  <c r="U248" i="3315"/>
  <c r="U81" i="3315"/>
  <c r="U173" i="3315"/>
  <c r="U924" i="3315"/>
  <c r="D132" i="4608"/>
  <c r="E132" i="4608" s="1"/>
  <c r="F131" i="4608"/>
  <c r="E131" i="4608"/>
  <c r="AC1229" i="3315" l="1"/>
  <c r="X51" i="3315"/>
  <c r="X56" i="3315"/>
  <c r="X52" i="3315"/>
  <c r="L13" i="4608"/>
  <c r="N15" i="3079"/>
  <c r="L85" i="4608"/>
  <c r="M48" i="4608"/>
  <c r="M49" i="4608"/>
  <c r="X55" i="3315"/>
  <c r="X54" i="3315"/>
  <c r="K49" i="4608"/>
  <c r="K48" i="4608"/>
  <c r="W393" i="3315"/>
  <c r="X393" i="3315" s="1"/>
  <c r="AE393" i="3315" s="1"/>
  <c r="W121" i="3315"/>
  <c r="X121" i="3315" s="1"/>
  <c r="AE121" i="3315" s="1"/>
  <c r="W204" i="3315"/>
  <c r="X204" i="3315" s="1"/>
  <c r="AE204" i="3315" s="1"/>
  <c r="W205" i="3315"/>
  <c r="X205" i="3315" s="1"/>
  <c r="AE205" i="3315" s="1"/>
  <c r="W406" i="3315"/>
  <c r="X406" i="3315" s="1"/>
  <c r="AE406" i="3315" s="1"/>
  <c r="W389" i="3315"/>
  <c r="X389" i="3315" s="1"/>
  <c r="AE389" i="3315" s="1"/>
  <c r="W484" i="3315"/>
  <c r="X484" i="3315" s="1"/>
  <c r="AE484" i="3315" s="1"/>
  <c r="W434" i="3315"/>
  <c r="X434" i="3315" s="1"/>
  <c r="AE434" i="3315" s="1"/>
  <c r="W576" i="3315"/>
  <c r="X576" i="3315" s="1"/>
  <c r="AE576" i="3315" s="1"/>
  <c r="W402" i="3315"/>
  <c r="X402" i="3315" s="1"/>
  <c r="AE402" i="3315" s="1"/>
  <c r="W409" i="3315"/>
  <c r="X409" i="3315" s="1"/>
  <c r="AE409" i="3315" s="1"/>
  <c r="W399" i="3315"/>
  <c r="X399" i="3315" s="1"/>
  <c r="AE399" i="3315" s="1"/>
  <c r="W163" i="3315"/>
  <c r="X163" i="3315" s="1"/>
  <c r="AE163" i="3315" s="1"/>
  <c r="W396" i="3315"/>
  <c r="X396" i="3315" s="1"/>
  <c r="AE396" i="3315" s="1"/>
  <c r="W253" i="3315"/>
  <c r="X253" i="3315" s="1"/>
  <c r="AE253" i="3315" s="1"/>
  <c r="W408" i="3315"/>
  <c r="X408" i="3315" s="1"/>
  <c r="AE408" i="3315" s="1"/>
  <c r="W398" i="3315"/>
  <c r="X398" i="3315" s="1"/>
  <c r="AE398" i="3315" s="1"/>
  <c r="W433" i="3315"/>
  <c r="X433" i="3315" s="1"/>
  <c r="AE433" i="3315" s="1"/>
  <c r="W403" i="3315"/>
  <c r="X403" i="3315" s="1"/>
  <c r="AE403" i="3315" s="1"/>
  <c r="W401" i="3315"/>
  <c r="X401" i="3315" s="1"/>
  <c r="AE401" i="3315" s="1"/>
  <c r="W384" i="3315"/>
  <c r="X384" i="3315" s="1"/>
  <c r="AE384" i="3315" s="1"/>
  <c r="W391" i="3315"/>
  <c r="X391" i="3315" s="1"/>
  <c r="AE391" i="3315" s="1"/>
  <c r="W213" i="3315"/>
  <c r="X213" i="3315" s="1"/>
  <c r="AE213" i="3315" s="1"/>
  <c r="W432" i="3315"/>
  <c r="X432" i="3315" s="1"/>
  <c r="AE432" i="3315" s="1"/>
  <c r="W397" i="3315"/>
  <c r="X397" i="3315" s="1"/>
  <c r="AE397" i="3315" s="1"/>
  <c r="W225" i="3315"/>
  <c r="X225" i="3315" s="1"/>
  <c r="AE225" i="3315" s="1"/>
  <c r="W224" i="3315"/>
  <c r="X224" i="3315" s="1"/>
  <c r="AE224" i="3315" s="1"/>
  <c r="W209" i="3315"/>
  <c r="X209" i="3315" s="1"/>
  <c r="AE209" i="3315" s="1"/>
  <c r="W424" i="3315"/>
  <c r="X424" i="3315" s="1"/>
  <c r="AE424" i="3315" s="1"/>
  <c r="W202" i="3315"/>
  <c r="X202" i="3315" s="1"/>
  <c r="AE202" i="3315" s="1"/>
  <c r="W400" i="3315"/>
  <c r="X400" i="3315" s="1"/>
  <c r="AE400" i="3315" s="1"/>
  <c r="W386" i="3315"/>
  <c r="X386" i="3315" s="1"/>
  <c r="AE386" i="3315" s="1"/>
  <c r="W405" i="3315"/>
  <c r="X405" i="3315" s="1"/>
  <c r="AE405" i="3315" s="1"/>
  <c r="W395" i="3315"/>
  <c r="X395" i="3315" s="1"/>
  <c r="AE395" i="3315" s="1"/>
  <c r="W904" i="3315"/>
  <c r="X904" i="3315" s="1"/>
  <c r="AE904" i="3315" s="1"/>
  <c r="W385" i="3315"/>
  <c r="X385" i="3315" s="1"/>
  <c r="AE385" i="3315" s="1"/>
  <c r="W477" i="3315"/>
  <c r="X477" i="3315" s="1"/>
  <c r="AE477" i="3315" s="1"/>
  <c r="W407" i="3315"/>
  <c r="X407" i="3315" s="1"/>
  <c r="AE407" i="3315" s="1"/>
  <c r="W226" i="3315"/>
  <c r="X226" i="3315" s="1"/>
  <c r="AE226" i="3315" s="1"/>
  <c r="W404" i="3315"/>
  <c r="X404" i="3315" s="1"/>
  <c r="AE404" i="3315" s="1"/>
  <c r="W394" i="3315"/>
  <c r="X394" i="3315" s="1"/>
  <c r="AE394" i="3315" s="1"/>
  <c r="J13" i="4608"/>
  <c r="M15" i="3079"/>
  <c r="K122" i="4608"/>
  <c r="L49" i="4608"/>
  <c r="J123" i="4608"/>
  <c r="J86" i="4608"/>
  <c r="J49" i="4608"/>
  <c r="M84" i="4608"/>
  <c r="M120" i="4608"/>
  <c r="M121" i="4608"/>
  <c r="K13" i="4608"/>
  <c r="F100" i="4608"/>
  <c r="D101" i="4608"/>
  <c r="U48" i="3315"/>
  <c r="U16" i="3315"/>
  <c r="U14" i="3315"/>
  <c r="U42" i="3315"/>
  <c r="D61" i="4608"/>
  <c r="F60" i="4608"/>
  <c r="U1104" i="3315"/>
  <c r="U1076" i="3315"/>
  <c r="U999" i="3315"/>
  <c r="U1058" i="3315"/>
  <c r="U1022" i="3315"/>
  <c r="U988" i="3315"/>
  <c r="U1008" i="3315"/>
  <c r="U1025" i="3315"/>
  <c r="U1037" i="3315"/>
  <c r="U1052" i="3315"/>
  <c r="U1064" i="3315"/>
  <c r="U1079" i="3315"/>
  <c r="U1098" i="3315"/>
  <c r="U1108" i="3315"/>
  <c r="U1143" i="3315"/>
  <c r="U983" i="3315"/>
  <c r="U1005" i="3315"/>
  <c r="U1028" i="3315"/>
  <c r="U1036" i="3315"/>
  <c r="U1051" i="3315"/>
  <c r="U1065" i="3315"/>
  <c r="U1074" i="3315"/>
  <c r="U1111" i="3315"/>
  <c r="U1158" i="3315"/>
  <c r="U1006" i="3315"/>
  <c r="U1023" i="3315"/>
  <c r="U1031" i="3315"/>
  <c r="U1055" i="3315"/>
  <c r="U1070" i="3315"/>
  <c r="U1100" i="3315"/>
  <c r="U1124" i="3315"/>
  <c r="U1153" i="3315"/>
  <c r="U985" i="3315"/>
  <c r="U1003" i="3315"/>
  <c r="U1013" i="3315"/>
  <c r="U1026" i="3315"/>
  <c r="U1038" i="3315"/>
  <c r="U1048" i="3315"/>
  <c r="U1067" i="3315"/>
  <c r="U1083" i="3315"/>
  <c r="U1105" i="3315"/>
  <c r="U1116" i="3315"/>
  <c r="U1148" i="3315"/>
  <c r="U1001" i="3315"/>
  <c r="U1039" i="3315"/>
  <c r="U1002" i="3315"/>
  <c r="U1073" i="3315"/>
  <c r="U984" i="3315"/>
  <c r="U993" i="3315"/>
  <c r="U1016" i="3315"/>
  <c r="U1033" i="3315"/>
  <c r="U1042" i="3315"/>
  <c r="U1060" i="3315"/>
  <c r="U1068" i="3315"/>
  <c r="U1094" i="3315"/>
  <c r="U1102" i="3315"/>
  <c r="U1122" i="3315"/>
  <c r="U980" i="3315"/>
  <c r="U992" i="3315"/>
  <c r="U1015" i="3315"/>
  <c r="U1032" i="3315"/>
  <c r="U1045" i="3315"/>
  <c r="U1061" i="3315"/>
  <c r="U1069" i="3315"/>
  <c r="U1085" i="3315"/>
  <c r="U1131" i="3315"/>
  <c r="U986" i="3315"/>
  <c r="U1014" i="3315"/>
  <c r="U1027" i="3315"/>
  <c r="U1044" i="3315"/>
  <c r="U1062" i="3315"/>
  <c r="U1086" i="3315"/>
  <c r="U1106" i="3315"/>
  <c r="U1141" i="3315"/>
  <c r="U981" i="3315"/>
  <c r="U994" i="3315"/>
  <c r="U1007" i="3315"/>
  <c r="U1017" i="3315"/>
  <c r="U1030" i="3315"/>
  <c r="U1043" i="3315"/>
  <c r="U1063" i="3315"/>
  <c r="U1078" i="3315"/>
  <c r="U1099" i="3315"/>
  <c r="U1109" i="3315"/>
  <c r="U1121" i="3315"/>
  <c r="U1152" i="3315"/>
  <c r="D133" i="4608"/>
  <c r="F132" i="4608"/>
  <c r="W1130" i="3315" l="1"/>
  <c r="X1130" i="3315" s="1"/>
  <c r="AE1130" i="3315" s="1"/>
  <c r="W1107" i="3315"/>
  <c r="X1107" i="3315" s="1"/>
  <c r="AE1107" i="3315" s="1"/>
  <c r="W1110" i="3315"/>
  <c r="X1110" i="3315" s="1"/>
  <c r="AE1110" i="3315" s="1"/>
  <c r="W1144" i="3315"/>
  <c r="X1144" i="3315" s="1"/>
  <c r="AE1144" i="3315" s="1"/>
  <c r="K123" i="4608"/>
  <c r="V537" i="3315"/>
  <c r="V911" i="3315"/>
  <c r="V601" i="3315"/>
  <c r="V822" i="3315"/>
  <c r="V640" i="3315"/>
  <c r="V595" i="3315"/>
  <c r="V180" i="3315"/>
  <c r="V753" i="3315"/>
  <c r="V240" i="3315"/>
  <c r="V657" i="3315"/>
  <c r="V497" i="3315"/>
  <c r="V267" i="3315"/>
  <c r="V845" i="3315"/>
  <c r="V87" i="3315"/>
  <c r="V193" i="3315"/>
  <c r="V266" i="3315"/>
  <c r="V814" i="3315"/>
  <c r="V915" i="3315"/>
  <c r="V908" i="3315"/>
  <c r="V623" i="3315"/>
  <c r="V769" i="3315"/>
  <c r="V520" i="3315"/>
  <c r="V500" i="3315"/>
  <c r="V654" i="3315"/>
  <c r="V629" i="3315"/>
  <c r="V734" i="3315"/>
  <c r="V598" i="3315"/>
  <c r="V919" i="3315"/>
  <c r="V617" i="3315"/>
  <c r="V31" i="3315"/>
  <c r="V706" i="3315"/>
  <c r="V651" i="3315"/>
  <c r="V533" i="3315"/>
  <c r="V799" i="3315"/>
  <c r="V568" i="3315"/>
  <c r="V756" i="3315"/>
  <c r="V592" i="3315"/>
  <c r="V574" i="3315"/>
  <c r="V900" i="3315"/>
  <c r="V691" i="3315"/>
  <c r="V633" i="3315"/>
  <c r="V793" i="3315"/>
  <c r="V549" i="3315"/>
  <c r="V609" i="3315"/>
  <c r="V652" i="3315"/>
  <c r="V30" i="3315"/>
  <c r="V505" i="3315"/>
  <c r="V699" i="3315"/>
  <c r="V571" i="3315"/>
  <c r="V906" i="3315"/>
  <c r="V923" i="3315"/>
  <c r="V182" i="3315"/>
  <c r="V737" i="3315"/>
  <c r="J124" i="4608"/>
  <c r="J50" i="4608"/>
  <c r="J87" i="4608"/>
  <c r="K87" i="4608" s="1"/>
  <c r="L50" i="4608"/>
  <c r="M13" i="4608"/>
  <c r="L86" i="4608"/>
  <c r="J14" i="4608"/>
  <c r="M16" i="3079"/>
  <c r="L14" i="4608"/>
  <c r="N16" i="3079"/>
  <c r="K86" i="4608"/>
  <c r="L122" i="4608"/>
  <c r="M85" i="4608"/>
  <c r="M86" i="4608"/>
  <c r="F101" i="4608"/>
  <c r="D102" i="4608"/>
  <c r="E101" i="4608"/>
  <c r="E61" i="4608"/>
  <c r="F61" i="4608"/>
  <c r="D62" i="4608"/>
  <c r="E62" i="4608" s="1"/>
  <c r="U17" i="3315"/>
  <c r="U18" i="3315" s="1"/>
  <c r="F133" i="4608"/>
  <c r="D134" i="4608"/>
  <c r="E134" i="4608" s="1"/>
  <c r="E133" i="4608"/>
  <c r="N17" i="3079" l="1"/>
  <c r="L15" i="4608"/>
  <c r="L52" i="4608" s="1"/>
  <c r="L89" i="4608" s="1"/>
  <c r="L126" i="4608" s="1"/>
  <c r="J15" i="4608"/>
  <c r="M17" i="3079"/>
  <c r="W574" i="3315"/>
  <c r="X574" i="3315" s="1"/>
  <c r="AE574" i="3315" s="1"/>
  <c r="W571" i="3315"/>
  <c r="X571" i="3315" s="1"/>
  <c r="AE571" i="3315" s="1"/>
  <c r="W609" i="3315"/>
  <c r="X609" i="3315" s="1"/>
  <c r="AE609" i="3315" s="1"/>
  <c r="W640" i="3315"/>
  <c r="X640" i="3315" s="1"/>
  <c r="AE640" i="3315" s="1"/>
  <c r="W706" i="3315"/>
  <c r="W906" i="3315"/>
  <c r="X906" i="3315" s="1"/>
  <c r="AE906" i="3315" s="1"/>
  <c r="W180" i="3315"/>
  <c r="X180" i="3315" s="1"/>
  <c r="AE180" i="3315" s="1"/>
  <c r="W533" i="3315"/>
  <c r="X533" i="3315" s="1"/>
  <c r="AE533" i="3315" s="1"/>
  <c r="W793" i="3315"/>
  <c r="W497" i="3315"/>
  <c r="X497" i="3315" s="1"/>
  <c r="AE497" i="3315" s="1"/>
  <c r="W193" i="3315"/>
  <c r="X193" i="3315" s="1"/>
  <c r="AE193" i="3315" s="1"/>
  <c r="W753" i="3315"/>
  <c r="X753" i="3315" s="1"/>
  <c r="AE753" i="3315" s="1"/>
  <c r="W908" i="3315"/>
  <c r="W537" i="3315"/>
  <c r="X537" i="3315" s="1"/>
  <c r="AE537" i="3315" s="1"/>
  <c r="W915" i="3315"/>
  <c r="X915" i="3315" s="1"/>
  <c r="AE915" i="3315" s="1"/>
  <c r="W520" i="3315"/>
  <c r="X520" i="3315" s="1"/>
  <c r="AE520" i="3315" s="1"/>
  <c r="W699" i="3315"/>
  <c r="W87" i="3315"/>
  <c r="W500" i="3315"/>
  <c r="X500" i="3315" s="1"/>
  <c r="AE500" i="3315" s="1"/>
  <c r="W617" i="3315"/>
  <c r="X617" i="3315" s="1"/>
  <c r="AE617" i="3315" s="1"/>
  <c r="W652" i="3315"/>
  <c r="W595" i="3315"/>
  <c r="X595" i="3315" s="1"/>
  <c r="AE595" i="3315" s="1"/>
  <c r="W657" i="3315"/>
  <c r="X657" i="3315" s="1"/>
  <c r="AE657" i="3315" s="1"/>
  <c r="W568" i="3315"/>
  <c r="X568" i="3315" s="1"/>
  <c r="AE568" i="3315" s="1"/>
  <c r="W601" i="3315"/>
  <c r="X601" i="3315" s="1"/>
  <c r="AE601" i="3315" s="1"/>
  <c r="W592" i="3315"/>
  <c r="X592" i="3315" s="1"/>
  <c r="AE592" i="3315" s="1"/>
  <c r="W267" i="3315"/>
  <c r="X267" i="3315" s="1"/>
  <c r="AE267" i="3315" s="1"/>
  <c r="W911" i="3315"/>
  <c r="X911" i="3315" s="1"/>
  <c r="AE911" i="3315" s="1"/>
  <c r="W799" i="3315"/>
  <c r="X799" i="3315" s="1"/>
  <c r="AE799" i="3315" s="1"/>
  <c r="W900" i="3315"/>
  <c r="X900" i="3315" s="1"/>
  <c r="AE900" i="3315" s="1"/>
  <c r="W919" i="3315"/>
  <c r="X919" i="3315" s="1"/>
  <c r="AE919" i="3315" s="1"/>
  <c r="W737" i="3315"/>
  <c r="X737" i="3315" s="1"/>
  <c r="AE737" i="3315" s="1"/>
  <c r="W598" i="3315"/>
  <c r="X598" i="3315" s="1"/>
  <c r="AE598" i="3315" s="1"/>
  <c r="W633" i="3315"/>
  <c r="X633" i="3315" s="1"/>
  <c r="AE633" i="3315" s="1"/>
  <c r="W505" i="3315"/>
  <c r="X505" i="3315" s="1"/>
  <c r="AE505" i="3315" s="1"/>
  <c r="W814" i="3315"/>
  <c r="X814" i="3315" s="1"/>
  <c r="AE814" i="3315" s="1"/>
  <c r="W266" i="3315"/>
  <c r="X266" i="3315" s="1"/>
  <c r="AE266" i="3315" s="1"/>
  <c r="W651" i="3315"/>
  <c r="X651" i="3315" s="1"/>
  <c r="AE651" i="3315" s="1"/>
  <c r="W769" i="3315"/>
  <c r="X769" i="3315" s="1"/>
  <c r="AE769" i="3315" s="1"/>
  <c r="W629" i="3315"/>
  <c r="X629" i="3315" s="1"/>
  <c r="AE629" i="3315" s="1"/>
  <c r="W756" i="3315"/>
  <c r="X756" i="3315" s="1"/>
  <c r="AE756" i="3315" s="1"/>
  <c r="W623" i="3315"/>
  <c r="X623" i="3315" s="1"/>
  <c r="AE623" i="3315" s="1"/>
  <c r="W240" i="3315"/>
  <c r="X240" i="3315" s="1"/>
  <c r="AE240" i="3315" s="1"/>
  <c r="W734" i="3315"/>
  <c r="X734" i="3315" s="1"/>
  <c r="AE734" i="3315" s="1"/>
  <c r="W822" i="3315"/>
  <c r="W691" i="3315"/>
  <c r="X691" i="3315" s="1"/>
  <c r="AE691" i="3315" s="1"/>
  <c r="W549" i="3315"/>
  <c r="X549" i="3315" s="1"/>
  <c r="AE549" i="3315" s="1"/>
  <c r="W182" i="3315"/>
  <c r="X182" i="3315" s="1"/>
  <c r="AE182" i="3315" s="1"/>
  <c r="W923" i="3315"/>
  <c r="X923" i="3315" s="1"/>
  <c r="AE923" i="3315" s="1"/>
  <c r="W845" i="3315"/>
  <c r="X845" i="3315" s="1"/>
  <c r="AE845" i="3315" s="1"/>
  <c r="W654" i="3315"/>
  <c r="X654" i="3315" s="1"/>
  <c r="AE654" i="3315" s="1"/>
  <c r="W30" i="3315"/>
  <c r="X30" i="3315" s="1"/>
  <c r="W31" i="3315"/>
  <c r="X31" i="3315" s="1"/>
  <c r="K50" i="4608"/>
  <c r="V11" i="3315" s="1"/>
  <c r="X706" i="3315"/>
  <c r="AE706" i="3315" s="1"/>
  <c r="X87" i="3315"/>
  <c r="AE87" i="3315" s="1"/>
  <c r="K124" i="4608"/>
  <c r="X652" i="3315"/>
  <c r="AE652" i="3315" s="1"/>
  <c r="M122" i="4608"/>
  <c r="X908" i="3315"/>
  <c r="AE908" i="3315" s="1"/>
  <c r="L51" i="4608"/>
  <c r="M14" i="4608"/>
  <c r="J51" i="4608"/>
  <c r="J125" i="4608"/>
  <c r="J88" i="4608"/>
  <c r="K14" i="4608"/>
  <c r="L123" i="4608"/>
  <c r="M15" i="4608"/>
  <c r="X793" i="3315"/>
  <c r="AE793" i="3315" s="1"/>
  <c r="L87" i="4608"/>
  <c r="M52" i="4608"/>
  <c r="W171" i="3315" s="1"/>
  <c r="M50" i="4608"/>
  <c r="W11" i="3315" s="1"/>
  <c r="M51" i="4608"/>
  <c r="X699" i="3315"/>
  <c r="AE699" i="3315" s="1"/>
  <c r="X822" i="3315"/>
  <c r="AE822" i="3315" s="1"/>
  <c r="D103" i="4608"/>
  <c r="F102" i="4608"/>
  <c r="E103" i="4608"/>
  <c r="E102" i="4608"/>
  <c r="D63" i="4608"/>
  <c r="F62" i="4608"/>
  <c r="U49" i="3315"/>
  <c r="U50" i="3315"/>
  <c r="U46" i="3315"/>
  <c r="U1103" i="3315"/>
  <c r="U1047" i="3315"/>
  <c r="U1019" i="3315"/>
  <c r="U1054" i="3315"/>
  <c r="U1082" i="3315"/>
  <c r="U1072" i="3315"/>
  <c r="U1053" i="3315"/>
  <c r="F134" i="4608"/>
  <c r="D135" i="4608"/>
  <c r="X11" i="3315" l="1"/>
  <c r="K52" i="4608"/>
  <c r="V171" i="3315" s="1"/>
  <c r="X171" i="3315" s="1"/>
  <c r="AE171" i="3315" s="1"/>
  <c r="J52" i="4608"/>
  <c r="J126" i="4608"/>
  <c r="J89" i="4608"/>
  <c r="K89" i="4608" s="1"/>
  <c r="K15" i="4608"/>
  <c r="L124" i="4608"/>
  <c r="M87" i="4608"/>
  <c r="V556" i="3315"/>
  <c r="V830" i="3315"/>
  <c r="V275" i="3315"/>
  <c r="V288" i="3315"/>
  <c r="V585" i="3315"/>
  <c r="V863" i="3315"/>
  <c r="V271" i="3315"/>
  <c r="V688" i="3315"/>
  <c r="V674" i="3315"/>
  <c r="V542" i="3315"/>
  <c r="V678" i="3315"/>
  <c r="V303" i="3315"/>
  <c r="V876" i="3315"/>
  <c r="V817" i="3315"/>
  <c r="V285" i="3315"/>
  <c r="V648" i="3315"/>
  <c r="V316" i="3315"/>
  <c r="V645" i="3315"/>
  <c r="V314" i="3315"/>
  <c r="V299" i="3315"/>
  <c r="V642" i="3315"/>
  <c r="V670" i="3315"/>
  <c r="V278" i="3315"/>
  <c r="V291" i="3315"/>
  <c r="V113" i="3315"/>
  <c r="V650" i="3315"/>
  <c r="V563" i="3315"/>
  <c r="V687" i="3315"/>
  <c r="V539" i="3315"/>
  <c r="V111" i="3315"/>
  <c r="V682" i="3315"/>
  <c r="V659" i="3315"/>
  <c r="V796" i="3315"/>
  <c r="V587" i="3315"/>
  <c r="K88" i="4608"/>
  <c r="L88" i="4608"/>
  <c r="M123" i="4608"/>
  <c r="M18" i="3079"/>
  <c r="J16" i="4608"/>
  <c r="W688" i="3315"/>
  <c r="W587" i="3315"/>
  <c r="W113" i="3315"/>
  <c r="W674" i="3315"/>
  <c r="W271" i="3315"/>
  <c r="W585" i="3315"/>
  <c r="W314" i="3315"/>
  <c r="W303" i="3315"/>
  <c r="W678" i="3315"/>
  <c r="W285" i="3315"/>
  <c r="W278" i="3315"/>
  <c r="W299" i="3315"/>
  <c r="W796" i="3315"/>
  <c r="W659" i="3315"/>
  <c r="W642" i="3315"/>
  <c r="W542" i="3315"/>
  <c r="W111" i="3315"/>
  <c r="W275" i="3315"/>
  <c r="W876" i="3315"/>
  <c r="W563" i="3315"/>
  <c r="W316" i="3315"/>
  <c r="W682" i="3315"/>
  <c r="W556" i="3315"/>
  <c r="W670" i="3315"/>
  <c r="W288" i="3315"/>
  <c r="W539" i="3315"/>
  <c r="W645" i="3315"/>
  <c r="W648" i="3315"/>
  <c r="W291" i="3315"/>
  <c r="W650" i="3315"/>
  <c r="W687" i="3315"/>
  <c r="W863" i="3315"/>
  <c r="W817" i="3315"/>
  <c r="W830" i="3315"/>
  <c r="K51" i="4608"/>
  <c r="W309" i="3315"/>
  <c r="W273" i="3315"/>
  <c r="W274" i="3315"/>
  <c r="W263" i="3315"/>
  <c r="W284" i="3315"/>
  <c r="W946" i="3315"/>
  <c r="W935" i="3315"/>
  <c r="W949" i="3315"/>
  <c r="W293" i="3315"/>
  <c r="W422" i="3315"/>
  <c r="W312" i="3315"/>
  <c r="W930" i="3315"/>
  <c r="W306" i="3315"/>
  <c r="W296" i="3315"/>
  <c r="W943" i="3315"/>
  <c r="W301" i="3315"/>
  <c r="W261" i="3315"/>
  <c r="W258" i="3315"/>
  <c r="W28" i="3315"/>
  <c r="W272" i="3315"/>
  <c r="W938" i="3315"/>
  <c r="W948" i="3315"/>
  <c r="W941" i="3315"/>
  <c r="W9" i="3315"/>
  <c r="W256" i="3315"/>
  <c r="W940" i="3315"/>
  <c r="W281" i="3315"/>
  <c r="W295" i="3315"/>
  <c r="W29" i="3315"/>
  <c r="W932" i="3315"/>
  <c r="W26" i="3315"/>
  <c r="W937" i="3315"/>
  <c r="W934" i="3315"/>
  <c r="W8" i="3315"/>
  <c r="W257" i="3315"/>
  <c r="W929" i="3315"/>
  <c r="W308" i="3315"/>
  <c r="W945" i="3315"/>
  <c r="W259" i="3315"/>
  <c r="W25" i="3315"/>
  <c r="W944" i="3315"/>
  <c r="W128" i="3315"/>
  <c r="W947" i="3315"/>
  <c r="W942" i="3315"/>
  <c r="W939" i="3315"/>
  <c r="W298" i="3315"/>
  <c r="W317" i="3315"/>
  <c r="W289" i="3315"/>
  <c r="W305" i="3315"/>
  <c r="W928" i="3315"/>
  <c r="W7" i="3315"/>
  <c r="W287" i="3315"/>
  <c r="W277" i="3315"/>
  <c r="W936" i="3315"/>
  <c r="W311" i="3315"/>
  <c r="W931" i="3315"/>
  <c r="W262" i="3315"/>
  <c r="W260" i="3315"/>
  <c r="W297" i="3315"/>
  <c r="W310" i="3315"/>
  <c r="W269" i="3315"/>
  <c r="W933" i="3315"/>
  <c r="W292" i="3315"/>
  <c r="W10" i="3315"/>
  <c r="W280" i="3315"/>
  <c r="K125" i="4608"/>
  <c r="N18" i="3079"/>
  <c r="L16" i="4608"/>
  <c r="M89" i="4608"/>
  <c r="D104" i="4608"/>
  <c r="F103" i="4608"/>
  <c r="E104" i="4608"/>
  <c r="U64" i="3315"/>
  <c r="D64" i="4608"/>
  <c r="F63" i="4608"/>
  <c r="E63" i="4608"/>
  <c r="U177" i="3315" s="1"/>
  <c r="D136" i="4608"/>
  <c r="F135" i="4608"/>
  <c r="E135" i="4608"/>
  <c r="X587" i="3315" l="1"/>
  <c r="AE587" i="3315" s="1"/>
  <c r="X111" i="3315"/>
  <c r="AE111" i="3315" s="1"/>
  <c r="X650" i="3315"/>
  <c r="AE650" i="3315" s="1"/>
  <c r="X670" i="3315"/>
  <c r="AE670" i="3315" s="1"/>
  <c r="X817" i="3315"/>
  <c r="AE817" i="3315" s="1"/>
  <c r="X542" i="3315"/>
  <c r="AE542" i="3315" s="1"/>
  <c r="X863" i="3315"/>
  <c r="AE863" i="3315" s="1"/>
  <c r="X830" i="3315"/>
  <c r="AE830" i="3315" s="1"/>
  <c r="X796" i="3315"/>
  <c r="AE796" i="3315" s="1"/>
  <c r="X316" i="3315"/>
  <c r="AE316" i="3315" s="1"/>
  <c r="X674" i="3315"/>
  <c r="AE674" i="3315" s="1"/>
  <c r="L125" i="4608"/>
  <c r="M88" i="4608"/>
  <c r="M125" i="4608"/>
  <c r="J127" i="4608"/>
  <c r="J53" i="4608"/>
  <c r="J90" i="4608"/>
  <c r="X113" i="3315"/>
  <c r="AE113" i="3315" s="1"/>
  <c r="X556" i="3315"/>
  <c r="AE556" i="3315" s="1"/>
  <c r="L17" i="4608"/>
  <c r="L54" i="4608" s="1"/>
  <c r="L91" i="4608" s="1"/>
  <c r="L128" i="4608" s="1"/>
  <c r="N19" i="3079"/>
  <c r="M126" i="4608"/>
  <c r="M19" i="3079"/>
  <c r="J17" i="4608"/>
  <c r="M124" i="4608"/>
  <c r="X659" i="3315"/>
  <c r="AE659" i="3315" s="1"/>
  <c r="X687" i="3315"/>
  <c r="AE687" i="3315" s="1"/>
  <c r="X291" i="3315"/>
  <c r="AE291" i="3315" s="1"/>
  <c r="X299" i="3315"/>
  <c r="AE299" i="3315" s="1"/>
  <c r="X648" i="3315"/>
  <c r="AE648" i="3315" s="1"/>
  <c r="X303" i="3315"/>
  <c r="AE303" i="3315" s="1"/>
  <c r="X688" i="3315"/>
  <c r="AE688" i="3315" s="1"/>
  <c r="X288" i="3315"/>
  <c r="AE288" i="3315" s="1"/>
  <c r="K126" i="4608"/>
  <c r="X645" i="3315"/>
  <c r="AE645" i="3315" s="1"/>
  <c r="V932" i="3315"/>
  <c r="X932" i="3315" s="1"/>
  <c r="AE932" i="3315" s="1"/>
  <c r="V28" i="3315"/>
  <c r="X28" i="3315" s="1"/>
  <c r="V938" i="3315"/>
  <c r="X938" i="3315" s="1"/>
  <c r="AE938" i="3315" s="1"/>
  <c r="V272" i="3315"/>
  <c r="X272" i="3315" s="1"/>
  <c r="AE272" i="3315" s="1"/>
  <c r="V26" i="3315"/>
  <c r="X26" i="3315" s="1"/>
  <c r="V289" i="3315"/>
  <c r="X289" i="3315" s="1"/>
  <c r="AE289" i="3315" s="1"/>
  <c r="V262" i="3315"/>
  <c r="X262" i="3315" s="1"/>
  <c r="AE262" i="3315" s="1"/>
  <c r="V287" i="3315"/>
  <c r="X287" i="3315" s="1"/>
  <c r="AE287" i="3315" s="1"/>
  <c r="V949" i="3315"/>
  <c r="X949" i="3315" s="1"/>
  <c r="AE949" i="3315" s="1"/>
  <c r="V29" i="3315"/>
  <c r="X29" i="3315" s="1"/>
  <c r="V934" i="3315"/>
  <c r="X934" i="3315" s="1"/>
  <c r="AE934" i="3315" s="1"/>
  <c r="V260" i="3315"/>
  <c r="X260" i="3315" s="1"/>
  <c r="AE260" i="3315" s="1"/>
  <c r="V422" i="3315"/>
  <c r="X422" i="3315" s="1"/>
  <c r="AE422" i="3315" s="1"/>
  <c r="V293" i="3315"/>
  <c r="X293" i="3315" s="1"/>
  <c r="AE293" i="3315" s="1"/>
  <c r="V274" i="3315"/>
  <c r="X274" i="3315" s="1"/>
  <c r="AE274" i="3315" s="1"/>
  <c r="V295" i="3315"/>
  <c r="X295" i="3315" s="1"/>
  <c r="AE295" i="3315" s="1"/>
  <c r="V935" i="3315"/>
  <c r="X935" i="3315" s="1"/>
  <c r="AE935" i="3315" s="1"/>
  <c r="V284" i="3315"/>
  <c r="X284" i="3315" s="1"/>
  <c r="AE284" i="3315" s="1"/>
  <c r="V297" i="3315"/>
  <c r="X297" i="3315" s="1"/>
  <c r="AE297" i="3315" s="1"/>
  <c r="V311" i="3315"/>
  <c r="X311" i="3315" s="1"/>
  <c r="AE311" i="3315" s="1"/>
  <c r="V931" i="3315"/>
  <c r="X931" i="3315" s="1"/>
  <c r="AE931" i="3315" s="1"/>
  <c r="V280" i="3315"/>
  <c r="X280" i="3315" s="1"/>
  <c r="AE280" i="3315" s="1"/>
  <c r="V301" i="3315"/>
  <c r="X301" i="3315" s="1"/>
  <c r="AE301" i="3315" s="1"/>
  <c r="V128" i="3315"/>
  <c r="X128" i="3315" s="1"/>
  <c r="AE128" i="3315" s="1"/>
  <c r="V943" i="3315"/>
  <c r="X943" i="3315" s="1"/>
  <c r="AE943" i="3315" s="1"/>
  <c r="V296" i="3315"/>
  <c r="X296" i="3315" s="1"/>
  <c r="AE296" i="3315" s="1"/>
  <c r="V305" i="3315"/>
  <c r="X305" i="3315" s="1"/>
  <c r="AE305" i="3315" s="1"/>
  <c r="V933" i="3315"/>
  <c r="X933" i="3315" s="1"/>
  <c r="AE933" i="3315" s="1"/>
  <c r="V939" i="3315"/>
  <c r="X939" i="3315" s="1"/>
  <c r="AE939" i="3315" s="1"/>
  <c r="V292" i="3315"/>
  <c r="X292" i="3315" s="1"/>
  <c r="AE292" i="3315" s="1"/>
  <c r="V309" i="3315"/>
  <c r="X309" i="3315" s="1"/>
  <c r="AE309" i="3315" s="1"/>
  <c r="V930" i="3315"/>
  <c r="X930" i="3315" s="1"/>
  <c r="AE930" i="3315" s="1"/>
  <c r="V312" i="3315"/>
  <c r="X312" i="3315" s="1"/>
  <c r="AE312" i="3315" s="1"/>
  <c r="V317" i="3315"/>
  <c r="X317" i="3315" s="1"/>
  <c r="AE317" i="3315" s="1"/>
  <c r="V941" i="3315"/>
  <c r="X941" i="3315" s="1"/>
  <c r="AE941" i="3315" s="1"/>
  <c r="V947" i="3315"/>
  <c r="X947" i="3315" s="1"/>
  <c r="AE947" i="3315" s="1"/>
  <c r="V281" i="3315"/>
  <c r="X281" i="3315" s="1"/>
  <c r="AE281" i="3315" s="1"/>
  <c r="V263" i="3315"/>
  <c r="X263" i="3315" s="1"/>
  <c r="AE263" i="3315" s="1"/>
  <c r="V929" i="3315"/>
  <c r="X929" i="3315" s="1"/>
  <c r="AE929" i="3315" s="1"/>
  <c r="V940" i="3315"/>
  <c r="X940" i="3315" s="1"/>
  <c r="AE940" i="3315" s="1"/>
  <c r="V946" i="3315"/>
  <c r="X946" i="3315" s="1"/>
  <c r="AE946" i="3315" s="1"/>
  <c r="V257" i="3315"/>
  <c r="X257" i="3315" s="1"/>
  <c r="AE257" i="3315" s="1"/>
  <c r="V298" i="3315"/>
  <c r="X298" i="3315" s="1"/>
  <c r="AE298" i="3315" s="1"/>
  <c r="V936" i="3315"/>
  <c r="X936" i="3315" s="1"/>
  <c r="AE936" i="3315" s="1"/>
  <c r="V942" i="3315"/>
  <c r="X942" i="3315" s="1"/>
  <c r="AE942" i="3315" s="1"/>
  <c r="V261" i="3315"/>
  <c r="X261" i="3315" s="1"/>
  <c r="AE261" i="3315" s="1"/>
  <c r="V306" i="3315"/>
  <c r="X306" i="3315" s="1"/>
  <c r="AE306" i="3315" s="1"/>
  <c r="V937" i="3315"/>
  <c r="X937" i="3315" s="1"/>
  <c r="AE937" i="3315" s="1"/>
  <c r="V948" i="3315"/>
  <c r="X948" i="3315" s="1"/>
  <c r="AE948" i="3315" s="1"/>
  <c r="V10" i="3315"/>
  <c r="X10" i="3315" s="1"/>
  <c r="V269" i="3315"/>
  <c r="X269" i="3315" s="1"/>
  <c r="AE269" i="3315" s="1"/>
  <c r="V310" i="3315"/>
  <c r="X310" i="3315" s="1"/>
  <c r="AE310" i="3315" s="1"/>
  <c r="V944" i="3315"/>
  <c r="X944" i="3315" s="1"/>
  <c r="AE944" i="3315" s="1"/>
  <c r="V9" i="3315"/>
  <c r="X9" i="3315" s="1"/>
  <c r="V273" i="3315"/>
  <c r="X273" i="3315" s="1"/>
  <c r="AE273" i="3315" s="1"/>
  <c r="V25" i="3315"/>
  <c r="X25" i="3315" s="1"/>
  <c r="V945" i="3315"/>
  <c r="X945" i="3315" s="1"/>
  <c r="AE945" i="3315" s="1"/>
  <c r="V8" i="3315"/>
  <c r="X8" i="3315" s="1"/>
  <c r="V256" i="3315"/>
  <c r="X256" i="3315" s="1"/>
  <c r="AE256" i="3315" s="1"/>
  <c r="V277" i="3315"/>
  <c r="X277" i="3315" s="1"/>
  <c r="AE277" i="3315" s="1"/>
  <c r="V259" i="3315"/>
  <c r="X259" i="3315" s="1"/>
  <c r="AE259" i="3315" s="1"/>
  <c r="V928" i="3315"/>
  <c r="V7" i="3315"/>
  <c r="X7" i="3315" s="1"/>
  <c r="V308" i="3315"/>
  <c r="X308" i="3315" s="1"/>
  <c r="AE308" i="3315" s="1"/>
  <c r="V258" i="3315"/>
  <c r="X258" i="3315" s="1"/>
  <c r="AE258" i="3315" s="1"/>
  <c r="L53" i="4608"/>
  <c r="M17" i="4608"/>
  <c r="M16" i="4608"/>
  <c r="W950" i="3315" s="1"/>
  <c r="W951" i="3315" s="1"/>
  <c r="X539" i="3315"/>
  <c r="AE539" i="3315" s="1"/>
  <c r="X642" i="3315"/>
  <c r="AE642" i="3315" s="1"/>
  <c r="X876" i="3315"/>
  <c r="AE876" i="3315" s="1"/>
  <c r="X585" i="3315"/>
  <c r="AE585" i="3315" s="1"/>
  <c r="K16" i="4608"/>
  <c r="V950" i="3315" s="1"/>
  <c r="X682" i="3315"/>
  <c r="AE682" i="3315" s="1"/>
  <c r="X563" i="3315"/>
  <c r="AE563" i="3315" s="1"/>
  <c r="X278" i="3315"/>
  <c r="AE278" i="3315" s="1"/>
  <c r="X314" i="3315"/>
  <c r="AE314" i="3315" s="1"/>
  <c r="X285" i="3315"/>
  <c r="AE285" i="3315" s="1"/>
  <c r="X678" i="3315"/>
  <c r="AE678" i="3315" s="1"/>
  <c r="X271" i="3315"/>
  <c r="AE271" i="3315" s="1"/>
  <c r="X275" i="3315"/>
  <c r="AE275" i="3315" s="1"/>
  <c r="U956" i="3315"/>
  <c r="U972" i="3315"/>
  <c r="U969" i="3315"/>
  <c r="U973" i="3315"/>
  <c r="U960" i="3315"/>
  <c r="U957" i="3315"/>
  <c r="U965" i="3315"/>
  <c r="U964" i="3315"/>
  <c r="U968" i="3315"/>
  <c r="U971" i="3315"/>
  <c r="U976" i="3315"/>
  <c r="U961" i="3315"/>
  <c r="U958" i="3315"/>
  <c r="U963" i="3315"/>
  <c r="U967" i="3315"/>
  <c r="U970" i="3315"/>
  <c r="U959" i="3315"/>
  <c r="U974" i="3315"/>
  <c r="U975" i="3315"/>
  <c r="U962" i="3315"/>
  <c r="U966" i="3315"/>
  <c r="D105" i="4608"/>
  <c r="F104" i="4608"/>
  <c r="D65" i="4608"/>
  <c r="E65" i="4608" s="1"/>
  <c r="U33" i="3315" s="1"/>
  <c r="F64" i="4608"/>
  <c r="E64" i="4608"/>
  <c r="F136" i="4608"/>
  <c r="D137" i="4608"/>
  <c r="E136" i="4608"/>
  <c r="X928" i="3315" l="1"/>
  <c r="V951" i="3315"/>
  <c r="J54" i="4608"/>
  <c r="J128" i="4608"/>
  <c r="J91" i="4608"/>
  <c r="K91" i="4608"/>
  <c r="M20" i="3079"/>
  <c r="J18" i="4608"/>
  <c r="K54" i="4608"/>
  <c r="K53" i="4608"/>
  <c r="V990" i="3315"/>
  <c r="V1120" i="3315"/>
  <c r="V1134" i="3315"/>
  <c r="V1146" i="3315"/>
  <c r="V987" i="3315"/>
  <c r="V1119" i="3315"/>
  <c r="V1129" i="3315"/>
  <c r="V989" i="3315"/>
  <c r="V1135" i="3315"/>
  <c r="V1151" i="3315"/>
  <c r="V1118" i="3315"/>
  <c r="V1145" i="3315"/>
  <c r="V1066" i="3315"/>
  <c r="V1142" i="3315"/>
  <c r="V1154" i="3315"/>
  <c r="V1140" i="3315"/>
  <c r="V1150" i="3315"/>
  <c r="V991" i="3315"/>
  <c r="V1123" i="3315"/>
  <c r="V1133" i="3315"/>
  <c r="V1147" i="3315"/>
  <c r="V1149" i="3315"/>
  <c r="V1117" i="3315"/>
  <c r="V1137" i="3315"/>
  <c r="V996" i="3315"/>
  <c r="V1128" i="3315"/>
  <c r="V1139" i="3315"/>
  <c r="V1157" i="3315"/>
  <c r="V1126" i="3315"/>
  <c r="V1156" i="3315"/>
  <c r="L18" i="4608"/>
  <c r="N20" i="3079"/>
  <c r="X950" i="3315"/>
  <c r="AE950" i="3315" s="1"/>
  <c r="L90" i="4608"/>
  <c r="M54" i="4608"/>
  <c r="M53" i="4608"/>
  <c r="K90" i="4608"/>
  <c r="W1129" i="3315"/>
  <c r="W1126" i="3315"/>
  <c r="W1139" i="3315"/>
  <c r="W1142" i="3315"/>
  <c r="W1145" i="3315"/>
  <c r="W1156" i="3315"/>
  <c r="W1157" i="3315"/>
  <c r="W1154" i="3315"/>
  <c r="W990" i="3315"/>
  <c r="W1117" i="3315"/>
  <c r="W1135" i="3315"/>
  <c r="W996" i="3315"/>
  <c r="W1123" i="3315"/>
  <c r="W1133" i="3315"/>
  <c r="W1147" i="3315"/>
  <c r="W1137" i="3315"/>
  <c r="W1140" i="3315"/>
  <c r="W1151" i="3315"/>
  <c r="W1150" i="3315"/>
  <c r="W987" i="3315"/>
  <c r="W1119" i="3315"/>
  <c r="W1066" i="3315"/>
  <c r="W1149" i="3315"/>
  <c r="W989" i="3315"/>
  <c r="W1118" i="3315"/>
  <c r="W1128" i="3315"/>
  <c r="W991" i="3315"/>
  <c r="W1120" i="3315"/>
  <c r="W1134" i="3315"/>
  <c r="W1146" i="3315"/>
  <c r="K17" i="4608"/>
  <c r="K127" i="4608"/>
  <c r="V1125" i="3315" s="1"/>
  <c r="U977" i="3315"/>
  <c r="D106" i="4608"/>
  <c r="E106" i="4608" s="1"/>
  <c r="F105" i="4608"/>
  <c r="E105" i="4608"/>
  <c r="U34" i="3315"/>
  <c r="F65" i="4608"/>
  <c r="D66" i="4608"/>
  <c r="E66" i="4608" s="1"/>
  <c r="D138" i="4608"/>
  <c r="F137" i="4608"/>
  <c r="E137" i="4608"/>
  <c r="U1049" i="3315"/>
  <c r="U1020" i="3315"/>
  <c r="U1136" i="3315"/>
  <c r="U998" i="3315"/>
  <c r="U1035" i="3315"/>
  <c r="U1075" i="3315"/>
  <c r="U1056" i="3315"/>
  <c r="U1057" i="3315"/>
  <c r="U1009" i="3315"/>
  <c r="U982" i="3315"/>
  <c r="U1018" i="3315"/>
  <c r="U1040" i="3315"/>
  <c r="U1034" i="3315"/>
  <c r="X1156" i="3315" l="1"/>
  <c r="AE1156" i="3315" s="1"/>
  <c r="X1157" i="3315"/>
  <c r="AE1157" i="3315" s="1"/>
  <c r="X1137" i="3315"/>
  <c r="AE1137" i="3315" s="1"/>
  <c r="X1133" i="3315"/>
  <c r="AE1133" i="3315" s="1"/>
  <c r="X1140" i="3315"/>
  <c r="AE1140" i="3315" s="1"/>
  <c r="X1145" i="3315"/>
  <c r="AE1145" i="3315" s="1"/>
  <c r="X989" i="3315"/>
  <c r="AE989" i="3315" s="1"/>
  <c r="X1146" i="3315"/>
  <c r="AE1146" i="3315" s="1"/>
  <c r="X1139" i="3315"/>
  <c r="AE1139" i="3315" s="1"/>
  <c r="X1117" i="3315"/>
  <c r="AE1117" i="3315" s="1"/>
  <c r="V142" i="3315"/>
  <c r="V541" i="3315"/>
  <c r="V662" i="3315"/>
  <c r="V744" i="3315"/>
  <c r="V864" i="3315"/>
  <c r="V552" i="3315"/>
  <c r="V649" i="3315"/>
  <c r="V768" i="3315"/>
  <c r="V254" i="3315"/>
  <c r="V567" i="3315"/>
  <c r="V673" i="3315"/>
  <c r="V763" i="3315"/>
  <c r="V878" i="3315"/>
  <c r="V189" i="3315"/>
  <c r="V611" i="3315"/>
  <c r="V754" i="3315"/>
  <c r="V824" i="3315"/>
  <c r="V748" i="3315"/>
  <c r="V264" i="3315"/>
  <c r="V614" i="3315"/>
  <c r="V720" i="3315"/>
  <c r="V795" i="3315"/>
  <c r="V498" i="3315"/>
  <c r="V605" i="3315"/>
  <c r="V707" i="3315"/>
  <c r="V847" i="3315"/>
  <c r="V359" i="3315"/>
  <c r="V588" i="3315"/>
  <c r="V677" i="3315"/>
  <c r="V771" i="3315"/>
  <c r="V882" i="3315"/>
  <c r="V566" i="3315"/>
  <c r="V733" i="3315"/>
  <c r="V922" i="3315"/>
  <c r="V794" i="3315"/>
  <c r="V97" i="3315"/>
  <c r="V124" i="3315"/>
  <c r="V99" i="3315"/>
  <c r="V126" i="3315"/>
  <c r="V133" i="3315"/>
  <c r="V594" i="3315"/>
  <c r="V777" i="3315"/>
  <c r="V504" i="3315"/>
  <c r="V711" i="3315"/>
  <c r="V519" i="3315"/>
  <c r="V694" i="3315"/>
  <c r="V70" i="3315"/>
  <c r="V663" i="3315"/>
  <c r="V881" i="3315"/>
  <c r="V561" i="3315"/>
  <c r="V749" i="3315"/>
  <c r="V544" i="3315"/>
  <c r="V764" i="3315"/>
  <c r="V644" i="3315"/>
  <c r="V837" i="3315"/>
  <c r="V147" i="3315"/>
  <c r="V818" i="3315"/>
  <c r="V893" i="3315"/>
  <c r="V125" i="3315"/>
  <c r="V123" i="3315"/>
  <c r="V517" i="3315"/>
  <c r="V634" i="3315"/>
  <c r="V831" i="3315"/>
  <c r="V739" i="3315"/>
  <c r="V920" i="3315"/>
  <c r="V656" i="3315"/>
  <c r="V846" i="3315"/>
  <c r="V583" i="3315"/>
  <c r="V798" i="3315"/>
  <c r="V192" i="3315"/>
  <c r="V708" i="3315"/>
  <c r="V145" i="3315"/>
  <c r="V653" i="3315"/>
  <c r="V243" i="3315"/>
  <c r="V669" i="3315"/>
  <c r="V858" i="3315"/>
  <c r="V647" i="3315"/>
  <c r="V758" i="3315"/>
  <c r="V118" i="3315"/>
  <c r="V122" i="3315"/>
  <c r="V188" i="3315"/>
  <c r="V573" i="3315"/>
  <c r="V704" i="3315"/>
  <c r="V757" i="3315"/>
  <c r="V232" i="3315"/>
  <c r="V597" i="3315"/>
  <c r="V690" i="3315"/>
  <c r="V826" i="3315"/>
  <c r="V501" i="3315"/>
  <c r="V600" i="3315"/>
  <c r="V681" i="3315"/>
  <c r="V797" i="3315"/>
  <c r="V890" i="3315"/>
  <c r="V550" i="3315"/>
  <c r="V631" i="3315"/>
  <c r="V762" i="3315"/>
  <c r="V865" i="3315"/>
  <c r="V91" i="3315"/>
  <c r="V521" i="3315"/>
  <c r="V658" i="3315"/>
  <c r="V736" i="3315"/>
  <c r="V844" i="3315"/>
  <c r="V516" i="3315"/>
  <c r="V621" i="3315"/>
  <c r="V723" i="3315"/>
  <c r="V916" i="3315"/>
  <c r="V515" i="3315"/>
  <c r="V608" i="3315"/>
  <c r="V685" i="3315"/>
  <c r="V801" i="3315"/>
  <c r="V909" i="3315"/>
  <c r="V579" i="3315"/>
  <c r="V770" i="3315"/>
  <c r="V619" i="3315"/>
  <c r="V828" i="3315"/>
  <c r="V101" i="3315"/>
  <c r="V134" i="3315"/>
  <c r="V103" i="3315"/>
  <c r="V130" i="3315"/>
  <c r="V241" i="3315"/>
  <c r="V712" i="3315"/>
  <c r="V613" i="3315"/>
  <c r="V879" i="3315"/>
  <c r="V612" i="3315"/>
  <c r="V821" i="3315"/>
  <c r="V570" i="3315"/>
  <c r="V778" i="3315"/>
  <c r="V184" i="3315"/>
  <c r="V696" i="3315"/>
  <c r="V86" i="3315"/>
  <c r="V641" i="3315"/>
  <c r="V89" i="3315"/>
  <c r="V531" i="3315"/>
  <c r="V698" i="3315"/>
  <c r="V603" i="3315"/>
  <c r="V701" i="3315"/>
  <c r="V110" i="3315"/>
  <c r="V112" i="3315"/>
  <c r="V503" i="3315"/>
  <c r="V724" i="3315"/>
  <c r="V540" i="3315"/>
  <c r="V625" i="3315"/>
  <c r="V535" i="3315"/>
  <c r="V702" i="3315"/>
  <c r="V143" i="3315"/>
  <c r="V705" i="3315"/>
  <c r="V902" i="3315"/>
  <c r="V586" i="3315"/>
  <c r="V765" i="3315"/>
  <c r="V577" i="3315"/>
  <c r="V800" i="3315"/>
  <c r="V543" i="3315"/>
  <c r="V755" i="3315"/>
  <c r="V506" i="3315"/>
  <c r="V877" i="3315"/>
  <c r="V84" i="3315"/>
  <c r="V129" i="3315"/>
  <c r="V127" i="3315"/>
  <c r="K128" i="4608"/>
  <c r="J92" i="4608"/>
  <c r="K92" i="4608" s="1"/>
  <c r="J55" i="4608"/>
  <c r="J129" i="4608"/>
  <c r="K129" i="4608" s="1"/>
  <c r="K18" i="4608"/>
  <c r="W110" i="3315"/>
  <c r="W586" i="3315"/>
  <c r="W882" i="3315"/>
  <c r="W515" i="3315"/>
  <c r="W723" i="3315"/>
  <c r="W124" i="3315"/>
  <c r="W704" i="3315"/>
  <c r="W241" i="3315"/>
  <c r="W702" i="3315"/>
  <c r="W91" i="3315"/>
  <c r="W611" i="3315"/>
  <c r="W877" i="3315"/>
  <c r="W588" i="3315"/>
  <c r="W828" i="3315"/>
  <c r="W232" i="3315"/>
  <c r="W653" i="3315"/>
  <c r="W84" i="3315"/>
  <c r="W597" i="3315"/>
  <c r="W749" i="3315"/>
  <c r="W677" i="3315"/>
  <c r="W143" i="3315"/>
  <c r="W690" i="3315"/>
  <c r="W777" i="3315"/>
  <c r="W579" i="3315"/>
  <c r="W821" i="3315"/>
  <c r="W540" i="3315"/>
  <c r="W86" i="3315"/>
  <c r="W570" i="3315"/>
  <c r="W878" i="3315"/>
  <c r="W503" i="3315"/>
  <c r="W711" i="3315"/>
  <c r="W112" i="3315"/>
  <c r="W696" i="3315"/>
  <c r="W797" i="3315"/>
  <c r="W561" i="3315"/>
  <c r="W701" i="3315"/>
  <c r="W765" i="3315"/>
  <c r="W685" i="3315"/>
  <c r="W192" i="3315"/>
  <c r="W920" i="3315"/>
  <c r="W698" i="3315"/>
  <c r="W70" i="3315"/>
  <c r="W865" i="3315"/>
  <c r="W118" i="3315"/>
  <c r="W519" i="3315"/>
  <c r="W145" i="3315"/>
  <c r="W97" i="3315"/>
  <c r="W733" i="3315"/>
  <c r="W758" i="3315"/>
  <c r="W771" i="3315"/>
  <c r="W566" i="3315"/>
  <c r="W133" i="3315"/>
  <c r="W795" i="3315"/>
  <c r="W147" i="3315"/>
  <c r="W801" i="3315"/>
  <c r="W837" i="3315"/>
  <c r="W818" i="3315"/>
  <c r="W641" i="3315"/>
  <c r="W541" i="3315"/>
  <c r="W649" i="3315"/>
  <c r="W506" i="3315"/>
  <c r="W647" i="3315"/>
  <c r="W612" i="3315"/>
  <c r="W662" i="3315"/>
  <c r="W567" i="3315"/>
  <c r="W516" i="3315"/>
  <c r="W142" i="3315"/>
  <c r="W847" i="3315"/>
  <c r="W724" i="3315"/>
  <c r="W122" i="3315"/>
  <c r="W909" i="3315"/>
  <c r="W762" i="3315"/>
  <c r="W712" i="3315"/>
  <c r="W800" i="3315"/>
  <c r="W631" i="3315"/>
  <c r="W608" i="3315"/>
  <c r="W501" i="3315"/>
  <c r="W764" i="3315"/>
  <c r="W89" i="3315"/>
  <c r="W130" i="3315"/>
  <c r="W658" i="3315"/>
  <c r="W736" i="3315"/>
  <c r="W543" i="3315"/>
  <c r="W778" i="3315"/>
  <c r="W504" i="3315"/>
  <c r="W763" i="3315"/>
  <c r="W550" i="3315"/>
  <c r="W846" i="3315"/>
  <c r="W129" i="3315"/>
  <c r="W663" i="3315"/>
  <c r="W922" i="3315"/>
  <c r="W644" i="3315"/>
  <c r="W757" i="3315"/>
  <c r="W521" i="3315"/>
  <c r="W681" i="3315"/>
  <c r="W844" i="3315"/>
  <c r="W669" i="3315"/>
  <c r="W127" i="3315"/>
  <c r="W831" i="3315"/>
  <c r="W264" i="3315"/>
  <c r="W768" i="3315"/>
  <c r="W99" i="3315"/>
  <c r="W619" i="3315"/>
  <c r="W881" i="3315"/>
  <c r="W600" i="3315"/>
  <c r="W126" i="3315"/>
  <c r="W634" i="3315"/>
  <c r="W748" i="3315"/>
  <c r="W535" i="3315"/>
  <c r="W770" i="3315"/>
  <c r="W254" i="3315"/>
  <c r="W720" i="3315"/>
  <c r="W123" i="3315"/>
  <c r="W605" i="3315"/>
  <c r="W798" i="3315"/>
  <c r="W184" i="3315"/>
  <c r="W879" i="3315"/>
  <c r="W573" i="3315"/>
  <c r="W189" i="3315"/>
  <c r="W603" i="3315"/>
  <c r="W552" i="3315"/>
  <c r="W594" i="3315"/>
  <c r="W890" i="3315"/>
  <c r="W754" i="3315"/>
  <c r="W708" i="3315"/>
  <c r="W577" i="3315"/>
  <c r="W101" i="3315"/>
  <c r="W517" i="3315"/>
  <c r="W858" i="3315"/>
  <c r="W707" i="3315"/>
  <c r="W656" i="3315"/>
  <c r="W694" i="3315"/>
  <c r="W583" i="3315"/>
  <c r="W544" i="3315"/>
  <c r="W188" i="3315"/>
  <c r="W916" i="3315"/>
  <c r="W824" i="3315"/>
  <c r="W755" i="3315"/>
  <c r="W826" i="3315"/>
  <c r="W125" i="3315"/>
  <c r="W902" i="3315"/>
  <c r="W134" i="3315"/>
  <c r="W744" i="3315"/>
  <c r="W794" i="3315"/>
  <c r="W739" i="3315"/>
  <c r="W621" i="3315"/>
  <c r="W359" i="3315"/>
  <c r="W613" i="3315"/>
  <c r="W614" i="3315"/>
  <c r="W531" i="3315"/>
  <c r="W243" i="3315"/>
  <c r="W498" i="3315"/>
  <c r="W103" i="3315"/>
  <c r="W893" i="3315"/>
  <c r="W864" i="3315"/>
  <c r="W673" i="3315"/>
  <c r="W625" i="3315"/>
  <c r="W705" i="3315"/>
  <c r="L127" i="4608"/>
  <c r="M90" i="4608"/>
  <c r="M91" i="4608"/>
  <c r="X1154" i="3315"/>
  <c r="AE1154" i="3315" s="1"/>
  <c r="X1134" i="3315"/>
  <c r="AE1134" i="3315" s="1"/>
  <c r="J19" i="4608"/>
  <c r="M21" i="3079"/>
  <c r="L19" i="4608"/>
  <c r="N21" i="3079"/>
  <c r="X1128" i="3315"/>
  <c r="AE1128" i="3315" s="1"/>
  <c r="X1149" i="3315"/>
  <c r="AE1149" i="3315" s="1"/>
  <c r="X991" i="3315"/>
  <c r="AE991" i="3315" s="1"/>
  <c r="X1142" i="3315"/>
  <c r="AE1142" i="3315" s="1"/>
  <c r="X1151" i="3315"/>
  <c r="AE1151" i="3315" s="1"/>
  <c r="X1119" i="3315"/>
  <c r="AE1119" i="3315" s="1"/>
  <c r="X1120" i="3315"/>
  <c r="AE1120" i="3315" s="1"/>
  <c r="X1123" i="3315"/>
  <c r="AE1123" i="3315" s="1"/>
  <c r="X1118" i="3315"/>
  <c r="AE1118" i="3315" s="1"/>
  <c r="X1129" i="3315"/>
  <c r="AE1129" i="3315" s="1"/>
  <c r="X951" i="3315"/>
  <c r="AE928" i="3315"/>
  <c r="L55" i="4608"/>
  <c r="M18" i="4608"/>
  <c r="X1126" i="3315"/>
  <c r="AE1126" i="3315" s="1"/>
  <c r="X996" i="3315"/>
  <c r="AE996" i="3315" s="1"/>
  <c r="X1147" i="3315"/>
  <c r="AE1147" i="3315" s="1"/>
  <c r="X1150" i="3315"/>
  <c r="AE1150" i="3315" s="1"/>
  <c r="X1066" i="3315"/>
  <c r="AE1066" i="3315" s="1"/>
  <c r="X1135" i="3315"/>
  <c r="AE1135" i="3315" s="1"/>
  <c r="X987" i="3315"/>
  <c r="AE987" i="3315" s="1"/>
  <c r="X990" i="3315"/>
  <c r="AE990" i="3315" s="1"/>
  <c r="D107" i="4608"/>
  <c r="F106" i="4608"/>
  <c r="F66" i="4608"/>
  <c r="D67" i="4608"/>
  <c r="E67" i="4608"/>
  <c r="F138" i="4608"/>
  <c r="D139" i="4608"/>
  <c r="E138" i="4608"/>
  <c r="X586" i="3315" l="1"/>
  <c r="AE586" i="3315" s="1"/>
  <c r="X84" i="3315"/>
  <c r="AE84" i="3315" s="1"/>
  <c r="X702" i="3315"/>
  <c r="AE702" i="3315" s="1"/>
  <c r="X724" i="3315"/>
  <c r="AE724" i="3315" s="1"/>
  <c r="X621" i="3315"/>
  <c r="AE621" i="3315" s="1"/>
  <c r="X658" i="3315"/>
  <c r="AE658" i="3315" s="1"/>
  <c r="X797" i="3315"/>
  <c r="AE797" i="3315" s="1"/>
  <c r="X757" i="3315"/>
  <c r="AE757" i="3315" s="1"/>
  <c r="X122" i="3315"/>
  <c r="AE122" i="3315" s="1"/>
  <c r="X858" i="3315"/>
  <c r="AE858" i="3315" s="1"/>
  <c r="X145" i="3315"/>
  <c r="AE145" i="3315" s="1"/>
  <c r="X583" i="3315"/>
  <c r="AE583" i="3315" s="1"/>
  <c r="X739" i="3315"/>
  <c r="AE739" i="3315" s="1"/>
  <c r="X123" i="3315"/>
  <c r="AE123" i="3315" s="1"/>
  <c r="X147" i="3315"/>
  <c r="AE147" i="3315" s="1"/>
  <c r="X544" i="3315"/>
  <c r="AE544" i="3315" s="1"/>
  <c r="X663" i="3315"/>
  <c r="AE663" i="3315" s="1"/>
  <c r="X588" i="3315"/>
  <c r="AE588" i="3315" s="1"/>
  <c r="X605" i="3315"/>
  <c r="AE605" i="3315" s="1"/>
  <c r="X614" i="3315"/>
  <c r="AE614" i="3315" s="1"/>
  <c r="X763" i="3315"/>
  <c r="AE763" i="3315" s="1"/>
  <c r="X768" i="3315"/>
  <c r="AE768" i="3315" s="1"/>
  <c r="X129" i="3315"/>
  <c r="AE129" i="3315" s="1"/>
  <c r="X755" i="3315"/>
  <c r="AE755" i="3315" s="1"/>
  <c r="X765" i="3315"/>
  <c r="AE765" i="3315" s="1"/>
  <c r="X143" i="3315"/>
  <c r="AE143" i="3315" s="1"/>
  <c r="X540" i="3315"/>
  <c r="AE540" i="3315" s="1"/>
  <c r="X110" i="3315"/>
  <c r="AE110" i="3315" s="1"/>
  <c r="X531" i="3315"/>
  <c r="AE531" i="3315" s="1"/>
  <c r="X696" i="3315"/>
  <c r="AE696" i="3315" s="1"/>
  <c r="X821" i="3315"/>
  <c r="AE821" i="3315" s="1"/>
  <c r="X712" i="3315"/>
  <c r="AE712" i="3315" s="1"/>
  <c r="X134" i="3315"/>
  <c r="AE134" i="3315" s="1"/>
  <c r="X770" i="3315"/>
  <c r="AE770" i="3315" s="1"/>
  <c r="X685" i="3315"/>
  <c r="AE685" i="3315" s="1"/>
  <c r="X723" i="3315"/>
  <c r="AE723" i="3315" s="1"/>
  <c r="X736" i="3315"/>
  <c r="AE736" i="3315" s="1"/>
  <c r="X865" i="3315"/>
  <c r="AE865" i="3315" s="1"/>
  <c r="X890" i="3315"/>
  <c r="AE890" i="3315" s="1"/>
  <c r="X501" i="3315"/>
  <c r="AE501" i="3315" s="1"/>
  <c r="X232" i="3315"/>
  <c r="AE232" i="3315" s="1"/>
  <c r="X188" i="3315"/>
  <c r="AE188" i="3315" s="1"/>
  <c r="X647" i="3315"/>
  <c r="AE647" i="3315" s="1"/>
  <c r="X798" i="3315"/>
  <c r="AE798" i="3315" s="1"/>
  <c r="X818" i="3315"/>
  <c r="AE818" i="3315" s="1"/>
  <c r="X764" i="3315"/>
  <c r="AE764" i="3315" s="1"/>
  <c r="X519" i="3315"/>
  <c r="AE519" i="3315" s="1"/>
  <c r="X594" i="3315"/>
  <c r="AE594" i="3315" s="1"/>
  <c r="X124" i="3315"/>
  <c r="AE124" i="3315" s="1"/>
  <c r="X707" i="3315"/>
  <c r="AE707" i="3315" s="1"/>
  <c r="X824" i="3315"/>
  <c r="AE824" i="3315" s="1"/>
  <c r="X878" i="3315"/>
  <c r="AE878" i="3315" s="1"/>
  <c r="X254" i="3315"/>
  <c r="AE254" i="3315" s="1"/>
  <c r="X864" i="3315"/>
  <c r="AE864" i="3315" s="1"/>
  <c r="X142" i="3315"/>
  <c r="AE142" i="3315" s="1"/>
  <c r="V1021" i="3315"/>
  <c r="V1081" i="3315"/>
  <c r="V1084" i="3315"/>
  <c r="V1000" i="3315"/>
  <c r="V1046" i="3315"/>
  <c r="V1029" i="3315"/>
  <c r="V1004" i="3315"/>
  <c r="V1077" i="3315"/>
  <c r="V1080" i="3315"/>
  <c r="V1096" i="3315"/>
  <c r="V1041" i="3315"/>
  <c r="V1024" i="3315"/>
  <c r="N22" i="3079"/>
  <c r="L20" i="4608"/>
  <c r="K19" i="4608"/>
  <c r="X653" i="3315"/>
  <c r="AE653" i="3315" s="1"/>
  <c r="X920" i="3315"/>
  <c r="AE920" i="3315" s="1"/>
  <c r="X881" i="3315"/>
  <c r="AE881" i="3315" s="1"/>
  <c r="X733" i="3315"/>
  <c r="AE733" i="3315" s="1"/>
  <c r="L56" i="4608"/>
  <c r="M19" i="4608"/>
  <c r="M128" i="4608"/>
  <c r="M127" i="4608"/>
  <c r="W1125" i="3315" s="1"/>
  <c r="X1125" i="3315" s="1"/>
  <c r="AE1125" i="3315" s="1"/>
  <c r="X89" i="3315"/>
  <c r="AE89" i="3315" s="1"/>
  <c r="X612" i="3315"/>
  <c r="AE612" i="3315" s="1"/>
  <c r="X101" i="3315"/>
  <c r="AE101" i="3315" s="1"/>
  <c r="X608" i="3315"/>
  <c r="AE608" i="3315" s="1"/>
  <c r="X711" i="3315"/>
  <c r="AE711" i="3315" s="1"/>
  <c r="X97" i="3315"/>
  <c r="AE97" i="3315" s="1"/>
  <c r="X754" i="3315"/>
  <c r="AE754" i="3315" s="1"/>
  <c r="X744" i="3315"/>
  <c r="AE744" i="3315" s="1"/>
  <c r="L92" i="4608"/>
  <c r="M55" i="4608"/>
  <c r="M56" i="4608"/>
  <c r="K55" i="4608"/>
  <c r="X877" i="3315"/>
  <c r="AE877" i="3315" s="1"/>
  <c r="X800" i="3315"/>
  <c r="AE800" i="3315" s="1"/>
  <c r="X902" i="3315"/>
  <c r="AE902" i="3315" s="1"/>
  <c r="X535" i="3315"/>
  <c r="AE535" i="3315" s="1"/>
  <c r="X503" i="3315"/>
  <c r="AE503" i="3315" s="1"/>
  <c r="X603" i="3315"/>
  <c r="AE603" i="3315" s="1"/>
  <c r="X641" i="3315"/>
  <c r="AE641" i="3315" s="1"/>
  <c r="X778" i="3315"/>
  <c r="AE778" i="3315" s="1"/>
  <c r="X879" i="3315"/>
  <c r="AE879" i="3315" s="1"/>
  <c r="X130" i="3315"/>
  <c r="AE130" i="3315" s="1"/>
  <c r="X828" i="3315"/>
  <c r="AE828" i="3315" s="1"/>
  <c r="X909" i="3315"/>
  <c r="AE909" i="3315" s="1"/>
  <c r="X515" i="3315"/>
  <c r="AE515" i="3315" s="1"/>
  <c r="X516" i="3315"/>
  <c r="AE516" i="3315" s="1"/>
  <c r="X521" i="3315"/>
  <c r="AE521" i="3315" s="1"/>
  <c r="X631" i="3315"/>
  <c r="AE631" i="3315" s="1"/>
  <c r="X681" i="3315"/>
  <c r="AE681" i="3315" s="1"/>
  <c r="X690" i="3315"/>
  <c r="AE690" i="3315" s="1"/>
  <c r="X704" i="3315"/>
  <c r="AE704" i="3315" s="1"/>
  <c r="X118" i="3315"/>
  <c r="AE118" i="3315" s="1"/>
  <c r="X669" i="3315"/>
  <c r="AE669" i="3315" s="1"/>
  <c r="X708" i="3315"/>
  <c r="AE708" i="3315" s="1"/>
  <c r="X846" i="3315"/>
  <c r="AE846" i="3315" s="1"/>
  <c r="X831" i="3315"/>
  <c r="AE831" i="3315" s="1"/>
  <c r="X125" i="3315"/>
  <c r="AE125" i="3315" s="1"/>
  <c r="X837" i="3315"/>
  <c r="AE837" i="3315" s="1"/>
  <c r="X749" i="3315"/>
  <c r="AE749" i="3315" s="1"/>
  <c r="X70" i="3315"/>
  <c r="AE70" i="3315" s="1"/>
  <c r="X504" i="3315"/>
  <c r="AE504" i="3315" s="1"/>
  <c r="X126" i="3315"/>
  <c r="AE126" i="3315" s="1"/>
  <c r="X794" i="3315"/>
  <c r="AE794" i="3315" s="1"/>
  <c r="X882" i="3315"/>
  <c r="AE882" i="3315" s="1"/>
  <c r="X359" i="3315"/>
  <c r="AE359" i="3315" s="1"/>
  <c r="X498" i="3315"/>
  <c r="AE498" i="3315" s="1"/>
  <c r="X264" i="3315"/>
  <c r="AE264" i="3315" s="1"/>
  <c r="X611" i="3315"/>
  <c r="AE611" i="3315" s="1"/>
  <c r="X673" i="3315"/>
  <c r="AE673" i="3315" s="1"/>
  <c r="X649" i="3315"/>
  <c r="AE649" i="3315" s="1"/>
  <c r="X662" i="3315"/>
  <c r="AE662" i="3315" s="1"/>
  <c r="J56" i="4608"/>
  <c r="K56" i="4608" s="1"/>
  <c r="J130" i="4608"/>
  <c r="K130" i="4608" s="1"/>
  <c r="J93" i="4608"/>
  <c r="K93" i="4608" s="1"/>
  <c r="X517" i="3315"/>
  <c r="AE517" i="3315" s="1"/>
  <c r="X677" i="3315"/>
  <c r="AE677" i="3315" s="1"/>
  <c r="X720" i="3315"/>
  <c r="AE720" i="3315" s="1"/>
  <c r="X543" i="3315"/>
  <c r="AE543" i="3315" s="1"/>
  <c r="X701" i="3315"/>
  <c r="AE701" i="3315" s="1"/>
  <c r="X184" i="3315"/>
  <c r="AE184" i="3315" s="1"/>
  <c r="X241" i="3315"/>
  <c r="AE241" i="3315" s="1"/>
  <c r="X579" i="3315"/>
  <c r="AE579" i="3315" s="1"/>
  <c r="X762" i="3315"/>
  <c r="AE762" i="3315" s="1"/>
  <c r="X826" i="3315"/>
  <c r="AE826" i="3315" s="1"/>
  <c r="X133" i="3315"/>
  <c r="AE133" i="3315" s="1"/>
  <c r="X566" i="3315"/>
  <c r="AE566" i="3315" s="1"/>
  <c r="AE951" i="3315"/>
  <c r="M22" i="3079"/>
  <c r="J20" i="4608"/>
  <c r="X127" i="3315"/>
  <c r="AE127" i="3315" s="1"/>
  <c r="X506" i="3315"/>
  <c r="AE506" i="3315" s="1"/>
  <c r="X577" i="3315"/>
  <c r="AE577" i="3315" s="1"/>
  <c r="X705" i="3315"/>
  <c r="AE705" i="3315" s="1"/>
  <c r="X625" i="3315"/>
  <c r="AE625" i="3315" s="1"/>
  <c r="X112" i="3315"/>
  <c r="AE112" i="3315" s="1"/>
  <c r="X698" i="3315"/>
  <c r="AE698" i="3315" s="1"/>
  <c r="X86" i="3315"/>
  <c r="AE86" i="3315" s="1"/>
  <c r="X570" i="3315"/>
  <c r="AE570" i="3315" s="1"/>
  <c r="X613" i="3315"/>
  <c r="AE613" i="3315" s="1"/>
  <c r="X103" i="3315"/>
  <c r="AE103" i="3315" s="1"/>
  <c r="X619" i="3315"/>
  <c r="AE619" i="3315" s="1"/>
  <c r="X801" i="3315"/>
  <c r="AE801" i="3315" s="1"/>
  <c r="X916" i="3315"/>
  <c r="AE916" i="3315" s="1"/>
  <c r="X844" i="3315"/>
  <c r="AE844" i="3315" s="1"/>
  <c r="X91" i="3315"/>
  <c r="AE91" i="3315" s="1"/>
  <c r="X550" i="3315"/>
  <c r="AE550" i="3315" s="1"/>
  <c r="X600" i="3315"/>
  <c r="AE600" i="3315" s="1"/>
  <c r="X597" i="3315"/>
  <c r="AE597" i="3315" s="1"/>
  <c r="X573" i="3315"/>
  <c r="AE573" i="3315" s="1"/>
  <c r="X758" i="3315"/>
  <c r="AE758" i="3315" s="1"/>
  <c r="X243" i="3315"/>
  <c r="AE243" i="3315" s="1"/>
  <c r="X192" i="3315"/>
  <c r="AE192" i="3315" s="1"/>
  <c r="X656" i="3315"/>
  <c r="AE656" i="3315" s="1"/>
  <c r="X634" i="3315"/>
  <c r="AE634" i="3315" s="1"/>
  <c r="X893" i="3315"/>
  <c r="AE893" i="3315" s="1"/>
  <c r="X644" i="3315"/>
  <c r="AE644" i="3315" s="1"/>
  <c r="X561" i="3315"/>
  <c r="AE561" i="3315" s="1"/>
  <c r="X694" i="3315"/>
  <c r="AE694" i="3315" s="1"/>
  <c r="X777" i="3315"/>
  <c r="AE777" i="3315" s="1"/>
  <c r="X99" i="3315"/>
  <c r="AE99" i="3315" s="1"/>
  <c r="X922" i="3315"/>
  <c r="AE922" i="3315" s="1"/>
  <c r="X771" i="3315"/>
  <c r="AE771" i="3315" s="1"/>
  <c r="X847" i="3315"/>
  <c r="AE847" i="3315" s="1"/>
  <c r="X795" i="3315"/>
  <c r="AE795" i="3315" s="1"/>
  <c r="X748" i="3315"/>
  <c r="AE748" i="3315" s="1"/>
  <c r="X189" i="3315"/>
  <c r="AE189" i="3315" s="1"/>
  <c r="X567" i="3315"/>
  <c r="AE567" i="3315" s="1"/>
  <c r="X552" i="3315"/>
  <c r="AE552" i="3315" s="1"/>
  <c r="X541" i="3315"/>
  <c r="AE541" i="3315" s="1"/>
  <c r="D108" i="4608"/>
  <c r="E108" i="4608" s="1"/>
  <c r="F107" i="4608"/>
  <c r="E107" i="4608"/>
  <c r="U21" i="3315"/>
  <c r="U368" i="3315"/>
  <c r="U416" i="3315"/>
  <c r="U440" i="3315"/>
  <c r="U456" i="3315"/>
  <c r="U476" i="3315"/>
  <c r="U855" i="3315"/>
  <c r="U325" i="3315"/>
  <c r="U387" i="3315"/>
  <c r="U427" i="3315"/>
  <c r="U443" i="3315"/>
  <c r="U459" i="3315"/>
  <c r="U607" i="3315"/>
  <c r="U215" i="3315"/>
  <c r="U374" i="3315"/>
  <c r="U426" i="3315"/>
  <c r="U450" i="3315"/>
  <c r="U466" i="3315"/>
  <c r="U752" i="3315"/>
  <c r="U365" i="3315"/>
  <c r="U381" i="3315"/>
  <c r="U425" i="3315"/>
  <c r="U445" i="3315"/>
  <c r="U461" i="3315"/>
  <c r="U527" i="3315"/>
  <c r="U357" i="3315"/>
  <c r="U131" i="3315"/>
  <c r="U376" i="3315"/>
  <c r="U420" i="3315"/>
  <c r="U444" i="3315"/>
  <c r="U460" i="3315"/>
  <c r="U530" i="3315"/>
  <c r="U888" i="3315"/>
  <c r="U371" i="3315"/>
  <c r="U411" i="3315"/>
  <c r="U431" i="3315"/>
  <c r="U447" i="3315"/>
  <c r="U463" i="3315"/>
  <c r="U664" i="3315"/>
  <c r="U330" i="3315"/>
  <c r="U378" i="3315"/>
  <c r="U430" i="3315"/>
  <c r="U454" i="3315"/>
  <c r="U470" i="3315"/>
  <c r="U853" i="3315"/>
  <c r="U369" i="3315"/>
  <c r="U413" i="3315"/>
  <c r="U429" i="3315"/>
  <c r="U449" i="3315"/>
  <c r="U465" i="3315"/>
  <c r="U742" i="3315"/>
  <c r="U523" i="3315"/>
  <c r="U186" i="3315"/>
  <c r="U132" i="3315"/>
  <c r="U380" i="3315"/>
  <c r="U428" i="3315"/>
  <c r="U448" i="3315"/>
  <c r="U464" i="3315"/>
  <c r="U843" i="3315"/>
  <c r="U176" i="3315"/>
  <c r="U375" i="3315"/>
  <c r="U415" i="3315"/>
  <c r="U435" i="3315"/>
  <c r="U451" i="3315"/>
  <c r="U467" i="3315"/>
  <c r="U719" i="3315"/>
  <c r="U366" i="3315"/>
  <c r="U414" i="3315"/>
  <c r="U438" i="3315"/>
  <c r="U458" i="3315"/>
  <c r="U606" i="3315"/>
  <c r="U857" i="3315"/>
  <c r="U373" i="3315"/>
  <c r="U417" i="3315"/>
  <c r="U437" i="3315"/>
  <c r="U453" i="3315"/>
  <c r="U469" i="3315"/>
  <c r="U848" i="3315"/>
  <c r="U200" i="3315"/>
  <c r="U320" i="3315"/>
  <c r="U412" i="3315"/>
  <c r="U436" i="3315"/>
  <c r="U452" i="3315"/>
  <c r="U468" i="3315"/>
  <c r="U851" i="3315"/>
  <c r="U222" i="3315"/>
  <c r="U379" i="3315"/>
  <c r="U419" i="3315"/>
  <c r="U439" i="3315"/>
  <c r="U455" i="3315"/>
  <c r="U525" i="3315"/>
  <c r="U891" i="3315"/>
  <c r="U370" i="3315"/>
  <c r="U418" i="3315"/>
  <c r="U442" i="3315"/>
  <c r="U462" i="3315"/>
  <c r="U718" i="3315"/>
  <c r="U95" i="3315"/>
  <c r="U377" i="3315"/>
  <c r="U421" i="3315"/>
  <c r="U441" i="3315"/>
  <c r="U457" i="3315"/>
  <c r="U364" i="3315"/>
  <c r="F67" i="4608"/>
  <c r="D68" i="4608"/>
  <c r="F139" i="4608"/>
  <c r="D140" i="4608"/>
  <c r="E139" i="4608"/>
  <c r="W178" i="3315" l="1"/>
  <c r="W119" i="3315"/>
  <c r="W255" i="3315"/>
  <c r="W313" i="3315"/>
  <c r="W102" i="3315"/>
  <c r="W116" i="3315"/>
  <c r="W117" i="3315"/>
  <c r="W356" i="3315"/>
  <c r="W114" i="3315"/>
  <c r="W483" i="3315"/>
  <c r="W104" i="3315"/>
  <c r="W321" i="3315"/>
  <c r="W323" i="3315"/>
  <c r="W206" i="3315"/>
  <c r="W322" i="3315"/>
  <c r="W115" i="3315"/>
  <c r="W482" i="3315"/>
  <c r="L21" i="4608"/>
  <c r="N23" i="3079"/>
  <c r="J94" i="4608"/>
  <c r="K94" i="4608" s="1"/>
  <c r="V926" i="3315" s="1"/>
  <c r="J131" i="4608"/>
  <c r="K131" i="4608" s="1"/>
  <c r="J57" i="4608"/>
  <c r="K57" i="4608" s="1"/>
  <c r="K20" i="4608"/>
  <c r="L129" i="4608"/>
  <c r="M92" i="4608"/>
  <c r="L57" i="4608"/>
  <c r="M23" i="3079"/>
  <c r="J21" i="4608"/>
  <c r="V323" i="3315"/>
  <c r="X323" i="3315" s="1"/>
  <c r="AE323" i="3315" s="1"/>
  <c r="V321" i="3315"/>
  <c r="V313" i="3315"/>
  <c r="V255" i="3315"/>
  <c r="V117" i="3315"/>
  <c r="V482" i="3315"/>
  <c r="X482" i="3315" s="1"/>
  <c r="AE482" i="3315" s="1"/>
  <c r="V483" i="3315"/>
  <c r="V178" i="3315"/>
  <c r="X178" i="3315" s="1"/>
  <c r="AE178" i="3315" s="1"/>
  <c r="V119" i="3315"/>
  <c r="V114" i="3315"/>
  <c r="X114" i="3315" s="1"/>
  <c r="AE114" i="3315" s="1"/>
  <c r="V104" i="3315"/>
  <c r="V206" i="3315"/>
  <c r="V115" i="3315"/>
  <c r="V356" i="3315"/>
  <c r="V322" i="3315"/>
  <c r="V116" i="3315"/>
  <c r="V102" i="3315"/>
  <c r="X102" i="3315" s="1"/>
  <c r="AE102" i="3315" s="1"/>
  <c r="M20" i="4608"/>
  <c r="L93" i="4608"/>
  <c r="F108" i="4608"/>
  <c r="D109" i="4608"/>
  <c r="D69" i="4608"/>
  <c r="F68" i="4608"/>
  <c r="E68" i="4608"/>
  <c r="U138" i="3315"/>
  <c r="U361" i="3315"/>
  <c r="U195" i="3315"/>
  <c r="U897" i="3315"/>
  <c r="U953" i="3315" s="1"/>
  <c r="U478" i="3315"/>
  <c r="U227" i="3315"/>
  <c r="U22" i="3315"/>
  <c r="U37" i="3315" s="1"/>
  <c r="F140" i="4608"/>
  <c r="D141" i="4608"/>
  <c r="E140" i="4608"/>
  <c r="X116" i="3315" l="1"/>
  <c r="AE116" i="3315" s="1"/>
  <c r="X206" i="3315"/>
  <c r="AE206" i="3315" s="1"/>
  <c r="X483" i="3315"/>
  <c r="AE483" i="3315" s="1"/>
  <c r="X119" i="3315"/>
  <c r="AE119" i="3315" s="1"/>
  <c r="X356" i="3315"/>
  <c r="AE356" i="3315" s="1"/>
  <c r="X321" i="3315"/>
  <c r="AE321" i="3315" s="1"/>
  <c r="X117" i="3315"/>
  <c r="AE117" i="3315" s="1"/>
  <c r="V872" i="3315"/>
  <c r="V208" i="3315"/>
  <c r="V806" i="3315"/>
  <c r="V347" i="3315"/>
  <c r="V551" i="3315"/>
  <c r="V861" i="3315"/>
  <c r="V233" i="3315"/>
  <c r="V905" i="3315"/>
  <c r="V788" i="3315"/>
  <c r="V852" i="3315"/>
  <c r="V859" i="3315"/>
  <c r="V856" i="3315"/>
  <c r="V105" i="3315"/>
  <c r="V524" i="3315"/>
  <c r="V751" i="3315"/>
  <c r="V869" i="3315"/>
  <c r="V665" i="3315"/>
  <c r="V854" i="3315"/>
  <c r="V481" i="3315"/>
  <c r="V731" i="3315"/>
  <c r="V811" i="3315"/>
  <c r="V522" i="3315"/>
  <c r="V526" i="3315"/>
  <c r="V721" i="3315"/>
  <c r="X115" i="3315"/>
  <c r="AE115" i="3315" s="1"/>
  <c r="L22" i="4608"/>
  <c r="N24" i="3079"/>
  <c r="L130" i="4608"/>
  <c r="X255" i="3315"/>
  <c r="AE255" i="3315" s="1"/>
  <c r="J132" i="4608"/>
  <c r="K132" i="4608" s="1"/>
  <c r="J95" i="4608"/>
  <c r="K95" i="4608" s="1"/>
  <c r="J58" i="4608"/>
  <c r="K58" i="4608" s="1"/>
  <c r="K21" i="4608"/>
  <c r="M129" i="4608"/>
  <c r="L58" i="4608"/>
  <c r="L95" i="4608" s="1"/>
  <c r="M21" i="4608"/>
  <c r="M22" i="4608"/>
  <c r="L94" i="4608"/>
  <c r="M58" i="4608"/>
  <c r="M57" i="4608"/>
  <c r="V1104" i="3315"/>
  <c r="V1106" i="3315"/>
  <c r="V1076" i="3315"/>
  <c r="V1042" i="3315"/>
  <c r="V1014" i="3315"/>
  <c r="V1109" i="3315"/>
  <c r="V1031" i="3315"/>
  <c r="V1032" i="3315"/>
  <c r="V1003" i="3315"/>
  <c r="V1141" i="3315"/>
  <c r="V1062" i="3315"/>
  <c r="V1015" i="3315"/>
  <c r="V1008" i="3315"/>
  <c r="V1148" i="3315"/>
  <c r="V1099" i="3315"/>
  <c r="V1048" i="3315"/>
  <c r="V1002" i="3315"/>
  <c r="V1085" i="3315"/>
  <c r="V1068" i="3315"/>
  <c r="V1037" i="3315"/>
  <c r="V1006" i="3315"/>
  <c r="V1105" i="3315"/>
  <c r="V1028" i="3315"/>
  <c r="V1121" i="3315"/>
  <c r="V1039" i="3315"/>
  <c r="V1094" i="3315"/>
  <c r="V1022" i="3315"/>
  <c r="V1073" i="3315"/>
  <c r="V1033" i="3315"/>
  <c r="V1100" i="3315"/>
  <c r="V1016" i="3315"/>
  <c r="V1108" i="3315"/>
  <c r="V1055" i="3315"/>
  <c r="V988" i="3315"/>
  <c r="V1005" i="3315"/>
  <c r="V1122" i="3315"/>
  <c r="V1043" i="3315"/>
  <c r="V1143" i="3315"/>
  <c r="V1063" i="3315"/>
  <c r="V1124" i="3315"/>
  <c r="V1045" i="3315"/>
  <c r="V984" i="3315"/>
  <c r="V993" i="3315"/>
  <c r="V994" i="3315"/>
  <c r="V1111" i="3315"/>
  <c r="V1079" i="3315"/>
  <c r="V1038" i="3315"/>
  <c r="V980" i="3315"/>
  <c r="V1069" i="3315"/>
  <c r="V1060" i="3315"/>
  <c r="V1025" i="3315"/>
  <c r="V992" i="3315"/>
  <c r="V1086" i="3315"/>
  <c r="V1044" i="3315"/>
  <c r="V1036" i="3315"/>
  <c r="V1007" i="3315"/>
  <c r="V1153" i="3315"/>
  <c r="V1070" i="3315"/>
  <c r="V985" i="3315"/>
  <c r="V986" i="3315"/>
  <c r="V1102" i="3315"/>
  <c r="V1067" i="3315"/>
  <c r="V1030" i="3315"/>
  <c r="V1158" i="3315"/>
  <c r="V1027" i="3315"/>
  <c r="V983" i="3315"/>
  <c r="V1058" i="3315"/>
  <c r="V1131" i="3315"/>
  <c r="V1051" i="3315"/>
  <c r="V1116" i="3315"/>
  <c r="V1064" i="3315"/>
  <c r="V1001" i="3315"/>
  <c r="V1023" i="3315"/>
  <c r="V1152" i="3315"/>
  <c r="V1052" i="3315"/>
  <c r="V1065" i="3315"/>
  <c r="V1017" i="3315"/>
  <c r="V1078" i="3315"/>
  <c r="V999" i="3315"/>
  <c r="V1083" i="3315"/>
  <c r="V981" i="3315"/>
  <c r="V1098" i="3315"/>
  <c r="V1026" i="3315"/>
  <c r="V1061" i="3315"/>
  <c r="V1013" i="3315"/>
  <c r="V1074" i="3315"/>
  <c r="W854" i="3315"/>
  <c r="W731" i="3315"/>
  <c r="W721" i="3315"/>
  <c r="W526" i="3315"/>
  <c r="W524" i="3315"/>
  <c r="W665" i="3315"/>
  <c r="W872" i="3315"/>
  <c r="W861" i="3315"/>
  <c r="W859" i="3315"/>
  <c r="W522" i="3315"/>
  <c r="W347" i="3315"/>
  <c r="W751" i="3315"/>
  <c r="W551" i="3315"/>
  <c r="W852" i="3315"/>
  <c r="W811" i="3315"/>
  <c r="W905" i="3315"/>
  <c r="W788" i="3315"/>
  <c r="W806" i="3315"/>
  <c r="W869" i="3315"/>
  <c r="W481" i="3315"/>
  <c r="W856" i="3315"/>
  <c r="W208" i="3315"/>
  <c r="W233" i="3315"/>
  <c r="W105" i="3315"/>
  <c r="X322" i="3315"/>
  <c r="AE322" i="3315" s="1"/>
  <c r="X104" i="3315"/>
  <c r="AE104" i="3315" s="1"/>
  <c r="X313" i="3315"/>
  <c r="AE313" i="3315" s="1"/>
  <c r="J22" i="4608"/>
  <c r="K22" i="4608" s="1"/>
  <c r="M24" i="3079"/>
  <c r="M93" i="4608"/>
  <c r="V76" i="3315"/>
  <c r="V77" i="3315"/>
  <c r="V150" i="3315"/>
  <c r="V245" i="3315"/>
  <c r="V392" i="3315"/>
  <c r="V545" i="3315"/>
  <c r="V602" i="3315"/>
  <c r="V666" i="3315"/>
  <c r="V732" i="3315"/>
  <c r="V815" i="3315"/>
  <c r="V880" i="3315"/>
  <c r="V72" i="3315"/>
  <c r="V164" i="3315"/>
  <c r="V244" i="3315"/>
  <c r="V548" i="3315"/>
  <c r="V661" i="3315"/>
  <c r="V747" i="3315"/>
  <c r="V808" i="3315"/>
  <c r="V883" i="3315"/>
  <c r="V144" i="3315"/>
  <c r="V212" i="3315"/>
  <c r="V282" i="3315"/>
  <c r="V390" i="3315"/>
  <c r="V580" i="3315"/>
  <c r="V632" i="3315"/>
  <c r="V730" i="3315"/>
  <c r="V789" i="3315"/>
  <c r="V850" i="3315"/>
  <c r="V913" i="3315"/>
  <c r="V98" i="3315"/>
  <c r="V185" i="3315"/>
  <c r="V246" i="3315"/>
  <c r="V471" i="3315"/>
  <c r="V546" i="3315"/>
  <c r="V635" i="3315"/>
  <c r="V684" i="3315"/>
  <c r="V741" i="3315"/>
  <c r="V810" i="3315"/>
  <c r="V914" i="3315"/>
  <c r="V120" i="3315"/>
  <c r="V15" i="3315"/>
  <c r="V41" i="3315"/>
  <c r="V167" i="3315"/>
  <c r="V276" i="3315"/>
  <c r="V487" i="3315"/>
  <c r="V565" i="3315"/>
  <c r="V622" i="3315"/>
  <c r="V679" i="3315"/>
  <c r="V781" i="3315"/>
  <c r="V827" i="3315"/>
  <c r="V896" i="3315"/>
  <c r="V100" i="3315"/>
  <c r="V179" i="3315"/>
  <c r="V473" i="3315"/>
  <c r="V572" i="3315"/>
  <c r="V703" i="3315"/>
  <c r="V776" i="3315"/>
  <c r="V834" i="3315"/>
  <c r="V912" i="3315"/>
  <c r="V156" i="3315"/>
  <c r="V231" i="3315"/>
  <c r="V294" i="3315"/>
  <c r="V507" i="3315"/>
  <c r="V604" i="3315"/>
  <c r="V689" i="3315"/>
  <c r="V759" i="3315"/>
  <c r="V813" i="3315"/>
  <c r="V870" i="3315"/>
  <c r="V45" i="3315"/>
  <c r="V155" i="3315"/>
  <c r="V211" i="3315"/>
  <c r="V307" i="3315"/>
  <c r="V510" i="3315"/>
  <c r="V562" i="3315"/>
  <c r="V655" i="3315"/>
  <c r="V709" i="3315"/>
  <c r="V774" i="3315"/>
  <c r="V841" i="3315"/>
  <c r="V251" i="3315"/>
  <c r="V668" i="3315"/>
  <c r="V73" i="3315"/>
  <c r="V300" i="3315"/>
  <c r="V569" i="3315"/>
  <c r="V683" i="3315"/>
  <c r="V835" i="3315"/>
  <c r="V136" i="3315"/>
  <c r="V508" i="3315"/>
  <c r="V715" i="3315"/>
  <c r="V838" i="3315"/>
  <c r="V165" i="3315"/>
  <c r="V302" i="3315"/>
  <c r="V616" i="3315"/>
  <c r="V767" i="3315"/>
  <c r="V874" i="3315"/>
  <c r="V159" i="3315"/>
  <c r="V315" i="3315"/>
  <c r="V591" i="3315"/>
  <c r="V713" i="3315"/>
  <c r="V873" i="3315"/>
  <c r="V78" i="3315"/>
  <c r="V146" i="3315"/>
  <c r="V388" i="3315"/>
  <c r="V590" i="3315"/>
  <c r="V728" i="3315"/>
  <c r="V868" i="3315"/>
  <c r="V157" i="3315"/>
  <c r="V536" i="3315"/>
  <c r="V743" i="3315"/>
  <c r="V875" i="3315"/>
  <c r="V194" i="3315"/>
  <c r="V382" i="3315"/>
  <c r="V628" i="3315"/>
  <c r="V783" i="3315"/>
  <c r="V901" i="3315"/>
  <c r="V181" i="3315"/>
  <c r="V383" i="3315"/>
  <c r="V627" i="3315"/>
  <c r="V729" i="3315"/>
  <c r="V910" i="3315"/>
  <c r="V502" i="3315"/>
  <c r="V135" i="3315"/>
  <c r="V326" i="3315"/>
  <c r="V582" i="3315"/>
  <c r="V803" i="3315"/>
  <c r="V840" i="3315"/>
  <c r="V217" i="3315"/>
  <c r="V593" i="3315"/>
  <c r="V792" i="3315"/>
  <c r="V75" i="3315"/>
  <c r="V247" i="3315"/>
  <c r="V555" i="3315"/>
  <c r="V722" i="3315"/>
  <c r="V833" i="3315"/>
  <c r="V88" i="3315"/>
  <c r="V238" i="3315"/>
  <c r="V534" i="3315"/>
  <c r="V676" i="3315"/>
  <c r="V790" i="3315"/>
  <c r="V69" i="3315"/>
  <c r="V63" i="3315"/>
  <c r="V252" i="3315"/>
  <c r="V553" i="3315"/>
  <c r="V671" i="3315"/>
  <c r="V819" i="3315"/>
  <c r="V90" i="3315"/>
  <c r="V265" i="3315"/>
  <c r="V686" i="3315"/>
  <c r="V812" i="3315"/>
  <c r="V148" i="3315"/>
  <c r="V286" i="3315"/>
  <c r="V584" i="3315"/>
  <c r="V738" i="3315"/>
  <c r="V862" i="3315"/>
  <c r="V106" i="3315"/>
  <c r="V279" i="3315"/>
  <c r="V554" i="3315"/>
  <c r="V693" i="3315"/>
  <c r="V832" i="3315"/>
  <c r="V58" i="3315"/>
  <c r="V60" i="3315"/>
  <c r="V355" i="3315"/>
  <c r="V158" i="3315"/>
  <c r="V268" i="3315"/>
  <c r="V474" i="3315"/>
  <c r="V557" i="3315"/>
  <c r="V618" i="3315"/>
  <c r="V675" i="3315"/>
  <c r="V773" i="3315"/>
  <c r="V823" i="3315"/>
  <c r="V892" i="3315"/>
  <c r="V94" i="3315"/>
  <c r="V172" i="3315"/>
  <c r="V360" i="3315"/>
  <c r="V564" i="3315"/>
  <c r="V695" i="3315"/>
  <c r="V772" i="3315"/>
  <c r="V816" i="3315"/>
  <c r="V895" i="3315"/>
  <c r="V152" i="3315"/>
  <c r="V220" i="3315"/>
  <c r="V290" i="3315"/>
  <c r="V485" i="3315"/>
  <c r="V596" i="3315"/>
  <c r="V660" i="3315"/>
  <c r="V746" i="3315"/>
  <c r="V809" i="3315"/>
  <c r="V866" i="3315"/>
  <c r="V921" i="3315"/>
  <c r="V151" i="3315"/>
  <c r="V207" i="3315"/>
  <c r="V283" i="3315"/>
  <c r="V486" i="3315"/>
  <c r="V558" i="3315"/>
  <c r="V643" i="3315"/>
  <c r="V697" i="3315"/>
  <c r="V766" i="3315"/>
  <c r="V836" i="3315"/>
  <c r="V496" i="3315"/>
  <c r="V692" i="3315"/>
  <c r="V79" i="3315"/>
  <c r="V107" i="3315"/>
  <c r="V214" i="3315"/>
  <c r="V304" i="3315"/>
  <c r="V509" i="3315"/>
  <c r="V578" i="3315"/>
  <c r="V630" i="3315"/>
  <c r="V700" i="3315"/>
  <c r="V791" i="3315"/>
  <c r="V839" i="3315"/>
  <c r="V907" i="3315"/>
  <c r="V149" i="3315"/>
  <c r="V187" i="3315"/>
  <c r="V512" i="3315"/>
  <c r="V589" i="3315"/>
  <c r="V727" i="3315"/>
  <c r="V784" i="3315"/>
  <c r="V867" i="3315"/>
  <c r="V71" i="3315"/>
  <c r="V169" i="3315"/>
  <c r="V239" i="3315"/>
  <c r="V324" i="3315"/>
  <c r="V547" i="3315"/>
  <c r="V620" i="3315"/>
  <c r="V714" i="3315"/>
  <c r="V775" i="3315"/>
  <c r="V829" i="3315"/>
  <c r="V886" i="3315"/>
  <c r="V80" i="3315"/>
  <c r="V166" i="3315"/>
  <c r="V234" i="3315"/>
  <c r="V329" i="3315"/>
  <c r="V518" i="3315"/>
  <c r="V599" i="3315"/>
  <c r="V672" i="3315"/>
  <c r="V717" i="3315"/>
  <c r="V786" i="3315"/>
  <c r="V885" i="3315"/>
  <c r="V141" i="3315"/>
  <c r="V40" i="3315"/>
  <c r="V210" i="3315"/>
  <c r="V499" i="3315"/>
  <c r="V626" i="3315"/>
  <c r="V785" i="3315"/>
  <c r="V903" i="3315"/>
  <c r="V183" i="3315"/>
  <c r="V581" i="3315"/>
  <c r="V780" i="3315"/>
  <c r="V44" i="3315"/>
  <c r="V235" i="3315"/>
  <c r="V511" i="3315"/>
  <c r="V710" i="3315"/>
  <c r="V825" i="3315"/>
  <c r="V32" i="3315"/>
  <c r="V219" i="3315"/>
  <c r="V514" i="3315"/>
  <c r="V667" i="3315"/>
  <c r="V782" i="3315"/>
  <c r="V201" i="3315"/>
  <c r="V85" i="3315"/>
  <c r="V237" i="3315"/>
  <c r="V529" i="3315"/>
  <c r="V646" i="3315"/>
  <c r="V807" i="3315"/>
  <c r="V43" i="3315"/>
  <c r="V236" i="3315"/>
  <c r="V637" i="3315"/>
  <c r="V804" i="3315"/>
  <c r="V137" i="3315"/>
  <c r="V270" i="3315"/>
  <c r="V559" i="3315"/>
  <c r="V726" i="3315"/>
  <c r="V842" i="3315"/>
  <c r="V92" i="3315"/>
  <c r="V242" i="3315"/>
  <c r="V538" i="3315"/>
  <c r="V680" i="3315"/>
  <c r="V802" i="3315"/>
  <c r="V61" i="3315"/>
  <c r="V575" i="3315"/>
  <c r="V218" i="3315"/>
  <c r="V513" i="3315"/>
  <c r="V638" i="3315"/>
  <c r="V716" i="3315"/>
  <c r="V860" i="3315"/>
  <c r="V153" i="3315"/>
  <c r="V532" i="3315"/>
  <c r="V735" i="3315"/>
  <c r="V871" i="3315"/>
  <c r="V190" i="3315"/>
  <c r="V328" i="3315"/>
  <c r="V624" i="3315"/>
  <c r="V779" i="3315"/>
  <c r="V894" i="3315"/>
  <c r="V170" i="3315"/>
  <c r="V358" i="3315"/>
  <c r="V615" i="3315"/>
  <c r="V725" i="3315"/>
  <c r="V889" i="3315"/>
  <c r="V62" i="3315"/>
  <c r="V154" i="3315"/>
  <c r="V446" i="3315"/>
  <c r="V610" i="3315"/>
  <c r="V761" i="3315"/>
  <c r="V884" i="3315"/>
  <c r="V168" i="3315"/>
  <c r="V560" i="3315"/>
  <c r="V760" i="3315"/>
  <c r="V887" i="3315"/>
  <c r="V216" i="3315"/>
  <c r="V472" i="3315"/>
  <c r="V636" i="3315"/>
  <c r="V805" i="3315"/>
  <c r="V917" i="3315"/>
  <c r="V203" i="3315"/>
  <c r="V475" i="3315"/>
  <c r="V639" i="3315"/>
  <c r="V745" i="3315"/>
  <c r="V918" i="3315"/>
  <c r="U490" i="3315"/>
  <c r="F109" i="4608"/>
  <c r="E109" i="4608"/>
  <c r="D70" i="4608"/>
  <c r="F69" i="4608"/>
  <c r="E69" i="4608"/>
  <c r="E70" i="4608"/>
  <c r="U197" i="3315"/>
  <c r="D142" i="4608"/>
  <c r="F141" i="4608"/>
  <c r="E141" i="4608"/>
  <c r="U492" i="3315" l="1"/>
  <c r="X522" i="3315"/>
  <c r="AE522" i="3315" s="1"/>
  <c r="X208" i="3315"/>
  <c r="AE208" i="3315" s="1"/>
  <c r="X526" i="3315"/>
  <c r="AE526" i="3315" s="1"/>
  <c r="X751" i="3315"/>
  <c r="AE751" i="3315" s="1"/>
  <c r="X233" i="3315"/>
  <c r="AE233" i="3315" s="1"/>
  <c r="X806" i="3315"/>
  <c r="AE806" i="3315" s="1"/>
  <c r="X852" i="3315"/>
  <c r="AE852" i="3315" s="1"/>
  <c r="V160" i="3315"/>
  <c r="M130" i="4608"/>
  <c r="V488" i="3315"/>
  <c r="X481" i="3315"/>
  <c r="X859" i="3315"/>
  <c r="AE859" i="3315" s="1"/>
  <c r="V173" i="3315"/>
  <c r="L131" i="4608"/>
  <c r="M94" i="4608"/>
  <c r="W926" i="3315" s="1"/>
  <c r="X926" i="3315" s="1"/>
  <c r="AE926" i="3315" s="1"/>
  <c r="L23" i="4608"/>
  <c r="N25" i="3079"/>
  <c r="X854" i="3315"/>
  <c r="AE854" i="3315" s="1"/>
  <c r="X861" i="3315"/>
  <c r="AE861" i="3315" s="1"/>
  <c r="M25" i="3079"/>
  <c r="J23" i="4608"/>
  <c r="L132" i="4608"/>
  <c r="M132" i="4608" s="1"/>
  <c r="M95" i="4608"/>
  <c r="L59" i="4608"/>
  <c r="X811" i="3315"/>
  <c r="AE811" i="3315" s="1"/>
  <c r="X665" i="3315"/>
  <c r="AE665" i="3315" s="1"/>
  <c r="X105" i="3315"/>
  <c r="AE105" i="3315" s="1"/>
  <c r="X788" i="3315"/>
  <c r="AE788" i="3315" s="1"/>
  <c r="X551" i="3315"/>
  <c r="AE551" i="3315" s="1"/>
  <c r="X872" i="3315"/>
  <c r="AE872" i="3315" s="1"/>
  <c r="V924" i="3315"/>
  <c r="W45" i="3315"/>
  <c r="X45" i="3315" s="1"/>
  <c r="W791" i="3315"/>
  <c r="X791" i="3315" s="1"/>
  <c r="AE791" i="3315" s="1"/>
  <c r="W155" i="3315"/>
  <c r="X155" i="3315" s="1"/>
  <c r="AE155" i="3315" s="1"/>
  <c r="W218" i="3315"/>
  <c r="X218" i="3315" s="1"/>
  <c r="AE218" i="3315" s="1"/>
  <c r="W326" i="3315"/>
  <c r="X326" i="3315" s="1"/>
  <c r="AE326" i="3315" s="1"/>
  <c r="W538" i="3315"/>
  <c r="W602" i="3315"/>
  <c r="X602" i="3315" s="1"/>
  <c r="AE602" i="3315" s="1"/>
  <c r="W666" i="3315"/>
  <c r="X666" i="3315" s="1"/>
  <c r="AE666" i="3315" s="1"/>
  <c r="W760" i="3315"/>
  <c r="X760" i="3315" s="1"/>
  <c r="AE760" i="3315" s="1"/>
  <c r="W838" i="3315"/>
  <c r="X838" i="3315" s="1"/>
  <c r="AE838" i="3315" s="1"/>
  <c r="W894" i="3315"/>
  <c r="X894" i="3315" s="1"/>
  <c r="AE894" i="3315" s="1"/>
  <c r="W80" i="3315"/>
  <c r="X80" i="3315" s="1"/>
  <c r="AE80" i="3315" s="1"/>
  <c r="W165" i="3315"/>
  <c r="X165" i="3315" s="1"/>
  <c r="AE165" i="3315" s="1"/>
  <c r="W238" i="3315"/>
  <c r="W388" i="3315"/>
  <c r="X388" i="3315" s="1"/>
  <c r="AE388" i="3315" s="1"/>
  <c r="W547" i="3315"/>
  <c r="X547" i="3315" s="1"/>
  <c r="AE547" i="3315" s="1"/>
  <c r="W635" i="3315"/>
  <c r="X635" i="3315" s="1"/>
  <c r="AE635" i="3315" s="1"/>
  <c r="W683" i="3315"/>
  <c r="X683" i="3315" s="1"/>
  <c r="AE683" i="3315" s="1"/>
  <c r="W809" i="3315"/>
  <c r="X809" i="3315" s="1"/>
  <c r="AE809" i="3315" s="1"/>
  <c r="W889" i="3315"/>
  <c r="X889" i="3315" s="1"/>
  <c r="AE889" i="3315" s="1"/>
  <c r="W767" i="3315"/>
  <c r="X767" i="3315" s="1"/>
  <c r="AE767" i="3315" s="1"/>
  <c r="W98" i="3315"/>
  <c r="X98" i="3315" s="1"/>
  <c r="AE98" i="3315" s="1"/>
  <c r="W168" i="3315"/>
  <c r="X168" i="3315" s="1"/>
  <c r="AE168" i="3315" s="1"/>
  <c r="W231" i="3315"/>
  <c r="X231" i="3315" s="1"/>
  <c r="AE231" i="3315" s="1"/>
  <c r="W294" i="3315"/>
  <c r="X294" i="3315" s="1"/>
  <c r="AE294" i="3315" s="1"/>
  <c r="W486" i="3315"/>
  <c r="X486" i="3315" s="1"/>
  <c r="AE486" i="3315" s="1"/>
  <c r="W572" i="3315"/>
  <c r="X572" i="3315" s="1"/>
  <c r="AE572" i="3315" s="1"/>
  <c r="W628" i="3315"/>
  <c r="X628" i="3315" s="1"/>
  <c r="AE628" i="3315" s="1"/>
  <c r="W684" i="3315"/>
  <c r="X684" i="3315" s="1"/>
  <c r="AE684" i="3315" s="1"/>
  <c r="W810" i="3315"/>
  <c r="X810" i="3315" s="1"/>
  <c r="AE810" i="3315" s="1"/>
  <c r="W892" i="3315"/>
  <c r="X892" i="3315" s="1"/>
  <c r="AE892" i="3315" s="1"/>
  <c r="W805" i="3315"/>
  <c r="X805" i="3315" s="1"/>
  <c r="AE805" i="3315" s="1"/>
  <c r="W167" i="3315"/>
  <c r="X167" i="3315" s="1"/>
  <c r="AE167" i="3315" s="1"/>
  <c r="W382" i="3315"/>
  <c r="X382" i="3315" s="1"/>
  <c r="AE382" i="3315" s="1"/>
  <c r="W553" i="3315"/>
  <c r="X553" i="3315" s="1"/>
  <c r="AE553" i="3315" s="1"/>
  <c r="W661" i="3315"/>
  <c r="X661" i="3315" s="1"/>
  <c r="AE661" i="3315" s="1"/>
  <c r="W741" i="3315"/>
  <c r="X741" i="3315" s="1"/>
  <c r="AE741" i="3315" s="1"/>
  <c r="W827" i="3315"/>
  <c r="X827" i="3315" s="1"/>
  <c r="AE827" i="3315" s="1"/>
  <c r="W895" i="3315"/>
  <c r="X895" i="3315" s="1"/>
  <c r="AE895" i="3315" s="1"/>
  <c r="W15" i="3315"/>
  <c r="X15" i="3315" s="1"/>
  <c r="W738" i="3315"/>
  <c r="X738" i="3315" s="1"/>
  <c r="AE738" i="3315" s="1"/>
  <c r="W94" i="3315"/>
  <c r="X94" i="3315" s="1"/>
  <c r="AE94" i="3315" s="1"/>
  <c r="W185" i="3315"/>
  <c r="X185" i="3315" s="1"/>
  <c r="AE185" i="3315" s="1"/>
  <c r="W276" i="3315"/>
  <c r="X276" i="3315" s="1"/>
  <c r="AE276" i="3315" s="1"/>
  <c r="W514" i="3315"/>
  <c r="X514" i="3315" s="1"/>
  <c r="AE514" i="3315" s="1"/>
  <c r="W578" i="3315"/>
  <c r="X578" i="3315" s="1"/>
  <c r="AE578" i="3315" s="1"/>
  <c r="W630" i="3315"/>
  <c r="X630" i="3315" s="1"/>
  <c r="AE630" i="3315" s="1"/>
  <c r="W727" i="3315"/>
  <c r="X727" i="3315" s="1"/>
  <c r="AE727" i="3315" s="1"/>
  <c r="W812" i="3315"/>
  <c r="X812" i="3315" s="1"/>
  <c r="AE812" i="3315" s="1"/>
  <c r="W870" i="3315"/>
  <c r="X870" i="3315" s="1"/>
  <c r="AE870" i="3315" s="1"/>
  <c r="W921" i="3315"/>
  <c r="X921" i="3315" s="1"/>
  <c r="AE921" i="3315" s="1"/>
  <c r="W148" i="3315"/>
  <c r="X148" i="3315" s="1"/>
  <c r="AE148" i="3315" s="1"/>
  <c r="W203" i="3315"/>
  <c r="X203" i="3315" s="1"/>
  <c r="AE203" i="3315" s="1"/>
  <c r="W279" i="3315"/>
  <c r="X279" i="3315" s="1"/>
  <c r="AE279" i="3315" s="1"/>
  <c r="W474" i="3315"/>
  <c r="X474" i="3315" s="1"/>
  <c r="AE474" i="3315" s="1"/>
  <c r="W575" i="3315"/>
  <c r="X575" i="3315" s="1"/>
  <c r="AE575" i="3315" s="1"/>
  <c r="W655" i="3315"/>
  <c r="X655" i="3315" s="1"/>
  <c r="AE655" i="3315" s="1"/>
  <c r="W715" i="3315"/>
  <c r="X715" i="3315" s="1"/>
  <c r="AE715" i="3315" s="1"/>
  <c r="W829" i="3315"/>
  <c r="X829" i="3315" s="1"/>
  <c r="AE829" i="3315" s="1"/>
  <c r="W918" i="3315"/>
  <c r="X918" i="3315" s="1"/>
  <c r="AE918" i="3315" s="1"/>
  <c r="W75" i="3315"/>
  <c r="W136" i="3315"/>
  <c r="X136" i="3315" s="1"/>
  <c r="AE136" i="3315" s="1"/>
  <c r="W183" i="3315"/>
  <c r="X183" i="3315" s="1"/>
  <c r="AE183" i="3315" s="1"/>
  <c r="W247" i="3315"/>
  <c r="X247" i="3315" s="1"/>
  <c r="AE247" i="3315" s="1"/>
  <c r="W328" i="3315"/>
  <c r="X328" i="3315" s="1"/>
  <c r="AE328" i="3315" s="1"/>
  <c r="W532" i="3315"/>
  <c r="X532" i="3315" s="1"/>
  <c r="AE532" i="3315" s="1"/>
  <c r="W596" i="3315"/>
  <c r="X596" i="3315" s="1"/>
  <c r="AE596" i="3315" s="1"/>
  <c r="W660" i="3315"/>
  <c r="X660" i="3315" s="1"/>
  <c r="AE660" i="3315" s="1"/>
  <c r="W716" i="3315"/>
  <c r="X716" i="3315" s="1"/>
  <c r="AE716" i="3315" s="1"/>
  <c r="W840" i="3315"/>
  <c r="X840" i="3315" s="1"/>
  <c r="AE840" i="3315" s="1"/>
  <c r="W903" i="3315"/>
  <c r="X903" i="3315" s="1"/>
  <c r="AE903" i="3315" s="1"/>
  <c r="W78" i="3315"/>
  <c r="X78" i="3315" s="1"/>
  <c r="AE78" i="3315" s="1"/>
  <c r="W217" i="3315"/>
  <c r="X217" i="3315" s="1"/>
  <c r="AE217" i="3315" s="1"/>
  <c r="W472" i="3315"/>
  <c r="X472" i="3315" s="1"/>
  <c r="AE472" i="3315" s="1"/>
  <c r="W565" i="3315"/>
  <c r="X565" i="3315" s="1"/>
  <c r="AE565" i="3315" s="1"/>
  <c r="W693" i="3315"/>
  <c r="X693" i="3315" s="1"/>
  <c r="AE693" i="3315" s="1"/>
  <c r="W774" i="3315"/>
  <c r="X774" i="3315" s="1"/>
  <c r="AE774" i="3315" s="1"/>
  <c r="W839" i="3315"/>
  <c r="X839" i="3315" s="1"/>
  <c r="AE839" i="3315" s="1"/>
  <c r="W69" i="3315"/>
  <c r="W58" i="3315"/>
  <c r="X58" i="3315" s="1"/>
  <c r="W181" i="3315"/>
  <c r="X181" i="3315" s="1"/>
  <c r="AE181" i="3315" s="1"/>
  <c r="W510" i="3315"/>
  <c r="X510" i="3315" s="1"/>
  <c r="AE510" i="3315" s="1"/>
  <c r="W626" i="3315"/>
  <c r="X626" i="3315" s="1"/>
  <c r="AE626" i="3315" s="1"/>
  <c r="W808" i="3315"/>
  <c r="X808" i="3315" s="1"/>
  <c r="AE808" i="3315" s="1"/>
  <c r="W728" i="3315"/>
  <c r="X728" i="3315" s="1"/>
  <c r="AE728" i="3315" s="1"/>
  <c r="W144" i="3315"/>
  <c r="X144" i="3315" s="1"/>
  <c r="AE144" i="3315" s="1"/>
  <c r="W283" i="3315"/>
  <c r="X283" i="3315" s="1"/>
  <c r="AE283" i="3315" s="1"/>
  <c r="W591" i="3315"/>
  <c r="X591" i="3315" s="1"/>
  <c r="AE591" i="3315" s="1"/>
  <c r="W729" i="3315"/>
  <c r="X729" i="3315" s="1"/>
  <c r="AE729" i="3315" s="1"/>
  <c r="W32" i="3315"/>
  <c r="X32" i="3315" s="1"/>
  <c r="W149" i="3315"/>
  <c r="X149" i="3315" s="1"/>
  <c r="AE149" i="3315" s="1"/>
  <c r="W270" i="3315"/>
  <c r="X270" i="3315" s="1"/>
  <c r="AE270" i="3315" s="1"/>
  <c r="W536" i="3315"/>
  <c r="X536" i="3315" s="1"/>
  <c r="AE536" i="3315" s="1"/>
  <c r="W668" i="3315"/>
  <c r="X668" i="3315" s="1"/>
  <c r="AE668" i="3315" s="1"/>
  <c r="W860" i="3315"/>
  <c r="X860" i="3315" s="1"/>
  <c r="AE860" i="3315" s="1"/>
  <c r="W146" i="3315"/>
  <c r="X146" i="3315" s="1"/>
  <c r="AE146" i="3315" s="1"/>
  <c r="W509" i="3315"/>
  <c r="X509" i="3315" s="1"/>
  <c r="AE509" i="3315" s="1"/>
  <c r="W709" i="3315"/>
  <c r="X709" i="3315" s="1"/>
  <c r="AE709" i="3315" s="1"/>
  <c r="W871" i="3315"/>
  <c r="X871" i="3315" s="1"/>
  <c r="AE871" i="3315" s="1"/>
  <c r="W43" i="3315"/>
  <c r="X43" i="3315" s="1"/>
  <c r="W159" i="3315"/>
  <c r="X159" i="3315" s="1"/>
  <c r="AE159" i="3315" s="1"/>
  <c r="W360" i="3315"/>
  <c r="X360" i="3315" s="1"/>
  <c r="AE360" i="3315" s="1"/>
  <c r="W610" i="3315"/>
  <c r="X610" i="3315" s="1"/>
  <c r="AE610" i="3315" s="1"/>
  <c r="W776" i="3315"/>
  <c r="X776" i="3315" s="1"/>
  <c r="AE776" i="3315" s="1"/>
  <c r="W901" i="3315"/>
  <c r="W169" i="3315"/>
  <c r="X169" i="3315" s="1"/>
  <c r="AE169" i="3315" s="1"/>
  <c r="W329" i="3315"/>
  <c r="X329" i="3315" s="1"/>
  <c r="AE329" i="3315" s="1"/>
  <c r="W627" i="3315"/>
  <c r="X627" i="3315" s="1"/>
  <c r="AE627" i="3315" s="1"/>
  <c r="W802" i="3315"/>
  <c r="X802" i="3315" s="1"/>
  <c r="AE802" i="3315" s="1"/>
  <c r="W775" i="3315"/>
  <c r="X775" i="3315" s="1"/>
  <c r="AE775" i="3315" s="1"/>
  <c r="W164" i="3315"/>
  <c r="X164" i="3315" s="1"/>
  <c r="W220" i="3315"/>
  <c r="X220" i="3315" s="1"/>
  <c r="AE220" i="3315" s="1"/>
  <c r="W475" i="3315"/>
  <c r="X475" i="3315" s="1"/>
  <c r="AE475" i="3315" s="1"/>
  <c r="W624" i="3315"/>
  <c r="W804" i="3315"/>
  <c r="X804" i="3315" s="1"/>
  <c r="AE804" i="3315" s="1"/>
  <c r="W781" i="3315"/>
  <c r="X781" i="3315" s="1"/>
  <c r="AE781" i="3315" s="1"/>
  <c r="W355" i="3315"/>
  <c r="X355" i="3315" s="1"/>
  <c r="AE355" i="3315" s="1"/>
  <c r="W593" i="3315"/>
  <c r="X593" i="3315" s="1"/>
  <c r="AE593" i="3315" s="1"/>
  <c r="W819" i="3315"/>
  <c r="X819" i="3315" s="1"/>
  <c r="AE819" i="3315" s="1"/>
  <c r="W40" i="3315"/>
  <c r="X40" i="3315" s="1"/>
  <c r="W41" i="3315"/>
  <c r="X41" i="3315" s="1"/>
  <c r="W214" i="3315"/>
  <c r="X214" i="3315" s="1"/>
  <c r="AE214" i="3315" s="1"/>
  <c r="W534" i="3315"/>
  <c r="X534" i="3315" s="1"/>
  <c r="AE534" i="3315" s="1"/>
  <c r="W646" i="3315"/>
  <c r="X646" i="3315" s="1"/>
  <c r="AE646" i="3315" s="1"/>
  <c r="W834" i="3315"/>
  <c r="X834" i="3315" s="1"/>
  <c r="AE834" i="3315" s="1"/>
  <c r="W761" i="3315"/>
  <c r="X761" i="3315" s="1"/>
  <c r="AE761" i="3315" s="1"/>
  <c r="W211" i="3315"/>
  <c r="X211" i="3315" s="1"/>
  <c r="AE211" i="3315" s="1"/>
  <c r="W499" i="3315"/>
  <c r="X499" i="3315" s="1"/>
  <c r="AE499" i="3315" s="1"/>
  <c r="W671" i="3315"/>
  <c r="W841" i="3315"/>
  <c r="X841" i="3315" s="1"/>
  <c r="AE841" i="3315" s="1"/>
  <c r="W88" i="3315"/>
  <c r="X88" i="3315" s="1"/>
  <c r="AE88" i="3315" s="1"/>
  <c r="W216" i="3315"/>
  <c r="X216" i="3315" s="1"/>
  <c r="AE216" i="3315" s="1"/>
  <c r="W471" i="3315"/>
  <c r="W620" i="3315"/>
  <c r="X620" i="3315" s="1"/>
  <c r="AE620" i="3315" s="1"/>
  <c r="W780" i="3315"/>
  <c r="X780" i="3315" s="1"/>
  <c r="AE780" i="3315" s="1"/>
  <c r="W789" i="3315"/>
  <c r="X789" i="3315" s="1"/>
  <c r="AE789" i="3315" s="1"/>
  <c r="W265" i="3315"/>
  <c r="X265" i="3315" s="1"/>
  <c r="AE265" i="3315" s="1"/>
  <c r="W637" i="3315"/>
  <c r="X637" i="3315" s="1"/>
  <c r="AE637" i="3315" s="1"/>
  <c r="W823" i="3315"/>
  <c r="X823" i="3315" s="1"/>
  <c r="AE823" i="3315" s="1"/>
  <c r="W62" i="3315"/>
  <c r="X62" i="3315" s="1"/>
  <c r="W73" i="3315"/>
  <c r="X73" i="3315" s="1"/>
  <c r="AE73" i="3315" s="1"/>
  <c r="W245" i="3315"/>
  <c r="X245" i="3315" s="1"/>
  <c r="AE245" i="3315" s="1"/>
  <c r="W554" i="3315"/>
  <c r="X554" i="3315" s="1"/>
  <c r="AE554" i="3315" s="1"/>
  <c r="W710" i="3315"/>
  <c r="X710" i="3315" s="1"/>
  <c r="AE710" i="3315" s="1"/>
  <c r="W850" i="3315"/>
  <c r="X850" i="3315" s="1"/>
  <c r="AE850" i="3315" s="1"/>
  <c r="W137" i="3315"/>
  <c r="X137" i="3315" s="1"/>
  <c r="AE137" i="3315" s="1"/>
  <c r="W246" i="3315"/>
  <c r="X246" i="3315" s="1"/>
  <c r="AE246" i="3315" s="1"/>
  <c r="W559" i="3315"/>
  <c r="X559" i="3315" s="1"/>
  <c r="AE559" i="3315" s="1"/>
  <c r="W703" i="3315"/>
  <c r="X703" i="3315" s="1"/>
  <c r="AE703" i="3315" s="1"/>
  <c r="W914" i="3315"/>
  <c r="X914" i="3315" s="1"/>
  <c r="AE914" i="3315" s="1"/>
  <c r="W106" i="3315"/>
  <c r="X106" i="3315" s="1"/>
  <c r="AE106" i="3315" s="1"/>
  <c r="W235" i="3315"/>
  <c r="X235" i="3315" s="1"/>
  <c r="AE235" i="3315" s="1"/>
  <c r="W508" i="3315"/>
  <c r="X508" i="3315" s="1"/>
  <c r="AE508" i="3315" s="1"/>
  <c r="W632" i="3315"/>
  <c r="X632" i="3315" s="1"/>
  <c r="AE632" i="3315" s="1"/>
  <c r="W832" i="3315"/>
  <c r="X832" i="3315" s="1"/>
  <c r="AE832" i="3315" s="1"/>
  <c r="W72" i="3315"/>
  <c r="X72" i="3315" s="1"/>
  <c r="AE72" i="3315" s="1"/>
  <c r="W390" i="3315"/>
  <c r="X390" i="3315" s="1"/>
  <c r="AE390" i="3315" s="1"/>
  <c r="W689" i="3315"/>
  <c r="X689" i="3315" s="1"/>
  <c r="AE689" i="3315" s="1"/>
  <c r="W835" i="3315"/>
  <c r="X835" i="3315" s="1"/>
  <c r="AE835" i="3315" s="1"/>
  <c r="W60" i="3315"/>
  <c r="X60" i="3315" s="1"/>
  <c r="W44" i="3315"/>
  <c r="X44" i="3315" s="1"/>
  <c r="W77" i="3315"/>
  <c r="X77" i="3315" s="1"/>
  <c r="AE77" i="3315" s="1"/>
  <c r="W170" i="3315"/>
  <c r="X170" i="3315" s="1"/>
  <c r="AE170" i="3315" s="1"/>
  <c r="W252" i="3315"/>
  <c r="X252" i="3315" s="1"/>
  <c r="AE252" i="3315" s="1"/>
  <c r="W502" i="3315"/>
  <c r="X502" i="3315" s="1"/>
  <c r="AE502" i="3315" s="1"/>
  <c r="W558" i="3315"/>
  <c r="X558" i="3315" s="1"/>
  <c r="AE558" i="3315" s="1"/>
  <c r="W622" i="3315"/>
  <c r="X622" i="3315" s="1"/>
  <c r="AE622" i="3315" s="1"/>
  <c r="W714" i="3315"/>
  <c r="X714" i="3315" s="1"/>
  <c r="AE714" i="3315" s="1"/>
  <c r="W792" i="3315"/>
  <c r="X792" i="3315" s="1"/>
  <c r="AE792" i="3315" s="1"/>
  <c r="W862" i="3315"/>
  <c r="X862" i="3315" s="1"/>
  <c r="AE862" i="3315" s="1"/>
  <c r="W913" i="3315"/>
  <c r="X913" i="3315" s="1"/>
  <c r="AE913" i="3315" s="1"/>
  <c r="W107" i="3315"/>
  <c r="X107" i="3315" s="1"/>
  <c r="AE107" i="3315" s="1"/>
  <c r="W190" i="3315"/>
  <c r="X190" i="3315" s="1"/>
  <c r="AE190" i="3315" s="1"/>
  <c r="W242" i="3315"/>
  <c r="X242" i="3315" s="1"/>
  <c r="AE242" i="3315" s="1"/>
  <c r="W392" i="3315"/>
  <c r="X392" i="3315" s="1"/>
  <c r="AE392" i="3315" s="1"/>
  <c r="W555" i="3315"/>
  <c r="X555" i="3315" s="1"/>
  <c r="AE555" i="3315" s="1"/>
  <c r="W639" i="3315"/>
  <c r="X639" i="3315" s="1"/>
  <c r="AE639" i="3315" s="1"/>
  <c r="W695" i="3315"/>
  <c r="X695" i="3315" s="1"/>
  <c r="AE695" i="3315" s="1"/>
  <c r="W813" i="3315"/>
  <c r="X813" i="3315" s="1"/>
  <c r="AE813" i="3315" s="1"/>
  <c r="W910" i="3315"/>
  <c r="X910" i="3315" s="1"/>
  <c r="AE910" i="3315" s="1"/>
  <c r="W803" i="3315"/>
  <c r="X803" i="3315" s="1"/>
  <c r="AE803" i="3315" s="1"/>
  <c r="W120" i="3315"/>
  <c r="X120" i="3315" s="1"/>
  <c r="AE120" i="3315" s="1"/>
  <c r="W179" i="3315"/>
  <c r="X179" i="3315" s="1"/>
  <c r="AE179" i="3315" s="1"/>
  <c r="W239" i="3315"/>
  <c r="X239" i="3315" s="1"/>
  <c r="AE239" i="3315" s="1"/>
  <c r="W324" i="3315"/>
  <c r="X324" i="3315" s="1"/>
  <c r="AE324" i="3315" s="1"/>
  <c r="W512" i="3315"/>
  <c r="X512" i="3315" s="1"/>
  <c r="AE512" i="3315" s="1"/>
  <c r="W584" i="3315"/>
  <c r="X584" i="3315" s="1"/>
  <c r="AE584" i="3315" s="1"/>
  <c r="W636" i="3315"/>
  <c r="X636" i="3315" s="1"/>
  <c r="AE636" i="3315" s="1"/>
  <c r="W700" i="3315"/>
  <c r="X700" i="3315" s="1"/>
  <c r="AE700" i="3315" s="1"/>
  <c r="W836" i="3315"/>
  <c r="X836" i="3315" s="1"/>
  <c r="AE836" i="3315" s="1"/>
  <c r="W907" i="3315"/>
  <c r="X907" i="3315" s="1"/>
  <c r="AE907" i="3315" s="1"/>
  <c r="W85" i="3315"/>
  <c r="X85" i="3315" s="1"/>
  <c r="AE85" i="3315" s="1"/>
  <c r="W201" i="3315"/>
  <c r="X201" i="3315" s="1"/>
  <c r="AE201" i="3315" s="1"/>
  <c r="W485" i="3315"/>
  <c r="W569" i="3315"/>
  <c r="X569" i="3315" s="1"/>
  <c r="AE569" i="3315" s="1"/>
  <c r="W697" i="3315"/>
  <c r="X697" i="3315" s="1"/>
  <c r="AE697" i="3315" s="1"/>
  <c r="W782" i="3315"/>
  <c r="X782" i="3315" s="1"/>
  <c r="AE782" i="3315" s="1"/>
  <c r="W867" i="3315"/>
  <c r="X867" i="3315" s="1"/>
  <c r="AE867" i="3315" s="1"/>
  <c r="W251" i="3315"/>
  <c r="X251" i="3315" s="1"/>
  <c r="AE251" i="3315" s="1"/>
  <c r="W63" i="3315"/>
  <c r="X63" i="3315" s="1"/>
  <c r="W746" i="3315"/>
  <c r="X746" i="3315" s="1"/>
  <c r="AE746" i="3315" s="1"/>
  <c r="W100" i="3315"/>
  <c r="X100" i="3315" s="1"/>
  <c r="AE100" i="3315" s="1"/>
  <c r="W210" i="3315"/>
  <c r="X210" i="3315" s="1"/>
  <c r="AE210" i="3315" s="1"/>
  <c r="W300" i="3315"/>
  <c r="X300" i="3315" s="1"/>
  <c r="AE300" i="3315" s="1"/>
  <c r="W518" i="3315"/>
  <c r="X518" i="3315" s="1"/>
  <c r="AE518" i="3315" s="1"/>
  <c r="W582" i="3315"/>
  <c r="X582" i="3315" s="1"/>
  <c r="AE582" i="3315" s="1"/>
  <c r="W638" i="3315"/>
  <c r="X638" i="3315" s="1"/>
  <c r="AE638" i="3315" s="1"/>
  <c r="W735" i="3315"/>
  <c r="X735" i="3315" s="1"/>
  <c r="AE735" i="3315" s="1"/>
  <c r="W816" i="3315"/>
  <c r="X816" i="3315" s="1"/>
  <c r="AE816" i="3315" s="1"/>
  <c r="W874" i="3315"/>
  <c r="X874" i="3315" s="1"/>
  <c r="AE874" i="3315" s="1"/>
  <c r="W785" i="3315"/>
  <c r="X785" i="3315" s="1"/>
  <c r="AE785" i="3315" s="1"/>
  <c r="W156" i="3315"/>
  <c r="X156" i="3315" s="1"/>
  <c r="AE156" i="3315" s="1"/>
  <c r="W219" i="3315"/>
  <c r="X219" i="3315" s="1"/>
  <c r="AE219" i="3315" s="1"/>
  <c r="W315" i="3315"/>
  <c r="X315" i="3315" s="1"/>
  <c r="AE315" i="3315" s="1"/>
  <c r="W507" i="3315"/>
  <c r="X507" i="3315" s="1"/>
  <c r="AE507" i="3315" s="1"/>
  <c r="W615" i="3315"/>
  <c r="X615" i="3315" s="1"/>
  <c r="AE615" i="3315" s="1"/>
  <c r="W675" i="3315"/>
  <c r="X675" i="3315" s="1"/>
  <c r="AE675" i="3315" s="1"/>
  <c r="W786" i="3315"/>
  <c r="X786" i="3315" s="1"/>
  <c r="AE786" i="3315" s="1"/>
  <c r="W873" i="3315"/>
  <c r="X873" i="3315" s="1"/>
  <c r="AE873" i="3315" s="1"/>
  <c r="W726" i="3315"/>
  <c r="X726" i="3315" s="1"/>
  <c r="AE726" i="3315" s="1"/>
  <c r="W79" i="3315"/>
  <c r="X79" i="3315" s="1"/>
  <c r="AE79" i="3315" s="1"/>
  <c r="W153" i="3315"/>
  <c r="X153" i="3315" s="1"/>
  <c r="AE153" i="3315" s="1"/>
  <c r="W212" i="3315"/>
  <c r="X212" i="3315" s="1"/>
  <c r="AE212" i="3315" s="1"/>
  <c r="W282" i="3315"/>
  <c r="X282" i="3315" s="1"/>
  <c r="AE282" i="3315" s="1"/>
  <c r="W383" i="3315"/>
  <c r="X383" i="3315" s="1"/>
  <c r="AE383" i="3315" s="1"/>
  <c r="W548" i="3315"/>
  <c r="X548" i="3315" s="1"/>
  <c r="AE548" i="3315" s="1"/>
  <c r="W616" i="3315"/>
  <c r="X616" i="3315" s="1"/>
  <c r="AE616" i="3315" s="1"/>
  <c r="W672" i="3315"/>
  <c r="X672" i="3315" s="1"/>
  <c r="AE672" i="3315" s="1"/>
  <c r="W772" i="3315"/>
  <c r="X772" i="3315" s="1"/>
  <c r="AE772" i="3315" s="1"/>
  <c r="W868" i="3315"/>
  <c r="X868" i="3315" s="1"/>
  <c r="AE868" i="3315" s="1"/>
  <c r="W773" i="3315"/>
  <c r="X773" i="3315" s="1"/>
  <c r="AE773" i="3315" s="1"/>
  <c r="W135" i="3315"/>
  <c r="X135" i="3315" s="1"/>
  <c r="AE135" i="3315" s="1"/>
  <c r="W236" i="3315"/>
  <c r="X236" i="3315" s="1"/>
  <c r="AE236" i="3315" s="1"/>
  <c r="W513" i="3315"/>
  <c r="X513" i="3315" s="1"/>
  <c r="AE513" i="3315" s="1"/>
  <c r="W589" i="3315"/>
  <c r="X589" i="3315" s="1"/>
  <c r="AE589" i="3315" s="1"/>
  <c r="W713" i="3315"/>
  <c r="X713" i="3315" s="1"/>
  <c r="AE713" i="3315" s="1"/>
  <c r="W815" i="3315"/>
  <c r="X815" i="3315" s="1"/>
  <c r="AE815" i="3315" s="1"/>
  <c r="W875" i="3315"/>
  <c r="X875" i="3315" s="1"/>
  <c r="AE875" i="3315" s="1"/>
  <c r="W496" i="3315"/>
  <c r="X496" i="3315" s="1"/>
  <c r="AE496" i="3315" s="1"/>
  <c r="W730" i="3315"/>
  <c r="X730" i="3315" s="1"/>
  <c r="AE730" i="3315" s="1"/>
  <c r="W90" i="3315"/>
  <c r="X90" i="3315" s="1"/>
  <c r="AE90" i="3315" s="1"/>
  <c r="W268" i="3315"/>
  <c r="X268" i="3315" s="1"/>
  <c r="AE268" i="3315" s="1"/>
  <c r="W562" i="3315"/>
  <c r="X562" i="3315" s="1"/>
  <c r="AE562" i="3315" s="1"/>
  <c r="W722" i="3315"/>
  <c r="X722" i="3315" s="1"/>
  <c r="AE722" i="3315" s="1"/>
  <c r="W866" i="3315"/>
  <c r="X866" i="3315" s="1"/>
  <c r="AE866" i="3315" s="1"/>
  <c r="W207" i="3315"/>
  <c r="X207" i="3315" s="1"/>
  <c r="AE207" i="3315" s="1"/>
  <c r="W487" i="3315"/>
  <c r="X487" i="3315" s="1"/>
  <c r="AE487" i="3315" s="1"/>
  <c r="W667" i="3315"/>
  <c r="X667" i="3315" s="1"/>
  <c r="AE667" i="3315" s="1"/>
  <c r="W833" i="3315"/>
  <c r="X833" i="3315" s="1"/>
  <c r="AE833" i="3315" s="1"/>
  <c r="W71" i="3315"/>
  <c r="X71" i="3315" s="1"/>
  <c r="AE71" i="3315" s="1"/>
  <c r="W187" i="3315"/>
  <c r="X187" i="3315" s="1"/>
  <c r="AE187" i="3315" s="1"/>
  <c r="W358" i="3315"/>
  <c r="X358" i="3315" s="1"/>
  <c r="AE358" i="3315" s="1"/>
  <c r="W604" i="3315"/>
  <c r="X604" i="3315" s="1"/>
  <c r="AE604" i="3315" s="1"/>
  <c r="W747" i="3315"/>
  <c r="X747" i="3315" s="1"/>
  <c r="AE747" i="3315" s="1"/>
  <c r="W732" i="3315"/>
  <c r="X732" i="3315" s="1"/>
  <c r="AE732" i="3315" s="1"/>
  <c r="W244" i="3315"/>
  <c r="X244" i="3315" s="1"/>
  <c r="AE244" i="3315" s="1"/>
  <c r="W581" i="3315"/>
  <c r="X581" i="3315" s="1"/>
  <c r="AE581" i="3315" s="1"/>
  <c r="W790" i="3315"/>
  <c r="X790" i="3315" s="1"/>
  <c r="AE790" i="3315" s="1"/>
  <c r="W141" i="3315"/>
  <c r="W807" i="3315"/>
  <c r="X807" i="3315" s="1"/>
  <c r="AE807" i="3315" s="1"/>
  <c r="W237" i="3315"/>
  <c r="X237" i="3315" s="1"/>
  <c r="AE237" i="3315" s="1"/>
  <c r="W546" i="3315"/>
  <c r="X546" i="3315" s="1"/>
  <c r="AE546" i="3315" s="1"/>
  <c r="W686" i="3315"/>
  <c r="X686" i="3315" s="1"/>
  <c r="AE686" i="3315" s="1"/>
  <c r="W842" i="3315"/>
  <c r="X842" i="3315" s="1"/>
  <c r="AE842" i="3315" s="1"/>
  <c r="W76" i="3315"/>
  <c r="X76" i="3315" s="1"/>
  <c r="AE76" i="3315" s="1"/>
  <c r="W234" i="3315"/>
  <c r="X234" i="3315" s="1"/>
  <c r="AE234" i="3315" s="1"/>
  <c r="W511" i="3315"/>
  <c r="X511" i="3315" s="1"/>
  <c r="AE511" i="3315" s="1"/>
  <c r="W679" i="3315"/>
  <c r="X679" i="3315" s="1"/>
  <c r="AE679" i="3315" s="1"/>
  <c r="W885" i="3315"/>
  <c r="X885" i="3315" s="1"/>
  <c r="AE885" i="3315" s="1"/>
  <c r="W92" i="3315"/>
  <c r="X92" i="3315" s="1"/>
  <c r="AE92" i="3315" s="1"/>
  <c r="W290" i="3315"/>
  <c r="X290" i="3315" s="1"/>
  <c r="AE290" i="3315" s="1"/>
  <c r="W564" i="3315"/>
  <c r="X564" i="3315" s="1"/>
  <c r="AE564" i="3315" s="1"/>
  <c r="W680" i="3315"/>
  <c r="X680" i="3315" s="1"/>
  <c r="AE680" i="3315" s="1"/>
  <c r="W880" i="3315"/>
  <c r="X880" i="3315" s="1"/>
  <c r="AE880" i="3315" s="1"/>
  <c r="W154" i="3315"/>
  <c r="X154" i="3315" s="1"/>
  <c r="AE154" i="3315" s="1"/>
  <c r="W529" i="3315"/>
  <c r="X529" i="3315" s="1"/>
  <c r="AE529" i="3315" s="1"/>
  <c r="W717" i="3315"/>
  <c r="X717" i="3315" s="1"/>
  <c r="AE717" i="3315" s="1"/>
  <c r="W883" i="3315"/>
  <c r="X883" i="3315" s="1"/>
  <c r="AE883" i="3315" s="1"/>
  <c r="W779" i="3315"/>
  <c r="X779" i="3315" s="1"/>
  <c r="AE779" i="3315" s="1"/>
  <c r="W151" i="3315"/>
  <c r="X151" i="3315" s="1"/>
  <c r="AE151" i="3315" s="1"/>
  <c r="W304" i="3315"/>
  <c r="X304" i="3315" s="1"/>
  <c r="AE304" i="3315" s="1"/>
  <c r="W590" i="3315"/>
  <c r="X590" i="3315" s="1"/>
  <c r="AE590" i="3315" s="1"/>
  <c r="W743" i="3315"/>
  <c r="X743" i="3315" s="1"/>
  <c r="AE743" i="3315" s="1"/>
  <c r="W886" i="3315"/>
  <c r="X886" i="3315" s="1"/>
  <c r="AE886" i="3315" s="1"/>
  <c r="W152" i="3315"/>
  <c r="X152" i="3315" s="1"/>
  <c r="AE152" i="3315" s="1"/>
  <c r="W307" i="3315"/>
  <c r="X307" i="3315" s="1"/>
  <c r="AE307" i="3315" s="1"/>
  <c r="W599" i="3315"/>
  <c r="X599" i="3315" s="1"/>
  <c r="AE599" i="3315" s="1"/>
  <c r="W745" i="3315"/>
  <c r="X745" i="3315" s="1"/>
  <c r="AE745" i="3315" s="1"/>
  <c r="W759" i="3315"/>
  <c r="X759" i="3315" s="1"/>
  <c r="AE759" i="3315" s="1"/>
  <c r="W157" i="3315"/>
  <c r="X157" i="3315" s="1"/>
  <c r="AE157" i="3315" s="1"/>
  <c r="W286" i="3315"/>
  <c r="X286" i="3315" s="1"/>
  <c r="AE286" i="3315" s="1"/>
  <c r="W560" i="3315"/>
  <c r="X560" i="3315" s="1"/>
  <c r="AE560" i="3315" s="1"/>
  <c r="W676" i="3315"/>
  <c r="X676" i="3315" s="1"/>
  <c r="AE676" i="3315" s="1"/>
  <c r="W884" i="3315"/>
  <c r="X884" i="3315" s="1"/>
  <c r="AE884" i="3315" s="1"/>
  <c r="W150" i="3315"/>
  <c r="X150" i="3315" s="1"/>
  <c r="AE150" i="3315" s="1"/>
  <c r="W545" i="3315"/>
  <c r="X545" i="3315" s="1"/>
  <c r="AE545" i="3315" s="1"/>
  <c r="W725" i="3315"/>
  <c r="X725" i="3315" s="1"/>
  <c r="AE725" i="3315" s="1"/>
  <c r="W887" i="3315"/>
  <c r="X887" i="3315" s="1"/>
  <c r="AE887" i="3315" s="1"/>
  <c r="W61" i="3315"/>
  <c r="X61" i="3315" s="1"/>
  <c r="W166" i="3315"/>
  <c r="X166" i="3315" s="1"/>
  <c r="AE166" i="3315" s="1"/>
  <c r="W473" i="3315"/>
  <c r="X473" i="3315" s="1"/>
  <c r="AE473" i="3315" s="1"/>
  <c r="W618" i="3315"/>
  <c r="X618" i="3315" s="1"/>
  <c r="AE618" i="3315" s="1"/>
  <c r="W784" i="3315"/>
  <c r="X784" i="3315" s="1"/>
  <c r="AE784" i="3315" s="1"/>
  <c r="W917" i="3315"/>
  <c r="X917" i="3315" s="1"/>
  <c r="AE917" i="3315" s="1"/>
  <c r="W194" i="3315"/>
  <c r="X194" i="3315" s="1"/>
  <c r="AE194" i="3315" s="1"/>
  <c r="W446" i="3315"/>
  <c r="X446" i="3315" s="1"/>
  <c r="AE446" i="3315" s="1"/>
  <c r="W643" i="3315"/>
  <c r="X643" i="3315" s="1"/>
  <c r="AE643" i="3315" s="1"/>
  <c r="W825" i="3315"/>
  <c r="X825" i="3315" s="1"/>
  <c r="AE825" i="3315" s="1"/>
  <c r="W783" i="3315"/>
  <c r="X783" i="3315" s="1"/>
  <c r="AE783" i="3315" s="1"/>
  <c r="W172" i="3315"/>
  <c r="X172" i="3315" s="1"/>
  <c r="AE172" i="3315" s="1"/>
  <c r="W302" i="3315"/>
  <c r="X302" i="3315" s="1"/>
  <c r="AE302" i="3315" s="1"/>
  <c r="W580" i="3315"/>
  <c r="X580" i="3315" s="1"/>
  <c r="AE580" i="3315" s="1"/>
  <c r="W692" i="3315"/>
  <c r="X692" i="3315" s="1"/>
  <c r="AE692" i="3315" s="1"/>
  <c r="W896" i="3315"/>
  <c r="X896" i="3315" s="1"/>
  <c r="AE896" i="3315" s="1"/>
  <c r="W158" i="3315"/>
  <c r="X158" i="3315" s="1"/>
  <c r="AE158" i="3315" s="1"/>
  <c r="W557" i="3315"/>
  <c r="X557" i="3315" s="1"/>
  <c r="AE557" i="3315" s="1"/>
  <c r="W766" i="3315"/>
  <c r="X766" i="3315" s="1"/>
  <c r="AE766" i="3315" s="1"/>
  <c r="W912" i="3315"/>
  <c r="X912" i="3315" s="1"/>
  <c r="AE912" i="3315" s="1"/>
  <c r="W1029" i="3315"/>
  <c r="X1029" i="3315" s="1"/>
  <c r="AE1029" i="3315" s="1"/>
  <c r="W1021" i="3315"/>
  <c r="X1021" i="3315" s="1"/>
  <c r="AE1021" i="3315" s="1"/>
  <c r="W1081" i="3315"/>
  <c r="X1081" i="3315" s="1"/>
  <c r="AE1081" i="3315" s="1"/>
  <c r="W1096" i="3315"/>
  <c r="X1096" i="3315" s="1"/>
  <c r="AE1096" i="3315" s="1"/>
  <c r="W1041" i="3315"/>
  <c r="X1041" i="3315" s="1"/>
  <c r="AE1041" i="3315" s="1"/>
  <c r="W1024" i="3315"/>
  <c r="X1024" i="3315" s="1"/>
  <c r="AE1024" i="3315" s="1"/>
  <c r="W1077" i="3315"/>
  <c r="X1077" i="3315" s="1"/>
  <c r="AE1077" i="3315" s="1"/>
  <c r="W1080" i="3315"/>
  <c r="X1080" i="3315" s="1"/>
  <c r="AE1080" i="3315" s="1"/>
  <c r="W1046" i="3315"/>
  <c r="X1046" i="3315" s="1"/>
  <c r="AE1046" i="3315" s="1"/>
  <c r="W1000" i="3315"/>
  <c r="X1000" i="3315" s="1"/>
  <c r="AE1000" i="3315" s="1"/>
  <c r="W1004" i="3315"/>
  <c r="X1004" i="3315" s="1"/>
  <c r="AE1004" i="3315" s="1"/>
  <c r="W1084" i="3315"/>
  <c r="X1084" i="3315" s="1"/>
  <c r="AE1084" i="3315" s="1"/>
  <c r="X75" i="3315"/>
  <c r="AE75" i="3315" s="1"/>
  <c r="X471" i="3315"/>
  <c r="AE471" i="3315" s="1"/>
  <c r="X524" i="3315"/>
  <c r="AE524" i="3315" s="1"/>
  <c r="X624" i="3315"/>
  <c r="AE624" i="3315" s="1"/>
  <c r="X538" i="3315"/>
  <c r="AE538" i="3315" s="1"/>
  <c r="X671" i="3315"/>
  <c r="AE671" i="3315" s="1"/>
  <c r="V81" i="3315"/>
  <c r="X238" i="3315"/>
  <c r="AE238" i="3315" s="1"/>
  <c r="J59" i="4608"/>
  <c r="K59" i="4608" s="1"/>
  <c r="J133" i="4608"/>
  <c r="K133" i="4608" s="1"/>
  <c r="J96" i="4608"/>
  <c r="K96" i="4608" s="1"/>
  <c r="X721" i="3315"/>
  <c r="AE721" i="3315" s="1"/>
  <c r="X731" i="3315"/>
  <c r="AE731" i="3315" s="1"/>
  <c r="X869" i="3315"/>
  <c r="AE869" i="3315" s="1"/>
  <c r="X856" i="3315"/>
  <c r="AE856" i="3315" s="1"/>
  <c r="X905" i="3315"/>
  <c r="AE905" i="3315" s="1"/>
  <c r="X347" i="3315"/>
  <c r="AE347" i="3315" s="1"/>
  <c r="D71" i="4608"/>
  <c r="F70" i="4608"/>
  <c r="E71" i="4608"/>
  <c r="U997" i="3315"/>
  <c r="U1127" i="3315"/>
  <c r="U1132" i="3315"/>
  <c r="U1115" i="3315"/>
  <c r="U1101" i="3315"/>
  <c r="U1050" i="3315"/>
  <c r="U1071" i="3315"/>
  <c r="F142" i="4608"/>
  <c r="D143" i="4608"/>
  <c r="E142" i="4608"/>
  <c r="W81" i="3315" l="1"/>
  <c r="W488" i="3315"/>
  <c r="X173" i="3315"/>
  <c r="AE173" i="3315" s="1"/>
  <c r="AE164" i="3315"/>
  <c r="W160" i="3315"/>
  <c r="M26" i="3079"/>
  <c r="J24" i="4608"/>
  <c r="N26" i="3079"/>
  <c r="L24" i="4608"/>
  <c r="X485" i="3315"/>
  <c r="AE485" i="3315" s="1"/>
  <c r="W924" i="3315"/>
  <c r="L96" i="4608"/>
  <c r="M59" i="4608"/>
  <c r="M60" i="4608"/>
  <c r="L60" i="4608"/>
  <c r="M23" i="4608"/>
  <c r="M131" i="4608"/>
  <c r="W173" i="3315"/>
  <c r="J97" i="4608"/>
  <c r="K97" i="4608" s="1"/>
  <c r="J60" i="4608"/>
  <c r="K60" i="4608" s="1"/>
  <c r="J134" i="4608"/>
  <c r="K134" i="4608" s="1"/>
  <c r="K23" i="4608"/>
  <c r="X141" i="3315"/>
  <c r="X69" i="3315"/>
  <c r="X901" i="3315"/>
  <c r="AE481" i="3315"/>
  <c r="F71" i="4608"/>
  <c r="D72" i="4608"/>
  <c r="D144" i="4608"/>
  <c r="F143" i="4608"/>
  <c r="E143" i="4608"/>
  <c r="U1112" i="3315"/>
  <c r="U1159" i="3315"/>
  <c r="X924" i="3315" l="1"/>
  <c r="AE924" i="3315" s="1"/>
  <c r="AE901" i="3315"/>
  <c r="X160" i="3315"/>
  <c r="AE160" i="3315" s="1"/>
  <c r="AE141" i="3315"/>
  <c r="L25" i="4608"/>
  <c r="N27" i="3079"/>
  <c r="V1019" i="3315"/>
  <c r="V1054" i="3315"/>
  <c r="V1072" i="3315"/>
  <c r="V1082" i="3315"/>
  <c r="V1047" i="3315"/>
  <c r="V1053" i="3315"/>
  <c r="V1103" i="3315"/>
  <c r="L97" i="4608"/>
  <c r="L133" i="4608"/>
  <c r="M96" i="4608"/>
  <c r="M97" i="4608"/>
  <c r="J135" i="4608"/>
  <c r="K135" i="4608" s="1"/>
  <c r="J98" i="4608"/>
  <c r="K98" i="4608" s="1"/>
  <c r="J61" i="4608"/>
  <c r="K61" i="4608" s="1"/>
  <c r="K24" i="4608"/>
  <c r="W1002" i="3315"/>
  <c r="X1002" i="3315" s="1"/>
  <c r="AE1002" i="3315" s="1"/>
  <c r="W1028" i="3315"/>
  <c r="X1028" i="3315" s="1"/>
  <c r="AE1028" i="3315" s="1"/>
  <c r="W983" i="3315"/>
  <c r="X983" i="3315" s="1"/>
  <c r="AE983" i="3315" s="1"/>
  <c r="W1099" i="3315"/>
  <c r="X1099" i="3315" s="1"/>
  <c r="AE1099" i="3315" s="1"/>
  <c r="W1061" i="3315"/>
  <c r="X1061" i="3315" s="1"/>
  <c r="AE1061" i="3315" s="1"/>
  <c r="W1033" i="3315"/>
  <c r="X1033" i="3315" s="1"/>
  <c r="AE1033" i="3315" s="1"/>
  <c r="W1076" i="3315"/>
  <c r="X1076" i="3315" s="1"/>
  <c r="AE1076" i="3315" s="1"/>
  <c r="W1086" i="3315"/>
  <c r="X1086" i="3315" s="1"/>
  <c r="AE1086" i="3315" s="1"/>
  <c r="W1068" i="3315"/>
  <c r="X1068" i="3315" s="1"/>
  <c r="AE1068" i="3315" s="1"/>
  <c r="W1030" i="3315"/>
  <c r="X1030" i="3315" s="1"/>
  <c r="AE1030" i="3315" s="1"/>
  <c r="W1008" i="3315"/>
  <c r="X1008" i="3315" s="1"/>
  <c r="AE1008" i="3315" s="1"/>
  <c r="W984" i="3315"/>
  <c r="X984" i="3315" s="1"/>
  <c r="AE984" i="3315" s="1"/>
  <c r="W1100" i="3315"/>
  <c r="X1100" i="3315" s="1"/>
  <c r="AE1100" i="3315" s="1"/>
  <c r="W1055" i="3315"/>
  <c r="X1055" i="3315" s="1"/>
  <c r="AE1055" i="3315" s="1"/>
  <c r="W1013" i="3315"/>
  <c r="X1013" i="3315" s="1"/>
  <c r="AE1013" i="3315" s="1"/>
  <c r="W981" i="3315"/>
  <c r="X981" i="3315" s="1"/>
  <c r="AE981" i="3315" s="1"/>
  <c r="W1124" i="3315"/>
  <c r="X1124" i="3315" s="1"/>
  <c r="AE1124" i="3315" s="1"/>
  <c r="W1044" i="3315"/>
  <c r="X1044" i="3315" s="1"/>
  <c r="AE1044" i="3315" s="1"/>
  <c r="W1014" i="3315"/>
  <c r="X1014" i="3315" s="1"/>
  <c r="AE1014" i="3315" s="1"/>
  <c r="W1148" i="3315"/>
  <c r="X1148" i="3315" s="1"/>
  <c r="AE1148" i="3315" s="1"/>
  <c r="W1074" i="3315"/>
  <c r="X1074" i="3315" s="1"/>
  <c r="AE1074" i="3315" s="1"/>
  <c r="W1058" i="3315"/>
  <c r="X1058" i="3315" s="1"/>
  <c r="AE1058" i="3315" s="1"/>
  <c r="W1078" i="3315"/>
  <c r="X1078" i="3315" s="1"/>
  <c r="AE1078" i="3315" s="1"/>
  <c r="W1003" i="3315"/>
  <c r="X1003" i="3315" s="1"/>
  <c r="AE1003" i="3315" s="1"/>
  <c r="W1109" i="3315"/>
  <c r="X1109" i="3315" s="1"/>
  <c r="AE1109" i="3315" s="1"/>
  <c r="W1027" i="3315"/>
  <c r="X1027" i="3315" s="1"/>
  <c r="AE1027" i="3315" s="1"/>
  <c r="W1098" i="3315"/>
  <c r="X1098" i="3315" s="1"/>
  <c r="AE1098" i="3315" s="1"/>
  <c r="W1036" i="3315"/>
  <c r="X1036" i="3315" s="1"/>
  <c r="AE1036" i="3315" s="1"/>
  <c r="W1122" i="3315"/>
  <c r="X1122" i="3315" s="1"/>
  <c r="AE1122" i="3315" s="1"/>
  <c r="W1045" i="3315"/>
  <c r="X1045" i="3315" s="1"/>
  <c r="AE1045" i="3315" s="1"/>
  <c r="W1104" i="3315"/>
  <c r="X1104" i="3315" s="1"/>
  <c r="AE1104" i="3315" s="1"/>
  <c r="W1017" i="3315"/>
  <c r="X1017" i="3315" s="1"/>
  <c r="AE1017" i="3315" s="1"/>
  <c r="W1158" i="3315"/>
  <c r="X1158" i="3315" s="1"/>
  <c r="AE1158" i="3315" s="1"/>
  <c r="W1108" i="3315"/>
  <c r="X1108" i="3315" s="1"/>
  <c r="AE1108" i="3315" s="1"/>
  <c r="W1026" i="3315"/>
  <c r="X1026" i="3315" s="1"/>
  <c r="AE1026" i="3315" s="1"/>
  <c r="W980" i="3315"/>
  <c r="X980" i="3315" s="1"/>
  <c r="AE980" i="3315" s="1"/>
  <c r="W1051" i="3315"/>
  <c r="X1051" i="3315" s="1"/>
  <c r="AE1051" i="3315" s="1"/>
  <c r="W1143" i="3315"/>
  <c r="X1143" i="3315" s="1"/>
  <c r="AE1143" i="3315" s="1"/>
  <c r="W1063" i="3315"/>
  <c r="X1063" i="3315" s="1"/>
  <c r="AE1063" i="3315" s="1"/>
  <c r="W994" i="3315"/>
  <c r="X994" i="3315" s="1"/>
  <c r="AE994" i="3315" s="1"/>
  <c r="W1085" i="3315"/>
  <c r="X1085" i="3315" s="1"/>
  <c r="AE1085" i="3315" s="1"/>
  <c r="W1153" i="3315"/>
  <c r="X1153" i="3315" s="1"/>
  <c r="AE1153" i="3315" s="1"/>
  <c r="W1042" i="3315"/>
  <c r="X1042" i="3315" s="1"/>
  <c r="AE1042" i="3315" s="1"/>
  <c r="W1048" i="3315"/>
  <c r="X1048" i="3315" s="1"/>
  <c r="AE1048" i="3315" s="1"/>
  <c r="W1023" i="3315"/>
  <c r="X1023" i="3315" s="1"/>
  <c r="AE1023" i="3315" s="1"/>
  <c r="W1152" i="3315"/>
  <c r="X1152" i="3315" s="1"/>
  <c r="AE1152" i="3315" s="1"/>
  <c r="W1094" i="3315"/>
  <c r="X1094" i="3315" s="1"/>
  <c r="AE1094" i="3315" s="1"/>
  <c r="W1062" i="3315"/>
  <c r="X1062" i="3315" s="1"/>
  <c r="AE1062" i="3315" s="1"/>
  <c r="W1001" i="3315"/>
  <c r="X1001" i="3315" s="1"/>
  <c r="AE1001" i="3315" s="1"/>
  <c r="W1121" i="3315"/>
  <c r="X1121" i="3315" s="1"/>
  <c r="AE1121" i="3315" s="1"/>
  <c r="W1111" i="3315"/>
  <c r="X1111" i="3315" s="1"/>
  <c r="AE1111" i="3315" s="1"/>
  <c r="W1065" i="3315"/>
  <c r="X1065" i="3315" s="1"/>
  <c r="AE1065" i="3315" s="1"/>
  <c r="W1037" i="3315"/>
  <c r="X1037" i="3315" s="1"/>
  <c r="AE1037" i="3315" s="1"/>
  <c r="W1005" i="3315"/>
  <c r="X1005" i="3315" s="1"/>
  <c r="AE1005" i="3315" s="1"/>
  <c r="W1141" i="3315"/>
  <c r="X1141" i="3315" s="1"/>
  <c r="AE1141" i="3315" s="1"/>
  <c r="W1079" i="3315"/>
  <c r="X1079" i="3315" s="1"/>
  <c r="AE1079" i="3315" s="1"/>
  <c r="W1038" i="3315"/>
  <c r="X1038" i="3315" s="1"/>
  <c r="AE1038" i="3315" s="1"/>
  <c r="W1016" i="3315"/>
  <c r="X1016" i="3315" s="1"/>
  <c r="AE1016" i="3315" s="1"/>
  <c r="W1073" i="3315"/>
  <c r="X1073" i="3315" s="1"/>
  <c r="AE1073" i="3315" s="1"/>
  <c r="W1067" i="3315"/>
  <c r="X1067" i="3315" s="1"/>
  <c r="AE1067" i="3315" s="1"/>
  <c r="W1039" i="3315"/>
  <c r="X1039" i="3315" s="1"/>
  <c r="AE1039" i="3315" s="1"/>
  <c r="W999" i="3315"/>
  <c r="X999" i="3315" s="1"/>
  <c r="AE999" i="3315" s="1"/>
  <c r="W1106" i="3315"/>
  <c r="X1106" i="3315" s="1"/>
  <c r="AE1106" i="3315" s="1"/>
  <c r="W1105" i="3315"/>
  <c r="X1105" i="3315" s="1"/>
  <c r="AE1105" i="3315" s="1"/>
  <c r="W1022" i="3315"/>
  <c r="X1022" i="3315" s="1"/>
  <c r="AE1022" i="3315" s="1"/>
  <c r="W1043" i="3315"/>
  <c r="X1043" i="3315" s="1"/>
  <c r="AE1043" i="3315" s="1"/>
  <c r="W1131" i="3315"/>
  <c r="X1131" i="3315" s="1"/>
  <c r="AE1131" i="3315" s="1"/>
  <c r="W1032" i="3315"/>
  <c r="X1032" i="3315" s="1"/>
  <c r="AE1032" i="3315" s="1"/>
  <c r="W986" i="3315"/>
  <c r="X986" i="3315" s="1"/>
  <c r="AE986" i="3315" s="1"/>
  <c r="W1070" i="3315"/>
  <c r="X1070" i="3315" s="1"/>
  <c r="AE1070" i="3315" s="1"/>
  <c r="W1006" i="3315"/>
  <c r="X1006" i="3315" s="1"/>
  <c r="AE1006" i="3315" s="1"/>
  <c r="W1069" i="3315"/>
  <c r="X1069" i="3315" s="1"/>
  <c r="AE1069" i="3315" s="1"/>
  <c r="W988" i="3315"/>
  <c r="X988" i="3315" s="1"/>
  <c r="AE988" i="3315" s="1"/>
  <c r="W1060" i="3315"/>
  <c r="X1060" i="3315" s="1"/>
  <c r="AE1060" i="3315" s="1"/>
  <c r="W985" i="3315"/>
  <c r="X985" i="3315" s="1"/>
  <c r="AE985" i="3315" s="1"/>
  <c r="W992" i="3315"/>
  <c r="X992" i="3315" s="1"/>
  <c r="AE992" i="3315" s="1"/>
  <c r="W1064" i="3315"/>
  <c r="X1064" i="3315" s="1"/>
  <c r="AE1064" i="3315" s="1"/>
  <c r="W993" i="3315"/>
  <c r="X993" i="3315" s="1"/>
  <c r="AE993" i="3315" s="1"/>
  <c r="W1052" i="3315"/>
  <c r="X1052" i="3315" s="1"/>
  <c r="AE1052" i="3315" s="1"/>
  <c r="W1007" i="3315"/>
  <c r="X1007" i="3315" s="1"/>
  <c r="AE1007" i="3315" s="1"/>
  <c r="W1116" i="3315"/>
  <c r="X1116" i="3315" s="1"/>
  <c r="AE1116" i="3315" s="1"/>
  <c r="W1031" i="3315"/>
  <c r="X1031" i="3315" s="1"/>
  <c r="AE1031" i="3315" s="1"/>
  <c r="W1102" i="3315"/>
  <c r="X1102" i="3315" s="1"/>
  <c r="AE1102" i="3315" s="1"/>
  <c r="W1015" i="3315"/>
  <c r="X1015" i="3315" s="1"/>
  <c r="AE1015" i="3315" s="1"/>
  <c r="W1083" i="3315"/>
  <c r="X1083" i="3315" s="1"/>
  <c r="AE1083" i="3315" s="1"/>
  <c r="W1025" i="3315"/>
  <c r="X1025" i="3315" s="1"/>
  <c r="AE1025" i="3315" s="1"/>
  <c r="L61" i="4608"/>
  <c r="M24" i="4608"/>
  <c r="M25" i="4608"/>
  <c r="V59" i="3315"/>
  <c r="V6" i="3315"/>
  <c r="X488" i="3315"/>
  <c r="AE488" i="3315" s="1"/>
  <c r="AE69" i="3315"/>
  <c r="X81" i="3315"/>
  <c r="AE81" i="3315" s="1"/>
  <c r="V16" i="3315"/>
  <c r="V48" i="3315"/>
  <c r="V14" i="3315"/>
  <c r="V42" i="3315"/>
  <c r="W6" i="3315"/>
  <c r="W13" i="3315" s="1"/>
  <c r="W59" i="3315"/>
  <c r="W14" i="3315"/>
  <c r="W42" i="3315"/>
  <c r="W16" i="3315"/>
  <c r="W48" i="3315"/>
  <c r="M27" i="3079"/>
  <c r="J25" i="4608"/>
  <c r="F72" i="4608"/>
  <c r="E72" i="4608"/>
  <c r="U1161" i="3315"/>
  <c r="U1163" i="3315" s="1"/>
  <c r="U1165" i="3315" s="1"/>
  <c r="U1223" i="3315" s="1"/>
  <c r="U1224" i="3315" s="1"/>
  <c r="U1229" i="3315" s="1"/>
  <c r="D145" i="4608"/>
  <c r="F144" i="4608"/>
  <c r="E144" i="4608"/>
  <c r="X59" i="3315" l="1"/>
  <c r="J136" i="4608"/>
  <c r="K136" i="4608" s="1"/>
  <c r="J62" i="4608"/>
  <c r="K62" i="4608" s="1"/>
  <c r="J99" i="4608"/>
  <c r="K99" i="4608" s="1"/>
  <c r="K25" i="4608"/>
  <c r="X42" i="3315"/>
  <c r="M28" i="3079"/>
  <c r="J26" i="4608"/>
  <c r="W17" i="3315"/>
  <c r="W18" i="3315" s="1"/>
  <c r="V17" i="3315"/>
  <c r="X14" i="3315"/>
  <c r="X16" i="3315"/>
  <c r="L98" i="4608"/>
  <c r="M61" i="4608"/>
  <c r="L62" i="4608"/>
  <c r="V13" i="3315"/>
  <c r="X6" i="3315"/>
  <c r="X48" i="3315"/>
  <c r="M133" i="4608"/>
  <c r="L134" i="4608"/>
  <c r="L26" i="4608"/>
  <c r="N28" i="3079"/>
  <c r="F145" i="4608"/>
  <c r="D146" i="4608"/>
  <c r="E145" i="4608"/>
  <c r="L63" i="4608" l="1"/>
  <c r="M26" i="4608"/>
  <c r="X13" i="3315"/>
  <c r="L135" i="4608"/>
  <c r="M135" i="4608" s="1"/>
  <c r="M98" i="4608"/>
  <c r="M99" i="4608"/>
  <c r="X17" i="3315"/>
  <c r="J27" i="4608"/>
  <c r="M29" i="3079"/>
  <c r="V49" i="3315"/>
  <c r="V46" i="3315"/>
  <c r="V50" i="3315"/>
  <c r="M134" i="4608"/>
  <c r="V18" i="3315"/>
  <c r="V1009" i="3315"/>
  <c r="V1049" i="3315"/>
  <c r="V1035" i="3315"/>
  <c r="V1020" i="3315"/>
  <c r="V1136" i="3315"/>
  <c r="V1057" i="3315"/>
  <c r="V1034" i="3315"/>
  <c r="V982" i="3315"/>
  <c r="V1056" i="3315"/>
  <c r="V1018" i="3315"/>
  <c r="V1075" i="3315"/>
  <c r="V1040" i="3315"/>
  <c r="V998" i="3315"/>
  <c r="L99" i="4608"/>
  <c r="M62" i="4608"/>
  <c r="J63" i="4608"/>
  <c r="K63" i="4608" s="1"/>
  <c r="V177" i="3315" s="1"/>
  <c r="J100" i="4608"/>
  <c r="K100" i="4608" s="1"/>
  <c r="J137" i="4608"/>
  <c r="K137" i="4608" s="1"/>
  <c r="K27" i="4608"/>
  <c r="N29" i="3079"/>
  <c r="L27" i="4608"/>
  <c r="K26" i="4608"/>
  <c r="F146" i="4608"/>
  <c r="E146" i="4608"/>
  <c r="X18" i="3315" l="1"/>
  <c r="M64" i="4608"/>
  <c r="L64" i="4608"/>
  <c r="M27" i="4608"/>
  <c r="N30" i="3079"/>
  <c r="L28" i="4608"/>
  <c r="W49" i="3315"/>
  <c r="X49" i="3315" s="1"/>
  <c r="W50" i="3315"/>
  <c r="X50" i="3315" s="1"/>
  <c r="W46" i="3315"/>
  <c r="X46" i="3315" s="1"/>
  <c r="J28" i="4608"/>
  <c r="M30" i="3079"/>
  <c r="L136" i="4608"/>
  <c r="J101" i="4608"/>
  <c r="K101" i="4608" s="1"/>
  <c r="J64" i="4608"/>
  <c r="K64" i="4608" s="1"/>
  <c r="J138" i="4608"/>
  <c r="K138" i="4608" s="1"/>
  <c r="M136" i="4608"/>
  <c r="L100" i="4608"/>
  <c r="M63" i="4608"/>
  <c r="W177" i="3315" s="1"/>
  <c r="X177" i="3315" s="1"/>
  <c r="AE177" i="3315" s="1"/>
  <c r="W1047" i="3315"/>
  <c r="X1047" i="3315" s="1"/>
  <c r="AE1047" i="3315" s="1"/>
  <c r="W1103" i="3315"/>
  <c r="X1103" i="3315" s="1"/>
  <c r="AE1103" i="3315" s="1"/>
  <c r="W1054" i="3315"/>
  <c r="X1054" i="3315" s="1"/>
  <c r="AE1054" i="3315" s="1"/>
  <c r="W1053" i="3315"/>
  <c r="X1053" i="3315" s="1"/>
  <c r="AE1053" i="3315" s="1"/>
  <c r="W1082" i="3315"/>
  <c r="X1082" i="3315" s="1"/>
  <c r="AE1082" i="3315" s="1"/>
  <c r="W1072" i="3315"/>
  <c r="X1072" i="3315" s="1"/>
  <c r="AE1072" i="3315" s="1"/>
  <c r="W1019" i="3315"/>
  <c r="X1019" i="3315" s="1"/>
  <c r="AE1019" i="3315" s="1"/>
  <c r="V64" i="3315"/>
  <c r="M100" i="4608"/>
  <c r="W64" i="3315" l="1"/>
  <c r="X64" i="3315"/>
  <c r="W1049" i="3315"/>
  <c r="X1049" i="3315" s="1"/>
  <c r="AE1049" i="3315" s="1"/>
  <c r="W1057" i="3315"/>
  <c r="X1057" i="3315" s="1"/>
  <c r="AE1057" i="3315" s="1"/>
  <c r="W1056" i="3315"/>
  <c r="X1056" i="3315" s="1"/>
  <c r="AE1056" i="3315" s="1"/>
  <c r="W1020" i="3315"/>
  <c r="X1020" i="3315" s="1"/>
  <c r="AE1020" i="3315" s="1"/>
  <c r="W1009" i="3315"/>
  <c r="X1009" i="3315" s="1"/>
  <c r="AE1009" i="3315" s="1"/>
  <c r="W998" i="3315"/>
  <c r="X998" i="3315" s="1"/>
  <c r="AE998" i="3315" s="1"/>
  <c r="W982" i="3315"/>
  <c r="W1040" i="3315"/>
  <c r="X1040" i="3315" s="1"/>
  <c r="AE1040" i="3315" s="1"/>
  <c r="W1018" i="3315"/>
  <c r="X1018" i="3315" s="1"/>
  <c r="AE1018" i="3315" s="1"/>
  <c r="W1034" i="3315"/>
  <c r="X1034" i="3315" s="1"/>
  <c r="AE1034" i="3315" s="1"/>
  <c r="W1075" i="3315"/>
  <c r="X1075" i="3315" s="1"/>
  <c r="AE1075" i="3315" s="1"/>
  <c r="W1035" i="3315"/>
  <c r="X1035" i="3315" s="1"/>
  <c r="AE1035" i="3315" s="1"/>
  <c r="W1136" i="3315"/>
  <c r="X1136" i="3315" s="1"/>
  <c r="AE1136" i="3315" s="1"/>
  <c r="J29" i="4608"/>
  <c r="K29" i="4608" s="1"/>
  <c r="M31" i="3079"/>
  <c r="L101" i="4608"/>
  <c r="N31" i="3079"/>
  <c r="L29" i="4608"/>
  <c r="L137" i="4608"/>
  <c r="AE18" i="3315"/>
  <c r="J139" i="4608"/>
  <c r="K139" i="4608" s="1"/>
  <c r="J65" i="4608"/>
  <c r="K65" i="4608" s="1"/>
  <c r="V33" i="3315" s="1"/>
  <c r="J102" i="4608"/>
  <c r="K102" i="4608" s="1"/>
  <c r="K28" i="4608"/>
  <c r="L65" i="4608"/>
  <c r="M28" i="4608"/>
  <c r="L102" i="4608" l="1"/>
  <c r="M65" i="4608"/>
  <c r="W33" i="3315" s="1"/>
  <c r="W34" i="3315" s="1"/>
  <c r="M137" i="4608"/>
  <c r="L138" i="4608"/>
  <c r="M138" i="4608" s="1"/>
  <c r="M102" i="4608"/>
  <c r="V34" i="3315"/>
  <c r="L66" i="4608"/>
  <c r="M29" i="4608"/>
  <c r="M30" i="4608"/>
  <c r="J30" i="4608"/>
  <c r="M32" i="3079"/>
  <c r="X982" i="3315"/>
  <c r="M101" i="4608"/>
  <c r="N32" i="3079"/>
  <c r="L30" i="4608"/>
  <c r="L67" i="4608" s="1"/>
  <c r="J140" i="4608"/>
  <c r="K140" i="4608" s="1"/>
  <c r="J103" i="4608"/>
  <c r="K103" i="4608" s="1"/>
  <c r="J66" i="4608"/>
  <c r="K66" i="4608" s="1"/>
  <c r="K30" i="4608"/>
  <c r="V528" i="3315" l="1"/>
  <c r="V327" i="3315"/>
  <c r="V750" i="3315"/>
  <c r="V740" i="3315"/>
  <c r="V423" i="3315"/>
  <c r="V93" i="3315"/>
  <c r="V849" i="3315"/>
  <c r="X849" i="3315" s="1"/>
  <c r="AE849" i="3315" s="1"/>
  <c r="V221" i="3315"/>
  <c r="V230" i="3315"/>
  <c r="W849" i="3315"/>
  <c r="W230" i="3315"/>
  <c r="W248" i="3315" s="1"/>
  <c r="W750" i="3315"/>
  <c r="W528" i="3315"/>
  <c r="W93" i="3315"/>
  <c r="W327" i="3315"/>
  <c r="W423" i="3315"/>
  <c r="W740" i="3315"/>
  <c r="W221" i="3315"/>
  <c r="X33" i="3315"/>
  <c r="L139" i="4608"/>
  <c r="M139" i="4608" s="1"/>
  <c r="M104" i="4608"/>
  <c r="N33" i="3079"/>
  <c r="L31" i="4608"/>
  <c r="AE982" i="3315"/>
  <c r="J31" i="4608"/>
  <c r="M33" i="3079"/>
  <c r="L104" i="4608"/>
  <c r="L141" i="4608" s="1"/>
  <c r="M67" i="4608"/>
  <c r="J67" i="4608"/>
  <c r="K67" i="4608" s="1"/>
  <c r="J104" i="4608"/>
  <c r="K104" i="4608" s="1"/>
  <c r="J141" i="4608"/>
  <c r="K141" i="4608" s="1"/>
  <c r="K31" i="4608"/>
  <c r="L103" i="4608"/>
  <c r="M66" i="4608"/>
  <c r="X750" i="3315" l="1"/>
  <c r="AE750" i="3315" s="1"/>
  <c r="V961" i="3315"/>
  <c r="V976" i="3315"/>
  <c r="V957" i="3315"/>
  <c r="V970" i="3315"/>
  <c r="V973" i="3315"/>
  <c r="V972" i="3315"/>
  <c r="V975" i="3315"/>
  <c r="V969" i="3315"/>
  <c r="V966" i="3315"/>
  <c r="V971" i="3315"/>
  <c r="V967" i="3315"/>
  <c r="V965" i="3315"/>
  <c r="V964" i="3315"/>
  <c r="V959" i="3315"/>
  <c r="V958" i="3315"/>
  <c r="V960" i="3315"/>
  <c r="V962" i="3315"/>
  <c r="V974" i="3315"/>
  <c r="V956" i="3315"/>
  <c r="V968" i="3315"/>
  <c r="V963" i="3315"/>
  <c r="W222" i="3315"/>
  <c r="W453" i="3315"/>
  <c r="W186" i="3315"/>
  <c r="W414" i="3315"/>
  <c r="W458" i="3315"/>
  <c r="W853" i="3315"/>
  <c r="W439" i="3315"/>
  <c r="W416" i="3315"/>
  <c r="W855" i="3315"/>
  <c r="W425" i="3315"/>
  <c r="W718" i="3315"/>
  <c r="W370" i="3315"/>
  <c r="W442" i="3315"/>
  <c r="W527" i="3315"/>
  <c r="W365" i="3315"/>
  <c r="W427" i="3315"/>
  <c r="W459" i="3315"/>
  <c r="W374" i="3315"/>
  <c r="W444" i="3315"/>
  <c r="W525" i="3315"/>
  <c r="W742" i="3315"/>
  <c r="W447" i="3315"/>
  <c r="W428" i="3315"/>
  <c r="W364" i="3315"/>
  <c r="W377" i="3315"/>
  <c r="W413" i="3315"/>
  <c r="W417" i="3315"/>
  <c r="W366" i="3315"/>
  <c r="W523" i="3315"/>
  <c r="W664" i="3315"/>
  <c r="W330" i="3315"/>
  <c r="W215" i="3315"/>
  <c r="W462" i="3315"/>
  <c r="W387" i="3315"/>
  <c r="W848" i="3315"/>
  <c r="W460" i="3315"/>
  <c r="W411" i="3315"/>
  <c r="W464" i="3315"/>
  <c r="W449" i="3315"/>
  <c r="W437" i="3315"/>
  <c r="W376" i="3315"/>
  <c r="W607" i="3315"/>
  <c r="W368" i="3315"/>
  <c r="W381" i="3315"/>
  <c r="W357" i="3315"/>
  <c r="W470" i="3315"/>
  <c r="W415" i="3315"/>
  <c r="W131" i="3315"/>
  <c r="W468" i="3315"/>
  <c r="W431" i="3315"/>
  <c r="W843" i="3315"/>
  <c r="W429" i="3315"/>
  <c r="W373" i="3315"/>
  <c r="W469" i="3315"/>
  <c r="W325" i="3315"/>
  <c r="W426" i="3315"/>
  <c r="W466" i="3315"/>
  <c r="W320" i="3315"/>
  <c r="W455" i="3315"/>
  <c r="W440" i="3315"/>
  <c r="W200" i="3315"/>
  <c r="W227" i="3315" s="1"/>
  <c r="W445" i="3315"/>
  <c r="W95" i="3315"/>
  <c r="W380" i="3315"/>
  <c r="W454" i="3315"/>
  <c r="W719" i="3315"/>
  <c r="W375" i="3315"/>
  <c r="W435" i="3315"/>
  <c r="W467" i="3315"/>
  <c r="W412" i="3315"/>
  <c r="W452" i="3315"/>
  <c r="W851" i="3315"/>
  <c r="W371" i="3315"/>
  <c r="W463" i="3315"/>
  <c r="W448" i="3315"/>
  <c r="W457" i="3315"/>
  <c r="W465" i="3315"/>
  <c r="W369" i="3315"/>
  <c r="W606" i="3315"/>
  <c r="W438" i="3315"/>
  <c r="W379" i="3315"/>
  <c r="W456" i="3315"/>
  <c r="W461" i="3315"/>
  <c r="W418" i="3315"/>
  <c r="W857" i="3315"/>
  <c r="W443" i="3315"/>
  <c r="W420" i="3315"/>
  <c r="W891" i="3315"/>
  <c r="W888" i="3315"/>
  <c r="W441" i="3315"/>
  <c r="W21" i="3315"/>
  <c r="W22" i="3315" s="1"/>
  <c r="W37" i="3315" s="1"/>
  <c r="W752" i="3315"/>
  <c r="W450" i="3315"/>
  <c r="W419" i="3315"/>
  <c r="W476" i="3315"/>
  <c r="W530" i="3315"/>
  <c r="W430" i="3315"/>
  <c r="W132" i="3315"/>
  <c r="W451" i="3315"/>
  <c r="W436" i="3315"/>
  <c r="W176" i="3315"/>
  <c r="W378" i="3315"/>
  <c r="W421" i="3315"/>
  <c r="W972" i="3315"/>
  <c r="W971" i="3315"/>
  <c r="W974" i="3315"/>
  <c r="W966" i="3315"/>
  <c r="W973" i="3315"/>
  <c r="W968" i="3315"/>
  <c r="W967" i="3315"/>
  <c r="W963" i="3315"/>
  <c r="W962" i="3315"/>
  <c r="W960" i="3315"/>
  <c r="W976" i="3315"/>
  <c r="W975" i="3315"/>
  <c r="W958" i="3315"/>
  <c r="W957" i="3315"/>
  <c r="W965" i="3315"/>
  <c r="W970" i="3315"/>
  <c r="W959" i="3315"/>
  <c r="W961" i="3315"/>
  <c r="W964" i="3315"/>
  <c r="W956" i="3315"/>
  <c r="W969" i="3315"/>
  <c r="X93" i="3315"/>
  <c r="M34" i="3079"/>
  <c r="J32" i="4608"/>
  <c r="L68" i="4608"/>
  <c r="M31" i="4608"/>
  <c r="X230" i="3315"/>
  <c r="V248" i="3315"/>
  <c r="X423" i="3315"/>
  <c r="AE423" i="3315" s="1"/>
  <c r="X528" i="3315"/>
  <c r="AE528" i="3315" s="1"/>
  <c r="V357" i="3315"/>
  <c r="V430" i="3315"/>
  <c r="V470" i="3315"/>
  <c r="V377" i="3315"/>
  <c r="V441" i="3315"/>
  <c r="V719" i="3315"/>
  <c r="V368" i="3315"/>
  <c r="V440" i="3315"/>
  <c r="X440" i="3315" s="1"/>
  <c r="AE440" i="3315" s="1"/>
  <c r="V476" i="3315"/>
  <c r="X476" i="3315" s="1"/>
  <c r="AE476" i="3315" s="1"/>
  <c r="V365" i="3315"/>
  <c r="V427" i="3315"/>
  <c r="V459" i="3315"/>
  <c r="V176" i="3315"/>
  <c r="V366" i="3315"/>
  <c r="V438" i="3315"/>
  <c r="V525" i="3315"/>
  <c r="X525" i="3315" s="1"/>
  <c r="AE525" i="3315" s="1"/>
  <c r="V381" i="3315"/>
  <c r="X381" i="3315" s="1"/>
  <c r="AE381" i="3315" s="1"/>
  <c r="V445" i="3315"/>
  <c r="V752" i="3315"/>
  <c r="V374" i="3315"/>
  <c r="V444" i="3315"/>
  <c r="X444" i="3315" s="1"/>
  <c r="AE444" i="3315" s="1"/>
  <c r="V523" i="3315"/>
  <c r="V371" i="3315"/>
  <c r="V431" i="3315"/>
  <c r="V463" i="3315"/>
  <c r="V380" i="3315"/>
  <c r="V888" i="3315"/>
  <c r="V457" i="3315"/>
  <c r="X457" i="3315" s="1"/>
  <c r="AE457" i="3315" s="1"/>
  <c r="V416" i="3315"/>
  <c r="X416" i="3315" s="1"/>
  <c r="AE416" i="3315" s="1"/>
  <c r="V718" i="3315"/>
  <c r="V443" i="3315"/>
  <c r="V131" i="3315"/>
  <c r="X131" i="3315" s="1"/>
  <c r="AE131" i="3315" s="1"/>
  <c r="V458" i="3315"/>
  <c r="V425" i="3315"/>
  <c r="V891" i="3315"/>
  <c r="V460" i="3315"/>
  <c r="X460" i="3315" s="1"/>
  <c r="AE460" i="3315" s="1"/>
  <c r="V411" i="3315"/>
  <c r="V853" i="3315"/>
  <c r="V418" i="3315"/>
  <c r="V369" i="3315"/>
  <c r="V465" i="3315"/>
  <c r="V428" i="3315"/>
  <c r="V215" i="3315"/>
  <c r="V451" i="3315"/>
  <c r="V330" i="3315"/>
  <c r="X330" i="3315" s="1"/>
  <c r="AE330" i="3315" s="1"/>
  <c r="V466" i="3315"/>
  <c r="V437" i="3315"/>
  <c r="V320" i="3315"/>
  <c r="V468" i="3315"/>
  <c r="V419" i="3315"/>
  <c r="V364" i="3315"/>
  <c r="V200" i="3315"/>
  <c r="V370" i="3315"/>
  <c r="X370" i="3315" s="1"/>
  <c r="AE370" i="3315" s="1"/>
  <c r="V442" i="3315"/>
  <c r="V606" i="3315"/>
  <c r="V413" i="3315"/>
  <c r="V449" i="3315"/>
  <c r="X449" i="3315" s="1"/>
  <c r="AE449" i="3315" s="1"/>
  <c r="V843" i="3315"/>
  <c r="V378" i="3315"/>
  <c r="V448" i="3315"/>
  <c r="V527" i="3315"/>
  <c r="V375" i="3315"/>
  <c r="V435" i="3315"/>
  <c r="V467" i="3315"/>
  <c r="V21" i="3315"/>
  <c r="V376" i="3315"/>
  <c r="V450" i="3315"/>
  <c r="V848" i="3315"/>
  <c r="V417" i="3315"/>
  <c r="X417" i="3315" s="1"/>
  <c r="AE417" i="3315" s="1"/>
  <c r="V453" i="3315"/>
  <c r="V851" i="3315"/>
  <c r="V412" i="3315"/>
  <c r="V452" i="3315"/>
  <c r="X452" i="3315" s="1"/>
  <c r="AE452" i="3315" s="1"/>
  <c r="V664" i="3315"/>
  <c r="V379" i="3315"/>
  <c r="V439" i="3315"/>
  <c r="V530" i="3315"/>
  <c r="X530" i="3315" s="1"/>
  <c r="AE530" i="3315" s="1"/>
  <c r="V95" i="3315"/>
  <c r="V454" i="3315"/>
  <c r="V421" i="3315"/>
  <c r="V855" i="3315"/>
  <c r="X855" i="3315" s="1"/>
  <c r="AE855" i="3315" s="1"/>
  <c r="V456" i="3315"/>
  <c r="V387" i="3315"/>
  <c r="V607" i="3315"/>
  <c r="V414" i="3315"/>
  <c r="X414" i="3315" s="1"/>
  <c r="AE414" i="3315" s="1"/>
  <c r="V132" i="3315"/>
  <c r="V461" i="3315"/>
  <c r="V420" i="3315"/>
  <c r="V742" i="3315"/>
  <c r="X742" i="3315" s="1"/>
  <c r="AE742" i="3315" s="1"/>
  <c r="V447" i="3315"/>
  <c r="V222" i="3315"/>
  <c r="V462" i="3315"/>
  <c r="V429" i="3315"/>
  <c r="X429" i="3315" s="1"/>
  <c r="AE429" i="3315" s="1"/>
  <c r="V186" i="3315"/>
  <c r="V464" i="3315"/>
  <c r="V415" i="3315"/>
  <c r="V857" i="3315"/>
  <c r="X857" i="3315" s="1"/>
  <c r="AE857" i="3315" s="1"/>
  <c r="V426" i="3315"/>
  <c r="V373" i="3315"/>
  <c r="V469" i="3315"/>
  <c r="V436" i="3315"/>
  <c r="X436" i="3315" s="1"/>
  <c r="AE436" i="3315" s="1"/>
  <c r="V325" i="3315"/>
  <c r="V455" i="3315"/>
  <c r="M141" i="4608"/>
  <c r="X327" i="3315"/>
  <c r="AE327" i="3315" s="1"/>
  <c r="L140" i="4608"/>
  <c r="M140" i="4608" s="1"/>
  <c r="M103" i="4608"/>
  <c r="V1071" i="3315"/>
  <c r="V1115" i="3315"/>
  <c r="V1132" i="3315"/>
  <c r="V1127" i="3315"/>
  <c r="V1101" i="3315"/>
  <c r="V1050" i="3315"/>
  <c r="V997" i="3315"/>
  <c r="J142" i="4608"/>
  <c r="J105" i="4608"/>
  <c r="J68" i="4608"/>
  <c r="K32" i="4608"/>
  <c r="N34" i="3079"/>
  <c r="L32" i="4608"/>
  <c r="X34" i="3315"/>
  <c r="X221" i="3315"/>
  <c r="AE221" i="3315" s="1"/>
  <c r="X740" i="3315"/>
  <c r="AE740" i="3315" s="1"/>
  <c r="X468" i="3315" l="1"/>
  <c r="AE468" i="3315" s="1"/>
  <c r="X465" i="3315"/>
  <c r="AE465" i="3315" s="1"/>
  <c r="X411" i="3315"/>
  <c r="AE411" i="3315" s="1"/>
  <c r="X458" i="3315"/>
  <c r="AE458" i="3315" s="1"/>
  <c r="X357" i="3315"/>
  <c r="AE357" i="3315" s="1"/>
  <c r="X462" i="3315"/>
  <c r="AE462" i="3315" s="1"/>
  <c r="X426" i="3315"/>
  <c r="AE426" i="3315" s="1"/>
  <c r="V138" i="3315"/>
  <c r="X376" i="3315"/>
  <c r="AE376" i="3315" s="1"/>
  <c r="X442" i="3315"/>
  <c r="AE442" i="3315" s="1"/>
  <c r="X466" i="3315"/>
  <c r="AE466" i="3315" s="1"/>
  <c r="X380" i="3315"/>
  <c r="AE380" i="3315" s="1"/>
  <c r="X366" i="3315"/>
  <c r="AE366" i="3315" s="1"/>
  <c r="X430" i="3315"/>
  <c r="AE430" i="3315" s="1"/>
  <c r="W138" i="3315"/>
  <c r="X958" i="3315"/>
  <c r="AE958" i="3315" s="1"/>
  <c r="X957" i="3315"/>
  <c r="AE957" i="3315" s="1"/>
  <c r="X467" i="3315"/>
  <c r="AE467" i="3315" s="1"/>
  <c r="X459" i="3315"/>
  <c r="AE459" i="3315" s="1"/>
  <c r="X377" i="3315"/>
  <c r="AE377" i="3315" s="1"/>
  <c r="X373" i="3315"/>
  <c r="AE373" i="3315" s="1"/>
  <c r="X222" i="3315"/>
  <c r="AE222" i="3315" s="1"/>
  <c r="X454" i="3315"/>
  <c r="AE454" i="3315" s="1"/>
  <c r="X379" i="3315"/>
  <c r="AE379" i="3315" s="1"/>
  <c r="X851" i="3315"/>
  <c r="AE851" i="3315" s="1"/>
  <c r="X450" i="3315"/>
  <c r="AE450" i="3315" s="1"/>
  <c r="X435" i="3315"/>
  <c r="AE435" i="3315" s="1"/>
  <c r="X437" i="3315"/>
  <c r="AE437" i="3315" s="1"/>
  <c r="X215" i="3315"/>
  <c r="AE215" i="3315" s="1"/>
  <c r="X427" i="3315"/>
  <c r="AE427" i="3315" s="1"/>
  <c r="X418" i="3315"/>
  <c r="AE418" i="3315" s="1"/>
  <c r="X891" i="3315"/>
  <c r="AE891" i="3315" s="1"/>
  <c r="X371" i="3315"/>
  <c r="AE371" i="3315" s="1"/>
  <c r="X752" i="3315"/>
  <c r="AE752" i="3315" s="1"/>
  <c r="X438" i="3315"/>
  <c r="AE438" i="3315" s="1"/>
  <c r="X527" i="3315"/>
  <c r="AE527" i="3315" s="1"/>
  <c r="X463" i="3315"/>
  <c r="AE463" i="3315" s="1"/>
  <c r="X441" i="3315"/>
  <c r="AE441" i="3315" s="1"/>
  <c r="W977" i="3315"/>
  <c r="X968" i="3315"/>
  <c r="AE968" i="3315" s="1"/>
  <c r="X960" i="3315"/>
  <c r="AE960" i="3315" s="1"/>
  <c r="X965" i="3315"/>
  <c r="AE965" i="3315" s="1"/>
  <c r="X969" i="3315"/>
  <c r="AE969" i="3315" s="1"/>
  <c r="X413" i="3315"/>
  <c r="AE413" i="3315" s="1"/>
  <c r="X431" i="3315"/>
  <c r="AE431" i="3315" s="1"/>
  <c r="X469" i="3315"/>
  <c r="AE469" i="3315" s="1"/>
  <c r="X607" i="3315"/>
  <c r="AE607" i="3315" s="1"/>
  <c r="X412" i="3315"/>
  <c r="AE412" i="3315" s="1"/>
  <c r="X320" i="3315"/>
  <c r="AE320" i="3315" s="1"/>
  <c r="X369" i="3315"/>
  <c r="AE369" i="3315" s="1"/>
  <c r="X374" i="3315"/>
  <c r="AE374" i="3315" s="1"/>
  <c r="X888" i="3315"/>
  <c r="AE888" i="3315" s="1"/>
  <c r="V195" i="3315"/>
  <c r="X176" i="3315"/>
  <c r="N35" i="3079"/>
  <c r="L33" i="4608"/>
  <c r="L70" i="4608" s="1"/>
  <c r="L107" i="4608" s="1"/>
  <c r="L144" i="4608" s="1"/>
  <c r="V1112" i="3315"/>
  <c r="W1071" i="3315"/>
  <c r="W1127" i="3315"/>
  <c r="X1127" i="3315" s="1"/>
  <c r="AE1127" i="3315" s="1"/>
  <c r="W1101" i="3315"/>
  <c r="X1101" i="3315" s="1"/>
  <c r="AE1101" i="3315" s="1"/>
  <c r="W1132" i="3315"/>
  <c r="X1132" i="3315" s="1"/>
  <c r="AE1132" i="3315" s="1"/>
  <c r="W997" i="3315"/>
  <c r="W1050" i="3315"/>
  <c r="X1050" i="3315" s="1"/>
  <c r="AE1050" i="3315" s="1"/>
  <c r="W1115" i="3315"/>
  <c r="X1115" i="3315" s="1"/>
  <c r="X415" i="3315"/>
  <c r="AE415" i="3315" s="1"/>
  <c r="X420" i="3315"/>
  <c r="AE420" i="3315" s="1"/>
  <c r="X421" i="3315"/>
  <c r="AE421" i="3315" s="1"/>
  <c r="K105" i="4608"/>
  <c r="V1159" i="3315"/>
  <c r="X455" i="3315"/>
  <c r="AE455" i="3315" s="1"/>
  <c r="X464" i="3315"/>
  <c r="AE464" i="3315" s="1"/>
  <c r="X461" i="3315"/>
  <c r="AE461" i="3315" s="1"/>
  <c r="X387" i="3315"/>
  <c r="AE387" i="3315" s="1"/>
  <c r="X378" i="3315"/>
  <c r="AE378" i="3315" s="1"/>
  <c r="X606" i="3315"/>
  <c r="AE606" i="3315" s="1"/>
  <c r="V478" i="3315"/>
  <c r="X364" i="3315"/>
  <c r="X443" i="3315"/>
  <c r="AE443" i="3315" s="1"/>
  <c r="X368" i="3315"/>
  <c r="AE368" i="3315" s="1"/>
  <c r="X470" i="3315"/>
  <c r="AE470" i="3315" s="1"/>
  <c r="AE230" i="3315"/>
  <c r="X248" i="3315"/>
  <c r="AE248" i="3315" s="1"/>
  <c r="J69" i="4608"/>
  <c r="K69" i="4608" s="1"/>
  <c r="J106" i="4608"/>
  <c r="K106" i="4608" s="1"/>
  <c r="J143" i="4608"/>
  <c r="K143" i="4608" s="1"/>
  <c r="W195" i="3315"/>
  <c r="W897" i="3315"/>
  <c r="W953" i="3315" s="1"/>
  <c r="X974" i="3315"/>
  <c r="AE974" i="3315" s="1"/>
  <c r="X959" i="3315"/>
  <c r="AE959" i="3315" s="1"/>
  <c r="X971" i="3315"/>
  <c r="AE971" i="3315" s="1"/>
  <c r="X972" i="3315"/>
  <c r="AE972" i="3315" s="1"/>
  <c r="X976" i="3315"/>
  <c r="AE976" i="3315" s="1"/>
  <c r="L69" i="4608"/>
  <c r="L106" i="4608" s="1"/>
  <c r="M32" i="4608"/>
  <c r="V22" i="3315"/>
  <c r="V37" i="3315" s="1"/>
  <c r="X21" i="3315"/>
  <c r="X970" i="3315"/>
  <c r="AE970" i="3315" s="1"/>
  <c r="K68" i="4608"/>
  <c r="X439" i="3315"/>
  <c r="AE439" i="3315" s="1"/>
  <c r="X848" i="3315"/>
  <c r="AE848" i="3315" s="1"/>
  <c r="X448" i="3315"/>
  <c r="AE448" i="3315" s="1"/>
  <c r="X200" i="3315"/>
  <c r="V227" i="3315"/>
  <c r="X451" i="3315"/>
  <c r="AE451" i="3315" s="1"/>
  <c r="L105" i="4608"/>
  <c r="M69" i="4608"/>
  <c r="M68" i="4608"/>
  <c r="X956" i="3315"/>
  <c r="V977" i="3315"/>
  <c r="X967" i="3315"/>
  <c r="AE967" i="3315" s="1"/>
  <c r="X975" i="3315"/>
  <c r="AE975" i="3315" s="1"/>
  <c r="K142" i="4608"/>
  <c r="X1071" i="3315"/>
  <c r="AE1071" i="3315" s="1"/>
  <c r="X325" i="3315"/>
  <c r="AE325" i="3315" s="1"/>
  <c r="X186" i="3315"/>
  <c r="AE186" i="3315" s="1"/>
  <c r="X447" i="3315"/>
  <c r="AE447" i="3315" s="1"/>
  <c r="X132" i="3315"/>
  <c r="AE132" i="3315" s="1"/>
  <c r="X456" i="3315"/>
  <c r="AE456" i="3315" s="1"/>
  <c r="X95" i="3315"/>
  <c r="AE95" i="3315" s="1"/>
  <c r="X664" i="3315"/>
  <c r="AE664" i="3315" s="1"/>
  <c r="X453" i="3315"/>
  <c r="AE453" i="3315" s="1"/>
  <c r="X375" i="3315"/>
  <c r="AE375" i="3315" s="1"/>
  <c r="X843" i="3315"/>
  <c r="AE843" i="3315" s="1"/>
  <c r="X419" i="3315"/>
  <c r="AE419" i="3315" s="1"/>
  <c r="X428" i="3315"/>
  <c r="AE428" i="3315" s="1"/>
  <c r="X853" i="3315"/>
  <c r="AE853" i="3315" s="1"/>
  <c r="X425" i="3315"/>
  <c r="AE425" i="3315" s="1"/>
  <c r="X718" i="3315"/>
  <c r="AE718" i="3315" s="1"/>
  <c r="X523" i="3315"/>
  <c r="V897" i="3315"/>
  <c r="V953" i="3315" s="1"/>
  <c r="X445" i="3315"/>
  <c r="AE445" i="3315" s="1"/>
  <c r="X365" i="3315"/>
  <c r="AE365" i="3315" s="1"/>
  <c r="X719" i="3315"/>
  <c r="AE719" i="3315" s="1"/>
  <c r="M33" i="4608"/>
  <c r="J33" i="4608"/>
  <c r="K33" i="4608" s="1"/>
  <c r="M35" i="3079"/>
  <c r="AE93" i="3315"/>
  <c r="W478" i="3315"/>
  <c r="X963" i="3315"/>
  <c r="AE963" i="3315" s="1"/>
  <c r="X962" i="3315"/>
  <c r="AE962" i="3315" s="1"/>
  <c r="X964" i="3315"/>
  <c r="AE964" i="3315" s="1"/>
  <c r="X966" i="3315"/>
  <c r="AE966" i="3315" s="1"/>
  <c r="X973" i="3315"/>
  <c r="AE973" i="3315" s="1"/>
  <c r="X961" i="3315"/>
  <c r="AE961" i="3315" s="1"/>
  <c r="V197" i="3315" l="1"/>
  <c r="W197" i="3315"/>
  <c r="W1112" i="3315"/>
  <c r="X22" i="3315"/>
  <c r="X37" i="3315" s="1"/>
  <c r="L143" i="4608"/>
  <c r="M106" i="4608"/>
  <c r="X1159" i="3315"/>
  <c r="AE1115" i="3315"/>
  <c r="L142" i="4608"/>
  <c r="M142" i="4608" s="1"/>
  <c r="M105" i="4608"/>
  <c r="M107" i="4608"/>
  <c r="X478" i="3315"/>
  <c r="AE478" i="3315" s="1"/>
  <c r="AE364" i="3315"/>
  <c r="X138" i="3315"/>
  <c r="AE138" i="3315" s="1"/>
  <c r="M70" i="4608"/>
  <c r="AE200" i="3315"/>
  <c r="X227" i="3315"/>
  <c r="AE227" i="3315" s="1"/>
  <c r="W1159" i="3315"/>
  <c r="X997" i="3315"/>
  <c r="J107" i="4608"/>
  <c r="K107" i="4608" s="1"/>
  <c r="J144" i="4608"/>
  <c r="K144" i="4608" s="1"/>
  <c r="J70" i="4608"/>
  <c r="K34" i="4608"/>
  <c r="AE523" i="3315"/>
  <c r="X897" i="3315"/>
  <c r="N36" i="3079"/>
  <c r="L35" i="4608" s="1"/>
  <c r="L34" i="4608"/>
  <c r="M36" i="3079"/>
  <c r="J35" i="4608" s="1"/>
  <c r="J34" i="4608"/>
  <c r="AE956" i="3315"/>
  <c r="X977" i="3315"/>
  <c r="AE977" i="3315" s="1"/>
  <c r="V1161" i="3315"/>
  <c r="M144" i="4608"/>
  <c r="X195" i="3315"/>
  <c r="AE176" i="3315"/>
  <c r="W1161" i="3315" l="1"/>
  <c r="X953" i="3315"/>
  <c r="AE897" i="3315"/>
  <c r="K70" i="4608"/>
  <c r="AE1159" i="3315"/>
  <c r="M143" i="4608"/>
  <c r="J145" i="4608"/>
  <c r="J71" i="4608"/>
  <c r="K71" i="4608" s="1"/>
  <c r="J108" i="4608"/>
  <c r="AE997" i="3315"/>
  <c r="X1112" i="3315"/>
  <c r="AE1112" i="3315" s="1"/>
  <c r="L72" i="4608"/>
  <c r="M35" i="4608"/>
  <c r="X197" i="3315"/>
  <c r="AE195" i="3315"/>
  <c r="J109" i="4608"/>
  <c r="J146" i="4608"/>
  <c r="J72" i="4608"/>
  <c r="K72" i="4608" s="1"/>
  <c r="L71" i="4608"/>
  <c r="M34" i="4608"/>
  <c r="K35" i="4608"/>
  <c r="K108" i="4608" l="1"/>
  <c r="K109" i="4608"/>
  <c r="L109" i="4608"/>
  <c r="L146" i="4608" s="1"/>
  <c r="M72" i="4608"/>
  <c r="X1161" i="3315"/>
  <c r="AE953" i="3315"/>
  <c r="V340" i="3315"/>
  <c r="V332" i="3315"/>
  <c r="V343" i="3315"/>
  <c r="V336" i="3315"/>
  <c r="V337" i="3315"/>
  <c r="V339" i="3315"/>
  <c r="V338" i="3315"/>
  <c r="V341" i="3315"/>
  <c r="V346" i="3315"/>
  <c r="V335" i="3315"/>
  <c r="V352" i="3315"/>
  <c r="V331" i="3315"/>
  <c r="V349" i="3315"/>
  <c r="V348" i="3315"/>
  <c r="V333" i="3315"/>
  <c r="V344" i="3315"/>
  <c r="V342" i="3315"/>
  <c r="V345" i="3315"/>
  <c r="V351" i="3315"/>
  <c r="V350" i="3315"/>
  <c r="V334" i="3315"/>
  <c r="V353" i="3315"/>
  <c r="AE197" i="3315"/>
  <c r="W348" i="3315"/>
  <c r="W340" i="3315"/>
  <c r="W332" i="3315"/>
  <c r="W353" i="3315"/>
  <c r="W352" i="3315"/>
  <c r="W333" i="3315"/>
  <c r="W335" i="3315"/>
  <c r="W345" i="3315"/>
  <c r="W349" i="3315"/>
  <c r="W344" i="3315"/>
  <c r="W350" i="3315"/>
  <c r="W338" i="3315"/>
  <c r="W331" i="3315"/>
  <c r="W339" i="3315"/>
  <c r="W337" i="3315"/>
  <c r="W336" i="3315"/>
  <c r="W334" i="3315"/>
  <c r="W351" i="3315"/>
  <c r="W342" i="3315"/>
  <c r="W341" i="3315"/>
  <c r="W346" i="3315"/>
  <c r="W343" i="3315"/>
  <c r="AE37" i="3315"/>
  <c r="L108" i="4608"/>
  <c r="M71" i="4608"/>
  <c r="K145" i="4608"/>
  <c r="K146" i="4608"/>
  <c r="AE1161" i="3315"/>
  <c r="X351" i="3315" l="1"/>
  <c r="AE351" i="3315" s="1"/>
  <c r="X333" i="3315"/>
  <c r="AE333" i="3315" s="1"/>
  <c r="X352" i="3315"/>
  <c r="AE352" i="3315" s="1"/>
  <c r="X343" i="3315"/>
  <c r="AE343" i="3315" s="1"/>
  <c r="X350" i="3315"/>
  <c r="AE350" i="3315" s="1"/>
  <c r="X344" i="3315"/>
  <c r="AE344" i="3315" s="1"/>
  <c r="X341" i="3315"/>
  <c r="AE341" i="3315" s="1"/>
  <c r="X338" i="3315"/>
  <c r="AE338" i="3315" s="1"/>
  <c r="L145" i="4608"/>
  <c r="M145" i="4608" s="1"/>
  <c r="M108" i="4608"/>
  <c r="M109" i="4608"/>
  <c r="X353" i="3315"/>
  <c r="AE353" i="3315" s="1"/>
  <c r="X345" i="3315"/>
  <c r="AE345" i="3315" s="1"/>
  <c r="X348" i="3315"/>
  <c r="AE348" i="3315" s="1"/>
  <c r="X335" i="3315"/>
  <c r="AE335" i="3315" s="1"/>
  <c r="X339" i="3315"/>
  <c r="AE339" i="3315" s="1"/>
  <c r="X332" i="3315"/>
  <c r="AE332" i="3315" s="1"/>
  <c r="X331" i="3315"/>
  <c r="V361" i="3315"/>
  <c r="V490" i="3315" s="1"/>
  <c r="V492" i="3315" s="1"/>
  <c r="V1163" i="3315" s="1"/>
  <c r="V1165" i="3315" s="1"/>
  <c r="V1223" i="3315" s="1"/>
  <c r="V1224" i="3315" s="1"/>
  <c r="V1229" i="3315" s="1"/>
  <c r="X336" i="3315"/>
  <c r="AE336" i="3315" s="1"/>
  <c r="W361" i="3315"/>
  <c r="W490" i="3315" s="1"/>
  <c r="W492" i="3315" s="1"/>
  <c r="W1163" i="3315" s="1"/>
  <c r="W1165" i="3315" s="1"/>
  <c r="W1223" i="3315" s="1"/>
  <c r="W1224" i="3315" s="1"/>
  <c r="W1229" i="3315" s="1"/>
  <c r="X334" i="3315"/>
  <c r="AE334" i="3315" s="1"/>
  <c r="X342" i="3315"/>
  <c r="AE342" i="3315" s="1"/>
  <c r="X349" i="3315"/>
  <c r="AE349" i="3315" s="1"/>
  <c r="X346" i="3315"/>
  <c r="AE346" i="3315" s="1"/>
  <c r="X337" i="3315"/>
  <c r="AE337" i="3315" s="1"/>
  <c r="X340" i="3315"/>
  <c r="AE340" i="3315" s="1"/>
  <c r="AE331" i="3315" l="1"/>
  <c r="X361" i="3315"/>
  <c r="M146" i="4608"/>
  <c r="X490" i="3315" l="1"/>
  <c r="X492" i="3315" s="1"/>
  <c r="X1163" i="3315" s="1"/>
  <c r="X1165" i="3315" s="1"/>
  <c r="X1223" i="3315" s="1"/>
  <c r="X1224" i="3315" s="1"/>
  <c r="X1229" i="3315" s="1"/>
  <c r="AE361" i="3315"/>
  <c r="AE490" i="3315" l="1"/>
  <c r="AE492" i="3315" s="1"/>
  <c r="AE1163" i="3315" l="1"/>
  <c r="AE1165" i="3315" s="1"/>
  <c r="AE1223" i="3315" s="1"/>
  <c r="AE1224" i="3315" s="1"/>
</calcChain>
</file>

<file path=xl/sharedStrings.xml><?xml version="1.0" encoding="utf-8"?>
<sst xmlns="http://schemas.openxmlformats.org/spreadsheetml/2006/main" count="2524" uniqueCount="1342">
  <si>
    <t>S.BM.CM.OFF.020.09A</t>
  </si>
  <si>
    <t>S.BM.CM.OFF.020.09M</t>
  </si>
  <si>
    <t>S.BM.CM.OFF.021.09</t>
  </si>
  <si>
    <t>S.BM.CM.OFF.022.09</t>
  </si>
  <si>
    <t>S.BM.CM.OFF.023.09</t>
  </si>
  <si>
    <t>S.BM.CM.OFF.024.09</t>
  </si>
  <si>
    <t>S.BM.CM.OFF.025.09</t>
  </si>
  <si>
    <t>S.BM.CM.OFF.026.09</t>
  </si>
  <si>
    <t>S.BM.CM.OTHER.020.09</t>
  </si>
  <si>
    <t>S.BM.CM.OTHER.021.09Deleted</t>
  </si>
  <si>
    <t>S.BM.CM.OTHER.022.09A</t>
  </si>
  <si>
    <t>S.BM.CM.OTHER.022.09M</t>
  </si>
  <si>
    <t>S.BM.CM.OTHER.023.09</t>
  </si>
  <si>
    <t>S.BM.CM.RET.001.09A</t>
  </si>
  <si>
    <t>S.BM.CM.RET.001.09M</t>
  </si>
  <si>
    <t>S.BM.CM.RET.002.09</t>
  </si>
  <si>
    <t>S.BM.CM.RET.003.09A</t>
  </si>
  <si>
    <t>S.BM.CM.RET.003.09M</t>
  </si>
  <si>
    <t>S.BM.CM.RET.004.09A</t>
  </si>
  <si>
    <t>S.BM.CM.RET.004.09M</t>
  </si>
  <si>
    <t>S.BM.CM.RET.DCKV.001.09</t>
  </si>
  <si>
    <t>S.BM.CM.RET.DCKV.002.09</t>
  </si>
  <si>
    <t>S.BM.CM.RET.DCKV.003.09</t>
  </si>
  <si>
    <t>S.BM.CM.RET.DCKV.004.09</t>
  </si>
  <si>
    <t>S.BM.CM.RET.DCKV.005.09</t>
  </si>
  <si>
    <t>S.BM.CM.RET.DCKV.006.09</t>
  </si>
  <si>
    <t>S.BM.CM.RET.DCKV.007.09</t>
  </si>
  <si>
    <t>S.BM.CM.RET.DCKV.008.09</t>
  </si>
  <si>
    <t>S.BM.CM.RET.DCKV.009.09</t>
  </si>
  <si>
    <t>S.BM.CM.RET.DCKV.010.09</t>
  </si>
  <si>
    <t>S.BM.CM.RET.DCKV.011.09</t>
  </si>
  <si>
    <t>S.BM.CM.RET.DCKV.012.09</t>
  </si>
  <si>
    <t>S.BM.CM.SCH.001.09P</t>
  </si>
  <si>
    <t>S.BM.CM.SCH.002.09P</t>
  </si>
  <si>
    <t>S.BM.CM.SCH.003.09P</t>
  </si>
  <si>
    <t>S.BM.CM.SCH.004.09Delete Savings Only</t>
  </si>
  <si>
    <t>S.BM.CM.SCH.005.09P</t>
  </si>
  <si>
    <t>S.BM.CM.SCH.006.09P</t>
  </si>
  <si>
    <t>S.BM.CM.SCH.007.09P</t>
  </si>
  <si>
    <t>S.BM.CM.SCH.008.09P</t>
  </si>
  <si>
    <t>S.BM.CM.SCH.009.09Delete</t>
  </si>
  <si>
    <t>S.BM.CM.SCH.010.09P</t>
  </si>
  <si>
    <t>S.BM.CM.SCH.011.09P</t>
  </si>
  <si>
    <t>S.BM.CM.SCH.012.09P</t>
  </si>
  <si>
    <t>S.BM.CM.SCH.013.09P</t>
  </si>
  <si>
    <t>S.BM.CM.SCH.014.09P</t>
  </si>
  <si>
    <t>S.BM.CM.SCH.015.09P</t>
  </si>
  <si>
    <t>S.BM.CM.SCH.016.09P</t>
  </si>
  <si>
    <t>S.BM.CM.SCH.017.09P</t>
  </si>
  <si>
    <t>S.BM.CM.SCH.018.09P</t>
  </si>
  <si>
    <t>S.BM.CM.SCH.019.09</t>
  </si>
  <si>
    <t>S.BM.CM.SCH.020.09</t>
  </si>
  <si>
    <t>S.BM.CM.SCH.021.09</t>
  </si>
  <si>
    <t>S.BM.CM.SCH.022.09</t>
  </si>
  <si>
    <t>S.BM.CM.SCH.029.09</t>
  </si>
  <si>
    <t>S.BM.CM.SCH.030.09</t>
  </si>
  <si>
    <t>S.BM.CM.SCH.031.09</t>
  </si>
  <si>
    <t>S.BM.CM.SCH.032.09</t>
  </si>
  <si>
    <t>S.BM.CM.SCH.033.09</t>
  </si>
  <si>
    <t>S.BM.CM.UNIV.001.09</t>
  </si>
  <si>
    <t>S.BM.CM.UNIV.002.09</t>
  </si>
  <si>
    <t>S.BM.CM.UNIV.003.09</t>
  </si>
  <si>
    <t>S.BM.CM.UNIV.004.09</t>
  </si>
  <si>
    <t>S.BM.CM.UNIV.005.09</t>
  </si>
  <si>
    <t>S.BM.CM.UNIV.006.09</t>
  </si>
  <si>
    <t>S.BM.CM.UNIV.DCKV.001.09</t>
  </si>
  <si>
    <t>S.BM.CM.MUN.001.09A</t>
  </si>
  <si>
    <t>S.BM.CM.MUN.001.09M</t>
  </si>
  <si>
    <t>S.BM.CM.MUN.002.09</t>
  </si>
  <si>
    <t>S.BM.CM.MUN.003.09</t>
  </si>
  <si>
    <t>S.BM.CM.MUN.004.09</t>
  </si>
  <si>
    <t>S.BM.CM.MUN.008.09</t>
  </si>
  <si>
    <t>S.BM.CM.MUN.009.09</t>
  </si>
  <si>
    <t>S.BM.CM.MUN.010.09</t>
  </si>
  <si>
    <t>S.BM.CM.MUN.011.09</t>
  </si>
  <si>
    <t>S.BM.CM.MUN.012.09</t>
  </si>
  <si>
    <t>S.BM.CM.MUN.013.09</t>
  </si>
  <si>
    <t>S.BM.CM.MUN.014.09</t>
  </si>
  <si>
    <t>S.BM.CM.MUN.015.09</t>
  </si>
  <si>
    <t>S.BM.CM.MUN.016.09</t>
  </si>
  <si>
    <t>S.BM.CM.MUN.017.09</t>
  </si>
  <si>
    <t>S.BM.CM.MUN.018.09</t>
  </si>
  <si>
    <t>S.BM.CM.MUN.019.09</t>
  </si>
  <si>
    <t>S.BM.CM.MUN.020.09A</t>
  </si>
  <si>
    <t>S.BM.CM.MUN.020.09M</t>
  </si>
  <si>
    <t>S.BM.CM.MUN.021.09A</t>
  </si>
  <si>
    <t>S.BM.CM.MUN.021.09B</t>
  </si>
  <si>
    <t>S.BM.CM.MUN.021.09M</t>
  </si>
  <si>
    <t>S.BM.CM.MUN.022.09</t>
  </si>
  <si>
    <t>S.BM.CM.MUN.023.09</t>
  </si>
  <si>
    <t>S.BM.CM.MUN.024.09A</t>
  </si>
  <si>
    <t>S.BM.CM.MUN.024.09B</t>
  </si>
  <si>
    <t>S.BM.CM.MUN.024.09M</t>
  </si>
  <si>
    <t>S.BM.CM.MUN.025.09A</t>
  </si>
  <si>
    <t>S.BM.CM.MUN.025.09B</t>
  </si>
  <si>
    <t>S.BM.CM.MUN.025.09M</t>
  </si>
  <si>
    <t>S.BM.CM.MUN.026.09</t>
  </si>
  <si>
    <t>S.BM.CM.MUN.027.09A</t>
  </si>
  <si>
    <t>S.BM.CM.MUN.027.09B</t>
  </si>
  <si>
    <t>S.BM.CM.MUN.027.09M</t>
  </si>
  <si>
    <t>S.BM.CM.MUN.028.09A</t>
  </si>
  <si>
    <t>S.BM.CM.MUN.028.09B</t>
  </si>
  <si>
    <t>S.BM.CM.MUN.028.09M</t>
  </si>
  <si>
    <t>S.BM.CM.MUN.029.09A</t>
  </si>
  <si>
    <t>S.BM.CM.MUN.029.09M</t>
  </si>
  <si>
    <t>S.BM.CM.MUN.030.09A</t>
  </si>
  <si>
    <t>S.BM.CM.MUN.030.09B</t>
  </si>
  <si>
    <t>S.BM.CM.MUN.030.09M</t>
  </si>
  <si>
    <t>S.BM.CM.MUN.031.09</t>
  </si>
  <si>
    <t>S.BM.CM.MUN.032.09A</t>
  </si>
  <si>
    <t>S.BM.CM.MUN.032.09M</t>
  </si>
  <si>
    <t>S.BM.CM.MUN.033.09</t>
  </si>
  <si>
    <t>S.BM.CM.MUN.034.09</t>
  </si>
  <si>
    <t>S.BM.CM.MUN.035.09</t>
  </si>
  <si>
    <t>S.BM.CM.MUN.036.09A</t>
  </si>
  <si>
    <t>S.BM.CM.MUN.036.09B</t>
  </si>
  <si>
    <t>S.BM.CM.MUN.036.09M</t>
  </si>
  <si>
    <t>S.BM.CM.MUN.037.09A</t>
  </si>
  <si>
    <t>Revised Gross Annual gas Savings</t>
  </si>
  <si>
    <t>Revised Gross kWh</t>
  </si>
  <si>
    <t>S.BM.CM.WHS.006.09</t>
  </si>
  <si>
    <t>S.BM.CM.WHS.007.09</t>
  </si>
  <si>
    <t>S.BM.CM.WHS.008.09</t>
  </si>
  <si>
    <t>S.BM.CM.WHS.009.09</t>
  </si>
  <si>
    <t>S.BM.CM.WHS.010.09</t>
  </si>
  <si>
    <t>S.BM.CM.MUN.037.09C</t>
  </si>
  <si>
    <t>S.BM.CM.MUN.037.09M</t>
  </si>
  <si>
    <t>S.BM.CM.MUN.038.09</t>
  </si>
  <si>
    <t>S.BM.CM.MUN.039.09A</t>
  </si>
  <si>
    <t>S.BM.CM.MUN.039.09M</t>
  </si>
  <si>
    <t>S.BM.CM.MUN.040.09</t>
  </si>
  <si>
    <t>S.BM.CM.MUN.041.09</t>
  </si>
  <si>
    <t>S.BM.CM.MUN.042.09</t>
  </si>
  <si>
    <t>S.BM.CM.MUN.043.09</t>
  </si>
  <si>
    <t>S.BM.CM.MUN.044.09</t>
  </si>
  <si>
    <t>S.BM.CM.MUN.045.09</t>
  </si>
  <si>
    <t>S.BM.CM.MUN.046.09A</t>
  </si>
  <si>
    <t>S.BM.CM.MUN.046.09B</t>
  </si>
  <si>
    <t>S.BM.CM.MUN.046.09M</t>
  </si>
  <si>
    <t>S.BM.CM.MUN.047.09DELETE A</t>
  </si>
  <si>
    <t>S.BM.CM.MUN.048.09DELETE B</t>
  </si>
  <si>
    <t>S.BM.CM.MUN.049.09</t>
  </si>
  <si>
    <t>S.BM.CM.MUN.050.09</t>
  </si>
  <si>
    <t>S.BM.CM.MUN.051.09</t>
  </si>
  <si>
    <t>S.BM.CM.MUN.052.09</t>
  </si>
  <si>
    <t>S.BM.CM.MUN.053.09</t>
  </si>
  <si>
    <t>S.BM.CM.MUN.054.09</t>
  </si>
  <si>
    <t>S.BM.CM.MUN.055.09</t>
  </si>
  <si>
    <t>S.BM.CM.MUN.056.09</t>
  </si>
  <si>
    <t>S.BM.CM.MUN.057.09</t>
  </si>
  <si>
    <t>S.BM.CM.MUN.058.09</t>
  </si>
  <si>
    <t>S.BM.CM.MUN.059.09</t>
  </si>
  <si>
    <t>S.BM.CM.MUN.060.09</t>
  </si>
  <si>
    <t>S.BM.CM.MUN.061.09</t>
  </si>
  <si>
    <t>S.BM.CM.MUN.062.09</t>
  </si>
  <si>
    <t>S.BM.CM.MUN.063.09</t>
  </si>
  <si>
    <t>S.BM.CM.MUN.064.09</t>
  </si>
  <si>
    <t>S.BM.CM.MUN.065.09</t>
  </si>
  <si>
    <t>S.BM.CM.MUN.066.09</t>
  </si>
  <si>
    <t>S.BM.CM.MUN.067.09</t>
  </si>
  <si>
    <t>S.BM.CM.MUN.068.09</t>
  </si>
  <si>
    <t>S.BM.CM.MUN.069.09</t>
  </si>
  <si>
    <t>S.BM.CM.MUN.070.09</t>
  </si>
  <si>
    <t>S.BM.CM.MUN.071.09</t>
  </si>
  <si>
    <t>S.BM.CM.MUN.072.09</t>
  </si>
  <si>
    <t>S.BM.CM.MUN.073.09</t>
  </si>
  <si>
    <t>S.BM.CM.MUN.074.09</t>
  </si>
  <si>
    <t>S.BM.CM.MUN.075.09</t>
  </si>
  <si>
    <t>S.BM.CM.MUN.076.09</t>
  </si>
  <si>
    <t>S.BM.CM.MUN.077.09</t>
  </si>
  <si>
    <t>S.BM.CM.MUN.078.09</t>
  </si>
  <si>
    <t>S.BM.CM.MUN.079.09</t>
  </si>
  <si>
    <t>S.BM.CM.MUN.080.09</t>
  </si>
  <si>
    <t>S.BM.CM.MUN.081.09</t>
  </si>
  <si>
    <t>S.BM.CM.MUN.082.09</t>
  </si>
  <si>
    <t>S.BM.CM.MUN.083.09Delete duplicate</t>
  </si>
  <si>
    <t>S.BM.CM.MUN.084.09A</t>
  </si>
  <si>
    <t>S.BM.CM.MUN.084.09B</t>
  </si>
  <si>
    <t>S.BM.CM.MUN.084.09M</t>
  </si>
  <si>
    <t>S.BM.CM.MUN.085.09</t>
  </si>
  <si>
    <t>S.BM.CM.MUN.086.09</t>
  </si>
  <si>
    <t>S.BM.CM.MUN.DCKV.001.09</t>
  </si>
  <si>
    <t>S.BM.CM.HOS.001.09</t>
  </si>
  <si>
    <t>S.BM.CM.HOS.002.09</t>
  </si>
  <si>
    <t>S.BM.CM.HOS.003.09</t>
  </si>
  <si>
    <t>S.BM.CM.HOS.004.09</t>
  </si>
  <si>
    <t>S.BM.CM.HOS.005.09</t>
  </si>
  <si>
    <t>S.BM.CM.HOS.006.09</t>
  </si>
  <si>
    <t>S.BM.CM.HOS.007.09</t>
  </si>
  <si>
    <t>S.BM.CM.HOS.008.09</t>
  </si>
  <si>
    <t>S.BM.CM.HOS.009.09</t>
  </si>
  <si>
    <t>S.BM.CM.HOS.010.09</t>
  </si>
  <si>
    <t>S.BM.CM.HOS.011.09</t>
  </si>
  <si>
    <t>S.BM.CM.HOS.012.09</t>
  </si>
  <si>
    <t>S.BM.CM.HOS.013.09</t>
  </si>
  <si>
    <t>S.BM.CM.HOS.014.09</t>
  </si>
  <si>
    <t>S.BM.CM.HOS.015.09A</t>
  </si>
  <si>
    <t>S.BM.CM.HOS.015.09B</t>
  </si>
  <si>
    <t>S.BM.CM.HOS.015.09C</t>
  </si>
  <si>
    <t>Program</t>
  </si>
  <si>
    <t>Total</t>
  </si>
  <si>
    <t>Calculated</t>
  </si>
  <si>
    <t>Free rider %</t>
  </si>
  <si>
    <t>Annual unit gas savings</t>
  </si>
  <si>
    <t>Net annual gas savings</t>
  </si>
  <si>
    <t>Unit m3</t>
  </si>
  <si>
    <t>Net m3</t>
  </si>
  <si>
    <t>Measure Life</t>
  </si>
  <si>
    <t>NPV Gas</t>
  </si>
  <si>
    <t>NPV Electric</t>
  </si>
  <si>
    <t>NPV Water</t>
  </si>
  <si>
    <t>NPV benefits</t>
  </si>
  <si>
    <t>Total incentive payments</t>
  </si>
  <si>
    <t>s</t>
  </si>
  <si>
    <t>discount rate</t>
  </si>
  <si>
    <t>water heating</t>
  </si>
  <si>
    <t>gas</t>
  </si>
  <si>
    <t>energy</t>
  </si>
  <si>
    <t>year</t>
  </si>
  <si>
    <t>NPV</t>
  </si>
  <si>
    <t>space heating</t>
  </si>
  <si>
    <t>combined space &amp;</t>
  </si>
  <si>
    <t xml:space="preserve">  water heating</t>
  </si>
  <si>
    <t>industrial</t>
  </si>
  <si>
    <t>AC Load type</t>
  </si>
  <si>
    <t>Total TRC Costs</t>
  </si>
  <si>
    <t>DSM O&amp;M</t>
  </si>
  <si>
    <t>Unit Incremental costs</t>
  </si>
  <si>
    <t>Water Conservation</t>
  </si>
  <si>
    <t>electricity</t>
  </si>
  <si>
    <t>Space &amp; Water Heating</t>
  </si>
  <si>
    <t>¢/Kwh</t>
  </si>
  <si>
    <t>FY</t>
  </si>
  <si>
    <t>wholesale</t>
  </si>
  <si>
    <t>Participants</t>
  </si>
  <si>
    <t>S.BM.CM.HTL.001.09M</t>
  </si>
  <si>
    <t>S.BM.CM.HTL.002.09</t>
  </si>
  <si>
    <t>S.BM.CM.HTL.003.09</t>
  </si>
  <si>
    <t>S.BM.CM.HTL.004.09</t>
  </si>
  <si>
    <t>S.BM.CM.HTL.005.09Delete</t>
  </si>
  <si>
    <t>S.BM.CM.HTL.006.09</t>
  </si>
  <si>
    <t>S.BM.CM.HTL.007.09A</t>
  </si>
  <si>
    <t>S.BM.CM.HTL.007.09B</t>
  </si>
  <si>
    <t>S.BM.CM.HTL.007.09C</t>
  </si>
  <si>
    <t>S.BM.CM.HTL.007.09M</t>
  </si>
  <si>
    <t>S.BM.CM.HTL.008.09</t>
  </si>
  <si>
    <t>S.BM.CM.LTCARE.001.09</t>
  </si>
  <si>
    <t>S.BM.CM.LTCARE.003.09</t>
  </si>
  <si>
    <t>S.BM.CM.LTCARE.004.09</t>
  </si>
  <si>
    <t>S.BM.CM.LTCARE.005.09A</t>
  </si>
  <si>
    <t>S.BM.CM.LTCARE.005.09B</t>
  </si>
  <si>
    <t>S.BM.CM.LTCARE.005.09M</t>
  </si>
  <si>
    <t>S.BM.CM.LTCARE.006.09</t>
  </si>
  <si>
    <t>S.BM.CM.LTCARE.007.09</t>
  </si>
  <si>
    <t>S.BM.CM.LTCARE.008.09</t>
  </si>
  <si>
    <t>S.BM.CM.LTCARE.009.09</t>
  </si>
  <si>
    <t>S.BM.CM.LTCARE.010.09A</t>
  </si>
  <si>
    <t>S.BM.CM.LTCARE.010.09M</t>
  </si>
  <si>
    <t>S.BM.CM.LTCARE.011.09</t>
  </si>
  <si>
    <t>S.BM.CM.LTCARE.012.09</t>
  </si>
  <si>
    <t>S.BM.CM.LTCARE.013.09</t>
  </si>
  <si>
    <t>S.BM.CM.LTCARE.014.09A</t>
  </si>
  <si>
    <t>S.BM.CM.LTCARE.014.09M</t>
  </si>
  <si>
    <t>S.BM.CM.LTCARE.DCKV.001.09</t>
  </si>
  <si>
    <t>S.BM.CM.MULTI-NP.001.09A</t>
  </si>
  <si>
    <t>S.BM.CM.MULTI-NP.001.09B</t>
  </si>
  <si>
    <t>S.BM.CM.MULTI-NP.001.09M</t>
  </si>
  <si>
    <t>S.BM.CM.MULTI-NP.002.09A</t>
  </si>
  <si>
    <t>S.BM.CM.MULTI-NP.002.09B</t>
  </si>
  <si>
    <t>S.BM.CM.MULTI-NP.002.09M</t>
  </si>
  <si>
    <t>S.BM.CM.MULTI-NP.003.09</t>
  </si>
  <si>
    <t>S.BM.CM.MULTI-NP.004.09</t>
  </si>
  <si>
    <t>S.BM.CM.MULTI-NP.005.09A</t>
  </si>
  <si>
    <t>S.BM.CM.MULTI-NP.005.09M</t>
  </si>
  <si>
    <t>S.BM.CM.MULTI-NP.006.09A</t>
  </si>
  <si>
    <t>S.BM.CM.MULTI-NP.006.09M</t>
  </si>
  <si>
    <t>S.BM.CM.MULTI-NP.007.09</t>
  </si>
  <si>
    <t>S.BM.CM.MULTI-NP.007.09A</t>
  </si>
  <si>
    <t>S.BM.CM.MULTI-NP.008.09A</t>
  </si>
  <si>
    <t>S.BM.CM.MULTI-NP.008.09B</t>
  </si>
  <si>
    <t>S.BM.CM.MULTI-NP.008.09M</t>
  </si>
  <si>
    <t>S.BM.CM.MULTI-NP.009.09A</t>
  </si>
  <si>
    <t>S.BM.CM.MULTI-NP.009.09M</t>
  </si>
  <si>
    <t>S.BM.CM.MULTI-NP.010.09A</t>
  </si>
  <si>
    <t>S.BM.CM.MULTI-NP.010.09M</t>
  </si>
  <si>
    <t>S.BM.CM.MULTI-NP.011.09</t>
  </si>
  <si>
    <t>S.BM.CM.MULTI-NP.011.09A</t>
  </si>
  <si>
    <t>S.BM.CM.MULTI-NP.011.09B</t>
  </si>
  <si>
    <t>S.BM.CM.MULTI-PRIV.001.09</t>
  </si>
  <si>
    <t>S.BM.CM.MULTI-PRIV.002.09A</t>
  </si>
  <si>
    <t>S.BM.CM.MULTI-PRIV.002.09M</t>
  </si>
  <si>
    <t>S.BM.CM.MULTI-PRIV.003.09</t>
  </si>
  <si>
    <t>S.BM.CM.MULTI-PRIV.004.09A</t>
  </si>
  <si>
    <t>S.BM.CM.MULTI-PRIV.004.09M</t>
  </si>
  <si>
    <t>S.BM.CM.MULTI-PRIV.005.09A</t>
  </si>
  <si>
    <t>S.BM.CM.MULTI-PRIV.005.09M</t>
  </si>
  <si>
    <t>S.BM.CM.MULTI-PRIV.006.09</t>
  </si>
  <si>
    <t>S.BM.CM.MULTI-PRIV.007.09A</t>
  </si>
  <si>
    <t>$ / 1000 litres</t>
  </si>
  <si>
    <t>S.BM.SC.AIR.2</t>
  </si>
  <si>
    <t>Air Doors (Double)</t>
  </si>
  <si>
    <t>S.BM.SC.ERV</t>
  </si>
  <si>
    <t>S.BM.SC.HRV</t>
  </si>
  <si>
    <t>S.BM.SC.INFRD</t>
  </si>
  <si>
    <t>S.BM.SC.PRSP.2</t>
  </si>
  <si>
    <t>S.BM.SC.PRSP.3</t>
  </si>
  <si>
    <t>S.BM.SC.PRSP.4</t>
  </si>
  <si>
    <t>S.BM.SC.PRSP.5</t>
  </si>
  <si>
    <t>S.BM.SC.PRSP.6</t>
  </si>
  <si>
    <t>S.BM.SC.TSTAT.2</t>
  </si>
  <si>
    <t>S.BM.SC.TSTAT.3</t>
  </si>
  <si>
    <t>S.BM.SC.TSTAT.4</t>
  </si>
  <si>
    <t>Air Doors (Single)</t>
  </si>
  <si>
    <t xml:space="preserve">Demand Control Kitchen Ventilation (0 - 4999 CFM) </t>
  </si>
  <si>
    <t xml:space="preserve">Demand Control Kitchen Ventilation (5000 - 9999 CFM) </t>
  </si>
  <si>
    <t xml:space="preserve">Demand Control Kitchen Ventilation (10000 - 15000 CFM) </t>
  </si>
  <si>
    <t>Energy Recovery Ventilators (ERV)</t>
  </si>
  <si>
    <t>Heat Recovery Ventilator (HRV)</t>
  </si>
  <si>
    <t>Infrared Heaters</t>
  </si>
  <si>
    <t>Pre-Rinse Spray Nozzle (1.24 GPM) (Full Service)</t>
  </si>
  <si>
    <t>Pre-Rinse Spray Nozzle (1.24 GPM) (Limited)</t>
  </si>
  <si>
    <t>Pre-Rinse Spray Nozzle (1.24 GPM) (Other)</t>
  </si>
  <si>
    <t>S.BM.CM.MULTI-PRIV.019.09</t>
  </si>
  <si>
    <t>S.BM.CM.MULTI-PRIV.020.09</t>
  </si>
  <si>
    <t>S.BM.CM.MULTI-PRIV.021.09A</t>
  </si>
  <si>
    <t>S.BM.CM.MULTI-PRIV.021.09M</t>
  </si>
  <si>
    <t>S.BM.CM.MULTI-PRIV.022.09A</t>
  </si>
  <si>
    <t>S.BM.CM.MULTI-PRIV.022.09M</t>
  </si>
  <si>
    <t>S.BM.CM.MULTI-PRIV.023.09A</t>
  </si>
  <si>
    <t>S.BM.CM.MULTI-PRIV.023.09M</t>
  </si>
  <si>
    <t>S.BM.CM.MULTI-PRIV.024.09A</t>
  </si>
  <si>
    <t>S.BM.CM.MULTI-PRIV.024.09M</t>
  </si>
  <si>
    <t>S.BM.CM.MULTI-PRIV.025.09A</t>
  </si>
  <si>
    <t>S.BM.CM.MULTI-PRIV.025.09B</t>
  </si>
  <si>
    <t>S.BM.CM.MULTI-PRIV.025.09M</t>
  </si>
  <si>
    <t>S.BM.CM.MULTI-PRIV.026.09</t>
  </si>
  <si>
    <t>S.BM.CM.MULTI-PRIV.027.09</t>
  </si>
  <si>
    <t>S.BM.CM.MULTI-PRIV.028.09A</t>
  </si>
  <si>
    <t>S.BM.CM.MULTI-PRIV.028.09B</t>
  </si>
  <si>
    <t>S.BM.CM.MULTI-PRIV.028.09M</t>
  </si>
  <si>
    <t>S.BM.CM.MULTI-PRIV.029.09</t>
  </si>
  <si>
    <t>S.BM.CM.MULTI-PRIV.030.09</t>
  </si>
  <si>
    <t>S.BM.CM.MULTI-PRIV.031.09</t>
  </si>
  <si>
    <t>S.BM.IND.AGR.004.09</t>
  </si>
  <si>
    <t>S.BM.IND.AGR.005.09A</t>
  </si>
  <si>
    <t>S.BM.IND.AGR.005.09B</t>
  </si>
  <si>
    <t>S.BM.IND.AGR.005.09M</t>
  </si>
  <si>
    <t>S.BM.IND.AGR.006.09</t>
  </si>
  <si>
    <t>S.BM.IND.AGR.007.09A</t>
  </si>
  <si>
    <t>S.BM.IND.AGR.007.09B</t>
  </si>
  <si>
    <t>S.BM.IND.AGR.007.09M</t>
  </si>
  <si>
    <t>S.BM.IND.AGR.008.09A</t>
  </si>
  <si>
    <t>S.BM.IND.AGR.008.09M</t>
  </si>
  <si>
    <t>S.BM.IND.AGR.009.09</t>
  </si>
  <si>
    <t>S.BM.IND.AGR.010.09A</t>
  </si>
  <si>
    <t>S.BM.IND.AGR.010.09B</t>
  </si>
  <si>
    <t>S.BM.IND.AGR.010.09C</t>
  </si>
  <si>
    <t>S.BM.IND.AGR.010.09M</t>
  </si>
  <si>
    <t>S.BM.IND.AGR.011.09</t>
  </si>
  <si>
    <t>S.BM.IND.AGR.012.09</t>
  </si>
  <si>
    <t>S.BM.IND.AGR.013.09A</t>
  </si>
  <si>
    <t>S.BM.IND.AGR.013.09M</t>
  </si>
  <si>
    <t>S.BM.IND.AGR.014.09Delete</t>
  </si>
  <si>
    <t>S.BM.IND.AGR.015.09</t>
  </si>
  <si>
    <t>S.BM.IND.AGR.016.09A</t>
  </si>
  <si>
    <t>S.BM.IND.AGR.016.09B</t>
  </si>
  <si>
    <t>S.BM.IND.AGR.016.09M</t>
  </si>
  <si>
    <t>S.BM.IND.AGR.017.09</t>
  </si>
  <si>
    <t>S.BM.IND.AGR.018.09A</t>
  </si>
  <si>
    <t>S.BM.IND.AGR.018.09M</t>
  </si>
  <si>
    <t>S.BM.IND.AGR.019.09</t>
  </si>
  <si>
    <t>S.BM.IND.AGR.020.09</t>
  </si>
  <si>
    <t>S.BM.IND.AGR.021.09A</t>
  </si>
  <si>
    <t>S.BM.IND.AGR.021.09M</t>
  </si>
  <si>
    <t>S.BM.IND.AGR.022.09</t>
  </si>
  <si>
    <t>S.BM.IND.AGR.023.09</t>
  </si>
  <si>
    <t>S.BM.IND.AGR.024.09</t>
  </si>
  <si>
    <t>S.BM.IND.AGR.025.09A</t>
  </si>
  <si>
    <t>S.BM.IND.AGR.025.09M</t>
  </si>
  <si>
    <t>S.BM.IND.AGR.026.09Delete</t>
  </si>
  <si>
    <t>S.BM.IND.AGR.027.09</t>
  </si>
  <si>
    <t>S.BM.IND.AGR.028.09</t>
  </si>
  <si>
    <t>S.BM.IND.AGR.029.09</t>
  </si>
  <si>
    <t>S.BM.IND.ALL.001.09</t>
  </si>
  <si>
    <t>S.BM.IND.ALL.002.09</t>
  </si>
  <si>
    <t>S.BM.IND.ALL.003.09</t>
  </si>
  <si>
    <t>S.BM.IND.ALL.004.09A</t>
  </si>
  <si>
    <t>S.BM.IND.ALL.004.09B</t>
  </si>
  <si>
    <t>S.BM.IND.ALL.004.09M</t>
  </si>
  <si>
    <t>S.BM.IND.ALL.005.09</t>
  </si>
  <si>
    <t>S.BM.IND.ALL.006.09</t>
  </si>
  <si>
    <t>S.BM.IND.ALL.007.09</t>
  </si>
  <si>
    <t>S.BM.IND.ALL.008.09</t>
  </si>
  <si>
    <t>S.BM.CM.SCH.097.09P</t>
  </si>
  <si>
    <t>S.BM.CM.SCH.098.09P</t>
  </si>
  <si>
    <t>S.BM.CM.SCH.099.09P</t>
  </si>
  <si>
    <t>S.BM.CM.SCH.100.09P</t>
  </si>
  <si>
    <t>S.BM.CM.SCH.101.09P</t>
  </si>
  <si>
    <t>S.BM.CM.SCH.102.09P</t>
  </si>
  <si>
    <t>S.BM.CM.SCH.103.09P</t>
  </si>
  <si>
    <t>S.BM.CM.SCH.104.09P</t>
  </si>
  <si>
    <t>S.BM.IND.ALL.019.09</t>
  </si>
  <si>
    <t>S.BM.IND.ALL.020.09</t>
  </si>
  <si>
    <t>S.BM.IND.ALL.021.09</t>
  </si>
  <si>
    <t>S.BM.IND.ALL.022.09</t>
  </si>
  <si>
    <t>S.BM.IND.ALL.023.09</t>
  </si>
  <si>
    <t>S.BM.IND.ALL.024.09</t>
  </si>
  <si>
    <t>S.BM.IND.ALL.025.09</t>
  </si>
  <si>
    <t>S.BM.IND.ALL.026.09A</t>
  </si>
  <si>
    <t>S.BM.IND.ALL.026.09Delete B</t>
  </si>
  <si>
    <t>S.BM.IND.ALL.026.09Delete C</t>
  </si>
  <si>
    <t>S.BM.IND.ALL.026.09Delete D</t>
  </si>
  <si>
    <t>S.BM.IND.ALL.026.09M</t>
  </si>
  <si>
    <t>S.BM.IND.ALL.027.09</t>
  </si>
  <si>
    <t>S.BM.IND.ALL.028.09</t>
  </si>
  <si>
    <t>S.BM.IND.ALL.029.09</t>
  </si>
  <si>
    <t>S.BM.IND.ALL.030.09</t>
  </si>
  <si>
    <t>S.BM.IND.ALL.031.09</t>
  </si>
  <si>
    <t>S.BM.IND.ALL.032.09</t>
  </si>
  <si>
    <t>S.BM.IND.ALL.033.09</t>
  </si>
  <si>
    <t>S.BM.IND.ALL.034.09</t>
  </si>
  <si>
    <t>S.BM.IND.ALL.035.09</t>
  </si>
  <si>
    <t>S.BM.IND.ALL.036.09</t>
  </si>
  <si>
    <t>S.BM.IND.ALL.037.09</t>
  </si>
  <si>
    <t>S.BM.IND.ALL.038.09A</t>
  </si>
  <si>
    <t>S.BM.IND.ALL.038.09M</t>
  </si>
  <si>
    <t>S.BM.IND.ALL.039.09A</t>
  </si>
  <si>
    <t>S.BM.IND.ALL.039.09B</t>
  </si>
  <si>
    <t>S.BM.IND.ALL.039.09M</t>
  </si>
  <si>
    <t>S.BM.IND.ALL.040.09A</t>
  </si>
  <si>
    <t>S.BM.IND.ALL.040.09B</t>
  </si>
  <si>
    <t>S.BM.IND.ALL.040.09M</t>
  </si>
  <si>
    <t>S.BM.IND.ALL.041.09</t>
  </si>
  <si>
    <t>S.BM.IND.ALL.042.09</t>
  </si>
  <si>
    <t>S.BM.IND.ALL.043.09</t>
  </si>
  <si>
    <t>S.BM.IND.ALL.044.09A</t>
  </si>
  <si>
    <t>S.BM.IND.ALL.044.09B</t>
  </si>
  <si>
    <t>S.BM.IND.ALL.044.09M</t>
  </si>
  <si>
    <t>S.BM.IND.ALL.045.09</t>
  </si>
  <si>
    <t>S.BM.IND.ALL.046.09</t>
  </si>
  <si>
    <t>S.BM.IND.ALL.047.09A</t>
  </si>
  <si>
    <t>S.BM.IND.ALL.047.09M</t>
  </si>
  <si>
    <t>S.BM.IND.ALL.048.09</t>
  </si>
  <si>
    <t>S.BM.IND.ALL.049.09A</t>
  </si>
  <si>
    <t>S.BM.IND.ALL.049.09M</t>
  </si>
  <si>
    <t>S.BM.IND.ALL.050.09</t>
  </si>
  <si>
    <t>S.BM.IND.ALL.051.09</t>
  </si>
  <si>
    <t>S.BM.IND.ALL.052.09</t>
  </si>
  <si>
    <t>S.BM.IND.ALL.053.09</t>
  </si>
  <si>
    <t>S.BM.IND.ALL.054.09</t>
  </si>
  <si>
    <t>S.BM.IND.ALL.054.09A</t>
  </si>
  <si>
    <t>S.BM.IND.ALL.055.09</t>
  </si>
  <si>
    <t>S.BM.IND.ALL.056.09</t>
  </si>
  <si>
    <t>S.BM.IND.ALL.057.09</t>
  </si>
  <si>
    <t>S.BM.IND.ALL.058.09</t>
  </si>
  <si>
    <t>S.BM.IND.ALL.059.09</t>
  </si>
  <si>
    <t>S.BM.IND.ALL.060.09</t>
  </si>
  <si>
    <t>S.BM.IND.ALL.061.09</t>
  </si>
  <si>
    <t>S.BM.IND.ALL.062.09A DELETED</t>
  </si>
  <si>
    <t>S.BM.IND.ALL.062.09M</t>
  </si>
  <si>
    <t>S.BM.IND.ALL.063.09</t>
  </si>
  <si>
    <t>S.BM.IND.ALL.064.09</t>
  </si>
  <si>
    <t>S.BM.IND.ALL.065.09</t>
  </si>
  <si>
    <t>S.BM.IND.ALL.066.09</t>
  </si>
  <si>
    <t>S.BM.IND.ALL.067.09A</t>
  </si>
  <si>
    <t>S.BM.IND.ALL.067.09B</t>
  </si>
  <si>
    <t>S.BM.IND.ALL.067.09M</t>
  </si>
  <si>
    <t>S.BM.IND.ALL.068.09A</t>
  </si>
  <si>
    <t>S.BM.IND.ALL.068.09M</t>
  </si>
  <si>
    <t>S.BM.IND.ALL.069.09</t>
  </si>
  <si>
    <t>S.BM.IND.ALL.070.09</t>
  </si>
  <si>
    <t>S.BM.IND.ALL.071.09</t>
  </si>
  <si>
    <t>S.BM.IND.ALL.072.09</t>
  </si>
  <si>
    <t>S.BM.IND.ALL.073.09</t>
  </si>
  <si>
    <t>S.BM.IND.ALL.074.09</t>
  </si>
  <si>
    <t>S.BM.IND.ALL.075.09</t>
  </si>
  <si>
    <t>S.BM.IND.ALL.076.09A</t>
  </si>
  <si>
    <t>S.BM.IND.ALL.076.09M</t>
  </si>
  <si>
    <t>S.BM.IND.ALL.077.09</t>
  </si>
  <si>
    <t>S.BM.IND.ALL.078.09</t>
  </si>
  <si>
    <t>S.BM.IND.ALL.079.09</t>
  </si>
  <si>
    <t>S.BM.IND.ALL.080.09</t>
  </si>
  <si>
    <t>S.BM.IND.ALL.081.09</t>
  </si>
  <si>
    <t>S.BM.IND.ALL.082.09A</t>
  </si>
  <si>
    <t>S.BM.IND.ALL.082.09B</t>
  </si>
  <si>
    <t>S.BM.IND.ALL.082.09M</t>
  </si>
  <si>
    <t>S.BM.IND.ALL.083.09Deleted</t>
  </si>
  <si>
    <t>S.BM.IND.ALL.084.09Delete</t>
  </si>
  <si>
    <t>S.BM.IND.ALL.085.09Delete</t>
  </si>
  <si>
    <t>S.BM.IND.ALL.086.09Delete</t>
  </si>
  <si>
    <t>S.BM.IND.ALL.087.09Delete</t>
  </si>
  <si>
    <t>S.BM.IND.ALL.088.09Delete</t>
  </si>
  <si>
    <t>S.BM.IND.ALL.089.09Delete</t>
  </si>
  <si>
    <t>S.BM.IND.ALL.090.09</t>
  </si>
  <si>
    <t>S.BM.IND.ALL.091.09Delete</t>
  </si>
  <si>
    <t>S.BM.IND.ALL.092.09A</t>
  </si>
  <si>
    <t>S.BM.IND.ALL.092.09B deleted</t>
  </si>
  <si>
    <t>S.BM.IND.ALL.092.09M</t>
  </si>
  <si>
    <t>S.BM.IND.ALL.093.09A</t>
  </si>
  <si>
    <t>S.BM.IND.ALL.093.09B</t>
  </si>
  <si>
    <t>S.BM.IND.ALL.093.09M</t>
  </si>
  <si>
    <t>S.BM.IND.ALL.094.09</t>
  </si>
  <si>
    <t>S.BM.IND.ALL.095.09</t>
  </si>
  <si>
    <t>S.BM.IND.ALL.096.09</t>
  </si>
  <si>
    <t>Program Development - Mass Markets</t>
  </si>
  <si>
    <t>Address</t>
  </si>
  <si>
    <t>Gross annual gas savings</t>
  </si>
  <si>
    <t>Gross kWh</t>
  </si>
  <si>
    <t>Gross m3</t>
  </si>
  <si>
    <t>Commercial - Hotel/Motel - S.BM.CM.HTL</t>
  </si>
  <si>
    <t>Commercial - College/University - S.BM.CM.UNIV</t>
  </si>
  <si>
    <t>Commercial - Hospitals - S.BM.CM.HOS</t>
  </si>
  <si>
    <t>Reduction Factor %</t>
  </si>
  <si>
    <t>Total Net Incremental costs</t>
  </si>
  <si>
    <t>SMALL COMMERCIAL</t>
  </si>
  <si>
    <t>Industrial - Other Industrial - S.BM.IND.ALL</t>
  </si>
  <si>
    <t>Market Research - Mass Markets</t>
  </si>
  <si>
    <t>Commercial - Long Term Health Care - S.BM.CM.LTCARE</t>
  </si>
  <si>
    <t>S.BM.CM.MULTI-PRIV.075.09</t>
  </si>
  <si>
    <t>S.BM.CM.MULTI-PRIV.076.09</t>
  </si>
  <si>
    <t>S.BM.CM.MULTI-PRIV.077.09A</t>
  </si>
  <si>
    <t>S.BM.CM.MULTI-PRIV.077.09B</t>
  </si>
  <si>
    <t>S.BM.CM.MULTI-PRIV.077.09M</t>
  </si>
  <si>
    <t>S.BM.CM.MULTI-PRIV.078.09</t>
  </si>
  <si>
    <t>S.BM.CM.MULTI-PRIV.079.09</t>
  </si>
  <si>
    <t>S.BM.CM.MULTI-PRIV.080.09</t>
  </si>
  <si>
    <t>S.BM.CM.MULTI-PRIV.081.09</t>
  </si>
  <si>
    <t>S.BM.CM.MULTI-PRIV.082.09</t>
  </si>
  <si>
    <t>S.BM.CM.MULTI-PRIV.083.09A</t>
  </si>
  <si>
    <t>S.BM.CM.MULTI-PRIV.083.09B</t>
  </si>
  <si>
    <t>S.BM.CM.MULTI-PRIV.083.09M</t>
  </si>
  <si>
    <t>S.BM.CM.MULTI-PRIV.084.09A</t>
  </si>
  <si>
    <t>S.BM.CM.MULTI-PRIV.084.09M</t>
  </si>
  <si>
    <t>S.BM.CM.MULTI-PRIV.085.09</t>
  </si>
  <si>
    <t>S.BM.CM.MULTI-PRIV.086.09A</t>
  </si>
  <si>
    <t>S.BM.CM.MULTI-PRIV.086.09B</t>
  </si>
  <si>
    <t>S.BM.CM.MULTI-PRIV.086.09M</t>
  </si>
  <si>
    <t>S.BM.CM.MULTI-PRIV.087.09</t>
  </si>
  <si>
    <t>S.BM.CM.MULTI-PRIV.088.09</t>
  </si>
  <si>
    <t>S.BM.IND.ALL.097.09A</t>
  </si>
  <si>
    <t>S.BM.IND.ALL.097.09B</t>
  </si>
  <si>
    <t>S.BM.IND.ALL.097.09M</t>
  </si>
  <si>
    <t>S.BM.IND.ALL.098.09A</t>
  </si>
  <si>
    <t>S.BM.IND.ALL.098.09M</t>
  </si>
  <si>
    <t>S.BM.IND.ALL.099.09</t>
  </si>
  <si>
    <t>S.BM.IND.ALL.100.09</t>
  </si>
  <si>
    <t>S.BM.CM.MULTI-PRIV.032.09A</t>
  </si>
  <si>
    <t>S.BM.CM.MULTI-PRIV.032.09M</t>
  </si>
  <si>
    <t>S.BM.CM.MULTI-PRIV.033.09</t>
  </si>
  <si>
    <t>S.BM.CM.MULTI-PRIV.034.09A</t>
  </si>
  <si>
    <t>S.BM.CM.MULTI-PRIV.034.09M</t>
  </si>
  <si>
    <t>S.BM.CM.MULTI-PRIV.035.09</t>
  </si>
  <si>
    <t>S.BM.CM.MULTI-PRIV.036.09</t>
  </si>
  <si>
    <t>S.BM.CM.MULTI-PRIV.037.09</t>
  </si>
  <si>
    <t>S.BM.CM.MULTI-PRIV.038.09</t>
  </si>
  <si>
    <t>S.BM.CM.MULTI-PRIV.039.09</t>
  </si>
  <si>
    <t>S.BM.CM.MULTI-PRIV.040.09A</t>
  </si>
  <si>
    <t>S.BM.CM.MULTI-PRIV.040.09M</t>
  </si>
  <si>
    <t>S.BM.CM.MULTI-PRIV.041.09</t>
  </si>
  <si>
    <t>S.BM.CM.MULTI-PRIV.042.09</t>
  </si>
  <si>
    <t>S.BM.CM.MULTI-PRIV.043.09</t>
  </si>
  <si>
    <t>S.BM.CM.MULTI-PRIV.044.09</t>
  </si>
  <si>
    <t>S.BM.CM.MULTI-PRIV.045.09A</t>
  </si>
  <si>
    <t>S.BM.CM.MULTI-PRIV.045.09M</t>
  </si>
  <si>
    <t>S.BM.CM.MULTI-PRIV.046.09</t>
  </si>
  <si>
    <t>S.BM.CM.MULTI-PRIV.047.09</t>
  </si>
  <si>
    <t>S.BM.CM.MULTI-PRIV.048.09</t>
  </si>
  <si>
    <t>S.BM.CM.MULTI-PRIV.049.09A</t>
  </si>
  <si>
    <t>S.BM.CM.MULTI-PRIV.049.09M</t>
  </si>
  <si>
    <t>S.BM.CM.MULTI-PRIV.050.09A</t>
  </si>
  <si>
    <t>S.BM.CM.MULTI-PRIV.050.09M</t>
  </si>
  <si>
    <t>S.BM.CM.MULTI-PRIV.051.09</t>
  </si>
  <si>
    <t>S.BM.CM.MULTI-PRIV.052.09A</t>
  </si>
  <si>
    <t>S.BM.CM.MULTI-PRIV.052.09M</t>
  </si>
  <si>
    <t>S.BM.CM.MULTI-PRIV.053.09</t>
  </si>
  <si>
    <t>S.BM.CM.MULTI-PRIV.054.09A</t>
  </si>
  <si>
    <t>S.BM.CM.MULTI-PRIV.054.09B</t>
  </si>
  <si>
    <t>S.BM.CM.MULTI-PRIV.054.09M</t>
  </si>
  <si>
    <t>S.BM.CM.MULTI-PRIV.055.09A</t>
  </si>
  <si>
    <t>S.BM.CM.MULTI-PRIV.055.09B</t>
  </si>
  <si>
    <t>S.BM.CM.MULTI-PRIV.055.09M</t>
  </si>
  <si>
    <t>S.BM.CM.MULTI-PRIV.056.09A</t>
  </si>
  <si>
    <t>S.BM.CM.MULTI-PRIV.056.09B</t>
  </si>
  <si>
    <t>S.BM.CM.MULTI-PRIV.056.09C</t>
  </si>
  <si>
    <t>S.BM.CM.MULTI-PRIV.056.09M</t>
  </si>
  <si>
    <t>S.BM.CM.MULTI-PRIV.057.09</t>
  </si>
  <si>
    <t>S.BM.CM.MULTI-PRIV.058.09</t>
  </si>
  <si>
    <t>S.BM.CM.MULTI-PRIV.059.09</t>
  </si>
  <si>
    <t>S.BM.CM.MULTI-PRIV.060.09</t>
  </si>
  <si>
    <t>S.BM.CM.MULTI-PRIV.061.09A</t>
  </si>
  <si>
    <t>S.BM.CM.MULTI-PRIV.061.09M</t>
  </si>
  <si>
    <t>S.BM.CM.MULTI-PRIV.062.09</t>
  </si>
  <si>
    <t>S.BM.CM.MULTI-PRIV.063.09A</t>
  </si>
  <si>
    <t>S.BM.CM.MULTI-PRIV.063.09M</t>
  </si>
  <si>
    <t>S.BM.CM.MULTI-PRIV.064.09A</t>
  </si>
  <si>
    <t>S.BM.CM.MULTI-PRIV.064.09M</t>
  </si>
  <si>
    <t>S.BM.CM.MULTI-PRIV.066.09</t>
  </si>
  <si>
    <t>S.BM.CM.MULTI-PRIV.067.09</t>
  </si>
  <si>
    <t>S.BM.CM.MULTI-PRIV.068.09</t>
  </si>
  <si>
    <t>S.BM.CM.MULTI-PRIV.069.09A</t>
  </si>
  <si>
    <t>S.BM.CM.MULTI-PRIV.069.09B</t>
  </si>
  <si>
    <t>S.BM.CM.MULTI-PRIV.069.09M</t>
  </si>
  <si>
    <t>S.BM.CM.MULTI-PRIV.070.09A</t>
  </si>
  <si>
    <t>S.BM.CM.MULTI-PRIV.070.09B</t>
  </si>
  <si>
    <t>S.BM.CM.MULTI-PRIV.070.09M</t>
  </si>
  <si>
    <t>S.BM.CM.MULTI-PRIV.071.09A</t>
  </si>
  <si>
    <t>S.BM.CM.MULTI-PRIV.071.09B</t>
  </si>
  <si>
    <t>S.BM.CM.MULTI-PRIV.071.09M</t>
  </si>
  <si>
    <t>S.BM.CM.MULTI-PRIV.072.09A</t>
  </si>
  <si>
    <t>S.BM.CM.MULTI-PRIV.072.09B</t>
  </si>
  <si>
    <t>S.BM.CM.MULTI-PRIV.072.09M</t>
  </si>
  <si>
    <t>S.BM.CM.MULTI-PRIV.073.09A</t>
  </si>
  <si>
    <t>S.BM.CM.MULTI-PRIV.073.09M</t>
  </si>
  <si>
    <t>S.BM.CM.MULTI-PRIV.074.09</t>
  </si>
  <si>
    <t>S.BM.CM.MULTI-PRIV.124.09</t>
  </si>
  <si>
    <t>S.BM.CM.MULTI-PRIV.125.09</t>
  </si>
  <si>
    <t>S.BM.CM.MULTI-PRIV.126.09A</t>
  </si>
  <si>
    <t>S.BM.CM.MULTI-PRIV.126.09M</t>
  </si>
  <si>
    <t>S.BM.CM.MULTI-PRIV.127.09</t>
  </si>
  <si>
    <t>S.BM.CM.MULTI-PRIV.128.09</t>
  </si>
  <si>
    <t>S.BM.CM.MULTI-PRIV.089.09A</t>
  </si>
  <si>
    <t>S.BM.CM.MULTI-PRIV.089.09B</t>
  </si>
  <si>
    <t>S.BM.CM.MULTI-PRIV.089.09C</t>
  </si>
  <si>
    <t>S.BM.CM.MULTI-PRIV.089.09M</t>
  </si>
  <si>
    <t>S.BM.CM.MULTI-PRIV.090.09A</t>
  </si>
  <si>
    <t>S.BM.CM.MULTI-PRIV.090.09B</t>
  </si>
  <si>
    <t>S.BM.CM.MULTI-PRIV.090.09M</t>
  </si>
  <si>
    <t>S.BM.CM.MULTI-PRIV.091.09</t>
  </si>
  <si>
    <t>S.BM.CM.MULTI-PRIV.092.09</t>
  </si>
  <si>
    <t>S.BM.CM.MULTI-PRIV.093.09</t>
  </si>
  <si>
    <t>S.BM.CM.MULTI-PRIV.094.09</t>
  </si>
  <si>
    <t>S.BM.CM.MULTI-PRIV.095.09</t>
  </si>
  <si>
    <t>S.BM.CM.MULTI-PRIV.096.09A</t>
  </si>
  <si>
    <t>S.BM.CM.MULTI-PRIV.096.09M</t>
  </si>
  <si>
    <t>S.BM.CM.MULTI-PRIV.097.09A</t>
  </si>
  <si>
    <t>S.BM.CM.MULTI-PRIV.097.09B</t>
  </si>
  <si>
    <t>S.BM.CM.MULTI-PRIV.097.09M</t>
  </si>
  <si>
    <t>S.BM.CM.MULTI-PRIV.098.09A</t>
  </si>
  <si>
    <t>S.BM.CM.MULTI-PRIV.098.09B</t>
  </si>
  <si>
    <t>S.BM.CM.MULTI-PRIV.098.09M</t>
  </si>
  <si>
    <t>S.BM.CM.MULTI-PRIV.099.09A</t>
  </si>
  <si>
    <t>S.BM.CM.MULTI-PRIV.099.09M</t>
  </si>
  <si>
    <t>S.BM.CM.MULTI-PRIV.100.09</t>
  </si>
  <si>
    <t>S.BM.CM.MULTI-PRIV.101.09</t>
  </si>
  <si>
    <t>S.BM.CM.MULTI-PRIV.102.09A</t>
  </si>
  <si>
    <t>S.BM.CM.MULTI-PRIV.102.09M</t>
  </si>
  <si>
    <t>S.BM.CM.MULTI-PRIV.103.09A</t>
  </si>
  <si>
    <t>S.BM.CM.MULTI-PRIV.103.09B</t>
  </si>
  <si>
    <t>S.BM.CM.MULTI-PRIV.103.09M</t>
  </si>
  <si>
    <t>S.BM.CM.MULTI-PRIV.104.09A</t>
  </si>
  <si>
    <t>S.BM.CM.MULTI-PRIV.104.09M</t>
  </si>
  <si>
    <t>S.BM.CM.MULTI-PRIV.105.09A</t>
  </si>
  <si>
    <t>S.BM.CM.MULTI-PRIV.105.09B</t>
  </si>
  <si>
    <t>S.BM.CM.MULTI-PRIV.105.09C</t>
  </si>
  <si>
    <t>S.BM.CM.MULTI-PRIV.105.09M</t>
  </si>
  <si>
    <t>S.BM.CM.MULTI-PRIV.106.09</t>
  </si>
  <si>
    <t>S.BM.CM.MULTI-PRIV.107.09</t>
  </si>
  <si>
    <t>S.BM.CM.MULTI-PRIV.108.09A</t>
  </si>
  <si>
    <t>S.BM.CM.MULTI-PRIV.108.09B</t>
  </si>
  <si>
    <t>S.BM.CM.MULTI-PRIV.108.09M</t>
  </si>
  <si>
    <t>S.BM.CM.MULTI-PRIV.109.09A</t>
  </si>
  <si>
    <t>S.BM.CM.MULTI-PRIV.109.09M</t>
  </si>
  <si>
    <t>S.BM.CM.MULTI-PRIV.110.09A</t>
  </si>
  <si>
    <t>S.BM.CM.MULTI-PRIV.110.09B</t>
  </si>
  <si>
    <t>S.BM.CM.MULTI-PRIV.110.09C</t>
  </si>
  <si>
    <t>S.BM.CM.MULTI-PRIV.110.09M</t>
  </si>
  <si>
    <t>S.BM.CM.MULTI-PRIV.111.09A</t>
  </si>
  <si>
    <t>S.BM.CM.MULTI-PRIV.111.09B</t>
  </si>
  <si>
    <t>S.BM.CM.MULTI-PRIV.111.09C</t>
  </si>
  <si>
    <t>S.BM.CM.MULTI-PRIV.111.09M</t>
  </si>
  <si>
    <t>S.BM.CM.MULTI-PRIV.112.09A</t>
  </si>
  <si>
    <t>S.BM.CM.MULTI-PRIV.112.09B</t>
  </si>
  <si>
    <t>S.BM.CM.MULTI-PRIV.112.09C</t>
  </si>
  <si>
    <t>S.BM.CM.MULTI-PRIV.112.09M</t>
  </si>
  <si>
    <t>S.BM.CM.MULTI-PRIV.113.09A</t>
  </si>
  <si>
    <t>S.BM.CM.MULTI-PRIV.113.09B</t>
  </si>
  <si>
    <t>S.BM.CM.MULTI-PRIV.113.09C</t>
  </si>
  <si>
    <t>S.BM.CM.MULTI-PRIV.113.09M</t>
  </si>
  <si>
    <t>S.BM.CM.MULTI-PRIV.114.09A</t>
  </si>
  <si>
    <t>S.BM.CM.MULTI-PRIV.114.09M</t>
  </si>
  <si>
    <t>S.BM.CM.MULTI-PRIV.115.09A</t>
  </si>
  <si>
    <t>S.BM.CM.MULTI-PRIV.115.09B</t>
  </si>
  <si>
    <t>S.BM.CM.MULTI-PRIV.115.09M</t>
  </si>
  <si>
    <t>S.BM.CM.MULTI-PRIV.116.09</t>
  </si>
  <si>
    <t>S.BM.CM.MULTI-PRIV.117.09</t>
  </si>
  <si>
    <t>S.BM.CM.MULTI-PRIV.118.09A</t>
  </si>
  <si>
    <t>S.BM.CM.MULTI-PRIV.118.09M</t>
  </si>
  <si>
    <t>S.BM.CM.MULTI-PRIV.119.09A</t>
  </si>
  <si>
    <t>S.BM.CM.MULTI-PRIV.119.09M</t>
  </si>
  <si>
    <t>S.BM.CM.MULTI-PRIV.120.09A</t>
  </si>
  <si>
    <t>S.BM.CM.MULTI-PRIV.120.09M</t>
  </si>
  <si>
    <t>S.BM.CM.MULTI-PRIV.121.09A</t>
  </si>
  <si>
    <t>S.BM.CM.MULTI-PRIV.121.09B</t>
  </si>
  <si>
    <t>S.BM.CM.MULTI-PRIV.121.09M</t>
  </si>
  <si>
    <t>S.BM.CM.MULTI-PRIV.122.09</t>
  </si>
  <si>
    <t>S.BM.CM.MULTI-PRIV.123.09</t>
  </si>
  <si>
    <t>S.BM.CM.MULTI-PRIV.187.09A</t>
  </si>
  <si>
    <t>S.BM.CM.MULTI-PRIV.188.09</t>
  </si>
  <si>
    <t>S.BM.CM.MULTI-PRIV.188.09A</t>
  </si>
  <si>
    <t>S.BM.CM.MULTI-PRIV.189.09</t>
  </si>
  <si>
    <t>S.BM.CM.MULTI-PRIV.189.09A</t>
  </si>
  <si>
    <t>S.BM.CM.MULTI-PRIV.190.09Delete</t>
  </si>
  <si>
    <t>S.BM.CM.MULTI-PRIV.191.09A</t>
  </si>
  <si>
    <t>S.BM.CM.MULTI-PRIV.191.09M</t>
  </si>
  <si>
    <t>S.BM.CM.MULTI-PRIV.129.09</t>
  </si>
  <si>
    <t>S.BM.CM.MULTI-PRIV.130.09</t>
  </si>
  <si>
    <t>S.BM.CM.MULTI-PRIV.131.09</t>
  </si>
  <si>
    <t>S.BM.CM.MULTI-PRIV.132.09</t>
  </si>
  <si>
    <t>S.BM.CM.MULTI-PRIV.133.09</t>
  </si>
  <si>
    <t>S.BM.CM.MULTI-PRIV.134.09</t>
  </si>
  <si>
    <t>S.BM.CM.MULTI-PRIV.135.09</t>
  </si>
  <si>
    <t>S.BM.CM.MULTI-PRIV.136.09</t>
  </si>
  <si>
    <t>S.BM.CM.MULTI-PRIV.137.09</t>
  </si>
  <si>
    <t>S.BM.CM.MULTI-PRIV.138.09</t>
  </si>
  <si>
    <t>S.BM.CM.MULTI-PRIV.139.09</t>
  </si>
  <si>
    <t>S.BM.CM.MULTI-PRIV.140.09</t>
  </si>
  <si>
    <t>S.BM.CM.MULTI-PRIV.141.09</t>
  </si>
  <si>
    <t>S.BM.CM.MULTI-PRIV.142.09</t>
  </si>
  <si>
    <t>S.BM.CM.MULTI-PRIV.143.09</t>
  </si>
  <si>
    <t>S.BM.CM.MULTI-PRIV.144.09</t>
  </si>
  <si>
    <t>S.BM.CM.MULTI-PRIV.145.09</t>
  </si>
  <si>
    <t>S.BM.CM.MULTI-PRIV.146.09</t>
  </si>
  <si>
    <t>S.BM.CM.MULTI-PRIV.147.09</t>
  </si>
  <si>
    <t>S.BM.CM.MULTI-PRIV.148.09</t>
  </si>
  <si>
    <t>S.BM.CM.MULTI-PRIV.149.09</t>
  </si>
  <si>
    <t>S.BM.CM.MULTI-PRIV.150.09A</t>
  </si>
  <si>
    <t>S.BM.CM.MULTI-PRIV.150.09B</t>
  </si>
  <si>
    <t>S.BM.CM.MULTI-PRIV.150.09M</t>
  </si>
  <si>
    <t>S.BM.CM.MULTI-PRIV.151.09A</t>
  </si>
  <si>
    <t>S.BM.CM.MULTI-PRIV.151.09B</t>
  </si>
  <si>
    <t>S.BM.CM.MULTI-PRIV.151.09M</t>
  </si>
  <si>
    <t>S.BM.CM.MULTI-PRIV.152.09A</t>
  </si>
  <si>
    <t>S.BM.CM.MULTI-PRIV.152.09B</t>
  </si>
  <si>
    <t>S.BM.CM.MULTI-PRIV.152.09M</t>
  </si>
  <si>
    <t>S.BM.CM.MULTI-PRIV.153.09A</t>
  </si>
  <si>
    <t>S.BM.CM.MULTI-PRIV.153.09B</t>
  </si>
  <si>
    <t>S.BM.CM.MULTI-PRIV.153.09M</t>
  </si>
  <si>
    <t>S.BM.CM.MULTI-PRIV.154.09A</t>
  </si>
  <si>
    <t>S.BM.CM.MULTI-PRIV.154.09M</t>
  </si>
  <si>
    <t>S.BM.CM.MULTI-PRIV.155.09</t>
  </si>
  <si>
    <t>S.BM.CM.MULTI-PRIV.156.09</t>
  </si>
  <si>
    <t>S.BM.CM.MULTI-PRIV.157.09</t>
  </si>
  <si>
    <t>S.BM.CM.MULTI-PRIV.158.09</t>
  </si>
  <si>
    <t>S.BM.CM.MULTI-PRIV.159.09</t>
  </si>
  <si>
    <t>S.BM.CM.MULTI-PRIV.160.09</t>
  </si>
  <si>
    <t>S.BM.CM.MULTI-PRIV.161.09A</t>
  </si>
  <si>
    <t>S.BM.CM.MULTI-PRIV.161.09M</t>
  </si>
  <si>
    <t>S.BM.CM.MULTI-PRIV.162.09A</t>
  </si>
  <si>
    <t>S.BM.CM.MULTI-PRIV.162.09M</t>
  </si>
  <si>
    <t>S.BM.CM.MULTI-PRIV.163.09</t>
  </si>
  <si>
    <t>S.BM.CM.MULTI-PRIV.164.09</t>
  </si>
  <si>
    <t>S.BM.CM.MULTI-PRIV.165.09</t>
  </si>
  <si>
    <t>S.BM.CM.MULTI-PRIV.166.09</t>
  </si>
  <si>
    <t>S.BM.CM.MULTI-PRIV.167.09</t>
  </si>
  <si>
    <t>S.BM.CM.MULTI-PRIV.168.09</t>
  </si>
  <si>
    <t>S.BM.CM.MULTI-PRIV.169.09</t>
  </si>
  <si>
    <t>S.BM.CM.MULTI-PRIV.170.09</t>
  </si>
  <si>
    <t>S.BM.CM.MULTI-PRIV.171.09</t>
  </si>
  <si>
    <t>S.BM.CM.MULTI-PRIV.172.09</t>
  </si>
  <si>
    <t>S.BM.CM.MULTI-PRIV.173.09</t>
  </si>
  <si>
    <t>S.BM.CM.MULTI-PRIV.174.09</t>
  </si>
  <si>
    <t>S.BM.CM.MULTI-PRIV.175.09</t>
  </si>
  <si>
    <t>S.BM.CM.MULTI-PRIV.176.09</t>
  </si>
  <si>
    <t>S.BM.CM.MULTI-PRIV.177.09A</t>
  </si>
  <si>
    <t>S.BM.CM.MULTI-PRIV.177.09M</t>
  </si>
  <si>
    <t>S.BM.CM.MULTI-PRIV.178.09</t>
  </si>
  <si>
    <t>S.BM.CM.MULTI-PRIV.179.09A</t>
  </si>
  <si>
    <t>S.BM.CM.MULTI-PRIV.179.09M</t>
  </si>
  <si>
    <t>S.BM.CM.MULTI-PRIV.180.09</t>
  </si>
  <si>
    <t>S.BM.CM.MULTI-PRIV.181.09</t>
  </si>
  <si>
    <t>S.BM.CM.MULTI-PRIV.182.09</t>
  </si>
  <si>
    <t>S.BM.CM.MULTI-PRIV.183.09</t>
  </si>
  <si>
    <t>S.BM.CM.MULTI-PRIV.184.09</t>
  </si>
  <si>
    <t>S.BM.CM.MULTI-PRIV.185.09</t>
  </si>
  <si>
    <t>S.BM.CM.MULTI-PRIV.186.09</t>
  </si>
  <si>
    <t>S.BM.CM.MULTI-PRIV.187.09</t>
  </si>
  <si>
    <t>S.BM.CM.MULTI-PRIV.192.09</t>
  </si>
  <si>
    <t>S.BM.CM.MULTI-PRIV.193.09</t>
  </si>
  <si>
    <t>S.BM.CM.MULTI-PRIV.194.09</t>
  </si>
  <si>
    <t>S.BM.CM.MULTI-PRIV.195.09A</t>
  </si>
  <si>
    <t>S.BM.CM.MULTI-PRIV.195.09M</t>
  </si>
  <si>
    <t>S.BM.CM.MULTI-PRIV.196.09</t>
  </si>
  <si>
    <t>S.BM.CM.MULTI-PRIV.197.09A</t>
  </si>
  <si>
    <t>S.BM.CM.MULTI-PRIV.197.09M</t>
  </si>
  <si>
    <t>S.BM.CM.MULTI-PRIV.198.09</t>
  </si>
  <si>
    <t>S.BM.CM.MULTI-PRIV.198.09A</t>
  </si>
  <si>
    <t>S.BM.CM.MULTI-PRIV.199.09</t>
  </si>
  <si>
    <t>S.BM.CM.MULTI-PRIV.200.09</t>
  </si>
  <si>
    <t>S.BM.CM.MULTI-PRIV.201.09A</t>
  </si>
  <si>
    <t>S.BM.CM.MULTI-PRIV.201.09B</t>
  </si>
  <si>
    <t>S.BM.CM.MULTI-PRIV.201.09M</t>
  </si>
  <si>
    <t>S.BM.CM.MULTI-PRIV.202.09A</t>
  </si>
  <si>
    <t>S.BM.CM.MULTI-PRIV.202.09B</t>
  </si>
  <si>
    <t>S.BM.CM.MULTI-PRIV.202.09M</t>
  </si>
  <si>
    <t>S.BM.CM.MULTI-PRIV.203.09A</t>
  </si>
  <si>
    <t>S.BM.CM.MULTI-PRIV.203.09M</t>
  </si>
  <si>
    <t>S.BM.CM.MULTI-PRIV.204.09A</t>
  </si>
  <si>
    <t>S.BM.CM.MULTI-PRIV.204.09M</t>
  </si>
  <si>
    <t>S.BM.CM.MULTI-PRIV.205.09A</t>
  </si>
  <si>
    <t>S.BM.CM.MULTI-PRIV.205.09B</t>
  </si>
  <si>
    <t>S.BM.CM.MULTI-PRIV.205.09M</t>
  </si>
  <si>
    <t>S.BM.CM.MULTI-PRIV.206.09</t>
  </si>
  <si>
    <t>S.BM.CM.MULTI-PRIV.207.09</t>
  </si>
  <si>
    <t>S.BM.CM.MULTI-PRIV.208.09A</t>
  </si>
  <si>
    <t>S.BM.CM.MULTI-PRIV.208.09M</t>
  </si>
  <si>
    <t>S.BM.CM.MULTI-PRIV.209.09</t>
  </si>
  <si>
    <t>S.BM.CM.MULTI-PRIV.210.09Delete</t>
  </si>
  <si>
    <t>S.BM.CM.MULTI-PRIV.211.09</t>
  </si>
  <si>
    <t>S.BM.CM.MULTI-PRIV.212.09A</t>
  </si>
  <si>
    <t>S.BM.CM.MULTI-PRIV.212.09B</t>
  </si>
  <si>
    <t>S.BM.CM.MULTI-PRIV.212.09M</t>
  </si>
  <si>
    <t>S.BM.CM.MULTI-PRIV.213.09A</t>
  </si>
  <si>
    <t>S.BM.CM.MULTI-PRIV.213.09M</t>
  </si>
  <si>
    <t>S.BM.CM.MULTI-PRIV.214.09A</t>
  </si>
  <si>
    <t>S.BM.CM.MULTI-PRIV.214.09M</t>
  </si>
  <si>
    <t>S.BM.CM.MULTI-PRIV.215.09</t>
  </si>
  <si>
    <t>S.BM.CM.MULTI-PRIV.216.09A</t>
  </si>
  <si>
    <t>S.BM.CM.MULTI-PRIV.216.09M</t>
  </si>
  <si>
    <t>S.BM.CM.MULTI-PRIV.217.09</t>
  </si>
  <si>
    <t>S.BM.CM.MULTI-PRIV.218.09</t>
  </si>
  <si>
    <t>S.BM.CM.MULTI-PRIV.219.09</t>
  </si>
  <si>
    <t>S.BM.CM.MULTI-PRIV.220.09</t>
  </si>
  <si>
    <t>S.BM.CM.MULTI-PRIV.221.09</t>
  </si>
  <si>
    <t>S.BM.CM.MULTI-PRIV.222.09</t>
  </si>
  <si>
    <t>S.BM.CM.MULTI-PRIV.223.09</t>
  </si>
  <si>
    <t>S.BM.CM.MULTI-PRIV.224.09</t>
  </si>
  <si>
    <t>S.BM.CM.MULTI-PRIV.225.09</t>
  </si>
  <si>
    <t>S.BM.CM.MULTI-PRIV.226.09</t>
  </si>
  <si>
    <t>S.BM.CM.MULTI-PRIV.227.09A</t>
  </si>
  <si>
    <t>S.BM.CM.MULTI-PRIV.227.09M</t>
  </si>
  <si>
    <t>S.BM.CM.MULTI-PRIV.228.09</t>
  </si>
  <si>
    <t>S.BM.CM.MULTI-PRIV.229.09A</t>
  </si>
  <si>
    <t>S.BM.CM.MULTI-PRIV.229.09M</t>
  </si>
  <si>
    <t>S.BM.CM.MULTI-PRIV.230.09</t>
  </si>
  <si>
    <t>S.BM.CM.MULTI-PRIV.231.09</t>
  </si>
  <si>
    <t>S.BM.CM.MULTI-PRIV.232.09A</t>
  </si>
  <si>
    <t>S.BM.CM.MULTI-PRIV.232.09B</t>
  </si>
  <si>
    <t>S.BM.CM.MULTI-PRIV.232.09M</t>
  </si>
  <si>
    <t>S.BM.CM.MULTI-PRIV.233.09A</t>
  </si>
  <si>
    <t>S.BM.CM.MULTI-PRIV.233.09M</t>
  </si>
  <si>
    <t>S.BM.CM.MULTI-PRIV.234.09A</t>
  </si>
  <si>
    <t>S.BM.CM.MULTI-PRIV.234.09M</t>
  </si>
  <si>
    <t>S.BM.CM.MULTI-PRIV.235.09A</t>
  </si>
  <si>
    <t>S.BM.CM.MULTI-PRIV.235.09M</t>
  </si>
  <si>
    <t>S.BM.CM.MULTI-PRIV.236.09</t>
  </si>
  <si>
    <t>S.BM.CM.MULTI-PRIV.237.09A</t>
  </si>
  <si>
    <t>S.BM.CM.MULTI-PRIV.237.09M</t>
  </si>
  <si>
    <t>S.BM.CM.MULTI-PRIV.238.09A</t>
  </si>
  <si>
    <t>S.BM.CM.MULTI-PRIV.238.09M</t>
  </si>
  <si>
    <t>S.BM.CM.MULTI-PRIV.239.09A</t>
  </si>
  <si>
    <t>S.BM.CM.MULTI-PRIV.239.09M</t>
  </si>
  <si>
    <t>S.BM.CM.MULTI-PRIV.240.09</t>
  </si>
  <si>
    <t>S.BM.CM.MULTI-PRIV.241.09</t>
  </si>
  <si>
    <t>S.BM.CM.MULTI-PRIV.242.09B</t>
  </si>
  <si>
    <t>S.BM.CM.MULTI-PRIV.242.09M</t>
  </si>
  <si>
    <t>S.BM.CM.MULTI-PRIV.243.09A</t>
  </si>
  <si>
    <t>S.BM.CM.MULTI-PRIV.243.09B</t>
  </si>
  <si>
    <t>S.BM.CM.MULTI-PRIV.243.09M</t>
  </si>
  <si>
    <t>S.BM.CM.MULTI-PRIV.244.09</t>
  </si>
  <si>
    <t>S.BM.CM.MULTI-PRIV.245.09A</t>
  </si>
  <si>
    <t>S.BM.CM.MULTI-PRIV.245.09M</t>
  </si>
  <si>
    <t>S.BM.CM.MULTI-PRIV.246.09A</t>
  </si>
  <si>
    <t>S.BM.CM.MULTI-PRIV.246.09M</t>
  </si>
  <si>
    <t>S.BM.CM.MULTI-PRIV.247.09</t>
  </si>
  <si>
    <t>S.BM.CM.MULTI-PRIV.248.09</t>
  </si>
  <si>
    <t>S.BM.CM.MULTI-PRIV.248.09A</t>
  </si>
  <si>
    <t>S.BM.CM.MULTI-PRIV.249.09</t>
  </si>
  <si>
    <t>S.BM.CM.MULTI-PRIV.250.09</t>
  </si>
  <si>
    <t>S.BM.CM.MULTI-PRIV.251.09</t>
  </si>
  <si>
    <t>S.BM.CM.MULTI-PRIV.252.09</t>
  </si>
  <si>
    <t>S.BM.CM.MULTI-PRIV.253.09</t>
  </si>
  <si>
    <t>S.BM.CM.MULTI-PRIV.254.09</t>
  </si>
  <si>
    <t>S.BM.CM.MULTI-PRIV.255.09A</t>
  </si>
  <si>
    <t>S.BM.CM.MULTI-PRIV.255.09M</t>
  </si>
  <si>
    <t>S.BM.CM.MULTI-PRIV.256.09A</t>
  </si>
  <si>
    <t>S.BM.CM.MULTI-PRIV.256.09M</t>
  </si>
  <si>
    <t>S.BM.CM.MULTI-PRIV.257.09</t>
  </si>
  <si>
    <t>S.BM.CM.MULTI-PRIV.258.09A</t>
  </si>
  <si>
    <t>S.BM.CM.MULTI-PRIV.258.09M</t>
  </si>
  <si>
    <t>S.BM.CM.MULTI-PRIV.259.09</t>
  </si>
  <si>
    <t>S.BM.CM.MULTI-PRIV.260.09</t>
  </si>
  <si>
    <t>S.BM.CM.MULTI-PRIV.261.09</t>
  </si>
  <si>
    <t>S.BM.CM.OFF.001.09</t>
  </si>
  <si>
    <t>S.BM.CM.OFF.002.09A</t>
  </si>
  <si>
    <t>S.BM.CM.OFF.002.09M</t>
  </si>
  <si>
    <t>S.BM.CM.OFF.003.09A</t>
  </si>
  <si>
    <t>S.BM.CM.OFF.003.09B</t>
  </si>
  <si>
    <t>S.BM.CM.OFF.003.09M</t>
  </si>
  <si>
    <t>S.BM.CM.OFF.004.09</t>
  </si>
  <si>
    <t>S.BM.CM.OFF.005.09</t>
  </si>
  <si>
    <t>S.BM.CM.OFF.006.09</t>
  </si>
  <si>
    <t>S.BM.CM.OFF.007.09A</t>
  </si>
  <si>
    <t>S.BM.CM.OFF.007.09B</t>
  </si>
  <si>
    <t>S.BM.CM.OFF.007.09M</t>
  </si>
  <si>
    <t>S.BM.CM.OFF.008.09Delete</t>
  </si>
  <si>
    <t>S.BM.CM.OFF.009.09</t>
  </si>
  <si>
    <t>S.BM.CM.OFF.010.09</t>
  </si>
  <si>
    <t>S.BM.CM.OFF.011.09</t>
  </si>
  <si>
    <t>S.BM.CM.OFF.012.09A</t>
  </si>
  <si>
    <t>S.BM.CM.OFF.012.09M</t>
  </si>
  <si>
    <t>S.BM.CM.OFF.013.09</t>
  </si>
  <si>
    <t>S.BM.CM.OFF.014.09</t>
  </si>
  <si>
    <t>S.BM.CM.OFF.015.09</t>
  </si>
  <si>
    <t>S.BM.CM.OFF.016.09A</t>
  </si>
  <si>
    <t>S.BM.CM.OFF.016.09B</t>
  </si>
  <si>
    <t>S.BM.CM.OFF.016.09M</t>
  </si>
  <si>
    <t>S.BM.CM.OFF.017.09Delete - see OFF.016</t>
  </si>
  <si>
    <t>S.BM.CM.OFF.018.09Delete - see OFF.016</t>
  </si>
  <si>
    <t>S.BM.CM.OFF.019.09</t>
  </si>
  <si>
    <t>S.BM.CM.MULTI-PRIV.242.09A</t>
  </si>
  <si>
    <t>S.BM.CM.OFF.027.09</t>
  </si>
  <si>
    <t>S.BM.CM.OFF.028.09A</t>
  </si>
  <si>
    <t>S.BM.CM.OFF.028.09B</t>
  </si>
  <si>
    <t>S.BM.CM.OFF.028.09M</t>
  </si>
  <si>
    <t>S.BM.CM.OFF.029.09</t>
  </si>
  <si>
    <t>S.BM.CM.OFF.030.09</t>
  </si>
  <si>
    <t>S.BM.CM.OFF.031.09</t>
  </si>
  <si>
    <t>S.BM.CM.OFF.032.09</t>
  </si>
  <si>
    <t>S.BM.CM.OFF.033.09</t>
  </si>
  <si>
    <t>Channel Support</t>
  </si>
  <si>
    <t>Future Developmental Activities</t>
  </si>
  <si>
    <t>TAPS Partners Program - Kitchen Aerators</t>
  </si>
  <si>
    <t>TAPS Partners Program - Bathroom Aerators</t>
  </si>
  <si>
    <t xml:space="preserve">LI TAPS Partners Program - Bag test </t>
  </si>
  <si>
    <t>LI TAPS Partners Program - Kitchen Aerators</t>
  </si>
  <si>
    <t>LI TAPS Partners Program - Bathroom Aerators</t>
  </si>
  <si>
    <t>LI Prog Thermostats</t>
  </si>
  <si>
    <t xml:space="preserve">LI Weatherization program </t>
  </si>
  <si>
    <t>LI TAPS Partners Program - Showerheads 2.5+</t>
  </si>
  <si>
    <t>LI TAPS Partners Program - Showerheads 2.1 - 2.5</t>
  </si>
  <si>
    <t>RE.LIHP.WE</t>
  </si>
  <si>
    <t>RE.NOVI</t>
  </si>
  <si>
    <t>RE.LIHP.TH</t>
  </si>
  <si>
    <t>RE.TAPS.BT</t>
  </si>
  <si>
    <t>RE.LIHP.BT</t>
  </si>
  <si>
    <t>RE.TAPS.2.1</t>
  </si>
  <si>
    <t>RE.TAPS.AER BATH</t>
  </si>
  <si>
    <t>RE.TAPS.AER KIT</t>
  </si>
  <si>
    <t>RE.LIHP.AER BATH</t>
  </si>
  <si>
    <t>RE.LIHP.AER KIT</t>
  </si>
  <si>
    <t>RE.LIHP.SH</t>
  </si>
  <si>
    <t>RE.LIHP.SH.2.1</t>
  </si>
  <si>
    <t>S.BM.SC.AIR</t>
  </si>
  <si>
    <t>S.BM.SC.BOILERS</t>
  </si>
  <si>
    <t>Small Commercial Boilers</t>
  </si>
  <si>
    <t>S.BM.SC.DCKV</t>
  </si>
  <si>
    <t>S.BM.SC.DCKV2</t>
  </si>
  <si>
    <t>S.BM.SC.DCKV3</t>
  </si>
  <si>
    <t>S.BM.SC.GEN</t>
  </si>
  <si>
    <t>Small Commercial General</t>
  </si>
  <si>
    <t>S.BM.SC.HEFF</t>
  </si>
  <si>
    <t>S.BM.SC.PRSP</t>
  </si>
  <si>
    <t>S.BM.SC.REST</t>
  </si>
  <si>
    <t>Small Commercial Restaurants</t>
  </si>
  <si>
    <t>S.BM.SC.RTOP</t>
  </si>
  <si>
    <t>S.BM.SC.TKL</t>
  </si>
  <si>
    <t>S.BM.SC.TSTAT</t>
  </si>
  <si>
    <t>S.BM.CM.LTCARE</t>
  </si>
  <si>
    <t>S.BM.CM.RECOM</t>
  </si>
  <si>
    <t>S.BM.CM.FLW</t>
  </si>
  <si>
    <t>S.BM.CM.SHA</t>
  </si>
  <si>
    <t>S.BM.CM.OTHER</t>
  </si>
  <si>
    <t>RE.CHNL.MT</t>
  </si>
  <si>
    <t>RE.DEV.MT</t>
  </si>
  <si>
    <t>RE.FIRE.MT</t>
  </si>
  <si>
    <t>RE.HPC.MT</t>
  </si>
  <si>
    <t>RE.LIHP.MT</t>
  </si>
  <si>
    <t>S.BM.MT.BOIL</t>
  </si>
  <si>
    <t>S.BM.MT.BP</t>
  </si>
  <si>
    <t>S.BM.MT.MD</t>
  </si>
  <si>
    <t>Multi - Residential Private</t>
  </si>
  <si>
    <t>Multi - Residential Non Profit</t>
  </si>
  <si>
    <t>Multi - Residential ReCommissioning</t>
  </si>
  <si>
    <t>Front Load washers</t>
  </si>
  <si>
    <t>Commercial Tech  Development</t>
  </si>
  <si>
    <t>Industrial Tech Development</t>
  </si>
  <si>
    <t>Business Partner Transformation</t>
  </si>
  <si>
    <t xml:space="preserve">TOTAL PORTFOLIO (LESS PROGRAM ADMIN) + MARKET TRANSFORMATION </t>
  </si>
  <si>
    <t>Low income - Education/training/workshops/support - MT</t>
  </si>
  <si>
    <t>CM.MULTI-NP</t>
  </si>
  <si>
    <t>CM.MULTI-PRIV</t>
  </si>
  <si>
    <t>TAPS Partners Program - Showerheads over 2.5</t>
  </si>
  <si>
    <t>Total Multi-Residential Water Conservation</t>
  </si>
  <si>
    <t>AGRICULTURE</t>
  </si>
  <si>
    <t>RE.TAPS.CFL</t>
  </si>
  <si>
    <t>TAPS Partners - 13W CFLs (4 bulbs)</t>
  </si>
  <si>
    <t>RE.LIHP.CFL.13</t>
  </si>
  <si>
    <t>TAPS Low Income - 13W CFLs</t>
  </si>
  <si>
    <t>RE.LIHP.CFL.23</t>
  </si>
  <si>
    <t>TAPS Low Income - 23W CFLs</t>
  </si>
  <si>
    <t>S.BM.CM.OFF.034.09A</t>
  </si>
  <si>
    <t>S.BM.CM.OFF.034.09M</t>
  </si>
  <si>
    <t>S.BM.CM.OFF.035.09</t>
  </si>
  <si>
    <t>S.BM.CM.OFF.036.09A</t>
  </si>
  <si>
    <t>S.BM.CM.OFF.036.09M</t>
  </si>
  <si>
    <t>S.BM.CM.OFF.037.09</t>
  </si>
  <si>
    <t>S.BM.CM.OFF.038.09</t>
  </si>
  <si>
    <t>S.BM.CM.OFF.039.09</t>
  </si>
  <si>
    <t>S.BM.CM.OFF.040.09</t>
  </si>
  <si>
    <t>S.BM.CM.OFF.041.09</t>
  </si>
  <si>
    <t>S.BM.CM.OTHER.001.09</t>
  </si>
  <si>
    <t>S.BM.CM.OTHER.004.09</t>
  </si>
  <si>
    <t>S.BM.CM.OTHER.005.09</t>
  </si>
  <si>
    <t>S.BM.CM.OTHER.011.09</t>
  </si>
  <si>
    <t>S.BM.CM.OTHER.013.09</t>
  </si>
  <si>
    <t>S.BM.CM.OTHER.014.09</t>
  </si>
  <si>
    <t>S.BM.CM.OTHER.015.09A</t>
  </si>
  <si>
    <t>S.BM.CM.OTHER.015.09B</t>
  </si>
  <si>
    <t>S.BM.CM.OTHER.015.09M</t>
  </si>
  <si>
    <t>S.BM.CM.OTHER.016.09</t>
  </si>
  <si>
    <t>S.BM.CM.OTHER.017.09</t>
  </si>
  <si>
    <t>S.BM.CM.OTHER.018.09A</t>
  </si>
  <si>
    <t>S.BM.CM.OTHER.018.09M</t>
  </si>
  <si>
    <t>S.BM.CM.OTHER.019.09</t>
  </si>
  <si>
    <t>Commercial - Government - S.BM.CM.MUN</t>
  </si>
  <si>
    <t>S.BM.CM.SCH.034.09</t>
  </si>
  <si>
    <t>S.BM.CM.SCH.035.09</t>
  </si>
  <si>
    <t>S.BM.CM.SCH.036.09</t>
  </si>
  <si>
    <t>S.BM.CM.SCH.037.09</t>
  </si>
  <si>
    <t>S.BM.CM.SCH.038.09</t>
  </si>
  <si>
    <t>S.BM.CM.SCH.039.09</t>
  </si>
  <si>
    <t>S.BM.CM.SCH.040.09</t>
  </si>
  <si>
    <t>S.BM.CM.SCH.041.09</t>
  </si>
  <si>
    <t>S.BM.CM.SCH.042.09</t>
  </si>
  <si>
    <t>S.BM.CM.SCH.043.09</t>
  </si>
  <si>
    <t>S.BM.CM.SCH.044.09</t>
  </si>
  <si>
    <t>S.BM.CM.SCH.045.09</t>
  </si>
  <si>
    <t>S.BM.CM.SCH.046.09</t>
  </si>
  <si>
    <t>S.BM.CM.SCH.047.09delete</t>
  </si>
  <si>
    <t>S.BM.CM.SCH.048.09P</t>
  </si>
  <si>
    <t>S.BM.CM.SCH.049.09P</t>
  </si>
  <si>
    <t>S.BM.CM.SCH.050.09P</t>
  </si>
  <si>
    <t>S.BM.CM.SCH.051.09P</t>
  </si>
  <si>
    <t>S.BM.CM.SCH.052.09P</t>
  </si>
  <si>
    <t>S.BM.CM.SCH.053.09P</t>
  </si>
  <si>
    <t>S.BM.CM.SCH.054.09P</t>
  </si>
  <si>
    <t>S.BM.CM.SCH.055.09P</t>
  </si>
  <si>
    <t>S.BM.CM.SCH.023.09</t>
  </si>
  <si>
    <t>S.BM.CM.SCH.024.09P</t>
  </si>
  <si>
    <t>S.BM.CM.SCH.025.09</t>
  </si>
  <si>
    <t>S.BM.CM.SCH.026.09</t>
  </si>
  <si>
    <t>S.BM.CM.SCH.027.09</t>
  </si>
  <si>
    <t>S.BM.CM.SCH.028.09</t>
  </si>
  <si>
    <t>S.BM.CM.MUN.037.09B</t>
  </si>
  <si>
    <t>S.BM.CM.SCH.058.09P</t>
  </si>
  <si>
    <t>S.BM.CM.SCH.059.09P</t>
  </si>
  <si>
    <t>S.BM.CM.SCH.060.09P</t>
  </si>
  <si>
    <t>S.BM.CM.SCH.061.09A</t>
  </si>
  <si>
    <t>S.BM.CM.SCH.061.09M</t>
  </si>
  <si>
    <t>S.BM.CM.SCH.062.09</t>
  </si>
  <si>
    <t>S.BM.CM.SCH.063.09P</t>
  </si>
  <si>
    <t>S.BM.CM.SCH.064.09P</t>
  </si>
  <si>
    <t>S.BM.CM.SCH.065.09P</t>
  </si>
  <si>
    <t>S.BM.CM.SCH.066.09P</t>
  </si>
  <si>
    <t>S.BM.CM.SCH.067.09P</t>
  </si>
  <si>
    <t>S.BM.CM.SCH.068.09P</t>
  </si>
  <si>
    <t>S.BM.CM.SCH.069.09P</t>
  </si>
  <si>
    <t>S.BM.CM.SCH.070.09</t>
  </si>
  <si>
    <t>S.BM.CM.SCH.071.09</t>
  </si>
  <si>
    <t>S.BM.CM.SCH.072.09</t>
  </si>
  <si>
    <t>S.BM.CM.SCH.073.09P</t>
  </si>
  <si>
    <t>S.BM.CM.SCH.074.09P</t>
  </si>
  <si>
    <t>S.BM.CM.SCH.075.09P</t>
  </si>
  <si>
    <t>S.BM.CM.SCH.076.09P</t>
  </si>
  <si>
    <t>S.BM.CM.SCH.077.09P</t>
  </si>
  <si>
    <t>S.BM.CM.SCH.078.09P</t>
  </si>
  <si>
    <t>S.BM.CM.SCH.079.09P</t>
  </si>
  <si>
    <t>S.BM.CM.SCH.080.09P</t>
  </si>
  <si>
    <t>S.BM.CM.SCH.081.09P</t>
  </si>
  <si>
    <t>S.BM.CM.SCH.082.09P</t>
  </si>
  <si>
    <t>S.BM.CM.SCH.083.09P</t>
  </si>
  <si>
    <t>S.BM.CM.SCH.084.09</t>
  </si>
  <si>
    <t>S.BM.CM.SCH.085.09P</t>
  </si>
  <si>
    <t>S.BM.CM.SCH.086.09P</t>
  </si>
  <si>
    <t>S.BM.CM.SCH.087.09P</t>
  </si>
  <si>
    <t>S.BM.CM.SCH.088.09P</t>
  </si>
  <si>
    <t>S.BM.CM.SCH.089.09P</t>
  </si>
  <si>
    <t>S.BM.CM.SCH.090.09P</t>
  </si>
  <si>
    <t>S.BM.CM.SCH.091.09P</t>
  </si>
  <si>
    <t>S.BM.CM.SCH.092.09P</t>
  </si>
  <si>
    <t>S.BM.CM.SCH.093.09P</t>
  </si>
  <si>
    <t>S.BM.CM.SCH.094.09P</t>
  </si>
  <si>
    <t>S.BM.CM.SCH.095.09P</t>
  </si>
  <si>
    <t>S.BM.CM.SCH.096.09P</t>
  </si>
  <si>
    <t>S.BM.CM.SCH.105.09P</t>
  </si>
  <si>
    <t>S.BM.CM.SCH.106.09P</t>
  </si>
  <si>
    <t>S.BM.CM.SCH.107.09P</t>
  </si>
  <si>
    <t>S.BM.CM.SCH.108.09P</t>
  </si>
  <si>
    <t>S.BM.CM.SCH.109.09</t>
  </si>
  <si>
    <t>S.BM.CM.SCH.110.09</t>
  </si>
  <si>
    <t>S.BM.CM.SCH.111.09</t>
  </si>
  <si>
    <t>S.BM.CM.SCH.112.09</t>
  </si>
  <si>
    <t>S.BM.CM.SCH.113.09</t>
  </si>
  <si>
    <t>S.BM.CM.SCH.114.09P</t>
  </si>
  <si>
    <t>S.BM.CM.SCH.115.09</t>
  </si>
  <si>
    <t>S.BM.CM.WHS.001.09</t>
  </si>
  <si>
    <t>S.BM.CM.WHS.002.09</t>
  </si>
  <si>
    <t>S.BM.CM.WHS.003.09</t>
  </si>
  <si>
    <t>S.BM.CM.WHS.004.09</t>
  </si>
  <si>
    <t>S.BM.CM.WHS.005.09</t>
  </si>
  <si>
    <t>S.BM.CM.HOS.015.09M</t>
  </si>
  <si>
    <t>S.BM.CM.HOS.016.09</t>
  </si>
  <si>
    <t>S.BM.CM.HOS.017.09</t>
  </si>
  <si>
    <t>S.BM.CM.HOS.018.09A</t>
  </si>
  <si>
    <t>S.BM.CM.HOS.018.09B</t>
  </si>
  <si>
    <t>S.BM.CM.HOS.018.09M</t>
  </si>
  <si>
    <t>S.BM.CM.HOS.019.09DELETE</t>
  </si>
  <si>
    <t>S.BM.CM.HOS.020.09</t>
  </si>
  <si>
    <t>S.BM.CM.HOS.021.09</t>
  </si>
  <si>
    <t>S.BM.CM.HOS.022.09</t>
  </si>
  <si>
    <t>S.BM.CM.HTL.001.09A</t>
  </si>
  <si>
    <t>S.BM.CM.NC.001.09</t>
  </si>
  <si>
    <t>S.BM.CM.NC.002.09</t>
  </si>
  <si>
    <t>S.BM.CM.NC.003.09</t>
  </si>
  <si>
    <t>S.BM.CM.NC.004.09</t>
  </si>
  <si>
    <t>S.BM.CM.NC.005.09</t>
  </si>
  <si>
    <t>S.BM.CM.NC.006.09</t>
  </si>
  <si>
    <t>S.BM.CM.NC.007.09</t>
  </si>
  <si>
    <t>S.BM.CM.NC.008.09</t>
  </si>
  <si>
    <t>S.BM.CM.NC.009.09</t>
  </si>
  <si>
    <t>S.BM.CM.NC.010.09</t>
  </si>
  <si>
    <t>S.BM.CM.NC.011.09</t>
  </si>
  <si>
    <t>S.BM.CM.NC.012.09</t>
  </si>
  <si>
    <t>S.BM.CM.NC.013.09</t>
  </si>
  <si>
    <t>S.BM.CM.NC.014.09</t>
  </si>
  <si>
    <t>S.BM.CM.NC.015.09</t>
  </si>
  <si>
    <t>S.BM.CM.NC.016.09</t>
  </si>
  <si>
    <t>S.BM.CM.NC.017.09</t>
  </si>
  <si>
    <t>S.BM.CM.NC.018.09</t>
  </si>
  <si>
    <t>S.BM.CM.NC.019.09</t>
  </si>
  <si>
    <t>S.BM.CM.NC.020.09</t>
  </si>
  <si>
    <t>S.BM.CM.NC.021.09</t>
  </si>
  <si>
    <t>S.BM.IND.AGR.001.09</t>
  </si>
  <si>
    <t>S.BM.IND.AGR.002.09A</t>
  </si>
  <si>
    <t>S.BM.IND.AGR.002.09M</t>
  </si>
  <si>
    <t>S.BM.IND.AGR.003.09</t>
  </si>
  <si>
    <t>Agriculture - S.BM.IND.AGR</t>
  </si>
  <si>
    <t>Commercial - Multi-Res Non-Profit - S.BM.CM.MULTI-NP</t>
  </si>
  <si>
    <t>Boiler Market Transformation</t>
  </si>
  <si>
    <t>EXISTING HOMES</t>
  </si>
  <si>
    <t>Home Performance Contractors</t>
  </si>
  <si>
    <t>Total Existing Homes</t>
  </si>
  <si>
    <t>Long Term Care</t>
  </si>
  <si>
    <t>Municipalities</t>
  </si>
  <si>
    <t>Universities</t>
  </si>
  <si>
    <t>Hospitals</t>
  </si>
  <si>
    <t>S.BM.CM.MUN</t>
  </si>
  <si>
    <t>S.BM.CM.UNIV</t>
  </si>
  <si>
    <t>S.BM.CM.SCH</t>
  </si>
  <si>
    <t>S.BM.CM.HOS</t>
  </si>
  <si>
    <t>S.BM.CM.HTL</t>
  </si>
  <si>
    <t>S.BM.CM.WHS</t>
  </si>
  <si>
    <t>Warehouses</t>
  </si>
  <si>
    <t>S.BM.CM.RET</t>
  </si>
  <si>
    <t>Retail</t>
  </si>
  <si>
    <t>S.BM.CM.OFF</t>
  </si>
  <si>
    <t>Offices</t>
  </si>
  <si>
    <t>Total Multi-Residential</t>
  </si>
  <si>
    <t>Total Industrial</t>
  </si>
  <si>
    <t>S.BM.CM.NC</t>
  </si>
  <si>
    <t>Mass Markets</t>
  </si>
  <si>
    <t>i</t>
  </si>
  <si>
    <t>RESIDENTIAL NEW CONSTRUCTION</t>
  </si>
  <si>
    <t>COMMERCIAL</t>
  </si>
  <si>
    <t>MULTI RESIDENTIAL</t>
  </si>
  <si>
    <t>LARGE NEW CONSTRUCTION</t>
  </si>
  <si>
    <t>INDUSTRIAL</t>
  </si>
  <si>
    <t>Water Heating Program Development</t>
  </si>
  <si>
    <t>Water Heating Market Research</t>
  </si>
  <si>
    <t>PROGRAM DEVELOPMENT</t>
  </si>
  <si>
    <t>MARKET RESEARCH</t>
  </si>
  <si>
    <t>Total Program Development</t>
  </si>
  <si>
    <t>TOTAL MASS MARKETS AND BUSINESS MARKETS</t>
  </si>
  <si>
    <t>Total Market Research</t>
  </si>
  <si>
    <t>TOTAL PORTFOLIO (LESS PORTFOLIO ADMIN)</t>
  </si>
  <si>
    <t>Commercial - Other Commercial - S.BM.CM.OTHER</t>
  </si>
  <si>
    <t>w</t>
  </si>
  <si>
    <t>S.BM.CM.MULTI-PRIV.007.09M</t>
  </si>
  <si>
    <t>S.BM.CM.MULTI-PRIV.008.09</t>
  </si>
  <si>
    <t>S.BM.CM.MULTI-PRIV.009.09</t>
  </si>
  <si>
    <t>S.BM.CM.MULTI-PRIV.010.09</t>
  </si>
  <si>
    <t>S.BM.CM.MULTI-PRIV.011.09</t>
  </si>
  <si>
    <t>S.BM.CM.MULTI-PRIV.012.09</t>
  </si>
  <si>
    <t>S.BM.CM.MULTI-PRIV.013.09</t>
  </si>
  <si>
    <t>S.BM.CM.MULTI-PRIV.014.09</t>
  </si>
  <si>
    <t>S.BM.CM.MULTI-PRIV.015.09</t>
  </si>
  <si>
    <t>S.BM.CM.MULTI-PRIV.016.09</t>
  </si>
  <si>
    <t>S.BM.CM.MULTI-PRIV.017.09</t>
  </si>
  <si>
    <t>S.BM.CM.MULTI-PRIV.018.09</t>
  </si>
  <si>
    <t xml:space="preserve"> </t>
  </si>
  <si>
    <t>Total New Construction</t>
  </si>
  <si>
    <t>Portfolio Administration</t>
  </si>
  <si>
    <t>Total Business Markets</t>
  </si>
  <si>
    <t>Schools</t>
  </si>
  <si>
    <t>Program codes</t>
  </si>
  <si>
    <t>Equipment Replacement</t>
  </si>
  <si>
    <t>RE2R38S</t>
  </si>
  <si>
    <t>RE3R41S</t>
  </si>
  <si>
    <t>RE3R44S</t>
  </si>
  <si>
    <t>Furnace Replacements</t>
  </si>
  <si>
    <t>Total Large New Construction</t>
  </si>
  <si>
    <t>Total Mass Markets MT</t>
  </si>
  <si>
    <t>Total Business Markets MT</t>
  </si>
  <si>
    <t>Total Mass Markets PD</t>
  </si>
  <si>
    <t>Total Business Markets PD</t>
  </si>
  <si>
    <t>Total Mass Markets MR</t>
  </si>
  <si>
    <t>Total Business Markets MR</t>
  </si>
  <si>
    <t>Drain Water Heat Recovery</t>
  </si>
  <si>
    <t>RE.FLAXW.MT</t>
  </si>
  <si>
    <t>Fireplace (EnerGuide P.4 Standard)</t>
  </si>
  <si>
    <t>Space Heating Program Development</t>
  </si>
  <si>
    <t>Res Building Envelope Prog Develop.</t>
  </si>
  <si>
    <t>Fireplace Program Development</t>
  </si>
  <si>
    <t>N/C Res Program Development (LEED for New Homes, Net Zero housing)</t>
  </si>
  <si>
    <t>Space Heating Market Research</t>
  </si>
  <si>
    <t>Res Building Envelope Mkt Research</t>
  </si>
  <si>
    <t>Fireplace Market Research</t>
  </si>
  <si>
    <t>N/C Res Market Research</t>
  </si>
  <si>
    <t>Hotels/Motels</t>
  </si>
  <si>
    <t>Other Commercial</t>
  </si>
  <si>
    <t xml:space="preserve">MUSH </t>
  </si>
  <si>
    <t>Commercial - School - S.BM.CM.SCH</t>
  </si>
  <si>
    <t>Total Residential</t>
  </si>
  <si>
    <t>LARGE COMMERCIAL</t>
  </si>
  <si>
    <t>Demand Side Management</t>
  </si>
  <si>
    <t>Hampton Methodologies - Unit Cost Saved ($/E3M3)</t>
  </si>
  <si>
    <t>Water Heating</t>
  </si>
  <si>
    <t>Fiscal Year</t>
  </si>
  <si>
    <t>Jan 02</t>
  </si>
  <si>
    <t>May 01</t>
  </si>
  <si>
    <t>Industrial Process</t>
  </si>
  <si>
    <t>Space Heating</t>
  </si>
  <si>
    <t>Commercial - Multi-Res Private - S.BM.CM.MULTI-PRIV</t>
  </si>
  <si>
    <t>Unit kWh</t>
  </si>
  <si>
    <t>Net kWh</t>
  </si>
  <si>
    <t>-</t>
  </si>
  <si>
    <t>SCT @ $40</t>
  </si>
  <si>
    <t>GAS ($/tonne)</t>
  </si>
  <si>
    <t>kWh ($/tonne)</t>
  </si>
  <si>
    <t>c</t>
  </si>
  <si>
    <t xml:space="preserve">"Direct" Program costs </t>
  </si>
  <si>
    <t>Business Markets</t>
  </si>
  <si>
    <t>Water</t>
  </si>
  <si>
    <t>RE.MM.TWH</t>
  </si>
  <si>
    <t>Tankless Water Heating</t>
  </si>
  <si>
    <t>RN.MM.ESH</t>
  </si>
  <si>
    <t>S.BM.IND.ALL</t>
  </si>
  <si>
    <t>S.BM.IND.AGR</t>
  </si>
  <si>
    <t>Commercial - Office - S.BM.CM.OFF</t>
  </si>
  <si>
    <t>Enbridge Gas Distribution 2009 DSM Results</t>
  </si>
  <si>
    <t>Avoided Gas Costs, 2009-2017</t>
  </si>
  <si>
    <t>Indicates updated inputs (March 2009)</t>
  </si>
  <si>
    <t>2009 Ontario CPI</t>
  </si>
  <si>
    <t>IESO, Dec., 2008</t>
  </si>
  <si>
    <t>2009 Wholesale water rates ¢/1000 litres</t>
  </si>
  <si>
    <t>Source:Muhammad Akhtar, November 2008</t>
  </si>
  <si>
    <t>Rates</t>
  </si>
  <si>
    <t>S.BM.IND.ALL.009.09</t>
  </si>
  <si>
    <t>S.BM.IND.ALL.010.09</t>
  </si>
  <si>
    <t>S.BM.IND.ALL.011.09</t>
  </si>
  <si>
    <t>S.BM.IND.ALL.012.09</t>
  </si>
  <si>
    <t>S.BM.IND.ALL.013.09</t>
  </si>
  <si>
    <t>S.BM.IND.ALL.014.09DELETE</t>
  </si>
  <si>
    <t>S.BM.IND.ALL.015.09</t>
  </si>
  <si>
    <t>S.BM.IND.ALL.016.09</t>
  </si>
  <si>
    <t>S.BM.IND.ALL.017.09</t>
  </si>
  <si>
    <t>S.BM.IND.ALL.018.09A</t>
  </si>
  <si>
    <t>S.BM.IND.ALL.018.09B</t>
  </si>
  <si>
    <t>S.BM.IND.ALL.018.09M</t>
  </si>
  <si>
    <t>Pre-Rinse Spray Nozzle (0.64 GPM) (Full Service)</t>
  </si>
  <si>
    <t>Pre-Rinse Spray Nozzle (0.64 GPM) (Limited)</t>
  </si>
  <si>
    <t>Pre-Rinse Spray Nozzle (0.64 GPM) (Other)</t>
  </si>
  <si>
    <t>Programmable thermostats (Warehouse, Industrial, Recreation, Agriculture)</t>
  </si>
  <si>
    <t>Programmable thermostats (Multi-family, Food Service)</t>
  </si>
  <si>
    <t>Programmable thermostats (Office, Information and Cultural, Educational Services)</t>
  </si>
  <si>
    <t>Programmable thermostats (Retail, Hotels/Motels)</t>
  </si>
  <si>
    <t>Condo Showerhead 2.0 -- 3.6+</t>
  </si>
  <si>
    <t>S.BM.CM.SHA.10</t>
  </si>
  <si>
    <t>Condo Bathroom Aerator 1.5</t>
  </si>
  <si>
    <t>S.BM.CM.SHA.11</t>
  </si>
  <si>
    <t>Condo Bathroom Aerator 1.0</t>
  </si>
  <si>
    <t>S.BM.CM.SHA.12</t>
  </si>
  <si>
    <t>Rental Showerhead 2.0 -- 3.6+</t>
  </si>
  <si>
    <t>S.BM.CM.SHA.13</t>
  </si>
  <si>
    <t>Rental Showerhead 2.0 -- 3.1 - 3.5</t>
  </si>
  <si>
    <t>S.BM.CM.SHA.14</t>
  </si>
  <si>
    <t>Rental Showerhead 2.0 -- 2.6 - 3.0</t>
  </si>
  <si>
    <t>S.BM.CM.SHA.15</t>
  </si>
  <si>
    <t>Rental Showerhead 1.5 -- 3.6+</t>
  </si>
  <si>
    <t>S.BM.CM.SHA.16</t>
  </si>
  <si>
    <t>Rental Showerhead 1.5 -- 3.1 - 3.5</t>
  </si>
  <si>
    <t>S.BM.CM.SHA.17</t>
  </si>
  <si>
    <t>Rental Showerhead 1.5 -- 2.6 - 3.0</t>
  </si>
  <si>
    <t>S.BM.CM.SHA.18</t>
  </si>
  <si>
    <t>Rental Showerhead 1.5 -- 2.0 - 2.5</t>
  </si>
  <si>
    <t>S.BM.CM.SHA.19</t>
  </si>
  <si>
    <t>Rental Kitchen Aerator 1.5</t>
  </si>
  <si>
    <t>S.BM.CM.SHA.2</t>
  </si>
  <si>
    <t>Condo Showerhead 2.0 -- 3.1 - 3.5</t>
  </si>
  <si>
    <t>S.BM.CM.SHA.20</t>
  </si>
  <si>
    <t>Rental Kitchen Aerator 1.0</t>
  </si>
  <si>
    <t>S.BM.CM.SHA.21</t>
  </si>
  <si>
    <t>Rental Bathroom Aerator 1.5</t>
  </si>
  <si>
    <t>S.BM.CM.SHA.22</t>
  </si>
  <si>
    <t>Rental Bathroom Aerator 1.0</t>
  </si>
  <si>
    <t>S.BM.CM.SHA.3</t>
  </si>
  <si>
    <t>Condo Showerhead 2.0 -- 2.6 - 3.0</t>
  </si>
  <si>
    <t>S.BM.CM.SHA.4</t>
  </si>
  <si>
    <t>Condo Showerhead 1.5 -- 3.6+</t>
  </si>
  <si>
    <t>S.BM.CM.SHA.5</t>
  </si>
  <si>
    <t>Condo Showerhead 1.5 -- 3.1 - 3.5</t>
  </si>
  <si>
    <t>S.BM.CM.SHA.6</t>
  </si>
  <si>
    <t>Condo Showerhead 1.5 -- 2.6 - 3.0</t>
  </si>
  <si>
    <t>S.BM.CM.SHA.7</t>
  </si>
  <si>
    <t>Condo Showerhead 1.5 -- 2.0 - 2.5</t>
  </si>
  <si>
    <t>S.BM.CM.SHA.8</t>
  </si>
  <si>
    <t>Condo Kitchen Aerator 1.5</t>
  </si>
  <si>
    <t>S.BM.CM.SHA.9</t>
  </si>
  <si>
    <t>Condo Kitchen Aerator 1.0</t>
  </si>
  <si>
    <t>TOTAL PROGRAMS + PROGRAM DEVELOPMENT + MARKET RESEARCH DSM PLAN</t>
  </si>
  <si>
    <t xml:space="preserve">LOW INCOME </t>
  </si>
  <si>
    <t>Total Low Income</t>
  </si>
  <si>
    <t>MARKET TRANSFORMATION</t>
  </si>
  <si>
    <t>Total Market Transformation</t>
  </si>
  <si>
    <t>Nominal Growth Rate, Dec 2004</t>
  </si>
  <si>
    <t xml:space="preserve">TAPS Partners Program - 2.1 - 2.5 </t>
  </si>
  <si>
    <t xml:space="preserve">Furnace Replacements </t>
  </si>
  <si>
    <t>Thermostats ($15)</t>
  </si>
  <si>
    <t>Novitherm</t>
  </si>
  <si>
    <t xml:space="preserve">EnergyStar for New Houses </t>
  </si>
  <si>
    <t xml:space="preserve">TAPS Partners Program - Bag test </t>
  </si>
  <si>
    <t>Commercial - Retail - S.BM.CM.RET</t>
  </si>
  <si>
    <t>Rooftop Units</t>
  </si>
  <si>
    <t>Tankless Water Heaters</t>
  </si>
  <si>
    <t>Commercial - Warehouses - S.BM.CM.WHS</t>
  </si>
  <si>
    <t>Total Small Commercial</t>
  </si>
  <si>
    <t>Total Large Commercial</t>
  </si>
  <si>
    <t>Name</t>
  </si>
  <si>
    <t>Net TRC Benefits</t>
  </si>
  <si>
    <t>Revised Gross m3</t>
  </si>
  <si>
    <t>CCM</t>
  </si>
  <si>
    <t>Avoided Cost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</si>
</sst>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&quot;$&quot;#,##0_);[Red]\(&quot;$&quot;#,##0\)"/>
    <numFmt numFmtId="165" formatCode="&quot;$&quot;#,##0.00_);[Red]\(&quot;$&quot;#,##0.0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$&quot;#,##0.00"/>
    <numFmt numFmtId="171" formatCode="&quot;$&quot;#,##0.0000"/>
    <numFmt numFmtId="172" formatCode="&quot;$&quot;#,##0.0000_);[Red]\(&quot;$&quot;#,##0.0000\)"/>
    <numFmt numFmtId="173" formatCode="0.0%"/>
    <numFmt numFmtId="174" formatCode="0.0000"/>
    <numFmt numFmtId="175" formatCode="_(&quot;$&quot;* #,##0.0000_);_(&quot;$&quot;* \(#,##0.0000\);_(&quot;$&quot;* &quot;-&quot;??_);_(@_)"/>
    <numFmt numFmtId="176" formatCode="_(&quot;$&quot;* #,##0_);_(&quot;$&quot;* \(#,##0\);_(&quot;$&quot;* &quot;-&quot;??_);_(@_)"/>
    <numFmt numFmtId="177" formatCode="0.00000"/>
    <numFmt numFmtId="178" formatCode="_(* #,##0.0000_);_(* \(#,##0.0000\);_(* &quot;-&quot;????_);_(@_)"/>
    <numFmt numFmtId="179" formatCode="_(* #,##0.0_);_(* \(#,##0.0\);_(* &quot;-&quot;_);_(@_)"/>
    <numFmt numFmtId="180" formatCode="_(* #,##0.00_);_(* \(#,##0.00\);_(* &quot;-&quot;_);_(@_)"/>
    <numFmt numFmtId="181" formatCode="#,##0.00;[Red]\(#,##0.00\)"/>
    <numFmt numFmtId="182" formatCode="#0.0%;[Red]\(#0.0%\)"/>
    <numFmt numFmtId="183" formatCode="0.000"/>
    <numFmt numFmtId="184" formatCode="_(* #,##0.000_);_(* \(#,##0.000\);_(* &quot;-&quot;??_);_(@_)"/>
    <numFmt numFmtId="185" formatCode="0.00_);[Red]\(0.00\)"/>
    <numFmt numFmtId="186" formatCode="0.0000000000"/>
    <numFmt numFmtId="187" formatCode="_(* #,##0.000_);_(* \(#,##0.000\);_(* &quot;-&quot;_);_(@_)"/>
    <numFmt numFmtId="188" formatCode="_(* #,##0.000000000000000_);_(* \(#,##0.000000000000000\);_(* &quot;-&quot;_);_(@_)"/>
  </numFmts>
  <fonts count="15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sz val="8"/>
      <name val="Times New Roman"/>
      <family val="1"/>
    </font>
    <font>
      <sz val="8"/>
      <color indexed="52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i/>
      <sz val="8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9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4" fillId="0" borderId="0" xfId="0" applyFont="1" applyFill="1"/>
    <xf numFmtId="173" fontId="4" fillId="0" borderId="0" xfId="4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173" fontId="4" fillId="0" borderId="5" xfId="4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76" fontId="4" fillId="0" borderId="5" xfId="2" applyNumberFormat="1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76" fontId="4" fillId="0" borderId="5" xfId="2" applyNumberFormat="1" applyFont="1" applyFill="1" applyBorder="1" applyAlignment="1">
      <alignment horizontal="center"/>
    </xf>
    <xf numFmtId="176" fontId="4" fillId="0" borderId="0" xfId="2" applyNumberFormat="1" applyFont="1" applyFill="1" applyAlignment="1">
      <alignment wrapText="1"/>
    </xf>
    <xf numFmtId="176" fontId="4" fillId="0" borderId="12" xfId="2" applyNumberFormat="1" applyFont="1" applyFill="1" applyBorder="1" applyAlignment="1">
      <alignment horizontal="center" wrapText="1"/>
    </xf>
    <xf numFmtId="166" fontId="4" fillId="0" borderId="5" xfId="1" applyFont="1" applyFill="1" applyBorder="1" applyAlignment="1">
      <alignment horizontal="center" wrapText="1"/>
    </xf>
    <xf numFmtId="166" fontId="4" fillId="0" borderId="13" xfId="1" applyFont="1" applyFill="1" applyBorder="1" applyAlignment="1">
      <alignment horizontal="center" wrapText="1"/>
    </xf>
    <xf numFmtId="166" fontId="4" fillId="0" borderId="14" xfId="1" applyFont="1" applyFill="1" applyBorder="1" applyAlignment="1">
      <alignment horizontal="center" wrapText="1"/>
    </xf>
    <xf numFmtId="166" fontId="4" fillId="0" borderId="11" xfId="1" applyFont="1" applyFill="1" applyBorder="1" applyAlignment="1"/>
    <xf numFmtId="173" fontId="4" fillId="0" borderId="11" xfId="4" applyNumberFormat="1" applyFont="1" applyFill="1" applyBorder="1" applyAlignment="1"/>
    <xf numFmtId="176" fontId="4" fillId="0" borderId="16" xfId="2" applyNumberFormat="1" applyFont="1" applyFill="1" applyBorder="1" applyAlignment="1">
      <alignment horizontal="centerContinuous"/>
    </xf>
    <xf numFmtId="176" fontId="4" fillId="0" borderId="15" xfId="2" applyNumberFormat="1" applyFont="1" applyFill="1" applyBorder="1" applyAlignment="1">
      <alignment horizontal="centerContinuous"/>
    </xf>
    <xf numFmtId="0" fontId="4" fillId="0" borderId="17" xfId="0" applyFont="1" applyFill="1" applyBorder="1" applyAlignment="1">
      <alignment horizontal="center"/>
    </xf>
    <xf numFmtId="166" fontId="4" fillId="0" borderId="0" xfId="1" applyFont="1" applyFill="1" applyBorder="1" applyAlignment="1"/>
    <xf numFmtId="179" fontId="4" fillId="0" borderId="5" xfId="1" applyNumberFormat="1" applyFont="1" applyFill="1" applyBorder="1" applyAlignment="1">
      <alignment horizontal="center" wrapText="1"/>
    </xf>
    <xf numFmtId="179" fontId="4" fillId="0" borderId="11" xfId="1" applyNumberFormat="1" applyFont="1" applyFill="1" applyBorder="1" applyAlignment="1"/>
    <xf numFmtId="180" fontId="4" fillId="0" borderId="0" xfId="1" applyNumberFormat="1" applyFont="1" applyFill="1"/>
    <xf numFmtId="0" fontId="4" fillId="0" borderId="0" xfId="0" applyFont="1" applyFill="1" applyAlignment="1"/>
    <xf numFmtId="179" fontId="4" fillId="0" borderId="0" xfId="1" applyNumberFormat="1" applyFont="1" applyFill="1" applyBorder="1" applyAlignment="1"/>
    <xf numFmtId="173" fontId="4" fillId="0" borderId="0" xfId="4" applyNumberFormat="1" applyFont="1" applyFill="1" applyBorder="1" applyAlignment="1"/>
    <xf numFmtId="166" fontId="4" fillId="0" borderId="0" xfId="1" applyFont="1" applyFill="1" applyAlignment="1"/>
    <xf numFmtId="168" fontId="4" fillId="0" borderId="0" xfId="1" applyNumberFormat="1" applyFont="1" applyFill="1" applyAlignment="1"/>
    <xf numFmtId="176" fontId="4" fillId="0" borderId="0" xfId="2" applyNumberFormat="1" applyFont="1" applyFill="1" applyAlignment="1"/>
    <xf numFmtId="168" fontId="4" fillId="0" borderId="0" xfId="1" applyNumberFormat="1" applyFont="1" applyFill="1" applyBorder="1" applyAlignment="1"/>
    <xf numFmtId="166" fontId="4" fillId="0" borderId="6" xfId="1" applyFont="1" applyFill="1" applyBorder="1" applyAlignment="1">
      <alignment horizontal="center" wrapText="1"/>
    </xf>
    <xf numFmtId="168" fontId="4" fillId="0" borderId="6" xfId="1" applyNumberFormat="1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/>
    </xf>
    <xf numFmtId="176" fontId="4" fillId="0" borderId="7" xfId="2" applyNumberFormat="1" applyFont="1" applyFill="1" applyBorder="1" applyAlignment="1">
      <alignment horizontal="center"/>
    </xf>
    <xf numFmtId="176" fontId="4" fillId="0" borderId="13" xfId="2" applyNumberFormat="1" applyFont="1" applyFill="1" applyBorder="1" applyAlignment="1">
      <alignment horizontal="center" wrapText="1"/>
    </xf>
    <xf numFmtId="166" fontId="4" fillId="0" borderId="6" xfId="1" applyFont="1" applyFill="1" applyBorder="1" applyAlignment="1"/>
    <xf numFmtId="166" fontId="4" fillId="0" borderId="8" xfId="1" applyFont="1" applyFill="1" applyBorder="1" applyAlignment="1"/>
    <xf numFmtId="179" fontId="4" fillId="0" borderId="8" xfId="1" applyNumberFormat="1" applyFont="1" applyFill="1" applyBorder="1" applyAlignment="1"/>
    <xf numFmtId="173" fontId="4" fillId="0" borderId="8" xfId="4" applyNumberFormat="1" applyFont="1" applyFill="1" applyBorder="1" applyAlignment="1"/>
    <xf numFmtId="166" fontId="4" fillId="0" borderId="7" xfId="1" applyFont="1" applyFill="1" applyBorder="1" applyAlignment="1"/>
    <xf numFmtId="166" fontId="4" fillId="0" borderId="19" xfId="1" applyFont="1" applyFill="1" applyBorder="1" applyAlignment="1"/>
    <xf numFmtId="166" fontId="4" fillId="0" borderId="20" xfId="1" applyFont="1" applyFill="1" applyBorder="1" applyAlignment="1"/>
    <xf numFmtId="168" fontId="4" fillId="0" borderId="19" xfId="1" applyNumberFormat="1" applyFont="1" applyFill="1" applyBorder="1" applyAlignment="1"/>
    <xf numFmtId="173" fontId="4" fillId="0" borderId="0" xfId="4" applyNumberFormat="1" applyFont="1" applyFill="1" applyAlignment="1"/>
    <xf numFmtId="179" fontId="4" fillId="0" borderId="0" xfId="1" applyNumberFormat="1" applyFont="1" applyFill="1" applyAlignment="1"/>
    <xf numFmtId="169" fontId="4" fillId="0" borderId="0" xfId="1" applyNumberFormat="1" applyFont="1" applyFill="1" applyBorder="1" applyAlignment="1"/>
    <xf numFmtId="176" fontId="4" fillId="0" borderId="0" xfId="2" applyNumberFormat="1" applyFont="1" applyFill="1" applyBorder="1" applyAlignment="1"/>
    <xf numFmtId="179" fontId="4" fillId="0" borderId="17" xfId="1" applyNumberFormat="1" applyFont="1" applyFill="1" applyBorder="1" applyAlignment="1"/>
    <xf numFmtId="173" fontId="4" fillId="0" borderId="17" xfId="4" applyNumberFormat="1" applyFont="1" applyFill="1" applyBorder="1" applyAlignment="1"/>
    <xf numFmtId="166" fontId="4" fillId="0" borderId="17" xfId="1" applyFont="1" applyFill="1" applyBorder="1" applyAlignment="1"/>
    <xf numFmtId="0" fontId="4" fillId="0" borderId="3" xfId="0" applyFont="1" applyFill="1" applyBorder="1" applyAlignment="1"/>
    <xf numFmtId="173" fontId="4" fillId="0" borderId="3" xfId="4" applyNumberFormat="1" applyFont="1" applyFill="1" applyBorder="1" applyAlignment="1"/>
    <xf numFmtId="168" fontId="4" fillId="0" borderId="3" xfId="1" applyNumberFormat="1" applyFont="1" applyFill="1" applyBorder="1" applyAlignment="1"/>
    <xf numFmtId="166" fontId="4" fillId="0" borderId="3" xfId="1" applyFont="1" applyFill="1" applyBorder="1" applyAlignment="1"/>
    <xf numFmtId="166" fontId="4" fillId="0" borderId="0" xfId="1" applyNumberFormat="1" applyFont="1" applyFill="1" applyAlignment="1"/>
    <xf numFmtId="167" fontId="4" fillId="0" borderId="17" xfId="2" applyFont="1" applyFill="1" applyBorder="1" applyAlignment="1"/>
    <xf numFmtId="167" fontId="4" fillId="0" borderId="0" xfId="2" applyFont="1" applyFill="1" applyBorder="1" applyAlignment="1"/>
    <xf numFmtId="0" fontId="4" fillId="0" borderId="10" xfId="0" applyFont="1" applyFill="1" applyBorder="1" applyAlignment="1"/>
    <xf numFmtId="166" fontId="4" fillId="0" borderId="10" xfId="1" applyFont="1" applyFill="1" applyBorder="1" applyAlignment="1"/>
    <xf numFmtId="179" fontId="4" fillId="0" borderId="10" xfId="1" applyNumberFormat="1" applyFont="1" applyFill="1" applyBorder="1" applyAlignment="1"/>
    <xf numFmtId="173" fontId="4" fillId="0" borderId="10" xfId="4" applyNumberFormat="1" applyFont="1" applyFill="1" applyBorder="1" applyAlignment="1"/>
    <xf numFmtId="176" fontId="4" fillId="0" borderId="10" xfId="2" applyNumberFormat="1" applyFont="1" applyFill="1" applyBorder="1" applyAlignment="1"/>
    <xf numFmtId="0" fontId="4" fillId="0" borderId="4" xfId="0" applyFont="1" applyFill="1" applyBorder="1" applyAlignment="1"/>
    <xf numFmtId="179" fontId="4" fillId="0" borderId="4" xfId="1" applyNumberFormat="1" applyFont="1" applyFill="1" applyBorder="1" applyAlignment="1"/>
    <xf numFmtId="173" fontId="4" fillId="0" borderId="4" xfId="4" applyNumberFormat="1" applyFont="1" applyFill="1" applyBorder="1" applyAlignment="1"/>
    <xf numFmtId="168" fontId="4" fillId="0" borderId="4" xfId="1" applyNumberFormat="1" applyFont="1" applyFill="1" applyBorder="1" applyAlignment="1"/>
    <xf numFmtId="166" fontId="4" fillId="0" borderId="4" xfId="1" applyFont="1" applyFill="1" applyBorder="1" applyAlignment="1"/>
    <xf numFmtId="0" fontId="4" fillId="0" borderId="9" xfId="0" applyFont="1" applyFill="1" applyBorder="1" applyAlignment="1"/>
    <xf numFmtId="179" fontId="4" fillId="0" borderId="9" xfId="1" applyNumberFormat="1" applyFont="1" applyFill="1" applyBorder="1" applyAlignment="1"/>
    <xf numFmtId="173" fontId="4" fillId="0" borderId="9" xfId="4" applyNumberFormat="1" applyFont="1" applyFill="1" applyBorder="1" applyAlignment="1"/>
    <xf numFmtId="166" fontId="4" fillId="0" borderId="9" xfId="1" applyFont="1" applyFill="1" applyBorder="1" applyAlignment="1"/>
    <xf numFmtId="179" fontId="4" fillId="0" borderId="3" xfId="1" applyNumberFormat="1" applyFont="1" applyFill="1" applyBorder="1" applyAlignment="1"/>
    <xf numFmtId="0" fontId="4" fillId="0" borderId="17" xfId="0" applyFont="1" applyFill="1" applyBorder="1" applyAlignment="1"/>
    <xf numFmtId="168" fontId="4" fillId="0" borderId="11" xfId="1" applyNumberFormat="1" applyFont="1" applyFill="1" applyBorder="1" applyAlignment="1"/>
    <xf numFmtId="176" fontId="4" fillId="0" borderId="11" xfId="2" applyNumberFormat="1" applyFont="1" applyFill="1" applyBorder="1" applyAlignment="1"/>
    <xf numFmtId="2" fontId="4" fillId="0" borderId="0" xfId="0" applyNumberFormat="1" applyFont="1" applyFill="1" applyAlignment="1">
      <alignment horizontal="center"/>
    </xf>
    <xf numFmtId="167" fontId="4" fillId="0" borderId="7" xfId="2" applyNumberFormat="1" applyFont="1" applyFill="1" applyBorder="1" applyAlignment="1"/>
    <xf numFmtId="167" fontId="4" fillId="0" borderId="13" xfId="2" applyNumberFormat="1" applyFont="1" applyFill="1" applyBorder="1" applyAlignment="1">
      <alignment horizontal="center" wrapText="1"/>
    </xf>
    <xf numFmtId="176" fontId="4" fillId="0" borderId="14" xfId="2" applyNumberFormat="1" applyFont="1" applyFill="1" applyBorder="1" applyAlignment="1">
      <alignment horizontal="center"/>
    </xf>
    <xf numFmtId="173" fontId="4" fillId="0" borderId="2" xfId="4" applyNumberFormat="1" applyFont="1" applyFill="1" applyBorder="1" applyAlignment="1"/>
    <xf numFmtId="179" fontId="4" fillId="0" borderId="2" xfId="1" applyNumberFormat="1" applyFont="1" applyFill="1" applyBorder="1" applyAlignment="1"/>
    <xf numFmtId="166" fontId="4" fillId="0" borderId="2" xfId="1" applyFont="1" applyFill="1" applyBorder="1" applyAlignment="1"/>
    <xf numFmtId="169" fontId="4" fillId="0" borderId="2" xfId="1" applyNumberFormat="1" applyFont="1" applyFill="1" applyBorder="1" applyAlignment="1"/>
    <xf numFmtId="176" fontId="4" fillId="0" borderId="2" xfId="2" applyNumberFormat="1" applyFont="1" applyFill="1" applyBorder="1" applyAlignment="1"/>
    <xf numFmtId="184" fontId="4" fillId="0" borderId="0" xfId="1" applyNumberFormat="1" applyFont="1" applyFill="1" applyAlignment="1"/>
    <xf numFmtId="184" fontId="4" fillId="0" borderId="0" xfId="1" applyNumberFormat="1" applyFont="1" applyFill="1" applyBorder="1" applyAlignment="1"/>
    <xf numFmtId="184" fontId="4" fillId="0" borderId="7" xfId="1" applyNumberFormat="1" applyFont="1" applyFill="1" applyBorder="1" applyAlignment="1"/>
    <xf numFmtId="184" fontId="4" fillId="0" borderId="13" xfId="1" applyNumberFormat="1" applyFont="1" applyFill="1" applyBorder="1" applyAlignment="1">
      <alignment horizontal="center" wrapText="1"/>
    </xf>
    <xf numFmtId="184" fontId="4" fillId="0" borderId="17" xfId="1" applyNumberFormat="1" applyFont="1" applyFill="1" applyBorder="1" applyAlignment="1"/>
    <xf numFmtId="184" fontId="4" fillId="0" borderId="3" xfId="1" applyNumberFormat="1" applyFont="1" applyFill="1" applyBorder="1" applyAlignment="1"/>
    <xf numFmtId="184" fontId="4" fillId="0" borderId="4" xfId="1" applyNumberFormat="1" applyFont="1" applyFill="1" applyBorder="1" applyAlignment="1"/>
    <xf numFmtId="184" fontId="4" fillId="0" borderId="9" xfId="1" applyNumberFormat="1" applyFont="1" applyFill="1" applyBorder="1" applyAlignment="1"/>
    <xf numFmtId="184" fontId="4" fillId="0" borderId="11" xfId="1" applyNumberFormat="1" applyFont="1" applyFill="1" applyBorder="1" applyAlignment="1"/>
    <xf numFmtId="184" fontId="4" fillId="0" borderId="2" xfId="1" applyNumberFormat="1" applyFont="1" applyFill="1" applyBorder="1" applyAlignment="1"/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center"/>
    </xf>
    <xf numFmtId="168" fontId="4" fillId="0" borderId="2" xfId="1" applyNumberFormat="1" applyFont="1" applyFill="1" applyBorder="1" applyAlignment="1"/>
    <xf numFmtId="167" fontId="4" fillId="0" borderId="10" xfId="2" applyFont="1" applyFill="1" applyBorder="1" applyAlignment="1"/>
    <xf numFmtId="167" fontId="4" fillId="0" borderId="0" xfId="2" applyFont="1" applyFill="1" applyAlignment="1"/>
    <xf numFmtId="9" fontId="4" fillId="0" borderId="0" xfId="4" applyFont="1" applyFill="1" applyAlignment="1"/>
    <xf numFmtId="165" fontId="4" fillId="0" borderId="0" xfId="2" applyNumberFormat="1" applyFont="1" applyFill="1" applyAlignment="1"/>
    <xf numFmtId="187" fontId="4" fillId="0" borderId="0" xfId="1" applyNumberFormat="1" applyFont="1" applyFill="1" applyAlignment="1"/>
    <xf numFmtId="167" fontId="4" fillId="0" borderId="5" xfId="2" applyFont="1" applyFill="1" applyBorder="1" applyAlignment="1">
      <alignment horizontal="center" wrapText="1"/>
    </xf>
    <xf numFmtId="167" fontId="4" fillId="0" borderId="2" xfId="2" applyFont="1" applyFill="1" applyBorder="1" applyAlignment="1"/>
    <xf numFmtId="167" fontId="4" fillId="0" borderId="11" xfId="2" applyFont="1" applyFill="1" applyBorder="1" applyAlignment="1"/>
    <xf numFmtId="9" fontId="4" fillId="0" borderId="17" xfId="4" applyFont="1" applyFill="1" applyBorder="1" applyAlignment="1"/>
    <xf numFmtId="187" fontId="4" fillId="0" borderId="17" xfId="1" applyNumberFormat="1" applyFont="1" applyFill="1" applyBorder="1" applyAlignment="1"/>
    <xf numFmtId="166" fontId="4" fillId="0" borderId="17" xfId="1" applyNumberFormat="1" applyFont="1" applyFill="1" applyBorder="1" applyAlignment="1"/>
    <xf numFmtId="167" fontId="4" fillId="0" borderId="8" xfId="2" applyFont="1" applyFill="1" applyBorder="1" applyAlignment="1"/>
    <xf numFmtId="167" fontId="4" fillId="0" borderId="3" xfId="2" applyFont="1" applyFill="1" applyBorder="1" applyAlignment="1"/>
    <xf numFmtId="167" fontId="4" fillId="0" borderId="4" xfId="2" applyFont="1" applyFill="1" applyBorder="1" applyAlignment="1"/>
    <xf numFmtId="167" fontId="4" fillId="0" borderId="9" xfId="2" applyFont="1" applyFill="1" applyBorder="1" applyAlignment="1"/>
    <xf numFmtId="173" fontId="4" fillId="0" borderId="0" xfId="1" applyNumberFormat="1" applyFont="1" applyFill="1" applyAlignment="1"/>
    <xf numFmtId="10" fontId="4" fillId="0" borderId="0" xfId="4" applyNumberFormat="1" applyFont="1" applyFill="1" applyAlignment="1"/>
    <xf numFmtId="9" fontId="4" fillId="0" borderId="0" xfId="4" applyNumberFormat="1" applyFont="1" applyFill="1" applyAlignment="1"/>
    <xf numFmtId="181" fontId="4" fillId="0" borderId="2" xfId="3" applyNumberFormat="1" applyFont="1" applyFill="1" applyBorder="1" applyAlignment="1">
      <alignment horizontal="right"/>
    </xf>
    <xf numFmtId="0" fontId="1" fillId="0" borderId="0" xfId="0" applyFont="1" applyFill="1" applyAlignment="1"/>
    <xf numFmtId="167" fontId="4" fillId="0" borderId="0" xfId="2" applyFont="1" applyFill="1" applyAlignment="1">
      <alignment wrapText="1"/>
    </xf>
    <xf numFmtId="166" fontId="4" fillId="0" borderId="6" xfId="1" applyFont="1" applyFill="1" applyBorder="1" applyAlignment="1">
      <alignment horizontal="center"/>
    </xf>
    <xf numFmtId="179" fontId="4" fillId="0" borderId="6" xfId="1" applyNumberFormat="1" applyFont="1" applyFill="1" applyBorder="1" applyAlignment="1">
      <alignment horizontal="center"/>
    </xf>
    <xf numFmtId="173" fontId="4" fillId="0" borderId="6" xfId="4" applyNumberFormat="1" applyFont="1" applyFill="1" applyBorder="1" applyAlignment="1">
      <alignment horizontal="center"/>
    </xf>
    <xf numFmtId="166" fontId="4" fillId="0" borderId="0" xfId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66" fontId="4" fillId="0" borderId="0" xfId="1" applyFont="1" applyFill="1" applyAlignment="1">
      <alignment horizontal="center"/>
    </xf>
    <xf numFmtId="167" fontId="4" fillId="0" borderId="0" xfId="2" applyFont="1" applyFill="1" applyAlignment="1">
      <alignment horizontal="center"/>
    </xf>
    <xf numFmtId="0" fontId="4" fillId="0" borderId="8" xfId="0" applyFont="1" applyFill="1" applyBorder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176" fontId="1" fillId="0" borderId="0" xfId="2" applyNumberFormat="1" applyFont="1" applyFill="1" applyAlignment="1"/>
    <xf numFmtId="0" fontId="4" fillId="0" borderId="10" xfId="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17" xfId="0" applyFont="1" applyFill="1" applyBorder="1" applyAlignment="1">
      <alignment horizontal="left"/>
    </xf>
    <xf numFmtId="167" fontId="4" fillId="0" borderId="0" xfId="2" applyFont="1" applyFill="1" applyBorder="1" applyAlignment="1">
      <alignment horizontal="right"/>
    </xf>
    <xf numFmtId="188" fontId="4" fillId="0" borderId="0" xfId="1" applyNumberFormat="1" applyFont="1" applyFill="1" applyAlignment="1"/>
    <xf numFmtId="167" fontId="4" fillId="0" borderId="10" xfId="2" applyFont="1" applyFill="1" applyBorder="1" applyAlignment="1">
      <alignment horizontal="right"/>
    </xf>
    <xf numFmtId="0" fontId="4" fillId="0" borderId="2" xfId="3" applyFont="1" applyFill="1" applyBorder="1" applyAlignment="1">
      <alignment horizontal="left"/>
    </xf>
    <xf numFmtId="0" fontId="4" fillId="0" borderId="2" xfId="3" applyFont="1" applyFill="1" applyBorder="1" applyAlignment="1">
      <alignment horizontal="right"/>
    </xf>
    <xf numFmtId="182" fontId="4" fillId="0" borderId="2" xfId="3" applyNumberFormat="1" applyFont="1" applyFill="1" applyBorder="1" applyAlignment="1">
      <alignment horizontal="right"/>
    </xf>
    <xf numFmtId="181" fontId="4" fillId="0" borderId="2" xfId="0" applyNumberFormat="1" applyFont="1" applyFill="1" applyBorder="1" applyAlignment="1">
      <alignment horizontal="right"/>
    </xf>
    <xf numFmtId="165" fontId="4" fillId="0" borderId="2" xfId="3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0" fontId="4" fillId="0" borderId="0" xfId="3" applyFont="1" applyFill="1" applyAlignment="1">
      <alignment horizontal="right"/>
    </xf>
    <xf numFmtId="38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182" fontId="4" fillId="0" borderId="2" xfId="0" applyNumberFormat="1" applyFont="1" applyFill="1" applyBorder="1" applyAlignment="1">
      <alignment horizontal="right"/>
    </xf>
    <xf numFmtId="173" fontId="4" fillId="0" borderId="2" xfId="0" applyNumberFormat="1" applyFont="1" applyFill="1" applyBorder="1" applyAlignment="1">
      <alignment horizontal="right"/>
    </xf>
    <xf numFmtId="184" fontId="4" fillId="0" borderId="2" xfId="0" applyNumberFormat="1" applyFont="1" applyFill="1" applyBorder="1" applyAlignment="1">
      <alignment horizontal="right"/>
    </xf>
    <xf numFmtId="167" fontId="4" fillId="0" borderId="2" xfId="2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right"/>
    </xf>
    <xf numFmtId="168" fontId="4" fillId="0" borderId="17" xfId="1" applyNumberFormat="1" applyFont="1" applyFill="1" applyBorder="1" applyAlignment="1"/>
    <xf numFmtId="3" fontId="4" fillId="0" borderId="0" xfId="2" applyNumberFormat="1" applyFont="1" applyFill="1" applyAlignment="1"/>
    <xf numFmtId="3" fontId="4" fillId="0" borderId="8" xfId="2" applyNumberFormat="1" applyFont="1" applyFill="1" applyBorder="1" applyAlignment="1">
      <alignment horizontal="center"/>
    </xf>
    <xf numFmtId="3" fontId="4" fillId="0" borderId="5" xfId="2" applyNumberFormat="1" applyFont="1" applyFill="1" applyBorder="1" applyAlignment="1">
      <alignment horizontal="center" wrapText="1"/>
    </xf>
    <xf numFmtId="3" fontId="4" fillId="0" borderId="0" xfId="2" applyNumberFormat="1" applyFont="1" applyFill="1" applyBorder="1" applyAlignment="1"/>
    <xf numFmtId="3" fontId="4" fillId="0" borderId="2" xfId="3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0" xfId="2" applyNumberFormat="1" applyFont="1" applyFill="1" applyBorder="1" applyAlignment="1"/>
    <xf numFmtId="3" fontId="4" fillId="0" borderId="0" xfId="1" applyNumberFormat="1" applyFont="1" applyFill="1" applyAlignment="1"/>
    <xf numFmtId="175" fontId="4" fillId="0" borderId="0" xfId="2" applyNumberFormat="1" applyFont="1" applyFill="1" applyAlignment="1">
      <alignment horizontal="center"/>
    </xf>
    <xf numFmtId="175" fontId="3" fillId="0" borderId="0" xfId="2" applyNumberFormat="1" applyFont="1" applyFill="1" applyBorder="1" applyProtection="1">
      <protection locked="0"/>
    </xf>
    <xf numFmtId="178" fontId="4" fillId="0" borderId="0" xfId="0" applyNumberFormat="1" applyFont="1" applyFill="1"/>
    <xf numFmtId="10" fontId="4" fillId="0" borderId="0" xfId="0" applyNumberFormat="1" applyFont="1" applyFill="1"/>
    <xf numFmtId="0" fontId="1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left"/>
    </xf>
    <xf numFmtId="166" fontId="4" fillId="0" borderId="0" xfId="1" applyFont="1" applyFill="1"/>
    <xf numFmtId="172" fontId="4" fillId="0" borderId="0" xfId="0" applyNumberFormat="1" applyFont="1" applyFill="1"/>
    <xf numFmtId="165" fontId="4" fillId="0" borderId="0" xfId="0" applyNumberFormat="1" applyFont="1" applyFill="1"/>
    <xf numFmtId="170" fontId="4" fillId="0" borderId="0" xfId="0" applyNumberFormat="1" applyFont="1" applyFill="1" applyAlignment="1">
      <alignment horizontal="center"/>
    </xf>
    <xf numFmtId="172" fontId="4" fillId="0" borderId="0" xfId="0" applyNumberFormat="1" applyFont="1" applyFill="1" applyAlignment="1">
      <alignment horizontal="center"/>
    </xf>
    <xf numFmtId="175" fontId="3" fillId="0" borderId="0" xfId="2" applyNumberFormat="1" applyFont="1" applyFill="1" applyBorder="1"/>
    <xf numFmtId="175" fontId="4" fillId="0" borderId="0" xfId="0" applyNumberFormat="1" applyFont="1" applyFill="1"/>
    <xf numFmtId="170" fontId="4" fillId="0" borderId="0" xfId="0" applyNumberFormat="1" applyFont="1" applyFill="1" applyAlignment="1">
      <alignment horizontal="right"/>
    </xf>
    <xf numFmtId="174" fontId="2" fillId="0" borderId="0" xfId="0" applyNumberFormat="1" applyFont="1" applyFill="1"/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170" fontId="4" fillId="0" borderId="0" xfId="0" applyNumberFormat="1" applyFont="1" applyFill="1"/>
    <xf numFmtId="2" fontId="1" fillId="0" borderId="0" xfId="0" applyNumberFormat="1" applyFont="1" applyFill="1"/>
    <xf numFmtId="174" fontId="1" fillId="0" borderId="0" xfId="0" applyNumberFormat="1" applyFont="1" applyFill="1"/>
    <xf numFmtId="171" fontId="4" fillId="0" borderId="0" xfId="0" applyNumberFormat="1" applyFont="1" applyFill="1"/>
    <xf numFmtId="167" fontId="4" fillId="0" borderId="0" xfId="0" applyNumberFormat="1" applyFont="1" applyFill="1"/>
    <xf numFmtId="177" fontId="4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175" fontId="4" fillId="0" borderId="0" xfId="2" applyNumberFormat="1" applyFont="1" applyFill="1"/>
    <xf numFmtId="172" fontId="1" fillId="0" borderId="0" xfId="0" applyNumberFormat="1" applyFont="1" applyFill="1"/>
    <xf numFmtId="0" fontId="7" fillId="0" borderId="0" xfId="0" applyFont="1" applyFill="1"/>
    <xf numFmtId="179" fontId="4" fillId="0" borderId="0" xfId="1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180" fontId="4" fillId="0" borderId="2" xfId="1" applyNumberFormat="1" applyFont="1" applyFill="1" applyBorder="1" applyAlignment="1">
      <alignment horizontal="center" vertical="center" wrapText="1"/>
    </xf>
    <xf numFmtId="179" fontId="4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173" fontId="4" fillId="0" borderId="0" xfId="4" applyNumberFormat="1" applyFont="1" applyFill="1"/>
    <xf numFmtId="180" fontId="4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16" fontId="4" fillId="0" borderId="1" xfId="0" quotePrefix="1" applyNumberFormat="1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186" fontId="4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175" fontId="4" fillId="0" borderId="0" xfId="2" applyNumberFormat="1" applyFont="1" applyFill="1" applyBorder="1" applyProtection="1">
      <protection locked="0"/>
    </xf>
    <xf numFmtId="180" fontId="12" fillId="0" borderId="0" xfId="1" applyNumberFormat="1" applyFont="1" applyFill="1"/>
    <xf numFmtId="180" fontId="12" fillId="0" borderId="0" xfId="0" applyNumberFormat="1" applyFont="1" applyFill="1"/>
    <xf numFmtId="0" fontId="12" fillId="0" borderId="0" xfId="0" applyFont="1" applyFill="1" applyAlignment="1">
      <alignment horizontal="center"/>
    </xf>
    <xf numFmtId="185" fontId="4" fillId="0" borderId="0" xfId="0" applyNumberFormat="1" applyFont="1" applyFill="1" applyAlignment="1">
      <alignment horizontal="center"/>
    </xf>
    <xf numFmtId="175" fontId="4" fillId="0" borderId="0" xfId="2" applyNumberFormat="1" applyFont="1" applyFill="1" applyBorder="1"/>
    <xf numFmtId="0" fontId="13" fillId="0" borderId="0" xfId="0" applyFont="1" applyFill="1" applyAlignment="1"/>
    <xf numFmtId="0" fontId="4" fillId="0" borderId="7" xfId="0" applyFont="1" applyFill="1" applyBorder="1" applyAlignment="1">
      <alignment horizontal="center"/>
    </xf>
    <xf numFmtId="176" fontId="4" fillId="0" borderId="8" xfId="2" applyNumberFormat="1" applyFont="1" applyFill="1" applyBorder="1" applyAlignment="1">
      <alignment horizontal="center"/>
    </xf>
    <xf numFmtId="169" fontId="4" fillId="0" borderId="5" xfId="1" applyNumberFormat="1" applyFont="1" applyFill="1" applyBorder="1" applyAlignment="1">
      <alignment horizontal="center" wrapText="1"/>
    </xf>
    <xf numFmtId="3" fontId="4" fillId="0" borderId="17" xfId="1" applyNumberFormat="1" applyFont="1" applyFill="1" applyBorder="1" applyAlignment="1"/>
    <xf numFmtId="176" fontId="4" fillId="0" borderId="17" xfId="2" applyNumberFormat="1" applyFont="1" applyFill="1" applyBorder="1" applyAlignment="1"/>
    <xf numFmtId="3" fontId="4" fillId="0" borderId="17" xfId="2" applyNumberFormat="1" applyFont="1" applyFill="1" applyBorder="1" applyAlignment="1"/>
    <xf numFmtId="3" fontId="4" fillId="0" borderId="3" xfId="1" applyNumberFormat="1" applyFont="1" applyFill="1" applyBorder="1" applyAlignment="1"/>
    <xf numFmtId="176" fontId="4" fillId="0" borderId="3" xfId="2" applyNumberFormat="1" applyFont="1" applyFill="1" applyBorder="1" applyAlignment="1"/>
    <xf numFmtId="3" fontId="4" fillId="0" borderId="3" xfId="2" applyNumberFormat="1" applyFont="1" applyFill="1" applyBorder="1" applyAlignment="1"/>
    <xf numFmtId="166" fontId="12" fillId="0" borderId="0" xfId="1" applyFont="1" applyFill="1" applyBorder="1" applyAlignment="1"/>
    <xf numFmtId="167" fontId="4" fillId="0" borderId="0" xfId="2" applyNumberFormat="1" applyFont="1" applyFill="1" applyAlignment="1"/>
    <xf numFmtId="183" fontId="4" fillId="0" borderId="0" xfId="1" applyNumberFormat="1" applyFont="1" applyFill="1" applyAlignment="1"/>
    <xf numFmtId="166" fontId="4" fillId="0" borderId="2" xfId="1" applyFont="1" applyFill="1" applyBorder="1" applyAlignment="1">
      <alignment horizontal="right"/>
    </xf>
    <xf numFmtId="176" fontId="4" fillId="0" borderId="2" xfId="2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horizontal="right"/>
    </xf>
    <xf numFmtId="181" fontId="4" fillId="0" borderId="17" xfId="0" applyNumberFormat="1" applyFont="1" applyFill="1" applyBorder="1" applyAlignment="1">
      <alignment horizontal="right"/>
    </xf>
    <xf numFmtId="182" fontId="4" fillId="0" borderId="17" xfId="0" applyNumberFormat="1" applyFont="1" applyFill="1" applyBorder="1" applyAlignment="1">
      <alignment horizontal="right"/>
    </xf>
    <xf numFmtId="173" fontId="4" fillId="0" borderId="17" xfId="0" applyNumberFormat="1" applyFont="1" applyFill="1" applyBorder="1" applyAlignment="1">
      <alignment horizontal="right"/>
    </xf>
    <xf numFmtId="166" fontId="4" fillId="0" borderId="17" xfId="1" applyFont="1" applyFill="1" applyBorder="1" applyAlignment="1">
      <alignment horizontal="right"/>
    </xf>
    <xf numFmtId="184" fontId="4" fillId="0" borderId="17" xfId="0" applyNumberFormat="1" applyFont="1" applyFill="1" applyBorder="1" applyAlignment="1">
      <alignment horizontal="right"/>
    </xf>
    <xf numFmtId="176" fontId="4" fillId="0" borderId="17" xfId="2" applyNumberFormat="1" applyFont="1" applyFill="1" applyBorder="1" applyAlignment="1">
      <alignment horizontal="right"/>
    </xf>
    <xf numFmtId="167" fontId="4" fillId="0" borderId="17" xfId="2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horizontal="right"/>
    </xf>
    <xf numFmtId="3" fontId="4" fillId="0" borderId="17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horizontal="left"/>
    </xf>
    <xf numFmtId="166" fontId="4" fillId="0" borderId="21" xfId="1" applyFont="1" applyFill="1" applyBorder="1" applyAlignment="1">
      <alignment horizontal="right"/>
    </xf>
    <xf numFmtId="181" fontId="4" fillId="0" borderId="21" xfId="0" applyNumberFormat="1" applyFont="1" applyFill="1" applyBorder="1" applyAlignment="1">
      <alignment horizontal="right"/>
    </xf>
    <xf numFmtId="182" fontId="4" fillId="0" borderId="21" xfId="0" applyNumberFormat="1" applyFont="1" applyFill="1" applyBorder="1" applyAlignment="1">
      <alignment horizontal="right"/>
    </xf>
    <xf numFmtId="173" fontId="4" fillId="0" borderId="21" xfId="0" applyNumberFormat="1" applyFont="1" applyFill="1" applyBorder="1" applyAlignment="1">
      <alignment horizontal="right"/>
    </xf>
    <xf numFmtId="184" fontId="4" fillId="0" borderId="21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176" fontId="4" fillId="0" borderId="21" xfId="2" applyNumberFormat="1" applyFont="1" applyFill="1" applyBorder="1" applyAlignment="1">
      <alignment horizontal="right"/>
    </xf>
    <xf numFmtId="167" fontId="4" fillId="0" borderId="21" xfId="2" applyFont="1" applyFill="1" applyBorder="1" applyAlignment="1">
      <alignment horizontal="right"/>
    </xf>
    <xf numFmtId="176" fontId="4" fillId="0" borderId="21" xfId="0" applyNumberFormat="1" applyFont="1" applyFill="1" applyBorder="1" applyAlignment="1">
      <alignment horizontal="right"/>
    </xf>
    <xf numFmtId="165" fontId="4" fillId="0" borderId="21" xfId="0" applyNumberFormat="1" applyFont="1" applyFill="1" applyBorder="1" applyAlignment="1">
      <alignment horizontal="right"/>
    </xf>
    <xf numFmtId="165" fontId="4" fillId="0" borderId="22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right"/>
    </xf>
    <xf numFmtId="182" fontId="4" fillId="0" borderId="0" xfId="0" applyNumberFormat="1" applyFont="1" applyFill="1" applyBorder="1" applyAlignment="1">
      <alignment horizontal="right"/>
    </xf>
    <xf numFmtId="173" fontId="4" fillId="0" borderId="0" xfId="0" applyNumberFormat="1" applyFont="1" applyFill="1" applyBorder="1" applyAlignment="1">
      <alignment horizontal="right"/>
    </xf>
    <xf numFmtId="166" fontId="4" fillId="0" borderId="0" xfId="1" applyFont="1" applyFill="1" applyBorder="1" applyAlignment="1">
      <alignment horizontal="right"/>
    </xf>
    <xf numFmtId="18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2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169" fontId="4" fillId="0" borderId="0" xfId="1" applyNumberFormat="1" applyFont="1" applyFill="1" applyAlignment="1"/>
    <xf numFmtId="3" fontId="4" fillId="0" borderId="4" xfId="1" applyNumberFormat="1" applyFont="1" applyFill="1" applyBorder="1" applyAlignment="1"/>
    <xf numFmtId="9" fontId="4" fillId="0" borderId="0" xfId="4" applyFont="1" applyFill="1" applyBorder="1" applyAlignment="1"/>
    <xf numFmtId="0" fontId="4" fillId="0" borderId="9" xfId="0" applyFont="1" applyFill="1" applyBorder="1" applyAlignment="1">
      <alignment horizontal="left"/>
    </xf>
    <xf numFmtId="176" fontId="4" fillId="0" borderId="9" xfId="2" applyNumberFormat="1" applyFont="1" applyFill="1" applyBorder="1" applyAlignment="1"/>
    <xf numFmtId="3" fontId="4" fillId="0" borderId="9" xfId="2" applyNumberFormat="1" applyFont="1" applyFill="1" applyBorder="1" applyAlignment="1"/>
    <xf numFmtId="173" fontId="4" fillId="0" borderId="0" xfId="1" applyNumberFormat="1" applyFont="1" applyFill="1" applyBorder="1" applyAlignment="1"/>
    <xf numFmtId="3" fontId="4" fillId="0" borderId="0" xfId="1" applyNumberFormat="1" applyFont="1" applyFill="1" applyBorder="1" applyAlignment="1"/>
    <xf numFmtId="176" fontId="4" fillId="0" borderId="4" xfId="2" applyNumberFormat="1" applyFont="1" applyFill="1" applyBorder="1" applyAlignment="1"/>
    <xf numFmtId="3" fontId="4" fillId="0" borderId="4" xfId="2" applyNumberFormat="1" applyFont="1" applyFill="1" applyBorder="1" applyAlignment="1"/>
    <xf numFmtId="173" fontId="4" fillId="0" borderId="4" xfId="4" applyNumberFormat="1" applyFont="1" applyFill="1" applyBorder="1" applyAlignment="1">
      <alignment horizontal="left"/>
    </xf>
    <xf numFmtId="166" fontId="4" fillId="0" borderId="4" xfId="1" applyFont="1" applyFill="1" applyBorder="1" applyAlignment="1">
      <alignment horizontal="left"/>
    </xf>
    <xf numFmtId="176" fontId="4" fillId="0" borderId="4" xfId="2" applyNumberFormat="1" applyFont="1" applyFill="1" applyBorder="1" applyAlignment="1">
      <alignment horizontal="left"/>
    </xf>
    <xf numFmtId="167" fontId="4" fillId="0" borderId="4" xfId="2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left"/>
    </xf>
    <xf numFmtId="184" fontId="4" fillId="0" borderId="10" xfId="1" applyNumberFormat="1" applyFont="1" applyFill="1" applyBorder="1" applyAlignment="1"/>
    <xf numFmtId="168" fontId="4" fillId="0" borderId="10" xfId="1" applyNumberFormat="1" applyFont="1" applyFill="1" applyBorder="1" applyAlignment="1"/>
    <xf numFmtId="0" fontId="4" fillId="0" borderId="1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14" fillId="0" borderId="11" xfId="0" applyFont="1" applyFill="1" applyBorder="1" applyAlignment="1">
      <alignment horizontal="left"/>
    </xf>
    <xf numFmtId="0" fontId="4" fillId="0" borderId="11" xfId="0" applyFont="1" applyFill="1" applyBorder="1" applyAlignment="1"/>
    <xf numFmtId="3" fontId="4" fillId="0" borderId="11" xfId="2" applyNumberFormat="1" applyFont="1" applyFill="1" applyBorder="1" applyAlignment="1"/>
    <xf numFmtId="176" fontId="4" fillId="0" borderId="17" xfId="2" applyNumberFormat="1" applyFont="1" applyFill="1" applyBorder="1" applyAlignment="1">
      <alignment horizontal="center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4" fillId="0" borderId="0" xfId="0" applyFont="1" applyFill="1" applyAlignment="1">
      <alignment horizontal="center"/>
    </xf>
  </cellXfs>
  <cellStyles count="13">
    <cellStyle name="Comma" xfId="1" builtinId="3"/>
    <cellStyle name="Comma 2" xfId="10"/>
    <cellStyle name="Comma 3" xfId="8"/>
    <cellStyle name="Currency" xfId="2" builtinId="4"/>
    <cellStyle name="Currency 2" xfId="11"/>
    <cellStyle name="Currency 3" xfId="6"/>
    <cellStyle name="Normal" xfId="0" builtinId="0"/>
    <cellStyle name="Normal 2" xfId="7"/>
    <cellStyle name="Normal 3" xfId="5"/>
    <cellStyle name="Normal_2009 DPA Final for SSM Spreadsheet" xfId="3"/>
    <cellStyle name="Percent" xfId="4" builtinId="5"/>
    <cellStyle name="Percent 2" xfId="12"/>
    <cellStyle name="Percent 3" xfId="9"/>
  </cellStyles>
  <dxfs count="7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0</xdr:rowOff>
        </xdr:from>
        <xdr:to>
          <xdr:col>27</xdr:col>
          <xdr:colOff>47625</xdr:colOff>
          <xdr:row>27</xdr:row>
          <xdr:rowOff>85725</xdr:rowOff>
        </xdr:to>
        <xdr:sp macro="" textlink="">
          <xdr:nvSpPr>
            <xdr:cNvPr id="12085" name="Control 1845" hidden="1">
              <a:extLst>
                <a:ext uri="{63B3BB69-23CF-44E3-9099-C40C66FF867C}">
                  <a14:compatExt spid="_x0000_s1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express.enbridge.com/OLDUSERS/MRS/DSM/Avoided%20Gas%20Costs/DSM%20Marcus%20Wolters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99 FT Forec. $$$"/>
      <sheetName val="Storage Anal."/>
      <sheetName val="Supply Costs"/>
      <sheetName val="Transportation Costs"/>
      <sheetName val="Storage Costs"/>
      <sheetName val="Demand Profiles"/>
      <sheetName val="Fiscal Summaries"/>
      <sheetName val="Demand Summaries"/>
      <sheetName val="Summary - Water Heating"/>
      <sheetName val="Summary - Space &amp; Water"/>
      <sheetName val="Summary - Industrial Process"/>
      <sheetName val="Summary - Space Heat"/>
      <sheetName val="Full Summary"/>
      <sheetName val="Hampton Methodologies"/>
      <sheetName val="Old Commodity Prices"/>
      <sheetName val="Commodity Prices"/>
      <sheetName val="Graphs"/>
      <sheetName val="General Lookup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C15">
            <v>2002</v>
          </cell>
          <cell r="D15">
            <v>1409036.2684210001</v>
          </cell>
          <cell r="E15">
            <v>12910.12</v>
          </cell>
          <cell r="F15">
            <v>1348564.4830369998</v>
          </cell>
          <cell r="G15">
            <v>12595.242</v>
          </cell>
          <cell r="H15">
            <v>60471.785384000279</v>
          </cell>
          <cell r="I15">
            <v>314.87800000000061</v>
          </cell>
          <cell r="J15">
            <v>192.04830246635257</v>
          </cell>
          <cell r="K15">
            <v>306.15492107853959</v>
          </cell>
          <cell r="L15">
            <v>144.74102319669493</v>
          </cell>
          <cell r="M15">
            <v>130.84169634185758</v>
          </cell>
        </row>
        <row r="16">
          <cell r="C16">
            <v>2003</v>
          </cell>
          <cell r="D16">
            <v>1671019.0741600001</v>
          </cell>
          <cell r="E16">
            <v>13781.969000000003</v>
          </cell>
          <cell r="F16">
            <v>1599981.9808519999</v>
          </cell>
          <cell r="G16">
            <v>13456.411000000002</v>
          </cell>
          <cell r="H16">
            <v>71037.093308000127</v>
          </cell>
          <cell r="I16">
            <v>325.5580000000009</v>
          </cell>
          <cell r="J16">
            <v>218.20103732053866</v>
          </cell>
          <cell r="K16">
            <v>248.95558149536228</v>
          </cell>
          <cell r="L16">
            <v>147.57015109466494</v>
          </cell>
          <cell r="M16">
            <v>138.15623023402878</v>
          </cell>
        </row>
        <row r="17">
          <cell r="C17">
            <v>2004</v>
          </cell>
          <cell r="D17">
            <v>1711191.7746370004</v>
          </cell>
          <cell r="E17">
            <v>14011.87</v>
          </cell>
          <cell r="F17">
            <v>1634021.7859520002</v>
          </cell>
          <cell r="G17">
            <v>13682.042000000001</v>
          </cell>
          <cell r="H17">
            <v>77169.988685000222</v>
          </cell>
          <cell r="I17">
            <v>329.82799999999952</v>
          </cell>
          <cell r="J17">
            <v>233.97039876845002</v>
          </cell>
          <cell r="K17">
            <v>241.72149289027686</v>
          </cell>
          <cell r="L17">
            <v>150.9777642400247</v>
          </cell>
          <cell r="M17">
            <v>146.7644305772231</v>
          </cell>
        </row>
        <row r="18">
          <cell r="C18">
            <v>2005</v>
          </cell>
          <cell r="D18">
            <v>1571967.498283</v>
          </cell>
          <cell r="E18">
            <v>14229.093999999999</v>
          </cell>
          <cell r="F18">
            <v>1489091.3719349999</v>
          </cell>
          <cell r="G18">
            <v>13895.360999999999</v>
          </cell>
          <cell r="H18">
            <v>82876.12634800002</v>
          </cell>
          <cell r="I18">
            <v>333.73300000000017</v>
          </cell>
          <cell r="J18">
            <v>248.33063061788908</v>
          </cell>
          <cell r="K18">
            <v>270.76291501857753</v>
          </cell>
          <cell r="L18">
            <v>150.15643802647429</v>
          </cell>
          <cell r="M18">
            <v>149.88906009244991</v>
          </cell>
        </row>
        <row r="19">
          <cell r="C19">
            <v>2006</v>
          </cell>
          <cell r="D19">
            <v>1589161.9068900002</v>
          </cell>
          <cell r="E19">
            <v>14446.529</v>
          </cell>
          <cell r="F19">
            <v>1509518.72994</v>
          </cell>
          <cell r="G19">
            <v>14108.726999999997</v>
          </cell>
          <cell r="H19">
            <v>79643.176950000226</v>
          </cell>
          <cell r="I19">
            <v>337.80200000000332</v>
          </cell>
          <cell r="J19">
            <v>235.76881412780105</v>
          </cell>
          <cell r="K19">
            <v>243.74611444980548</v>
          </cell>
          <cell r="L19">
            <v>153.71878715814523</v>
          </cell>
          <cell r="M19">
            <v>152.75830539469658</v>
          </cell>
        </row>
        <row r="20">
          <cell r="C20">
            <v>2007</v>
          </cell>
          <cell r="D20">
            <v>1704108.6452599999</v>
          </cell>
          <cell r="E20">
            <v>14695.297</v>
          </cell>
          <cell r="F20">
            <v>1627061.89</v>
          </cell>
          <cell r="G20">
            <v>14353.139000000003</v>
          </cell>
          <cell r="H20">
            <v>77046.755260000005</v>
          </cell>
          <cell r="I20">
            <v>342.15799999999763</v>
          </cell>
          <cell r="J20">
            <v>225.17888010802187</v>
          </cell>
          <cell r="K20">
            <v>215.14203881225052</v>
          </cell>
          <cell r="L20">
            <v>156.57075748678784</v>
          </cell>
          <cell r="M20">
            <v>169.96384453148556</v>
          </cell>
        </row>
        <row r="21">
          <cell r="C21">
            <v>2008</v>
          </cell>
          <cell r="D21">
            <v>1729180.6243400001</v>
          </cell>
          <cell r="E21">
            <v>14910.106999999998</v>
          </cell>
          <cell r="F21">
            <v>1652974.6031900002</v>
          </cell>
          <cell r="G21">
            <v>14563.88</v>
          </cell>
          <cell r="H21">
            <v>76206.021149999928</v>
          </cell>
          <cell r="I21">
            <v>346.22699999999895</v>
          </cell>
          <cell r="J21">
            <v>220.10421240977786</v>
          </cell>
          <cell r="K21">
            <v>229.7065449714047</v>
          </cell>
          <cell r="L21">
            <v>158.8482738613292</v>
          </cell>
        </row>
        <row r="22">
          <cell r="C22">
            <v>2009</v>
          </cell>
          <cell r="D22">
            <v>1819049.0035199998</v>
          </cell>
          <cell r="E22">
            <v>15112.05</v>
          </cell>
          <cell r="F22">
            <v>1745364.9680399999</v>
          </cell>
          <cell r="G22">
            <v>14762.035000000002</v>
          </cell>
          <cell r="H22">
            <v>73684.035479999846</v>
          </cell>
          <cell r="I22">
            <v>350.0149999999976</v>
          </cell>
          <cell r="J22">
            <v>210.51679350885061</v>
          </cell>
          <cell r="K22">
            <v>232.63347330533912</v>
          </cell>
        </row>
        <row r="23">
          <cell r="C23">
            <v>2010</v>
          </cell>
          <cell r="D23">
            <v>1875145.0840499999</v>
          </cell>
          <cell r="E23">
            <v>15312.563</v>
          </cell>
          <cell r="F23">
            <v>1794629.0715600001</v>
          </cell>
          <cell r="G23">
            <v>14958.841</v>
          </cell>
          <cell r="H23">
            <v>80516.012489999877</v>
          </cell>
          <cell r="I23">
            <v>353.72199999999975</v>
          </cell>
          <cell r="J23">
            <v>227.62511941581224</v>
          </cell>
        </row>
        <row r="30">
          <cell r="C30">
            <v>2002</v>
          </cell>
          <cell r="D30">
            <v>1409036.2684210001</v>
          </cell>
          <cell r="E30">
            <v>12910.12</v>
          </cell>
          <cell r="F30">
            <v>1390243.5566190002</v>
          </cell>
          <cell r="G30">
            <v>12817.063000000002</v>
          </cell>
          <cell r="H30">
            <v>18792.711801999947</v>
          </cell>
          <cell r="I30">
            <v>93.05699999999888</v>
          </cell>
          <cell r="J30">
            <v>201.94839509118253</v>
          </cell>
          <cell r="K30">
            <v>308.26437399247357</v>
          </cell>
          <cell r="L30">
            <v>161.13839285714221</v>
          </cell>
          <cell r="M30">
            <v>238.30469644902337</v>
          </cell>
        </row>
        <row r="31">
          <cell r="C31">
            <v>2003</v>
          </cell>
          <cell r="D31">
            <v>1671019.0741600001</v>
          </cell>
          <cell r="E31">
            <v>13781.969000000003</v>
          </cell>
          <cell r="F31">
            <v>1645189.1734749998</v>
          </cell>
          <cell r="G31">
            <v>13685.757000000001</v>
          </cell>
          <cell r="H31">
            <v>25829.900685000233</v>
          </cell>
          <cell r="I31">
            <v>96.212000000001353</v>
          </cell>
          <cell r="J31">
            <v>268.46859731634169</v>
          </cell>
          <cell r="K31">
            <v>291.29937629937962</v>
          </cell>
          <cell r="L31">
            <v>142.39868565169598</v>
          </cell>
          <cell r="M31">
            <v>171.34311512415633</v>
          </cell>
        </row>
        <row r="32">
          <cell r="C32">
            <v>2004</v>
          </cell>
          <cell r="D32">
            <v>1711191.7746370004</v>
          </cell>
          <cell r="E32">
            <v>14011.87</v>
          </cell>
          <cell r="F32">
            <v>1659256.8210349998</v>
          </cell>
          <cell r="G32">
            <v>13914.402999999998</v>
          </cell>
          <cell r="H32">
            <v>51934.953602000605</v>
          </cell>
          <cell r="I32">
            <v>97.467000000002372</v>
          </cell>
          <cell r="J32">
            <v>532.84653884903958</v>
          </cell>
          <cell r="K32">
            <v>119.82148353339346</v>
          </cell>
          <cell r="L32">
            <v>196.83083511777377</v>
          </cell>
          <cell r="M32">
            <v>88.044444444444451</v>
          </cell>
        </row>
        <row r="33">
          <cell r="C33">
            <v>2005</v>
          </cell>
          <cell r="D33">
            <v>1571967.498283</v>
          </cell>
          <cell r="E33">
            <v>14229.093999999999</v>
          </cell>
          <cell r="F33">
            <v>1545987.6936659999</v>
          </cell>
          <cell r="G33">
            <v>14130.473000000002</v>
          </cell>
          <cell r="H33">
            <v>25979.804617000045</v>
          </cell>
          <cell r="I33">
            <v>98.620999999997366</v>
          </cell>
          <cell r="J33">
            <v>263.43075629937579</v>
          </cell>
          <cell r="K33">
            <v>741.70553640234641</v>
          </cell>
          <cell r="L33">
            <v>209.01795142555679</v>
          </cell>
          <cell r="M33">
            <v>276.36663007683751</v>
          </cell>
        </row>
        <row r="34">
          <cell r="C34">
            <v>2006</v>
          </cell>
          <cell r="D34">
            <v>1589161.9068900002</v>
          </cell>
          <cell r="E34">
            <v>14446.529</v>
          </cell>
          <cell r="F34">
            <v>1563287.7642299999</v>
          </cell>
          <cell r="G34">
            <v>14346.701999999999</v>
          </cell>
          <cell r="H34">
            <v>25874.142660000362</v>
          </cell>
          <cell r="I34">
            <v>99.827000000001135</v>
          </cell>
          <cell r="J34">
            <v>259.18982499724592</v>
          </cell>
          <cell r="K34">
            <v>134.14145461831336</v>
          </cell>
          <cell r="L34">
            <v>212.6590198123053</v>
          </cell>
          <cell r="M34">
            <v>44.532608695652172</v>
          </cell>
        </row>
        <row r="35">
          <cell r="C35">
            <v>2007</v>
          </cell>
          <cell r="D35">
            <v>1704108.6452599999</v>
          </cell>
          <cell r="E35">
            <v>14695.297</v>
          </cell>
          <cell r="F35">
            <v>1688651.33825</v>
          </cell>
          <cell r="G35">
            <v>14594.186</v>
          </cell>
          <cell r="H35">
            <v>15457.307009999873</v>
          </cell>
          <cell r="I35">
            <v>101.11100000000079</v>
          </cell>
          <cell r="J35">
            <v>152.8746329281656</v>
          </cell>
          <cell r="K35">
            <v>125.13104539610254</v>
          </cell>
          <cell r="L35">
            <v>208.1630546955632</v>
          </cell>
          <cell r="M35">
            <v>199.87</v>
          </cell>
        </row>
        <row r="36">
          <cell r="C36">
            <v>2008</v>
          </cell>
          <cell r="D36">
            <v>1729180.6243400001</v>
          </cell>
          <cell r="E36">
            <v>14910.106999999998</v>
          </cell>
          <cell r="F36">
            <v>1704236.51446</v>
          </cell>
          <cell r="G36">
            <v>14807.784999999998</v>
          </cell>
          <cell r="H36">
            <v>24944.10988000012</v>
          </cell>
          <cell r="I36">
            <v>102.32200000000012</v>
          </cell>
          <cell r="J36">
            <v>243.78051523621596</v>
          </cell>
          <cell r="K36">
            <v>253.20105561528814</v>
          </cell>
          <cell r="L36">
            <v>238.02242609582413</v>
          </cell>
        </row>
        <row r="37">
          <cell r="C37">
            <v>2009</v>
          </cell>
          <cell r="D37">
            <v>1819049.0035199998</v>
          </cell>
          <cell r="E37">
            <v>15112.05</v>
          </cell>
          <cell r="F37">
            <v>1794790.2978399999</v>
          </cell>
          <cell r="G37">
            <v>15008.590999999997</v>
          </cell>
          <cell r="H37">
            <v>24258.705679999897</v>
          </cell>
          <cell r="I37">
            <v>103.45900000000256</v>
          </cell>
          <cell r="J37">
            <v>234.47651417469044</v>
          </cell>
          <cell r="K37">
            <v>253.61800792193938</v>
          </cell>
        </row>
        <row r="38">
          <cell r="C38">
            <v>2010</v>
          </cell>
          <cell r="D38">
            <v>1875145.0840499999</v>
          </cell>
          <cell r="E38">
            <v>15312.563</v>
          </cell>
          <cell r="F38">
            <v>1852416.5656700002</v>
          </cell>
          <cell r="G38">
            <v>15208.046999999999</v>
          </cell>
          <cell r="H38">
            <v>22728.51837999979</v>
          </cell>
          <cell r="I38">
            <v>104.51600000000144</v>
          </cell>
          <cell r="J38">
            <v>217.46448754257219</v>
          </cell>
        </row>
        <row r="45">
          <cell r="C45">
            <v>2002</v>
          </cell>
          <cell r="D45">
            <v>1409036.2684210001</v>
          </cell>
          <cell r="E45">
            <v>12910.12</v>
          </cell>
          <cell r="F45">
            <v>1351722.3670330001</v>
          </cell>
          <cell r="G45">
            <v>12611.028</v>
          </cell>
          <cell r="H45">
            <v>57313.901387999998</v>
          </cell>
          <cell r="I45">
            <v>299.09200000000055</v>
          </cell>
          <cell r="J45">
            <v>191.62632697631463</v>
          </cell>
          <cell r="K45">
            <v>292.01912467819039</v>
          </cell>
          <cell r="L45">
            <v>132.50434178534147</v>
          </cell>
          <cell r="M45">
            <v>152.73957962237225</v>
          </cell>
        </row>
        <row r="46">
          <cell r="C46">
            <v>2003</v>
          </cell>
          <cell r="D46">
            <v>1671019.0741600001</v>
          </cell>
          <cell r="E46">
            <v>13781.969000000003</v>
          </cell>
          <cell r="F46">
            <v>1603207.1875519999</v>
          </cell>
          <cell r="G46">
            <v>13472.731999999998</v>
          </cell>
          <cell r="H46">
            <v>67811.886608000146</v>
          </cell>
          <cell r="I46">
            <v>309.23700000000463</v>
          </cell>
          <cell r="J46">
            <v>219.28775213832475</v>
          </cell>
          <cell r="K46">
            <v>251.70752215251332</v>
          </cell>
          <cell r="L46">
            <v>123.4855195911414</v>
          </cell>
          <cell r="M46">
            <v>143.41060765718356</v>
          </cell>
        </row>
        <row r="47">
          <cell r="C47">
            <v>2004</v>
          </cell>
          <cell r="D47">
            <v>1711191.7746370004</v>
          </cell>
          <cell r="E47">
            <v>14011.87</v>
          </cell>
          <cell r="F47">
            <v>1634754.8272490001</v>
          </cell>
          <cell r="G47">
            <v>13698.586999999998</v>
          </cell>
          <cell r="H47">
            <v>76436.947388000321</v>
          </cell>
          <cell r="I47">
            <v>313.28300000000309</v>
          </cell>
          <cell r="J47">
            <v>243.98689806979496</v>
          </cell>
          <cell r="K47">
            <v>249.13658271888596</v>
          </cell>
          <cell r="L47">
            <v>141.63836163836197</v>
          </cell>
          <cell r="M47">
            <v>138.99758036640202</v>
          </cell>
        </row>
        <row r="48">
          <cell r="C48">
            <v>2005</v>
          </cell>
          <cell r="D48">
            <v>1571967.498283</v>
          </cell>
          <cell r="E48">
            <v>14229.093999999999</v>
          </cell>
          <cell r="F48">
            <v>1490318.2889440001</v>
          </cell>
          <cell r="G48">
            <v>13912.099</v>
          </cell>
          <cell r="H48">
            <v>81649.209338999819</v>
          </cell>
          <cell r="I48">
            <v>316.99499999999898</v>
          </cell>
          <cell r="J48">
            <v>257.57254637770336</v>
          </cell>
          <cell r="K48">
            <v>286.1541373544909</v>
          </cell>
          <cell r="L48">
            <v>152.59198423127481</v>
          </cell>
          <cell r="M48">
            <v>162.97472677595567</v>
          </cell>
        </row>
        <row r="49">
          <cell r="C49">
            <v>2006</v>
          </cell>
          <cell r="D49">
            <v>1589161.9068900002</v>
          </cell>
          <cell r="E49">
            <v>14446.529</v>
          </cell>
          <cell r="F49">
            <v>1512822.7711</v>
          </cell>
          <cell r="G49">
            <v>14125.662000000002</v>
          </cell>
          <cell r="H49">
            <v>76339.135790000204</v>
          </cell>
          <cell r="I49">
            <v>320.86699999999837</v>
          </cell>
          <cell r="J49">
            <v>237.91519785456464</v>
          </cell>
          <cell r="K49">
            <v>245.42309490416054</v>
          </cell>
          <cell r="L49">
            <v>153.99091499026662</v>
          </cell>
          <cell r="M49">
            <v>140.88911426639569</v>
          </cell>
        </row>
        <row r="50">
          <cell r="C50">
            <v>2007</v>
          </cell>
          <cell r="D50">
            <v>1704108.6452599999</v>
          </cell>
          <cell r="E50">
            <v>14695.297</v>
          </cell>
          <cell r="F50">
            <v>1629687.3524899997</v>
          </cell>
          <cell r="G50">
            <v>14370.298000000001</v>
          </cell>
          <cell r="H50">
            <v>74421.292770000175</v>
          </cell>
          <cell r="I50">
            <v>324.9989999999998</v>
          </cell>
          <cell r="J50">
            <v>228.98929772091677</v>
          </cell>
          <cell r="K50">
            <v>213.68880957508986</v>
          </cell>
          <cell r="L50">
            <v>158.75802310654666</v>
          </cell>
          <cell r="M50">
            <v>164.24</v>
          </cell>
        </row>
        <row r="51">
          <cell r="C51">
            <v>2008</v>
          </cell>
          <cell r="D51">
            <v>1729180.6243400001</v>
          </cell>
          <cell r="E51">
            <v>14910.106999999998</v>
          </cell>
          <cell r="F51">
            <v>1656047.8349200001</v>
          </cell>
          <cell r="G51">
            <v>14581.238000000001</v>
          </cell>
          <cell r="H51">
            <v>73132.789420000045</v>
          </cell>
          <cell r="I51">
            <v>328.86899999999696</v>
          </cell>
          <cell r="J51">
            <v>222.3766588520071</v>
          </cell>
          <cell r="K51">
            <v>231.59095055646739</v>
          </cell>
          <cell r="L51">
            <v>175.0253807106605</v>
          </cell>
        </row>
        <row r="52">
          <cell r="C52">
            <v>2009</v>
          </cell>
          <cell r="D52">
            <v>1819049.0035199998</v>
          </cell>
          <cell r="E52">
            <v>15112.05</v>
          </cell>
          <cell r="F52">
            <v>1750289.0586699999</v>
          </cell>
          <cell r="G52">
            <v>14779.587</v>
          </cell>
          <cell r="H52">
            <v>68759.944849999854</v>
          </cell>
          <cell r="I52">
            <v>332.46299999999974</v>
          </cell>
          <cell r="J52">
            <v>206.81984115525611</v>
          </cell>
          <cell r="K52">
            <v>234.56634187417268</v>
          </cell>
        </row>
        <row r="53">
          <cell r="C53">
            <v>2010</v>
          </cell>
          <cell r="D53">
            <v>1875145.0840499999</v>
          </cell>
          <cell r="E53">
            <v>15312.563</v>
          </cell>
          <cell r="F53">
            <v>1800678.8370600003</v>
          </cell>
          <cell r="G53">
            <v>14976.577999999998</v>
          </cell>
          <cell r="H53">
            <v>74466.246989999665</v>
          </cell>
          <cell r="I53">
            <v>335.9850000000024</v>
          </cell>
          <cell r="J53">
            <v>221.6356295370303</v>
          </cell>
        </row>
        <row r="60">
          <cell r="C60">
            <v>2002</v>
          </cell>
          <cell r="D60">
            <v>1409036.2684210001</v>
          </cell>
          <cell r="E60">
            <v>12910.12</v>
          </cell>
          <cell r="F60">
            <v>1390243.5566190002</v>
          </cell>
          <cell r="G60">
            <v>12824.544000000002</v>
          </cell>
          <cell r="H60">
            <v>18792.711801999947</v>
          </cell>
          <cell r="I60">
            <v>85.575999999999112</v>
          </cell>
          <cell r="J60">
            <v>219.60259654576217</v>
          </cell>
          <cell r="K60">
            <v>310.41131105398483</v>
          </cell>
          <cell r="L60">
            <v>181.44417475727835</v>
          </cell>
          <cell r="M60">
            <v>247.29763387297297</v>
          </cell>
        </row>
        <row r="61">
          <cell r="C61">
            <v>2003</v>
          </cell>
          <cell r="D61">
            <v>1671019.0741600001</v>
          </cell>
          <cell r="E61">
            <v>13781.969000000003</v>
          </cell>
          <cell r="F61">
            <v>1645189.1734749998</v>
          </cell>
          <cell r="G61">
            <v>13693.49</v>
          </cell>
          <cell r="H61">
            <v>25829.900685000233</v>
          </cell>
          <cell r="I61">
            <v>88.479000000002998</v>
          </cell>
          <cell r="J61">
            <v>291.93255670836419</v>
          </cell>
          <cell r="K61">
            <v>297.66048824593275</v>
          </cell>
          <cell r="L61">
            <v>112.95238095238095</v>
          </cell>
          <cell r="M61">
            <v>174.26993865030676</v>
          </cell>
        </row>
        <row r="62">
          <cell r="C62">
            <v>2004</v>
          </cell>
          <cell r="D62">
            <v>1711191.7746370004</v>
          </cell>
          <cell r="E62">
            <v>14011.87</v>
          </cell>
          <cell r="F62">
            <v>1659256.8210349998</v>
          </cell>
          <cell r="G62">
            <v>13922.215999999997</v>
          </cell>
          <cell r="H62">
            <v>51934.953602000605</v>
          </cell>
          <cell r="I62">
            <v>89.654000000004089</v>
          </cell>
          <cell r="J62">
            <v>579.28205771073499</v>
          </cell>
          <cell r="K62">
            <v>123.79518072288985</v>
          </cell>
          <cell r="L62">
            <v>200.20954598370284</v>
          </cell>
          <cell r="M62">
            <v>113.73188405797201</v>
          </cell>
        </row>
        <row r="63">
          <cell r="C63">
            <v>2005</v>
          </cell>
          <cell r="D63">
            <v>1571967.498283</v>
          </cell>
          <cell r="E63">
            <v>14229.093999999999</v>
          </cell>
          <cell r="F63">
            <v>1545987.6936659999</v>
          </cell>
          <cell r="G63">
            <v>14138.39</v>
          </cell>
          <cell r="H63">
            <v>25979.804617000045</v>
          </cell>
          <cell r="I63">
            <v>90.703999999999724</v>
          </cell>
          <cell r="J63">
            <v>286.42402338375513</v>
          </cell>
          <cell r="K63">
            <v>787.73980154354388</v>
          </cell>
          <cell r="L63">
            <v>220.63145809414834</v>
          </cell>
          <cell r="M63">
            <v>255.52505966586779</v>
          </cell>
        </row>
        <row r="64">
          <cell r="C64">
            <v>2006</v>
          </cell>
          <cell r="D64">
            <v>1589161.9068900002</v>
          </cell>
          <cell r="E64">
            <v>14446.529</v>
          </cell>
          <cell r="F64">
            <v>1563287.7642299999</v>
          </cell>
          <cell r="G64">
            <v>14354.707999999999</v>
          </cell>
          <cell r="H64">
            <v>25874.142660000362</v>
          </cell>
          <cell r="I64">
            <v>91.821000000001732</v>
          </cell>
          <cell r="J64">
            <v>281.78894435913213</v>
          </cell>
          <cell r="K64">
            <v>126.70733035616854</v>
          </cell>
          <cell r="L64">
            <v>220.45351473923176</v>
          </cell>
          <cell r="M64">
            <v>124.1607565011815</v>
          </cell>
        </row>
        <row r="65">
          <cell r="C65">
            <v>2007</v>
          </cell>
          <cell r="D65">
            <v>1704108.6452599999</v>
          </cell>
          <cell r="E65">
            <v>14695.297</v>
          </cell>
          <cell r="F65">
            <v>1688651.33825</v>
          </cell>
          <cell r="G65">
            <v>14602.302000000001</v>
          </cell>
          <cell r="H65">
            <v>15457.307009999873</v>
          </cell>
          <cell r="I65">
            <v>92.994999999998981</v>
          </cell>
          <cell r="J65">
            <v>166.21653863110967</v>
          </cell>
          <cell r="K65">
            <v>118.86224325196054</v>
          </cell>
          <cell r="L65">
            <v>217.41031390134353</v>
          </cell>
          <cell r="M65">
            <v>197.61</v>
          </cell>
        </row>
        <row r="66">
          <cell r="C66">
            <v>2008</v>
          </cell>
          <cell r="D66">
            <v>1729180.6243400001</v>
          </cell>
          <cell r="E66">
            <v>14910.106999999998</v>
          </cell>
          <cell r="F66">
            <v>1704236.51446</v>
          </cell>
          <cell r="G66">
            <v>14815.998</v>
          </cell>
          <cell r="H66">
            <v>24944.10988000012</v>
          </cell>
          <cell r="I66">
            <v>94.108999999998559</v>
          </cell>
          <cell r="J66">
            <v>265.05551945085489</v>
          </cell>
          <cell r="K66">
            <v>257.44952178533373</v>
          </cell>
          <cell r="L66">
            <v>249.19068736142208</v>
          </cell>
        </row>
        <row r="67">
          <cell r="C67">
            <v>2009</v>
          </cell>
          <cell r="D67">
            <v>1819049.0035199998</v>
          </cell>
          <cell r="E67">
            <v>15112.05</v>
          </cell>
          <cell r="F67">
            <v>1794790.2978399999</v>
          </cell>
          <cell r="G67">
            <v>15016.921</v>
          </cell>
          <cell r="H67">
            <v>24258.705679999897</v>
          </cell>
          <cell r="I67">
            <v>95.128999999998996</v>
          </cell>
          <cell r="J67">
            <v>255.00852190184014</v>
          </cell>
          <cell r="K67">
            <v>257.69351958827599</v>
          </cell>
        </row>
        <row r="68">
          <cell r="C68">
            <v>2010</v>
          </cell>
          <cell r="D68">
            <v>1875145.0840499999</v>
          </cell>
          <cell r="E68">
            <v>15312.563</v>
          </cell>
          <cell r="F68">
            <v>1852416.5656700002</v>
          </cell>
          <cell r="G68">
            <v>15216.42</v>
          </cell>
          <cell r="H68">
            <v>22728.51837999979</v>
          </cell>
          <cell r="I68">
            <v>96.143000000000029</v>
          </cell>
          <cell r="J68">
            <v>236.40325743943691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39"/>
    <pageSetUpPr fitToPage="1"/>
  </sheetPr>
  <dimension ref="A1:AF1230"/>
  <sheetViews>
    <sheetView tabSelected="1" workbookViewId="0">
      <pane xSplit="3" ySplit="5" topLeftCell="U1162" activePane="bottomRight" state="frozen"/>
      <selection activeCell="K1" sqref="K1:K2"/>
      <selection pane="topRight" activeCell="K1" sqref="K1:K2"/>
      <selection pane="bottomLeft" activeCell="K1" sqref="K1:K2"/>
      <selection pane="bottomRight" activeCell="Z1209" sqref="Z1209"/>
    </sheetView>
  </sheetViews>
  <sheetFormatPr defaultColWidth="9.140625" defaultRowHeight="11.25" x14ac:dyDescent="0.2"/>
  <cols>
    <col min="1" max="1" width="29" style="30" customWidth="1"/>
    <col min="2" max="2" width="33" style="30" customWidth="1"/>
    <col min="3" max="3" width="34.5703125" style="30" customWidth="1"/>
    <col min="4" max="4" width="9.42578125" style="33" customWidth="1"/>
    <col min="5" max="5" width="11.140625" style="51" customWidth="1"/>
    <col min="6" max="7" width="7.7109375" style="50" customWidth="1"/>
    <col min="8" max="8" width="12" style="51" customWidth="1"/>
    <col min="9" max="9" width="14.85546875" style="51" customWidth="1"/>
    <col min="10" max="10" width="11.7109375" style="33" customWidth="1"/>
    <col min="11" max="12" width="11.140625" style="33" customWidth="1"/>
    <col min="13" max="13" width="14.85546875" style="51" customWidth="1"/>
    <col min="14" max="14" width="12.140625" style="33" customWidth="1"/>
    <col min="15" max="15" width="17.42578125" style="91" customWidth="1"/>
    <col min="16" max="16" width="11.140625" style="34" customWidth="1"/>
    <col min="17" max="17" width="14.85546875" style="51" customWidth="1"/>
    <col min="18" max="18" width="9" style="33" customWidth="1"/>
    <col min="19" max="19" width="7.42578125" style="33" customWidth="1"/>
    <col min="20" max="20" width="5.7109375" style="217" customWidth="1"/>
    <col min="21" max="21" width="13.140625" style="35" customWidth="1"/>
    <col min="22" max="22" width="12.7109375" style="35" customWidth="1"/>
    <col min="23" max="23" width="13" style="35" customWidth="1"/>
    <col min="24" max="24" width="13.140625" style="35" customWidth="1"/>
    <col min="25" max="25" width="12.28515625" style="105" customWidth="1"/>
    <col min="26" max="26" width="13.140625" style="35" customWidth="1"/>
    <col min="27" max="27" width="13" style="105" bestFit="1" customWidth="1"/>
    <col min="28" max="28" width="12.7109375" style="105" customWidth="1"/>
    <col min="29" max="29" width="13" style="35" bestFit="1" customWidth="1"/>
    <col min="30" max="30" width="13.7109375" style="35" customWidth="1"/>
    <col min="31" max="31" width="13.28515625" style="35" bestFit="1" customWidth="1"/>
    <col min="32" max="32" width="13.28515625" style="163" bestFit="1" customWidth="1"/>
    <col min="33" max="16384" width="9.140625" style="30"/>
  </cols>
  <sheetData>
    <row r="1" spans="1:32" ht="15" x14ac:dyDescent="0.2">
      <c r="A1" s="224" t="s">
        <v>1249</v>
      </c>
      <c r="B1" s="123"/>
      <c r="C1" s="123"/>
      <c r="D1" s="26"/>
      <c r="E1" s="31"/>
      <c r="F1" s="32"/>
      <c r="G1" s="32"/>
      <c r="H1" s="31"/>
      <c r="I1" s="31"/>
      <c r="J1" s="26"/>
      <c r="M1" s="31"/>
      <c r="Q1" s="31"/>
      <c r="AB1" s="124"/>
      <c r="AC1" s="16"/>
    </row>
    <row r="2" spans="1:32" ht="12" thickBot="1" x14ac:dyDescent="0.25">
      <c r="D2" s="125"/>
      <c r="E2" s="126"/>
      <c r="F2" s="127"/>
      <c r="G2" s="127"/>
      <c r="H2" s="126"/>
      <c r="I2" s="126"/>
      <c r="J2" s="42"/>
      <c r="K2" s="128"/>
      <c r="L2" s="128"/>
      <c r="M2" s="126"/>
      <c r="N2" s="26"/>
      <c r="O2" s="129"/>
      <c r="P2" s="130"/>
      <c r="Q2" s="126"/>
      <c r="R2" s="26"/>
      <c r="S2" s="131"/>
      <c r="Y2" s="132"/>
      <c r="AB2" s="132"/>
    </row>
    <row r="3" spans="1:32" ht="12.75" x14ac:dyDescent="0.2">
      <c r="A3" s="133"/>
      <c r="B3" s="225" t="s">
        <v>199</v>
      </c>
      <c r="C3" s="225"/>
      <c r="D3" s="43"/>
      <c r="E3" s="44"/>
      <c r="F3" s="45"/>
      <c r="G3" s="45"/>
      <c r="H3" s="44"/>
      <c r="I3" s="44"/>
      <c r="J3" s="43"/>
      <c r="K3" s="46"/>
      <c r="L3" s="47"/>
      <c r="M3" s="44"/>
      <c r="N3" s="48"/>
      <c r="O3" s="93"/>
      <c r="P3" s="49"/>
      <c r="Q3" s="44"/>
      <c r="R3" s="48"/>
      <c r="S3" s="43"/>
      <c r="T3" s="10"/>
      <c r="U3" s="24" t="s">
        <v>1341</v>
      </c>
      <c r="V3" s="24"/>
      <c r="W3" s="23"/>
      <c r="X3" s="226" t="s">
        <v>200</v>
      </c>
      <c r="Y3" s="115"/>
      <c r="Z3" s="83"/>
      <c r="AA3" s="295"/>
      <c r="AB3" s="295"/>
      <c r="AC3" s="296"/>
      <c r="AD3" s="40" t="s">
        <v>201</v>
      </c>
      <c r="AE3" s="40" t="s">
        <v>201</v>
      </c>
      <c r="AF3" s="164" t="s">
        <v>201</v>
      </c>
    </row>
    <row r="4" spans="1:32" ht="34.5" thickBot="1" x14ac:dyDescent="0.25">
      <c r="A4" s="227" t="s">
        <v>1194</v>
      </c>
      <c r="B4" s="11" t="s">
        <v>1337</v>
      </c>
      <c r="C4" s="11" t="s">
        <v>505</v>
      </c>
      <c r="D4" s="18" t="s">
        <v>234</v>
      </c>
      <c r="E4" s="27" t="s">
        <v>203</v>
      </c>
      <c r="F4" s="9" t="s">
        <v>202</v>
      </c>
      <c r="G4" s="9" t="s">
        <v>512</v>
      </c>
      <c r="H4" s="18" t="s">
        <v>506</v>
      </c>
      <c r="I4" s="18" t="s">
        <v>118</v>
      </c>
      <c r="J4" s="18" t="s">
        <v>204</v>
      </c>
      <c r="K4" s="19" t="s">
        <v>1233</v>
      </c>
      <c r="L4" s="37" t="s">
        <v>507</v>
      </c>
      <c r="M4" s="18" t="s">
        <v>119</v>
      </c>
      <c r="N4" s="20" t="s">
        <v>1234</v>
      </c>
      <c r="O4" s="94" t="s">
        <v>205</v>
      </c>
      <c r="P4" s="38" t="s">
        <v>508</v>
      </c>
      <c r="Q4" s="18" t="s">
        <v>1339</v>
      </c>
      <c r="R4" s="20" t="s">
        <v>206</v>
      </c>
      <c r="S4" s="18" t="s">
        <v>207</v>
      </c>
      <c r="T4" s="8" t="s">
        <v>224</v>
      </c>
      <c r="U4" s="15" t="s">
        <v>208</v>
      </c>
      <c r="V4" s="15" t="s">
        <v>209</v>
      </c>
      <c r="W4" s="15" t="s">
        <v>210</v>
      </c>
      <c r="X4" s="17" t="s">
        <v>211</v>
      </c>
      <c r="Y4" s="109" t="s">
        <v>227</v>
      </c>
      <c r="Z4" s="84" t="s">
        <v>513</v>
      </c>
      <c r="AA4" s="109" t="s">
        <v>212</v>
      </c>
      <c r="AB4" s="109" t="s">
        <v>1240</v>
      </c>
      <c r="AC4" s="12" t="s">
        <v>226</v>
      </c>
      <c r="AD4" s="85" t="s">
        <v>225</v>
      </c>
      <c r="AE4" s="41" t="s">
        <v>1338</v>
      </c>
      <c r="AF4" s="165" t="s">
        <v>1340</v>
      </c>
    </row>
    <row r="5" spans="1:32" x14ac:dyDescent="0.2">
      <c r="A5" s="4"/>
      <c r="B5" s="30" t="s">
        <v>1139</v>
      </c>
    </row>
    <row r="6" spans="1:32" x14ac:dyDescent="0.2">
      <c r="A6" s="134" t="s">
        <v>1243</v>
      </c>
      <c r="B6" s="135" t="s">
        <v>1244</v>
      </c>
      <c r="D6" s="33">
        <v>7053</v>
      </c>
      <c r="E6" s="33">
        <v>130</v>
      </c>
      <c r="F6" s="106">
        <v>0.02</v>
      </c>
      <c r="H6" s="51">
        <f>D6*E6</f>
        <v>916890</v>
      </c>
      <c r="J6" s="26">
        <f t="shared" ref="J6:J12" si="0">(E6*D6)*(1-F6)*(1-G6)</f>
        <v>898552.2</v>
      </c>
      <c r="K6" s="33">
        <v>0</v>
      </c>
      <c r="L6" s="26">
        <f>K6*D6</f>
        <v>0</v>
      </c>
      <c r="N6" s="33">
        <f t="shared" ref="N6:N12" si="1">(K6*D6)*(1-F6)*(1-G6)</f>
        <v>0</v>
      </c>
      <c r="O6" s="108">
        <v>0</v>
      </c>
      <c r="P6" s="52">
        <f>O6*D6</f>
        <v>0</v>
      </c>
      <c r="R6" s="26">
        <f>(O6*D6)*(1-F6)*(1-G6)</f>
        <v>0</v>
      </c>
      <c r="S6" s="61">
        <v>18</v>
      </c>
      <c r="T6" s="5" t="s">
        <v>1176</v>
      </c>
      <c r="U6" s="35">
        <f>SUMIF('Avoided Costs 2009-2017'!$A:$A,Actuals!T6&amp;Actuals!S6,'Avoided Costs 2009-2017'!$E:$E)*J6</f>
        <v>3049096.990346767</v>
      </c>
      <c r="V6" s="35">
        <f>SUMIF('Avoided Costs 2009-2017'!$A:$A,Actuals!T6&amp;Actuals!S6,'Avoided Costs 2009-2017'!$K:$K)*N6</f>
        <v>0</v>
      </c>
      <c r="W6" s="35">
        <f>SUMIF('Avoided Costs 2009-2017'!$A:$A,Actuals!T6&amp;Actuals!S6,'Avoided Costs 2009-2017'!$M:$M)*R6</f>
        <v>0</v>
      </c>
      <c r="X6" s="35">
        <f>SUM(U6:W6)</f>
        <v>3049096.990346767</v>
      </c>
      <c r="Y6" s="105">
        <v>750</v>
      </c>
      <c r="Z6" s="53">
        <f t="shared" ref="Z6:Z12" si="2">(Y6*D6)*(1-F6)</f>
        <v>5183955</v>
      </c>
      <c r="AB6" s="141"/>
      <c r="AD6" s="35">
        <v>5227464.41</v>
      </c>
      <c r="AE6" s="35">
        <v>-2178367.4196532331</v>
      </c>
      <c r="AF6" s="163">
        <f>J6*S6</f>
        <v>16173939.6</v>
      </c>
    </row>
    <row r="7" spans="1:32" x14ac:dyDescent="0.2">
      <c r="A7" s="134" t="s">
        <v>1196</v>
      </c>
      <c r="B7" s="30" t="s">
        <v>981</v>
      </c>
      <c r="D7" s="33">
        <v>95393</v>
      </c>
      <c r="E7" s="33">
        <v>116</v>
      </c>
      <c r="F7" s="106">
        <v>0.1</v>
      </c>
      <c r="G7" s="50">
        <v>0.35998207435720753</v>
      </c>
      <c r="H7" s="51">
        <f>D7*E7</f>
        <v>11065588</v>
      </c>
      <c r="J7" s="26">
        <f t="shared" si="0"/>
        <v>6373957.21</v>
      </c>
      <c r="K7" s="33">
        <v>0</v>
      </c>
      <c r="L7" s="26">
        <f>K7*D7</f>
        <v>0</v>
      </c>
      <c r="N7" s="33">
        <f t="shared" si="1"/>
        <v>0</v>
      </c>
      <c r="O7" s="142">
        <v>22.592105263157897</v>
      </c>
      <c r="P7" s="52">
        <f>O7*D7</f>
        <v>2155128.6973684211</v>
      </c>
      <c r="R7" s="26">
        <f>(O7*D7)*(1-F7)*(1-G7)</f>
        <v>1241388.8985446913</v>
      </c>
      <c r="S7" s="61">
        <v>10</v>
      </c>
      <c r="T7" s="5" t="s">
        <v>1176</v>
      </c>
      <c r="U7" s="35">
        <f>SUMIF('Avoided Costs 2009-2017'!$A:$A,Actuals!T7&amp;Actuals!S7,'Avoided Costs 2009-2017'!$E:$E)*J7</f>
        <v>15265096.39602326</v>
      </c>
      <c r="V7" s="35">
        <f>SUMIF('Avoided Costs 2009-2017'!$A:$A,Actuals!T7&amp;Actuals!S7,'Avoided Costs 2009-2017'!$K:$K)*N7</f>
        <v>0</v>
      </c>
      <c r="W7" s="35">
        <f>SUMIF('Avoided Costs 2009-2017'!$A:$A,Actuals!T7&amp;Actuals!S7,'Avoided Costs 2009-2017'!$M:$M)*R7</f>
        <v>12444849.201261206</v>
      </c>
      <c r="X7" s="35">
        <f t="shared" ref="X7:X12" si="3">SUM(U7:W7)</f>
        <v>27709945.597284466</v>
      </c>
      <c r="Y7" s="105">
        <v>19</v>
      </c>
      <c r="Z7" s="53">
        <f t="shared" si="2"/>
        <v>1631220.3</v>
      </c>
      <c r="AB7" s="141"/>
      <c r="AD7" s="35">
        <v>1728629.6800000002</v>
      </c>
      <c r="AE7" s="35">
        <v>25981315.917284466</v>
      </c>
      <c r="AF7" s="163">
        <f t="shared" ref="AF7:AF12" si="4">J7*S7</f>
        <v>63739572.100000001</v>
      </c>
    </row>
    <row r="8" spans="1:32" x14ac:dyDescent="0.2">
      <c r="A8" s="134" t="s">
        <v>935</v>
      </c>
      <c r="B8" s="30" t="s">
        <v>1325</v>
      </c>
      <c r="D8" s="33">
        <v>51409</v>
      </c>
      <c r="E8" s="33">
        <v>66</v>
      </c>
      <c r="F8" s="106">
        <v>0.1</v>
      </c>
      <c r="G8" s="50">
        <v>0.36088113395491483</v>
      </c>
      <c r="H8" s="51">
        <f t="shared" ref="H8:H16" si="5">D8*E8</f>
        <v>3392994</v>
      </c>
      <c r="J8" s="26">
        <f t="shared" si="0"/>
        <v>1951673.83</v>
      </c>
      <c r="K8" s="33">
        <v>0</v>
      </c>
      <c r="L8" s="26">
        <f t="shared" ref="L8:L16" si="6">K8*D8</f>
        <v>0</v>
      </c>
      <c r="N8" s="33">
        <f t="shared" si="1"/>
        <v>0</v>
      </c>
      <c r="O8" s="142">
        <v>14.328947368421053</v>
      </c>
      <c r="P8" s="52">
        <f t="shared" ref="P8:P16" si="7">O8*D8</f>
        <v>736636.85526315786</v>
      </c>
      <c r="R8" s="26">
        <f t="shared" ref="R8:R16" si="8">(O8*D8)*(1-F8)*(1-G8)</f>
        <v>423718.66046052624</v>
      </c>
      <c r="S8" s="61">
        <v>10</v>
      </c>
      <c r="T8" s="5" t="s">
        <v>1176</v>
      </c>
      <c r="U8" s="35">
        <f>SUMIF('Avoided Costs 2009-2017'!$A:$A,Actuals!T8&amp;Actuals!S8,'Avoided Costs 2009-2017'!$E:$E)*J8</f>
        <v>4674096.1959714685</v>
      </c>
      <c r="V8" s="35">
        <f>SUMIF('Avoided Costs 2009-2017'!$A:$A,Actuals!T8&amp;Actuals!S8,'Avoided Costs 2009-2017'!$K:$K)*N8</f>
        <v>0</v>
      </c>
      <c r="W8" s="35">
        <f>SUMIF('Avoided Costs 2009-2017'!$A:$A,Actuals!T8&amp;Actuals!S8,'Avoided Costs 2009-2017'!$M:$M)*R8</f>
        <v>4247754.1400389848</v>
      </c>
      <c r="X8" s="35">
        <f t="shared" si="3"/>
        <v>8921850.3360104524</v>
      </c>
      <c r="Y8" s="105">
        <v>19</v>
      </c>
      <c r="Z8" s="53">
        <f t="shared" si="2"/>
        <v>879093.9</v>
      </c>
      <c r="AD8" s="35">
        <v>879093.9</v>
      </c>
      <c r="AE8" s="35">
        <v>8042756.436010452</v>
      </c>
      <c r="AF8" s="163">
        <f t="shared" si="4"/>
        <v>19516738.300000001</v>
      </c>
    </row>
    <row r="9" spans="1:32" x14ac:dyDescent="0.2">
      <c r="A9" s="134" t="s">
        <v>937</v>
      </c>
      <c r="B9" s="30" t="s">
        <v>921</v>
      </c>
      <c r="D9" s="33">
        <v>146537</v>
      </c>
      <c r="E9" s="33">
        <v>23</v>
      </c>
      <c r="F9" s="106">
        <v>0.31</v>
      </c>
      <c r="G9" s="50">
        <v>0.34902652529387135</v>
      </c>
      <c r="H9" s="51">
        <f t="shared" si="5"/>
        <v>3370351</v>
      </c>
      <c r="J9" s="26">
        <f t="shared" si="0"/>
        <v>1513866.28</v>
      </c>
      <c r="K9" s="33">
        <v>0</v>
      </c>
      <c r="L9" s="26">
        <f t="shared" si="6"/>
        <v>0</v>
      </c>
      <c r="N9" s="33">
        <f t="shared" si="1"/>
        <v>0</v>
      </c>
      <c r="O9" s="108">
        <v>7.8</v>
      </c>
      <c r="P9" s="52">
        <f t="shared" si="7"/>
        <v>1142988.5999999999</v>
      </c>
      <c r="R9" s="26">
        <f t="shared" si="8"/>
        <v>513398.12973913032</v>
      </c>
      <c r="S9" s="61">
        <v>10</v>
      </c>
      <c r="T9" s="5" t="s">
        <v>1176</v>
      </c>
      <c r="U9" s="35">
        <f>SUMIF('Avoided Costs 2009-2017'!$A:$A,Actuals!T9&amp;Actuals!S9,'Avoided Costs 2009-2017'!$E:$E)*J9</f>
        <v>3625583.5948558464</v>
      </c>
      <c r="V9" s="35">
        <f>SUMIF('Avoided Costs 2009-2017'!$A:$A,Actuals!T9&amp;Actuals!S9,'Avoided Costs 2009-2017'!$K:$K)*N9</f>
        <v>0</v>
      </c>
      <c r="W9" s="35">
        <f>SUMIF('Avoided Costs 2009-2017'!$A:$A,Actuals!T9&amp;Actuals!S9,'Avoided Costs 2009-2017'!$M:$M)*R9</f>
        <v>5146785.4371044999</v>
      </c>
      <c r="X9" s="35">
        <f t="shared" si="3"/>
        <v>8772369.0319603458</v>
      </c>
      <c r="Y9" s="105">
        <v>1</v>
      </c>
      <c r="Z9" s="53">
        <f t="shared" si="2"/>
        <v>101110.53</v>
      </c>
      <c r="AD9" s="35">
        <v>101110.53</v>
      </c>
      <c r="AE9" s="35">
        <v>8671258.5019603465</v>
      </c>
      <c r="AF9" s="163">
        <f t="shared" si="4"/>
        <v>15138662.800000001</v>
      </c>
    </row>
    <row r="10" spans="1:32" x14ac:dyDescent="0.2">
      <c r="A10" s="134" t="s">
        <v>936</v>
      </c>
      <c r="B10" s="30" t="s">
        <v>922</v>
      </c>
      <c r="D10" s="33">
        <v>146337</v>
      </c>
      <c r="E10" s="33">
        <v>6</v>
      </c>
      <c r="F10" s="106">
        <v>0.31</v>
      </c>
      <c r="G10" s="50">
        <v>0.46728139821791137</v>
      </c>
      <c r="H10" s="51">
        <f t="shared" si="5"/>
        <v>878022</v>
      </c>
      <c r="J10" s="26">
        <f t="shared" si="0"/>
        <v>322739.66999999993</v>
      </c>
      <c r="K10" s="33">
        <v>0</v>
      </c>
      <c r="L10" s="26">
        <f t="shared" si="6"/>
        <v>0</v>
      </c>
      <c r="N10" s="33">
        <f t="shared" si="1"/>
        <v>0</v>
      </c>
      <c r="O10" s="108">
        <v>2</v>
      </c>
      <c r="P10" s="52">
        <f t="shared" si="7"/>
        <v>292674</v>
      </c>
      <c r="R10" s="26">
        <f t="shared" si="8"/>
        <v>107579.89</v>
      </c>
      <c r="S10" s="61">
        <v>10</v>
      </c>
      <c r="T10" s="5" t="s">
        <v>1176</v>
      </c>
      <c r="U10" s="35">
        <f>SUMIF('Avoided Costs 2009-2017'!$A:$A,Actuals!T10&amp;Actuals!S10,'Avoided Costs 2009-2017'!$E:$E)*J10</f>
        <v>772934.61676231353</v>
      </c>
      <c r="V10" s="35">
        <f>SUMIF('Avoided Costs 2009-2017'!$A:$A,Actuals!T10&amp;Actuals!S10,'Avoided Costs 2009-2017'!$K:$K)*N10</f>
        <v>0</v>
      </c>
      <c r="W10" s="35">
        <f>SUMIF('Avoided Costs 2009-2017'!$A:$A,Actuals!T10&amp;Actuals!S10,'Avoided Costs 2009-2017'!$M:$M)*R10</f>
        <v>1078481.9404360652</v>
      </c>
      <c r="X10" s="35">
        <f t="shared" si="3"/>
        <v>1851416.5571983787</v>
      </c>
      <c r="Y10" s="105">
        <v>1</v>
      </c>
      <c r="Z10" s="53">
        <f t="shared" si="2"/>
        <v>100972.53</v>
      </c>
      <c r="AD10" s="35">
        <v>100972.53</v>
      </c>
      <c r="AE10" s="35">
        <v>1750444.0271983787</v>
      </c>
      <c r="AF10" s="163">
        <f t="shared" si="4"/>
        <v>3227396.6999999993</v>
      </c>
    </row>
    <row r="11" spans="1:32" x14ac:dyDescent="0.2">
      <c r="A11" s="134" t="s">
        <v>984</v>
      </c>
      <c r="B11" s="30" t="s">
        <v>985</v>
      </c>
      <c r="D11" s="33">
        <v>135236</v>
      </c>
      <c r="E11" s="33">
        <v>0</v>
      </c>
      <c r="F11" s="106">
        <v>0.24</v>
      </c>
      <c r="G11" s="50">
        <v>1.0000000648638596E-2</v>
      </c>
      <c r="H11" s="51">
        <f>D11*E11</f>
        <v>0</v>
      </c>
      <c r="J11" s="26">
        <f>(E11*D11)*(1-F11)*(1-G11)</f>
        <v>0</v>
      </c>
      <c r="K11" s="33">
        <v>148.5</v>
      </c>
      <c r="L11" s="26">
        <f>K11*D11</f>
        <v>20082546</v>
      </c>
      <c r="N11" s="33">
        <f>(K11*D11)*(1-F11)*(1-G11)</f>
        <v>15110107.600500003</v>
      </c>
      <c r="O11" s="108">
        <v>0</v>
      </c>
      <c r="P11" s="52">
        <f>O11*D11</f>
        <v>0</v>
      </c>
      <c r="R11" s="26">
        <f>(O11*D11)*(1-F11)*(1-G11)</f>
        <v>0</v>
      </c>
      <c r="S11" s="61">
        <v>8</v>
      </c>
      <c r="T11" s="5" t="s">
        <v>213</v>
      </c>
      <c r="U11" s="35">
        <f>SUMIF('Avoided Costs 2009-2017'!$A:$A,Actuals!T11&amp;Actuals!S11,'Avoided Costs 2009-2017'!$E:$E)*J11</f>
        <v>0</v>
      </c>
      <c r="V11" s="35">
        <f>SUMIF('Avoided Costs 2009-2017'!$A:$A,Actuals!T11&amp;Actuals!S11,'Avoided Costs 2009-2017'!$K:$K)*N11</f>
        <v>7407364.2706439504</v>
      </c>
      <c r="W11" s="35">
        <f>SUMIF('Avoided Costs 2009-2017'!$A:$A,Actuals!T11&amp;Actuals!S11,'Avoided Costs 2009-2017'!$M:$M)*R11</f>
        <v>0</v>
      </c>
      <c r="X11" s="35">
        <f>SUM(U11:W11)</f>
        <v>7407364.2706439504</v>
      </c>
      <c r="Y11" s="107">
        <v>0</v>
      </c>
      <c r="Z11" s="53">
        <f>(Y11*D11)*(1-F11)</f>
        <v>0</v>
      </c>
      <c r="AD11" s="35">
        <v>0</v>
      </c>
      <c r="AE11" s="35">
        <v>7407364.2706439504</v>
      </c>
      <c r="AF11" s="163">
        <f t="shared" si="4"/>
        <v>0</v>
      </c>
    </row>
    <row r="12" spans="1:32" x14ac:dyDescent="0.2">
      <c r="A12" s="134" t="s">
        <v>933</v>
      </c>
      <c r="B12" s="30" t="s">
        <v>1330</v>
      </c>
      <c r="D12" s="33">
        <v>180344</v>
      </c>
      <c r="E12" s="33">
        <v>0</v>
      </c>
      <c r="F12" s="106">
        <v>0</v>
      </c>
      <c r="H12" s="51">
        <f t="shared" si="5"/>
        <v>0</v>
      </c>
      <c r="J12" s="26">
        <f t="shared" si="0"/>
        <v>0</v>
      </c>
      <c r="K12" s="33">
        <v>0</v>
      </c>
      <c r="L12" s="26">
        <f t="shared" si="6"/>
        <v>0</v>
      </c>
      <c r="N12" s="33">
        <f t="shared" si="1"/>
        <v>0</v>
      </c>
      <c r="O12" s="108">
        <v>0</v>
      </c>
      <c r="P12" s="52">
        <f t="shared" si="7"/>
        <v>0</v>
      </c>
      <c r="R12" s="26">
        <f t="shared" si="8"/>
        <v>0</v>
      </c>
      <c r="S12" s="61"/>
      <c r="T12" s="5" t="s">
        <v>1176</v>
      </c>
      <c r="U12" s="35">
        <f>SUMIF('Avoided Costs 2009-2017'!$A:$A,Actuals!T12&amp;Actuals!S12,'Avoided Costs 2009-2017'!$E:$E)*J12</f>
        <v>0</v>
      </c>
      <c r="V12" s="35">
        <f>SUMIF('Avoided Costs 2009-2017'!$A:$A,Actuals!T12&amp;Actuals!S12,'Avoided Costs 2009-2017'!$K:$K)*N12</f>
        <v>0</v>
      </c>
      <c r="W12" s="35">
        <f>SUMIF('Avoided Costs 2009-2017'!$A:$A,Actuals!T12&amp;Actuals!S12,'Avoided Costs 2009-2017'!$M:$M)*R12</f>
        <v>0</v>
      </c>
      <c r="X12" s="35">
        <f t="shared" si="3"/>
        <v>0</v>
      </c>
      <c r="Z12" s="53">
        <f t="shared" si="2"/>
        <v>0</v>
      </c>
      <c r="AD12" s="35">
        <v>0</v>
      </c>
      <c r="AE12" s="35">
        <v>0</v>
      </c>
      <c r="AF12" s="163">
        <f t="shared" si="4"/>
        <v>0</v>
      </c>
    </row>
    <row r="13" spans="1:32" x14ac:dyDescent="0.2">
      <c r="A13" s="140"/>
      <c r="B13" s="79" t="s">
        <v>228</v>
      </c>
      <c r="C13" s="79"/>
      <c r="D13" s="56">
        <f>SUM(D6:D12)</f>
        <v>762309</v>
      </c>
      <c r="E13" s="54"/>
      <c r="F13" s="112"/>
      <c r="G13" s="55"/>
      <c r="H13" s="56">
        <f>SUM(H6:H12)</f>
        <v>19623845</v>
      </c>
      <c r="I13" s="56"/>
      <c r="J13" s="56">
        <f>SUM(J6:J12)</f>
        <v>11060789.189999999</v>
      </c>
      <c r="K13" s="54"/>
      <c r="L13" s="56">
        <f>SUM(L6:L12)</f>
        <v>20082546</v>
      </c>
      <c r="M13" s="56"/>
      <c r="N13" s="56">
        <f>SUM(N6:N12)</f>
        <v>15110107.600500003</v>
      </c>
      <c r="O13" s="113"/>
      <c r="P13" s="56">
        <f>SUM(P6:P12)</f>
        <v>4327428.152631579</v>
      </c>
      <c r="Q13" s="56"/>
      <c r="R13" s="56">
        <f>SUM(R6:R12)</f>
        <v>2286085.5787443481</v>
      </c>
      <c r="S13" s="114"/>
      <c r="T13" s="25"/>
      <c r="U13" s="56">
        <f>SUM(U6:U12)</f>
        <v>27386807.793959651</v>
      </c>
      <c r="V13" s="56">
        <f>SUM(V6:V12)</f>
        <v>7407364.2706439504</v>
      </c>
      <c r="W13" s="56">
        <f>SUM(W6:W12)</f>
        <v>22917870.718840756</v>
      </c>
      <c r="X13" s="56">
        <f>SUM(X6:X12)</f>
        <v>57712042.783444352</v>
      </c>
      <c r="Y13" s="62"/>
      <c r="Z13" s="56">
        <f>SUM(Z6:Z12)</f>
        <v>7896352.2600000007</v>
      </c>
      <c r="AA13" s="62">
        <v>6194256.7800000003</v>
      </c>
      <c r="AB13" s="62">
        <v>140918.79</v>
      </c>
      <c r="AC13" s="56">
        <v>6335175.5700000003</v>
      </c>
      <c r="AD13" s="56">
        <v>8037271.0500000007</v>
      </c>
      <c r="AE13" s="56">
        <v>49674771.733444363</v>
      </c>
      <c r="AF13" s="228">
        <f>SUM(AF6:AF12)</f>
        <v>117796309.5</v>
      </c>
    </row>
    <row r="14" spans="1:32" x14ac:dyDescent="0.2">
      <c r="A14" s="134" t="s">
        <v>1197</v>
      </c>
      <c r="B14" s="30" t="s">
        <v>1326</v>
      </c>
      <c r="D14" s="33">
        <v>28518</v>
      </c>
      <c r="E14" s="33">
        <v>385</v>
      </c>
      <c r="F14" s="106">
        <v>0.9</v>
      </c>
      <c r="G14" s="50">
        <v>0</v>
      </c>
      <c r="H14" s="51">
        <f t="shared" si="5"/>
        <v>10979430</v>
      </c>
      <c r="J14" s="26">
        <f>(E14*D14)*(1-F14)</f>
        <v>1097942.9999999998</v>
      </c>
      <c r="K14" s="33">
        <v>0</v>
      </c>
      <c r="L14" s="26">
        <f t="shared" si="6"/>
        <v>0</v>
      </c>
      <c r="N14" s="33">
        <f>(K14*D14)*(1-F14)*(1-G14)</f>
        <v>0</v>
      </c>
      <c r="O14" s="108">
        <v>0</v>
      </c>
      <c r="P14" s="52">
        <f t="shared" si="7"/>
        <v>0</v>
      </c>
      <c r="R14" s="26">
        <f t="shared" si="8"/>
        <v>0</v>
      </c>
      <c r="S14" s="61">
        <v>18</v>
      </c>
      <c r="T14" s="5" t="s">
        <v>213</v>
      </c>
      <c r="U14" s="35">
        <f>SUMIF('Avoided Costs 2009-2017'!$A:$A,Actuals!T14&amp;Actuals!S14,'Avoided Costs 2009-2017'!$E:$E)*J14</f>
        <v>4092147.1109054382</v>
      </c>
      <c r="V14" s="35">
        <f>SUMIF('Avoided Costs 2009-2017'!$A:$A,Actuals!T14&amp;Actuals!S14,'Avoided Costs 2009-2017'!$K:$K)*N14</f>
        <v>0</v>
      </c>
      <c r="W14" s="35">
        <f>SUMIF('Avoided Costs 2009-2017'!$A:$A,Actuals!T14&amp;Actuals!S14,'Avoided Costs 2009-2017'!$M:$M)*R14</f>
        <v>0</v>
      </c>
      <c r="X14" s="35">
        <f>SUM(U14:W14)</f>
        <v>4092147.1109054382</v>
      </c>
      <c r="Y14" s="105">
        <v>650</v>
      </c>
      <c r="Z14" s="53">
        <f>(Y14*D14)*(1-F14)</f>
        <v>1853669.9999999995</v>
      </c>
      <c r="AB14" s="141"/>
      <c r="AD14" s="35">
        <v>1952569.3399999996</v>
      </c>
      <c r="AE14" s="35">
        <v>2139577.7709054388</v>
      </c>
      <c r="AF14" s="163">
        <f t="shared" ref="AF14:AF16" si="9">J14*S14</f>
        <v>19762973.999999996</v>
      </c>
    </row>
    <row r="15" spans="1:32" x14ac:dyDescent="0.2">
      <c r="A15" s="134" t="s">
        <v>1198</v>
      </c>
      <c r="B15" s="30" t="s">
        <v>1327</v>
      </c>
      <c r="D15" s="33">
        <v>20112</v>
      </c>
      <c r="E15" s="33">
        <v>146</v>
      </c>
      <c r="F15" s="106">
        <v>0.43</v>
      </c>
      <c r="G15" s="50">
        <v>0</v>
      </c>
      <c r="H15" s="51">
        <f t="shared" si="5"/>
        <v>2936352</v>
      </c>
      <c r="J15" s="26">
        <f>(E15*D15)*(1-F15)</f>
        <v>1673720.6400000001</v>
      </c>
      <c r="K15" s="33">
        <v>123</v>
      </c>
      <c r="L15" s="26">
        <f t="shared" si="6"/>
        <v>2473776</v>
      </c>
      <c r="N15" s="33">
        <f>(K15*D15)*(1-F15)*(1-G15)</f>
        <v>1410052.32</v>
      </c>
      <c r="O15" s="108">
        <v>0</v>
      </c>
      <c r="P15" s="52">
        <f t="shared" si="7"/>
        <v>0</v>
      </c>
      <c r="R15" s="26">
        <f t="shared" si="8"/>
        <v>0</v>
      </c>
      <c r="S15" s="61">
        <v>15</v>
      </c>
      <c r="T15" s="5" t="s">
        <v>213</v>
      </c>
      <c r="U15" s="35">
        <f>SUMIF('Avoided Costs 2009-2017'!$A:$A,Actuals!T15&amp;Actuals!S15,'Avoided Costs 2009-2017'!$E:$E)*J15</f>
        <v>5660867.3182139136</v>
      </c>
      <c r="V15" s="35">
        <f>SUMIF('Avoided Costs 2009-2017'!$A:$A,Actuals!T15&amp;Actuals!S15,'Avoided Costs 2009-2017'!$K:$K)*N15</f>
        <v>1052649.427440159</v>
      </c>
      <c r="W15" s="35">
        <f>SUMIF('Avoided Costs 2009-2017'!$A:$A,Actuals!T15&amp;Actuals!S15,'Avoided Costs 2009-2017'!$M:$M)*R15</f>
        <v>0</v>
      </c>
      <c r="X15" s="35">
        <f>SUM(U15:W15)</f>
        <v>6713516.7456540726</v>
      </c>
      <c r="Y15" s="105">
        <v>50</v>
      </c>
      <c r="Z15" s="53">
        <f>(Y15*D15)*(1-F15)</f>
        <v>573192.00000000012</v>
      </c>
      <c r="AB15" s="141"/>
      <c r="AD15" s="35">
        <v>624383.28000000014</v>
      </c>
      <c r="AE15" s="35">
        <v>6089133.4656540724</v>
      </c>
      <c r="AF15" s="163">
        <f t="shared" si="9"/>
        <v>25105809.600000001</v>
      </c>
    </row>
    <row r="16" spans="1:32" s="4" customFormat="1" x14ac:dyDescent="0.2">
      <c r="A16" s="134" t="s">
        <v>931</v>
      </c>
      <c r="B16" s="4" t="s">
        <v>1328</v>
      </c>
      <c r="D16" s="33">
        <v>2315</v>
      </c>
      <c r="E16" s="33">
        <v>143</v>
      </c>
      <c r="F16" s="106">
        <v>0</v>
      </c>
      <c r="G16" s="50">
        <v>0.24</v>
      </c>
      <c r="H16" s="51">
        <f t="shared" si="5"/>
        <v>331045</v>
      </c>
      <c r="I16" s="51"/>
      <c r="J16" s="26">
        <f>(E16*D16)*(1-F16)*(1-G16)</f>
        <v>251594.2</v>
      </c>
      <c r="K16" s="33">
        <v>0</v>
      </c>
      <c r="L16" s="26">
        <f t="shared" si="6"/>
        <v>0</v>
      </c>
      <c r="M16" s="51"/>
      <c r="N16" s="33">
        <f>(K16*D16)*(1-F16)*(1-G16)</f>
        <v>0</v>
      </c>
      <c r="O16" s="108">
        <v>0</v>
      </c>
      <c r="P16" s="52">
        <f t="shared" si="7"/>
        <v>0</v>
      </c>
      <c r="Q16" s="51"/>
      <c r="R16" s="26">
        <f t="shared" si="8"/>
        <v>0</v>
      </c>
      <c r="S16" s="61">
        <v>18</v>
      </c>
      <c r="T16" s="5" t="s">
        <v>213</v>
      </c>
      <c r="U16" s="35">
        <f>SUMIF('Avoided Costs 2009-2017'!$A:$A,Actuals!T16&amp;Actuals!S16,'Avoided Costs 2009-2017'!$E:$E)*J16</f>
        <v>937717.60341890727</v>
      </c>
      <c r="V16" s="35">
        <f>SUMIF('Avoided Costs 2009-2017'!$A:$A,Actuals!T16&amp;Actuals!S16,'Avoided Costs 2009-2017'!$K:$K)*N16</f>
        <v>0</v>
      </c>
      <c r="W16" s="35">
        <f>SUMIF('Avoided Costs 2009-2017'!$A:$A,Actuals!T16&amp;Actuals!S16,'Avoided Costs 2009-2017'!$M:$M)*R16</f>
        <v>0</v>
      </c>
      <c r="X16" s="35">
        <f>SUM(U16:W16)</f>
        <v>937717.60341890727</v>
      </c>
      <c r="Y16" s="105">
        <v>238</v>
      </c>
      <c r="Z16" s="53">
        <f>(Y16*D16)*(1-F16)</f>
        <v>550970</v>
      </c>
      <c r="AA16" s="105"/>
      <c r="AB16" s="141"/>
      <c r="AC16" s="35"/>
      <c r="AD16" s="35">
        <v>554992.52</v>
      </c>
      <c r="AE16" s="35">
        <v>382725.08341890725</v>
      </c>
      <c r="AF16" s="163">
        <f t="shared" si="9"/>
        <v>4528695.6000000006</v>
      </c>
    </row>
    <row r="17" spans="1:32" x14ac:dyDescent="0.2">
      <c r="A17" s="140"/>
      <c r="B17" s="79" t="s">
        <v>1195</v>
      </c>
      <c r="C17" s="79"/>
      <c r="D17" s="56">
        <f>SUM(D14:D16)</f>
        <v>50945</v>
      </c>
      <c r="E17" s="54"/>
      <c r="F17" s="55"/>
      <c r="G17" s="55"/>
      <c r="H17" s="56">
        <f>SUM(H14:H16)</f>
        <v>14246827</v>
      </c>
      <c r="I17" s="56"/>
      <c r="J17" s="56">
        <f>SUM(J14:J16)</f>
        <v>3023257.84</v>
      </c>
      <c r="K17" s="56"/>
      <c r="L17" s="56"/>
      <c r="M17" s="56"/>
      <c r="N17" s="56">
        <f>SUM(N14:N16)</f>
        <v>1410052.32</v>
      </c>
      <c r="O17" s="95"/>
      <c r="P17" s="56"/>
      <c r="Q17" s="56"/>
      <c r="R17" s="56">
        <f>SUM(R14:R16)</f>
        <v>0</v>
      </c>
      <c r="S17" s="56"/>
      <c r="T17" s="25"/>
      <c r="U17" s="229">
        <f>SUM(U14:U16)</f>
        <v>10690732.032538259</v>
      </c>
      <c r="V17" s="229">
        <f>SUM(V14:V16)</f>
        <v>1052649.427440159</v>
      </c>
      <c r="W17" s="229">
        <f>SUM(W14:W16)</f>
        <v>0</v>
      </c>
      <c r="X17" s="229">
        <f>SUM(X14:X16)</f>
        <v>11743381.459978418</v>
      </c>
      <c r="Y17" s="62"/>
      <c r="Z17" s="229">
        <f>SUM(Z14:Z16)</f>
        <v>2977831.9999999995</v>
      </c>
      <c r="AA17" s="62">
        <v>3745213.25</v>
      </c>
      <c r="AB17" s="62">
        <v>154113.13999999998</v>
      </c>
      <c r="AC17" s="229">
        <v>3899326.3899999997</v>
      </c>
      <c r="AD17" s="229">
        <v>3131945.1399999997</v>
      </c>
      <c r="AE17" s="229">
        <v>8611436.3199784178</v>
      </c>
      <c r="AF17" s="230">
        <f>SUM(AF14:AF16)</f>
        <v>49397479.199999996</v>
      </c>
    </row>
    <row r="18" spans="1:32" x14ac:dyDescent="0.2">
      <c r="A18" s="134" t="s">
        <v>1141</v>
      </c>
      <c r="B18" s="57"/>
      <c r="C18" s="57"/>
      <c r="D18" s="60">
        <f>D17+D13</f>
        <v>813254</v>
      </c>
      <c r="E18" s="78"/>
      <c r="F18" s="58"/>
      <c r="G18" s="58"/>
      <c r="H18" s="60">
        <f>H17+H13</f>
        <v>33870672</v>
      </c>
      <c r="I18" s="60"/>
      <c r="J18" s="60">
        <f>J17+J13</f>
        <v>14084047.029999999</v>
      </c>
      <c r="K18" s="60" t="s">
        <v>1189</v>
      </c>
      <c r="L18" s="60">
        <f>L17+L13</f>
        <v>20082546</v>
      </c>
      <c r="M18" s="60"/>
      <c r="N18" s="60">
        <f>N17+N13</f>
        <v>16520159.920500003</v>
      </c>
      <c r="O18" s="96"/>
      <c r="P18" s="60">
        <f>P17+P13</f>
        <v>4327428.152631579</v>
      </c>
      <c r="Q18" s="60"/>
      <c r="R18" s="60">
        <f>R17+R13</f>
        <v>2286085.5787443481</v>
      </c>
      <c r="S18" s="60"/>
      <c r="T18" s="6"/>
      <c r="U18" s="60">
        <f>U17+U13</f>
        <v>38077539.826497912</v>
      </c>
      <c r="V18" s="60">
        <f>V17+V13</f>
        <v>8460013.6980841085</v>
      </c>
      <c r="W18" s="60">
        <f>W17+W13</f>
        <v>22917870.718840756</v>
      </c>
      <c r="X18" s="60">
        <f>X17+X13</f>
        <v>69455424.243422776</v>
      </c>
      <c r="Y18" s="116"/>
      <c r="Z18" s="60">
        <f t="shared" ref="Z18:AF18" si="10">Z17+Z13</f>
        <v>10874184.26</v>
      </c>
      <c r="AA18" s="116">
        <f t="shared" si="10"/>
        <v>9939470.0300000012</v>
      </c>
      <c r="AB18" s="116">
        <f t="shared" si="10"/>
        <v>295031.93</v>
      </c>
      <c r="AC18" s="60">
        <f t="shared" si="10"/>
        <v>10234501.960000001</v>
      </c>
      <c r="AD18" s="60">
        <f t="shared" si="10"/>
        <v>11169216.190000001</v>
      </c>
      <c r="AE18" s="60">
        <f t="shared" si="10"/>
        <v>58286208.053422779</v>
      </c>
      <c r="AF18" s="231">
        <f t="shared" si="10"/>
        <v>167193788.69999999</v>
      </c>
    </row>
    <row r="19" spans="1:32" x14ac:dyDescent="0.2">
      <c r="A19" s="134"/>
    </row>
    <row r="20" spans="1:32" x14ac:dyDescent="0.2">
      <c r="A20" s="134"/>
      <c r="B20" s="30" t="s">
        <v>1162</v>
      </c>
    </row>
    <row r="21" spans="1:32" x14ac:dyDescent="0.2">
      <c r="A21" s="138" t="s">
        <v>1245</v>
      </c>
      <c r="B21" s="4" t="s">
        <v>1329</v>
      </c>
      <c r="C21" s="4"/>
      <c r="D21" s="33">
        <v>2199</v>
      </c>
      <c r="E21" s="33">
        <v>1018</v>
      </c>
      <c r="F21" s="106">
        <v>0.05</v>
      </c>
      <c r="G21" s="119">
        <v>0</v>
      </c>
      <c r="H21" s="51">
        <f>D21*E21</f>
        <v>2238582</v>
      </c>
      <c r="J21" s="26">
        <f>(E21*D21)*(1-F21)*(1-G21)</f>
        <v>2126652.9</v>
      </c>
      <c r="K21" s="33">
        <v>1450</v>
      </c>
      <c r="L21" s="26">
        <f>K21*D21</f>
        <v>3188550</v>
      </c>
      <c r="N21" s="33">
        <f>(K21*D21)*(1-F21)*(1-G21)</f>
        <v>3029122.5</v>
      </c>
      <c r="O21" s="33">
        <v>0</v>
      </c>
      <c r="P21" s="52">
        <f>O21*D21</f>
        <v>0</v>
      </c>
      <c r="R21" s="26">
        <f>(O21*D21)*(1-F21)*(1-G21)</f>
        <v>0</v>
      </c>
      <c r="S21" s="33">
        <v>25</v>
      </c>
      <c r="T21" s="5" t="s">
        <v>213</v>
      </c>
      <c r="U21" s="35">
        <f>SUMIF('Avoided Costs 2009-2017'!$A:$A,Actuals!T21&amp;Actuals!S21,'Avoided Costs 2009-2017'!$E:$E)*J21</f>
        <v>9155819.193054447</v>
      </c>
      <c r="V21" s="35">
        <f>SUMIF('Avoided Costs 2009-2017'!$A:$A,Actuals!T21&amp;Actuals!S21,'Avoided Costs 2009-2017'!$K:$K)*N21</f>
        <v>2898510.9688873636</v>
      </c>
      <c r="W21" s="35">
        <f>SUMIF('Avoided Costs 2009-2017'!$A:$A,Actuals!T21&amp;Actuals!S21,'Avoided Costs 2009-2017'!$M:$M)*R21</f>
        <v>0</v>
      </c>
      <c r="X21" s="35">
        <f>SUM(U21:W21)</f>
        <v>12054330.161941811</v>
      </c>
      <c r="Y21" s="105">
        <v>4701</v>
      </c>
      <c r="Z21" s="53">
        <f>(Y21*D21)*(1-F21)</f>
        <v>9820624.0499999989</v>
      </c>
      <c r="AA21" s="107">
        <v>226000</v>
      </c>
      <c r="AB21" s="141">
        <v>15527.01</v>
      </c>
      <c r="AC21" s="35">
        <v>241527.01</v>
      </c>
      <c r="AD21" s="35">
        <v>9836151.0599999987</v>
      </c>
      <c r="AE21" s="35">
        <v>2218179.1019418128</v>
      </c>
      <c r="AF21" s="163">
        <f>J21*S21</f>
        <v>53166322.5</v>
      </c>
    </row>
    <row r="22" spans="1:32" x14ac:dyDescent="0.2">
      <c r="A22" s="134" t="s">
        <v>1190</v>
      </c>
      <c r="B22" s="57"/>
      <c r="C22" s="57"/>
      <c r="D22" s="60">
        <f>SUM(D21:D21)</f>
        <v>2199</v>
      </c>
      <c r="E22" s="78"/>
      <c r="F22" s="58"/>
      <c r="G22" s="58"/>
      <c r="H22" s="60">
        <f>SUM(H21:H21)</f>
        <v>2238582</v>
      </c>
      <c r="I22" s="60"/>
      <c r="J22" s="60">
        <f>SUM(J21:J21)</f>
        <v>2126652.9</v>
      </c>
      <c r="K22" s="60" t="s">
        <v>1189</v>
      </c>
      <c r="L22" s="60">
        <f>SUM(L21:L21)</f>
        <v>3188550</v>
      </c>
      <c r="M22" s="60"/>
      <c r="N22" s="60">
        <f>SUM(N21:N21)</f>
        <v>3029122.5</v>
      </c>
      <c r="O22" s="96"/>
      <c r="P22" s="60">
        <f>SUM(P21:P21)</f>
        <v>0</v>
      </c>
      <c r="Q22" s="60"/>
      <c r="R22" s="60">
        <f>SUM(R21:R21)</f>
        <v>0</v>
      </c>
      <c r="S22" s="60"/>
      <c r="T22" s="6"/>
      <c r="U22" s="232">
        <f>SUM(U21:U21)</f>
        <v>9155819.193054447</v>
      </c>
      <c r="V22" s="232">
        <f>SUM(V21:V21)</f>
        <v>2898510.9688873636</v>
      </c>
      <c r="W22" s="232">
        <f>SUM(W21:W21)</f>
        <v>0</v>
      </c>
      <c r="X22" s="232">
        <f>SUM(X21:X21)</f>
        <v>12054330.161941811</v>
      </c>
      <c r="Y22" s="116"/>
      <c r="Z22" s="232">
        <f>SUM(Z21:Z21)</f>
        <v>9820624.0499999989</v>
      </c>
      <c r="AA22" s="116">
        <v>226000</v>
      </c>
      <c r="AB22" s="116">
        <v>15527.01</v>
      </c>
      <c r="AC22" s="232">
        <v>241527.01</v>
      </c>
      <c r="AD22" s="232">
        <v>9836151.0599999987</v>
      </c>
      <c r="AE22" s="232">
        <v>2218179.1019418128</v>
      </c>
      <c r="AF22" s="233"/>
    </row>
    <row r="23" spans="1:32" x14ac:dyDescent="0.2">
      <c r="A23" s="134"/>
      <c r="B23" s="4"/>
      <c r="C23" s="4"/>
      <c r="D23" s="26"/>
      <c r="E23" s="31"/>
      <c r="F23" s="32"/>
      <c r="G23" s="32"/>
      <c r="H23" s="31"/>
      <c r="I23" s="31"/>
      <c r="J23" s="26"/>
      <c r="K23" s="26"/>
      <c r="L23" s="26"/>
      <c r="M23" s="31"/>
      <c r="N23" s="26"/>
      <c r="O23" s="92"/>
      <c r="P23" s="36"/>
      <c r="Q23" s="31"/>
      <c r="R23" s="26"/>
      <c r="S23" s="26"/>
      <c r="T23" s="5"/>
      <c r="U23" s="53"/>
      <c r="V23" s="53"/>
      <c r="W23" s="53"/>
      <c r="X23" s="53"/>
      <c r="Y23" s="63"/>
      <c r="Z23" s="53"/>
      <c r="AA23" s="63"/>
      <c r="AB23" s="63"/>
      <c r="AC23" s="53"/>
      <c r="AD23" s="53"/>
      <c r="AE23" s="53"/>
      <c r="AF23" s="166"/>
    </row>
    <row r="24" spans="1:32" x14ac:dyDescent="0.2">
      <c r="A24" s="134"/>
      <c r="B24" s="4" t="s">
        <v>1320</v>
      </c>
      <c r="C24" s="4"/>
      <c r="D24" s="26"/>
      <c r="E24" s="31"/>
      <c r="F24" s="32"/>
      <c r="G24" s="32"/>
      <c r="H24" s="31"/>
      <c r="I24" s="31"/>
      <c r="J24" s="26"/>
      <c r="K24" s="26"/>
      <c r="L24" s="26"/>
      <c r="M24" s="31"/>
      <c r="N24" s="26"/>
      <c r="O24" s="92"/>
      <c r="P24" s="36"/>
      <c r="Q24" s="31"/>
      <c r="R24" s="26"/>
      <c r="S24" s="26"/>
      <c r="T24" s="5"/>
      <c r="U24" s="53"/>
      <c r="V24" s="53"/>
      <c r="W24" s="53"/>
      <c r="X24" s="53"/>
      <c r="Z24" s="53"/>
      <c r="AA24" s="63"/>
      <c r="AB24" s="63"/>
      <c r="AC24" s="53"/>
      <c r="AD24" s="53"/>
      <c r="AE24" s="53"/>
      <c r="AF24" s="166"/>
    </row>
    <row r="25" spans="1:32" x14ac:dyDescent="0.2">
      <c r="A25" s="134" t="s">
        <v>940</v>
      </c>
      <c r="B25" s="30" t="s">
        <v>928</v>
      </c>
      <c r="D25" s="33">
        <v>1704</v>
      </c>
      <c r="E25" s="33">
        <v>116</v>
      </c>
      <c r="F25" s="106">
        <v>0.05</v>
      </c>
      <c r="G25" s="50">
        <v>0.30074011826555225</v>
      </c>
      <c r="H25" s="51">
        <f t="shared" ref="H25:H33" si="11">D25*E25</f>
        <v>197664</v>
      </c>
      <c r="J25" s="26">
        <f t="shared" ref="J25:J33" si="12">(E25*D25)*(1-F25)*(1-G25)</f>
        <v>131307.57999999999</v>
      </c>
      <c r="K25" s="33">
        <v>0</v>
      </c>
      <c r="L25" s="26">
        <f t="shared" ref="L25:L33" si="13">K25*D25</f>
        <v>0</v>
      </c>
      <c r="N25" s="33">
        <f t="shared" ref="N25:N33" si="14">(K25*D25)*(1-F25)*(1-G25)</f>
        <v>0</v>
      </c>
      <c r="O25" s="142">
        <v>22.592105263157897</v>
      </c>
      <c r="P25" s="52">
        <f t="shared" ref="P25:P33" si="15">O25*D25</f>
        <v>38496.947368421061</v>
      </c>
      <c r="R25" s="26">
        <f t="shared" ref="R25:R33" si="16">(O25*D25)*(1-F25)*(1-G25)</f>
        <v>25573.402320780402</v>
      </c>
      <c r="S25" s="33">
        <v>10</v>
      </c>
      <c r="T25" s="5" t="s">
        <v>1176</v>
      </c>
      <c r="U25" s="35">
        <f>SUMIF('Avoided Costs 2009-2017'!$A:$A,Actuals!T25&amp;Actuals!S25,'Avoided Costs 2009-2017'!$E:$E)*J25</f>
        <v>314470.71264987922</v>
      </c>
      <c r="V25" s="35">
        <f>SUMIF('Avoided Costs 2009-2017'!$A:$A,Actuals!T25&amp;Actuals!S25,'Avoided Costs 2009-2017'!$K:$K)*N25</f>
        <v>0</v>
      </c>
      <c r="W25" s="35">
        <f>SUMIF('Avoided Costs 2009-2017'!$A:$A,Actuals!T25&amp;Actuals!S25,'Avoided Costs 2009-2017'!$M:$M)*R25</f>
        <v>256371.82338137194</v>
      </c>
      <c r="X25" s="35">
        <f>SUM(U25:W25)</f>
        <v>570842.53603125119</v>
      </c>
      <c r="Y25" s="105">
        <v>19</v>
      </c>
      <c r="Z25" s="53">
        <f t="shared" ref="Z25:Z33" si="17">(Y25*D25)*(1-F25)</f>
        <v>30757.199999999997</v>
      </c>
      <c r="AB25" s="141"/>
      <c r="AD25" s="35">
        <v>36944.789999999994</v>
      </c>
      <c r="AE25" s="35">
        <v>533897.74603125115</v>
      </c>
      <c r="AF25" s="163">
        <f t="shared" ref="AF25:AF33" si="18">J25*S25</f>
        <v>1313075.7999999998</v>
      </c>
    </row>
    <row r="26" spans="1:32" x14ac:dyDescent="0.2">
      <c r="A26" s="134" t="s">
        <v>941</v>
      </c>
      <c r="B26" s="30" t="s">
        <v>929</v>
      </c>
      <c r="D26" s="33">
        <v>22</v>
      </c>
      <c r="E26" s="33">
        <v>66</v>
      </c>
      <c r="F26" s="106">
        <v>0.05</v>
      </c>
      <c r="G26" s="50">
        <v>0.46931274467159634</v>
      </c>
      <c r="H26" s="51">
        <f t="shared" si="11"/>
        <v>1452</v>
      </c>
      <c r="J26" s="26">
        <f t="shared" si="12"/>
        <v>732.03</v>
      </c>
      <c r="K26" s="33">
        <v>0</v>
      </c>
      <c r="L26" s="26">
        <f t="shared" si="13"/>
        <v>0</v>
      </c>
      <c r="N26" s="33">
        <f t="shared" si="14"/>
        <v>0</v>
      </c>
      <c r="O26" s="142">
        <v>14.328947368421053</v>
      </c>
      <c r="P26" s="52">
        <f t="shared" si="15"/>
        <v>315.23684210526318</v>
      </c>
      <c r="R26" s="26">
        <f t="shared" si="16"/>
        <v>158.9275657894737</v>
      </c>
      <c r="S26" s="33">
        <v>10</v>
      </c>
      <c r="T26" s="5" t="s">
        <v>1176</v>
      </c>
      <c r="U26" s="35">
        <f>SUMIF('Avoided Costs 2009-2017'!$A:$A,Actuals!T26&amp;Actuals!S26,'Avoided Costs 2009-2017'!$E:$E)*J26</f>
        <v>1753.150852228722</v>
      </c>
      <c r="V26" s="35">
        <f>SUMIF('Avoided Costs 2009-2017'!$A:$A,Actuals!T26&amp;Actuals!S26,'Avoided Costs 2009-2017'!$K:$K)*N26</f>
        <v>0</v>
      </c>
      <c r="W26" s="35">
        <f>SUMIF('Avoided Costs 2009-2017'!$A:$A,Actuals!T26&amp;Actuals!S26,'Avoided Costs 2009-2017'!$M:$M)*R26</f>
        <v>1593.2393084005944</v>
      </c>
      <c r="X26" s="35">
        <f t="shared" ref="X26:X33" si="19">SUM(U26:W26)</f>
        <v>3346.3901606293166</v>
      </c>
      <c r="Y26" s="105">
        <v>19</v>
      </c>
      <c r="Z26" s="53">
        <f t="shared" si="17"/>
        <v>397.09999999999997</v>
      </c>
      <c r="AD26" s="35">
        <v>397.09999999999997</v>
      </c>
      <c r="AE26" s="35">
        <v>2949.2901606293167</v>
      </c>
      <c r="AF26" s="163">
        <f t="shared" si="18"/>
        <v>7320.2999999999993</v>
      </c>
    </row>
    <row r="27" spans="1:32" x14ac:dyDescent="0.2">
      <c r="A27" s="134" t="s">
        <v>934</v>
      </c>
      <c r="B27" s="30" t="s">
        <v>923</v>
      </c>
      <c r="D27" s="33">
        <v>1764</v>
      </c>
      <c r="E27" s="33">
        <v>0</v>
      </c>
      <c r="F27" s="106">
        <v>0</v>
      </c>
      <c r="H27" s="51">
        <f t="shared" si="11"/>
        <v>0</v>
      </c>
      <c r="J27" s="26">
        <f t="shared" si="12"/>
        <v>0</v>
      </c>
      <c r="K27" s="33">
        <v>0</v>
      </c>
      <c r="L27" s="26">
        <f t="shared" si="13"/>
        <v>0</v>
      </c>
      <c r="N27" s="33">
        <f t="shared" si="14"/>
        <v>0</v>
      </c>
      <c r="O27" s="108">
        <v>0</v>
      </c>
      <c r="P27" s="52">
        <f t="shared" si="15"/>
        <v>0</v>
      </c>
      <c r="R27" s="26">
        <f t="shared" si="16"/>
        <v>0</v>
      </c>
      <c r="T27" s="5" t="s">
        <v>1176</v>
      </c>
      <c r="U27" s="35">
        <f>SUMIF('Avoided Costs 2009-2017'!$A:$A,Actuals!T27&amp;Actuals!S27,'Avoided Costs 2009-2017'!$E:$E)*J27</f>
        <v>0</v>
      </c>
      <c r="V27" s="35">
        <f>SUMIF('Avoided Costs 2009-2017'!$A:$A,Actuals!T27&amp;Actuals!S27,'Avoided Costs 2009-2017'!$K:$K)*N27</f>
        <v>0</v>
      </c>
      <c r="W27" s="35">
        <f>SUMIF('Avoided Costs 2009-2017'!$A:$A,Actuals!T27&amp;Actuals!S27,'Avoided Costs 2009-2017'!$M:$M)*R27</f>
        <v>0</v>
      </c>
      <c r="X27" s="35">
        <f t="shared" si="19"/>
        <v>0</v>
      </c>
      <c r="Z27" s="53">
        <f t="shared" si="17"/>
        <v>0</v>
      </c>
      <c r="AD27" s="35">
        <v>0</v>
      </c>
      <c r="AE27" s="35">
        <v>0</v>
      </c>
      <c r="AF27" s="163">
        <f t="shared" si="18"/>
        <v>0</v>
      </c>
    </row>
    <row r="28" spans="1:32" x14ac:dyDescent="0.2">
      <c r="A28" s="134" t="s">
        <v>939</v>
      </c>
      <c r="B28" s="30" t="s">
        <v>924</v>
      </c>
      <c r="D28" s="33">
        <v>1824</v>
      </c>
      <c r="E28" s="33">
        <v>23</v>
      </c>
      <c r="F28" s="106">
        <v>0.01</v>
      </c>
      <c r="G28" s="50">
        <v>0.6032591841373306</v>
      </c>
      <c r="H28" s="51">
        <f t="shared" si="11"/>
        <v>41952</v>
      </c>
      <c r="J28" s="26">
        <f t="shared" si="12"/>
        <v>16477.63</v>
      </c>
      <c r="K28" s="33">
        <v>0</v>
      </c>
      <c r="L28" s="26">
        <f t="shared" si="13"/>
        <v>0</v>
      </c>
      <c r="N28" s="33">
        <f t="shared" si="14"/>
        <v>0</v>
      </c>
      <c r="O28" s="108">
        <v>7.8</v>
      </c>
      <c r="P28" s="52">
        <f t="shared" si="15"/>
        <v>14227.199999999999</v>
      </c>
      <c r="R28" s="26">
        <f t="shared" si="16"/>
        <v>5588.0658260869559</v>
      </c>
      <c r="S28" s="33">
        <v>10</v>
      </c>
      <c r="T28" s="5" t="s">
        <v>1176</v>
      </c>
      <c r="U28" s="35">
        <f>SUMIF('Avoided Costs 2009-2017'!$A:$A,Actuals!T28&amp;Actuals!S28,'Avoided Costs 2009-2017'!$E:$E)*J28</f>
        <v>39462.550820607845</v>
      </c>
      <c r="V28" s="35">
        <f>SUMIF('Avoided Costs 2009-2017'!$A:$A,Actuals!T28&amp;Actuals!S28,'Avoided Costs 2009-2017'!$K:$K)*N28</f>
        <v>0</v>
      </c>
      <c r="W28" s="35">
        <f>SUMIF('Avoided Costs 2009-2017'!$A:$A,Actuals!T28&amp;Actuals!S28,'Avoided Costs 2009-2017'!$M:$M)*R28</f>
        <v>56020.024517618709</v>
      </c>
      <c r="X28" s="35">
        <f t="shared" si="19"/>
        <v>95482.575338226554</v>
      </c>
      <c r="Y28" s="105">
        <v>1</v>
      </c>
      <c r="Z28" s="53">
        <f t="shared" si="17"/>
        <v>1805.76</v>
      </c>
      <c r="AD28" s="35">
        <v>1805.76</v>
      </c>
      <c r="AE28" s="35">
        <v>93676.815338226559</v>
      </c>
      <c r="AF28" s="163">
        <f t="shared" si="18"/>
        <v>164776.30000000002</v>
      </c>
    </row>
    <row r="29" spans="1:32" x14ac:dyDescent="0.2">
      <c r="A29" s="134" t="s">
        <v>938</v>
      </c>
      <c r="B29" s="30" t="s">
        <v>925</v>
      </c>
      <c r="D29" s="33">
        <v>1824</v>
      </c>
      <c r="E29" s="33">
        <v>6</v>
      </c>
      <c r="F29" s="106">
        <v>0.01</v>
      </c>
      <c r="G29" s="50">
        <v>0.72287937858113294</v>
      </c>
      <c r="H29" s="51">
        <f t="shared" si="11"/>
        <v>10944</v>
      </c>
      <c r="J29" s="26">
        <f t="shared" si="12"/>
        <v>3002.48</v>
      </c>
      <c r="K29" s="33">
        <v>0</v>
      </c>
      <c r="L29" s="26">
        <f t="shared" si="13"/>
        <v>0</v>
      </c>
      <c r="N29" s="33">
        <f t="shared" si="14"/>
        <v>0</v>
      </c>
      <c r="O29" s="108">
        <v>2</v>
      </c>
      <c r="P29" s="52">
        <f t="shared" si="15"/>
        <v>3648</v>
      </c>
      <c r="R29" s="26">
        <f t="shared" si="16"/>
        <v>1000.8266666666668</v>
      </c>
      <c r="S29" s="33">
        <v>10</v>
      </c>
      <c r="T29" s="5" t="s">
        <v>1176</v>
      </c>
      <c r="U29" s="35">
        <f>SUMIF('Avoided Costs 2009-2017'!$A:$A,Actuals!T29&amp;Actuals!S29,'Avoided Costs 2009-2017'!$E:$E)*J29</f>
        <v>7190.6894127285677</v>
      </c>
      <c r="V29" s="35">
        <f>SUMIF('Avoided Costs 2009-2017'!$A:$A,Actuals!T29&amp;Actuals!S29,'Avoided Costs 2009-2017'!$K:$K)*N29</f>
        <v>0</v>
      </c>
      <c r="W29" s="35">
        <f>SUMIF('Avoided Costs 2009-2017'!$A:$A,Actuals!T29&amp;Actuals!S29,'Avoided Costs 2009-2017'!$M:$M)*R29</f>
        <v>10033.227264936093</v>
      </c>
      <c r="X29" s="35">
        <f t="shared" si="19"/>
        <v>17223.91667766466</v>
      </c>
      <c r="Y29" s="105">
        <v>1</v>
      </c>
      <c r="Z29" s="53">
        <f t="shared" si="17"/>
        <v>1805.76</v>
      </c>
      <c r="AD29" s="35">
        <v>1805.76</v>
      </c>
      <c r="AE29" s="35">
        <v>15418.15667766466</v>
      </c>
      <c r="AF29" s="163">
        <f t="shared" si="18"/>
        <v>30024.799999999999</v>
      </c>
    </row>
    <row r="30" spans="1:32" x14ac:dyDescent="0.2">
      <c r="A30" s="134" t="s">
        <v>986</v>
      </c>
      <c r="B30" s="30" t="s">
        <v>987</v>
      </c>
      <c r="D30" s="33">
        <v>3703</v>
      </c>
      <c r="E30" s="33">
        <v>0</v>
      </c>
      <c r="F30" s="106">
        <v>0.24</v>
      </c>
      <c r="G30" s="120">
        <v>1.6465036251624654E-2</v>
      </c>
      <c r="H30" s="51">
        <f>D30*E30</f>
        <v>0</v>
      </c>
      <c r="J30" s="26">
        <f>(E30*D30)*(1-F30)*(1-G30)</f>
        <v>0</v>
      </c>
      <c r="K30" s="33">
        <v>76.5</v>
      </c>
      <c r="L30" s="26">
        <f>K30*D30</f>
        <v>283279.5</v>
      </c>
      <c r="N30" s="33">
        <f t="shared" si="14"/>
        <v>211747.6225</v>
      </c>
      <c r="O30" s="108">
        <v>0</v>
      </c>
      <c r="P30" s="52">
        <f>O30*D30</f>
        <v>0</v>
      </c>
      <c r="R30" s="26">
        <f>(O30*D30)*(1-F30)*(1-G30)</f>
        <v>0</v>
      </c>
      <c r="S30" s="33">
        <v>8</v>
      </c>
      <c r="T30" s="5" t="s">
        <v>1176</v>
      </c>
      <c r="U30" s="35">
        <f>SUMIF('Avoided Costs 2009-2017'!$A:$A,Actuals!T30&amp;Actuals!S30,'Avoided Costs 2009-2017'!$E:$E)*J30</f>
        <v>0</v>
      </c>
      <c r="V30" s="35">
        <f>SUMIF('Avoided Costs 2009-2017'!$A:$A,Actuals!T30&amp;Actuals!S30,'Avoided Costs 2009-2017'!$K:$K)*N30</f>
        <v>103804.14321128995</v>
      </c>
      <c r="W30" s="35">
        <f>SUMIF('Avoided Costs 2009-2017'!$A:$A,Actuals!T30&amp;Actuals!S30,'Avoided Costs 2009-2017'!$M:$M)*R30</f>
        <v>0</v>
      </c>
      <c r="X30" s="35">
        <f>SUM(U30:W30)</f>
        <v>103804.14321128995</v>
      </c>
      <c r="Y30" s="107">
        <v>0</v>
      </c>
      <c r="Z30" s="53">
        <f>(Y30*D30)*(1-F30)</f>
        <v>0</v>
      </c>
      <c r="AA30" s="107"/>
      <c r="AD30" s="35">
        <v>0</v>
      </c>
      <c r="AE30" s="35">
        <v>103804.14321128995</v>
      </c>
      <c r="AF30" s="163">
        <f t="shared" si="18"/>
        <v>0</v>
      </c>
    </row>
    <row r="31" spans="1:32" x14ac:dyDescent="0.2">
      <c r="A31" s="134" t="s">
        <v>988</v>
      </c>
      <c r="B31" s="30" t="s">
        <v>989</v>
      </c>
      <c r="D31" s="33">
        <v>3703</v>
      </c>
      <c r="E31" s="33">
        <v>0</v>
      </c>
      <c r="F31" s="106">
        <v>0.24</v>
      </c>
      <c r="G31" s="120">
        <v>1.646503661041876E-2</v>
      </c>
      <c r="H31" s="51">
        <f>D31*E31</f>
        <v>0</v>
      </c>
      <c r="J31" s="26">
        <f>(E31*D31)*(1-F31)*(1-G31)</f>
        <v>0</v>
      </c>
      <c r="K31" s="33">
        <v>84.490000000000009</v>
      </c>
      <c r="L31" s="26">
        <f>K31*D31</f>
        <v>312866.47000000003</v>
      </c>
      <c r="N31" s="33">
        <f t="shared" si="14"/>
        <v>233863.48520913094</v>
      </c>
      <c r="O31" s="108">
        <v>0</v>
      </c>
      <c r="P31" s="52">
        <f>O31*D31</f>
        <v>0</v>
      </c>
      <c r="R31" s="26">
        <f>(O31*D31)*(1-F31)*(1-G31)</f>
        <v>0</v>
      </c>
      <c r="S31" s="33">
        <v>8</v>
      </c>
      <c r="T31" s="5" t="s">
        <v>1176</v>
      </c>
      <c r="U31" s="35">
        <f>SUMIF('Avoided Costs 2009-2017'!$A:$A,Actuals!T31&amp;Actuals!S31,'Avoided Costs 2009-2017'!$E:$E)*J31</f>
        <v>0</v>
      </c>
      <c r="V31" s="35">
        <f>SUMIF('Avoided Costs 2009-2017'!$A:$A,Actuals!T31&amp;Actuals!S31,'Avoided Costs 2009-2017'!$K:$K)*N31</f>
        <v>114645.9092382018</v>
      </c>
      <c r="W31" s="35">
        <f>SUMIF('Avoided Costs 2009-2017'!$A:$A,Actuals!T31&amp;Actuals!S31,'Avoided Costs 2009-2017'!$M:$M)*R31</f>
        <v>0</v>
      </c>
      <c r="X31" s="35">
        <f>SUM(U31:W31)</f>
        <v>114645.9092382018</v>
      </c>
      <c r="Y31" s="107">
        <v>0</v>
      </c>
      <c r="Z31" s="53">
        <f>(Y31*D31)*(1-F31)</f>
        <v>0</v>
      </c>
      <c r="AA31" s="107"/>
      <c r="AD31" s="35">
        <v>0</v>
      </c>
      <c r="AE31" s="35">
        <v>114645.9092382018</v>
      </c>
      <c r="AF31" s="163">
        <f t="shared" si="18"/>
        <v>0</v>
      </c>
    </row>
    <row r="32" spans="1:32" x14ac:dyDescent="0.2">
      <c r="A32" s="134" t="s">
        <v>932</v>
      </c>
      <c r="B32" s="30" t="s">
        <v>926</v>
      </c>
      <c r="D32" s="33">
        <v>3952</v>
      </c>
      <c r="E32" s="33">
        <v>146</v>
      </c>
      <c r="F32" s="106">
        <v>0.01</v>
      </c>
      <c r="G32" s="50">
        <v>0.24670525691163747</v>
      </c>
      <c r="H32" s="51">
        <f t="shared" si="11"/>
        <v>576992</v>
      </c>
      <c r="J32" s="26">
        <f t="shared" si="12"/>
        <v>430298.59</v>
      </c>
      <c r="K32" s="33">
        <v>123</v>
      </c>
      <c r="L32" s="26">
        <f t="shared" si="13"/>
        <v>486096</v>
      </c>
      <c r="N32" s="33">
        <f t="shared" si="14"/>
        <v>362511.82582191785</v>
      </c>
      <c r="O32" s="108">
        <v>0</v>
      </c>
      <c r="P32" s="52">
        <f t="shared" si="15"/>
        <v>0</v>
      </c>
      <c r="R32" s="26">
        <f t="shared" si="16"/>
        <v>0</v>
      </c>
      <c r="S32" s="33">
        <v>15</v>
      </c>
      <c r="T32" s="5" t="s">
        <v>213</v>
      </c>
      <c r="U32" s="35">
        <f>SUMIF('Avoided Costs 2009-2017'!$A:$A,Actuals!T32&amp;Actuals!S32,'Avoided Costs 2009-2017'!$E:$E)*J32</f>
        <v>1455358.2999397845</v>
      </c>
      <c r="V32" s="35">
        <f>SUMIF('Avoided Costs 2009-2017'!$A:$A,Actuals!T32&amp;Actuals!S32,'Avoided Costs 2009-2017'!$K:$K)*N32</f>
        <v>270626.74234082922</v>
      </c>
      <c r="W32" s="35">
        <f>SUMIF('Avoided Costs 2009-2017'!$A:$A,Actuals!T32&amp;Actuals!S32,'Avoided Costs 2009-2017'!$M:$M)*R32</f>
        <v>0</v>
      </c>
      <c r="X32" s="35">
        <f t="shared" si="19"/>
        <v>1725985.0422806137</v>
      </c>
      <c r="Y32" s="105">
        <v>69</v>
      </c>
      <c r="Z32" s="53">
        <f t="shared" si="17"/>
        <v>269961.12</v>
      </c>
      <c r="AD32" s="35">
        <v>269961.12</v>
      </c>
      <c r="AE32" s="35">
        <v>1456023.9222806138</v>
      </c>
      <c r="AF32" s="163">
        <f t="shared" si="18"/>
        <v>6454478.8500000006</v>
      </c>
    </row>
    <row r="33" spans="1:32" x14ac:dyDescent="0.2">
      <c r="A33" s="138" t="s">
        <v>930</v>
      </c>
      <c r="B33" s="30" t="s">
        <v>927</v>
      </c>
      <c r="D33" s="33">
        <v>361</v>
      </c>
      <c r="E33" s="33">
        <v>1134</v>
      </c>
      <c r="F33" s="106">
        <v>0</v>
      </c>
      <c r="H33" s="51">
        <f t="shared" si="11"/>
        <v>409374</v>
      </c>
      <c r="J33" s="26">
        <f t="shared" si="12"/>
        <v>409374</v>
      </c>
      <c r="K33" s="33">
        <v>165</v>
      </c>
      <c r="L33" s="26">
        <f t="shared" si="13"/>
        <v>59565</v>
      </c>
      <c r="N33" s="33">
        <f t="shared" si="14"/>
        <v>59565</v>
      </c>
      <c r="O33" s="108">
        <v>0</v>
      </c>
      <c r="P33" s="52">
        <f t="shared" si="15"/>
        <v>0</v>
      </c>
      <c r="R33" s="26">
        <f t="shared" si="16"/>
        <v>0</v>
      </c>
      <c r="S33" s="33">
        <v>23</v>
      </c>
      <c r="T33" s="5" t="s">
        <v>213</v>
      </c>
      <c r="U33" s="35">
        <f>SUMIF('Avoided Costs 2009-2017'!$A:$A,Actuals!T33&amp;Actuals!S33,'Avoided Costs 2009-2017'!$E:$E)*J33</f>
        <v>1705851.9910896001</v>
      </c>
      <c r="V33" s="35">
        <f>SUMIF('Avoided Costs 2009-2017'!$A:$A,Actuals!T33&amp;Actuals!S33,'Avoided Costs 2009-2017'!$K:$K)*N33</f>
        <v>55107.249599043331</v>
      </c>
      <c r="W33" s="35">
        <f>SUMIF('Avoided Costs 2009-2017'!$A:$A,Actuals!T33&amp;Actuals!S33,'Avoided Costs 2009-2017'!$M:$M)*R33</f>
        <v>0</v>
      </c>
      <c r="X33" s="35">
        <f t="shared" si="19"/>
        <v>1760959.2406886434</v>
      </c>
      <c r="Y33" s="105">
        <v>2284</v>
      </c>
      <c r="Z33" s="53">
        <f t="shared" si="17"/>
        <v>824524</v>
      </c>
      <c r="AA33" s="104"/>
      <c r="AB33" s="143"/>
      <c r="AD33" s="35">
        <v>1036119.6799999999</v>
      </c>
      <c r="AE33" s="35">
        <v>724839.56068864348</v>
      </c>
      <c r="AF33" s="163">
        <f t="shared" si="18"/>
        <v>9415602</v>
      </c>
    </row>
    <row r="34" spans="1:32" x14ac:dyDescent="0.2">
      <c r="A34" s="134" t="s">
        <v>1321</v>
      </c>
      <c r="B34" s="57"/>
      <c r="C34" s="57"/>
      <c r="D34" s="60">
        <f>SUM(D25:D33)</f>
        <v>18857</v>
      </c>
      <c r="E34" s="78"/>
      <c r="F34" s="58"/>
      <c r="G34" s="58"/>
      <c r="H34" s="60">
        <f>SUM(H25:H33)</f>
        <v>1238378</v>
      </c>
      <c r="I34" s="60"/>
      <c r="J34" s="60">
        <f>SUM(J25:J33)</f>
        <v>991192.31</v>
      </c>
      <c r="K34" s="60"/>
      <c r="L34" s="60">
        <f>SUM(L25:L33)</f>
        <v>1141806.97</v>
      </c>
      <c r="M34" s="60"/>
      <c r="N34" s="60">
        <f>SUM(N25:N33)</f>
        <v>867687.93353104882</v>
      </c>
      <c r="O34" s="96"/>
      <c r="P34" s="60">
        <f>SUM(P25:P33)</f>
        <v>56687.384210526317</v>
      </c>
      <c r="Q34" s="60"/>
      <c r="R34" s="60">
        <f>SUM(R25:R33)</f>
        <v>32321.222379323499</v>
      </c>
      <c r="S34" s="60"/>
      <c r="T34" s="6"/>
      <c r="U34" s="232">
        <f>SUM(U25:U33)</f>
        <v>3524087.394764829</v>
      </c>
      <c r="V34" s="232">
        <f>SUM(V25:V33)</f>
        <v>544184.04438936431</v>
      </c>
      <c r="W34" s="232">
        <f>SUM(W25:W33)</f>
        <v>324018.31447232736</v>
      </c>
      <c r="X34" s="232">
        <f>SUM(X25:X33)</f>
        <v>4392289.7536265207</v>
      </c>
      <c r="Y34" s="116"/>
      <c r="Z34" s="232">
        <f>SUM(Z25:Z33)</f>
        <v>1129250.94</v>
      </c>
      <c r="AA34" s="116">
        <v>1294555.3599999999</v>
      </c>
      <c r="AB34" s="63">
        <v>217783.27</v>
      </c>
      <c r="AC34" s="232">
        <v>1512338.63</v>
      </c>
      <c r="AD34" s="232">
        <v>1347034.21</v>
      </c>
      <c r="AE34" s="232">
        <v>3045255.5436265208</v>
      </c>
      <c r="AF34" s="233">
        <f>SUM(AF25:AF33)</f>
        <v>17385278.050000001</v>
      </c>
    </row>
    <row r="35" spans="1:32" x14ac:dyDescent="0.2">
      <c r="A35" s="134"/>
      <c r="B35" s="4"/>
      <c r="C35" s="4"/>
      <c r="D35" s="26"/>
      <c r="E35" s="31"/>
      <c r="F35" s="32"/>
      <c r="G35" s="32"/>
      <c r="H35" s="31"/>
      <c r="I35" s="31"/>
      <c r="J35" s="26"/>
      <c r="K35" s="26"/>
      <c r="L35" s="26"/>
      <c r="M35" s="31"/>
      <c r="N35" s="26"/>
      <c r="O35" s="92"/>
      <c r="P35" s="36"/>
      <c r="Q35" s="31"/>
      <c r="R35" s="26"/>
      <c r="S35" s="26"/>
      <c r="T35" s="5"/>
      <c r="U35" s="53"/>
      <c r="V35" s="53"/>
      <c r="W35" s="53"/>
      <c r="X35" s="53"/>
      <c r="Y35" s="63"/>
      <c r="Z35" s="53"/>
      <c r="AA35" s="63"/>
      <c r="AB35" s="63"/>
      <c r="AC35" s="53"/>
      <c r="AD35" s="53"/>
      <c r="AE35" s="53"/>
      <c r="AF35" s="166"/>
    </row>
    <row r="36" spans="1:32" x14ac:dyDescent="0.2">
      <c r="A36" s="135"/>
      <c r="B36" s="4"/>
      <c r="C36" s="4"/>
      <c r="D36" s="26"/>
      <c r="E36" s="31"/>
      <c r="F36" s="32"/>
      <c r="G36" s="32"/>
      <c r="H36" s="31"/>
      <c r="I36" s="31"/>
      <c r="J36" s="26"/>
      <c r="K36" s="26"/>
      <c r="L36" s="26"/>
      <c r="M36" s="31"/>
      <c r="N36" s="26"/>
      <c r="O36" s="92"/>
      <c r="P36" s="36"/>
      <c r="Q36" s="31"/>
      <c r="R36" s="26"/>
      <c r="S36" s="26"/>
      <c r="T36" s="5"/>
      <c r="U36" s="53"/>
      <c r="V36" s="53"/>
      <c r="W36" s="53"/>
      <c r="X36" s="53"/>
      <c r="Y36" s="63"/>
      <c r="Z36" s="53"/>
      <c r="AA36" s="63"/>
      <c r="AB36" s="63"/>
      <c r="AC36" s="53"/>
      <c r="AD36" s="53"/>
      <c r="AE36" s="53"/>
      <c r="AF36" s="166"/>
    </row>
    <row r="37" spans="1:32" x14ac:dyDescent="0.2">
      <c r="A37" s="140" t="s">
        <v>1222</v>
      </c>
      <c r="B37" s="140"/>
      <c r="C37" s="79"/>
      <c r="D37" s="56">
        <f>D34+D22+D18</f>
        <v>834310</v>
      </c>
      <c r="E37" s="54"/>
      <c r="F37" s="55"/>
      <c r="G37" s="55"/>
      <c r="H37" s="56">
        <f>H34+H22+H18</f>
        <v>37347632</v>
      </c>
      <c r="I37" s="56"/>
      <c r="J37" s="56">
        <f>J34+J22+J18</f>
        <v>17201892.239999998</v>
      </c>
      <c r="K37" s="56"/>
      <c r="L37" s="56">
        <f>L34+L22+L18</f>
        <v>24412902.969999999</v>
      </c>
      <c r="M37" s="56"/>
      <c r="N37" s="56">
        <f>N34+N22+N18</f>
        <v>20416970.354031052</v>
      </c>
      <c r="O37" s="95"/>
      <c r="P37" s="56">
        <f>P34+P22+P18</f>
        <v>4384115.536842105</v>
      </c>
      <c r="Q37" s="56"/>
      <c r="R37" s="56">
        <f>R34+R22+R18</f>
        <v>2318406.8011236717</v>
      </c>
      <c r="S37" s="56"/>
      <c r="T37" s="25"/>
      <c r="U37" s="62">
        <f>U34+U22+U18</f>
        <v>50757446.414317191</v>
      </c>
      <c r="V37" s="62">
        <f>V34+V22+V18</f>
        <v>11902708.711360836</v>
      </c>
      <c r="W37" s="62">
        <f>W34+W22+W18</f>
        <v>23241889.033313084</v>
      </c>
      <c r="X37" s="62">
        <f>X34+X22+X18</f>
        <v>85902044.158991113</v>
      </c>
      <c r="Y37" s="62"/>
      <c r="Z37" s="62">
        <f t="shared" ref="Z37:AF37" si="20">Z34+Z22+Z18</f>
        <v>21824059.25</v>
      </c>
      <c r="AA37" s="62">
        <f t="shared" si="20"/>
        <v>11460025.390000001</v>
      </c>
      <c r="AB37" s="62">
        <f t="shared" si="20"/>
        <v>528342.21</v>
      </c>
      <c r="AC37" s="62">
        <f t="shared" si="20"/>
        <v>11988367.600000001</v>
      </c>
      <c r="AD37" s="62">
        <f t="shared" si="20"/>
        <v>22352401.460000001</v>
      </c>
      <c r="AE37" s="62">
        <f t="shared" si="20"/>
        <v>63549642.698991112</v>
      </c>
      <c r="AF37" s="230">
        <f t="shared" si="20"/>
        <v>184579066.75</v>
      </c>
    </row>
    <row r="38" spans="1:32" x14ac:dyDescent="0.2">
      <c r="A38" s="134"/>
      <c r="D38" s="26"/>
      <c r="E38" s="31"/>
      <c r="F38" s="32"/>
      <c r="G38" s="32"/>
      <c r="H38" s="31"/>
      <c r="I38" s="31"/>
      <c r="J38" s="234"/>
      <c r="K38" s="26"/>
      <c r="L38" s="26"/>
      <c r="M38" s="31"/>
      <c r="N38" s="26"/>
      <c r="O38" s="92"/>
      <c r="P38" s="36"/>
      <c r="Q38" s="31"/>
      <c r="R38" s="26"/>
      <c r="S38" s="26"/>
      <c r="T38" s="5"/>
      <c r="U38" s="53"/>
      <c r="V38" s="53"/>
      <c r="W38" s="53"/>
      <c r="X38" s="53"/>
      <c r="Y38" s="63"/>
      <c r="Z38" s="53"/>
      <c r="AA38" s="63"/>
      <c r="AB38" s="63"/>
      <c r="AC38" s="53"/>
      <c r="AD38" s="53"/>
      <c r="AE38" s="53"/>
      <c r="AF38" s="166"/>
    </row>
    <row r="39" spans="1:32" x14ac:dyDescent="0.2">
      <c r="A39" s="134"/>
      <c r="B39" s="30" t="s">
        <v>514</v>
      </c>
      <c r="Z39" s="235"/>
    </row>
    <row r="40" spans="1:32" x14ac:dyDescent="0.2">
      <c r="A40" s="134" t="s">
        <v>942</v>
      </c>
      <c r="B40" s="30" t="s">
        <v>312</v>
      </c>
      <c r="D40" s="33">
        <v>24</v>
      </c>
      <c r="E40" s="51">
        <v>667</v>
      </c>
      <c r="F40" s="106">
        <v>0.05</v>
      </c>
      <c r="H40" s="51">
        <f t="shared" ref="H40:H63" si="21">D40*E40</f>
        <v>16008</v>
      </c>
      <c r="J40" s="26">
        <f t="shared" ref="J40:J63" si="22">(E40*D40)*(1-F40)*(1-G40)</f>
        <v>15207.599999999999</v>
      </c>
      <c r="K40" s="51">
        <v>172</v>
      </c>
      <c r="L40" s="26">
        <f t="shared" ref="L40:L63" si="23">K40*D40</f>
        <v>4128</v>
      </c>
      <c r="N40" s="33">
        <f>(K40*D40)*(1-F40)*(1-G40)</f>
        <v>3921.6</v>
      </c>
      <c r="O40" s="91">
        <v>0</v>
      </c>
      <c r="P40" s="52">
        <f t="shared" ref="P40:P63" si="24">O40*D40</f>
        <v>0</v>
      </c>
      <c r="R40" s="26">
        <f t="shared" ref="R40:R63" si="25">(O40*D40)*(1-F40)*(1-G40)</f>
        <v>0</v>
      </c>
      <c r="S40" s="61">
        <v>15</v>
      </c>
      <c r="T40" s="217" t="s">
        <v>213</v>
      </c>
      <c r="U40" s="35">
        <f>SUMIF('Avoided Costs 2009-2017'!$A:$A,Actuals!T40&amp;Actuals!S40,'Avoided Costs 2009-2017'!$E:$E)*J40</f>
        <v>51435.229853214863</v>
      </c>
      <c r="V40" s="35">
        <f>SUMIF('Avoided Costs 2009-2017'!$A:$A,Actuals!T40&amp;Actuals!S40,'Avoided Costs 2009-2017'!$K:$K)*N40</f>
        <v>2927.6005833948966</v>
      </c>
      <c r="W40" s="35">
        <f>SUMIF('Avoided Costs 2009-2017'!$A:$A,Actuals!T40&amp;Actuals!S40,'Avoided Costs 2009-2017'!$M:$M)*R40</f>
        <v>0</v>
      </c>
      <c r="X40" s="35">
        <f>SUM(U40:W40)</f>
        <v>54362.830436609758</v>
      </c>
      <c r="Y40" s="105">
        <v>1650</v>
      </c>
      <c r="Z40" s="53">
        <f>(Y40*D40)*(1-F40)</f>
        <v>37620</v>
      </c>
      <c r="AC40" s="53"/>
      <c r="AD40" s="53">
        <v>43185.5</v>
      </c>
      <c r="AE40" s="53">
        <v>11177.330436609758</v>
      </c>
      <c r="AF40" s="166">
        <f t="shared" ref="AF40:AF63" si="26">J40*S40</f>
        <v>228113.99999999997</v>
      </c>
    </row>
    <row r="41" spans="1:32" x14ac:dyDescent="0.2">
      <c r="A41" s="134" t="s">
        <v>299</v>
      </c>
      <c r="B41" s="135" t="s">
        <v>300</v>
      </c>
      <c r="D41" s="33">
        <v>16</v>
      </c>
      <c r="E41" s="51">
        <v>1529</v>
      </c>
      <c r="F41" s="106">
        <v>0.05</v>
      </c>
      <c r="H41" s="51">
        <f t="shared" si="21"/>
        <v>24464</v>
      </c>
      <c r="J41" s="26">
        <f t="shared" si="22"/>
        <v>23240.799999999999</v>
      </c>
      <c r="K41" s="51">
        <v>1023</v>
      </c>
      <c r="L41" s="26">
        <f t="shared" si="23"/>
        <v>16368</v>
      </c>
      <c r="N41" s="33">
        <f t="shared" ref="N41:N63" si="27">(K41*D41)*(1-F41)*(1-G41)</f>
        <v>15549.599999999999</v>
      </c>
      <c r="O41" s="91">
        <v>0</v>
      </c>
      <c r="P41" s="52">
        <f t="shared" si="24"/>
        <v>0</v>
      </c>
      <c r="R41" s="26">
        <f t="shared" si="25"/>
        <v>0</v>
      </c>
      <c r="S41" s="61">
        <v>15</v>
      </c>
      <c r="T41" s="217" t="s">
        <v>213</v>
      </c>
      <c r="U41" s="35">
        <f>SUMIF('Avoided Costs 2009-2017'!$A:$A,Actuals!T41&amp;Actuals!S41,'Avoided Costs 2009-2017'!$E:$E)*J41</f>
        <v>78605.163863633716</v>
      </c>
      <c r="V41" s="35">
        <f>SUMIF('Avoided Costs 2009-2017'!$A:$A,Actuals!T41&amp;Actuals!S41,'Avoided Costs 2009-2017'!$K:$K)*N41</f>
        <v>11608.276731833254</v>
      </c>
      <c r="W41" s="35">
        <f>SUMIF('Avoided Costs 2009-2017'!$A:$A,Actuals!T41&amp;Actuals!S41,'Avoided Costs 2009-2017'!$M:$M)*R41</f>
        <v>0</v>
      </c>
      <c r="X41" s="35">
        <f t="shared" ref="X41:X63" si="28">SUM(U41:W41)</f>
        <v>90213.440595466964</v>
      </c>
      <c r="Y41" s="105">
        <v>2500</v>
      </c>
      <c r="Z41" s="53">
        <f t="shared" ref="Z41:Z63" si="29">(Y41*D41)*(1-F41)</f>
        <v>38000</v>
      </c>
      <c r="AC41" s="53"/>
      <c r="AD41" s="53">
        <v>38000</v>
      </c>
      <c r="AE41" s="53">
        <v>52213.440595466964</v>
      </c>
      <c r="AF41" s="166">
        <f t="shared" si="26"/>
        <v>348612</v>
      </c>
    </row>
    <row r="42" spans="1:32" x14ac:dyDescent="0.2">
      <c r="A42" s="134" t="s">
        <v>943</v>
      </c>
      <c r="B42" s="30" t="s">
        <v>944</v>
      </c>
      <c r="D42" s="33">
        <v>0</v>
      </c>
      <c r="E42" s="51">
        <v>1</v>
      </c>
      <c r="F42" s="106">
        <v>0.01</v>
      </c>
      <c r="H42" s="51">
        <f t="shared" si="21"/>
        <v>0</v>
      </c>
      <c r="J42" s="26">
        <f t="shared" si="22"/>
        <v>0</v>
      </c>
      <c r="K42" s="51">
        <v>0</v>
      </c>
      <c r="L42" s="26">
        <f t="shared" si="23"/>
        <v>0</v>
      </c>
      <c r="N42" s="33">
        <f t="shared" si="27"/>
        <v>0</v>
      </c>
      <c r="O42" s="91">
        <v>0</v>
      </c>
      <c r="P42" s="52">
        <f t="shared" si="24"/>
        <v>0</v>
      </c>
      <c r="R42" s="26">
        <f t="shared" si="25"/>
        <v>0</v>
      </c>
      <c r="S42" s="61">
        <v>18</v>
      </c>
      <c r="T42" s="217" t="s">
        <v>213</v>
      </c>
      <c r="U42" s="35">
        <f>SUMIF('Avoided Costs 2009-2017'!$A:$A,Actuals!T42&amp;Actuals!S42,'Avoided Costs 2009-2017'!$E:$E)*J42</f>
        <v>0</v>
      </c>
      <c r="V42" s="35">
        <f>SUMIF('Avoided Costs 2009-2017'!$A:$A,Actuals!T42&amp;Actuals!S42,'Avoided Costs 2009-2017'!$K:$K)*N42</f>
        <v>0</v>
      </c>
      <c r="W42" s="35">
        <f>SUMIF('Avoided Costs 2009-2017'!$A:$A,Actuals!T42&amp;Actuals!S42,'Avoided Costs 2009-2017'!$M:$M)*R42</f>
        <v>0</v>
      </c>
      <c r="X42" s="35">
        <f t="shared" si="28"/>
        <v>0</v>
      </c>
      <c r="Y42" s="105">
        <v>0</v>
      </c>
      <c r="Z42" s="53">
        <f t="shared" si="29"/>
        <v>0</v>
      </c>
      <c r="AC42" s="53"/>
      <c r="AD42" s="53">
        <v>0</v>
      </c>
      <c r="AE42" s="53">
        <v>0</v>
      </c>
      <c r="AF42" s="166">
        <f t="shared" si="26"/>
        <v>0</v>
      </c>
    </row>
    <row r="43" spans="1:32" x14ac:dyDescent="0.2">
      <c r="A43" s="134" t="s">
        <v>945</v>
      </c>
      <c r="B43" s="30" t="s">
        <v>313</v>
      </c>
      <c r="D43" s="33">
        <v>9</v>
      </c>
      <c r="E43" s="51">
        <v>4801</v>
      </c>
      <c r="F43" s="106">
        <v>0.05</v>
      </c>
      <c r="H43" s="51">
        <f t="shared" si="21"/>
        <v>43209</v>
      </c>
      <c r="J43" s="26">
        <f t="shared" si="22"/>
        <v>41048.549999999996</v>
      </c>
      <c r="K43" s="51">
        <v>13521</v>
      </c>
      <c r="L43" s="26">
        <f t="shared" si="23"/>
        <v>121689</v>
      </c>
      <c r="N43" s="33">
        <f t="shared" si="27"/>
        <v>115604.54999999999</v>
      </c>
      <c r="O43" s="91">
        <v>0</v>
      </c>
      <c r="P43" s="52">
        <f t="shared" si="24"/>
        <v>0</v>
      </c>
      <c r="R43" s="26">
        <f t="shared" si="25"/>
        <v>0</v>
      </c>
      <c r="S43" s="61">
        <v>15</v>
      </c>
      <c r="T43" s="217" t="s">
        <v>213</v>
      </c>
      <c r="U43" s="35">
        <f>SUMIF('Avoided Costs 2009-2017'!$A:$A,Actuals!T43&amp;Actuals!S43,'Avoided Costs 2009-2017'!$E:$E)*J43</f>
        <v>138834.63560267125</v>
      </c>
      <c r="V43" s="35">
        <f>SUMIF('Avoided Costs 2009-2017'!$A:$A,Actuals!T43&amp;Actuals!S43,'Avoided Costs 2009-2017'!$K:$K)*N43</f>
        <v>86302.51632576104</v>
      </c>
      <c r="W43" s="35">
        <f>SUMIF('Avoided Costs 2009-2017'!$A:$A,Actuals!T43&amp;Actuals!S43,'Avoided Costs 2009-2017'!$M:$M)*R43</f>
        <v>0</v>
      </c>
      <c r="X43" s="35">
        <f t="shared" si="28"/>
        <v>225137.15192843229</v>
      </c>
      <c r="Y43" s="105">
        <v>10000</v>
      </c>
      <c r="Z43" s="53">
        <f t="shared" si="29"/>
        <v>85500</v>
      </c>
      <c r="AC43" s="53"/>
      <c r="AD43" s="53">
        <v>116722.14</v>
      </c>
      <c r="AE43" s="53">
        <v>108415.01192843229</v>
      </c>
      <c r="AF43" s="166">
        <f t="shared" si="26"/>
        <v>615728.24999999988</v>
      </c>
    </row>
    <row r="44" spans="1:32" x14ac:dyDescent="0.2">
      <c r="A44" s="134" t="s">
        <v>946</v>
      </c>
      <c r="B44" s="30" t="s">
        <v>314</v>
      </c>
      <c r="D44" s="33">
        <v>18</v>
      </c>
      <c r="E44" s="51">
        <v>11486</v>
      </c>
      <c r="F44" s="106">
        <v>0.05</v>
      </c>
      <c r="H44" s="51">
        <f t="shared" si="21"/>
        <v>206748</v>
      </c>
      <c r="J44" s="26">
        <f t="shared" si="22"/>
        <v>196410.59999999998</v>
      </c>
      <c r="K44" s="51">
        <v>30901</v>
      </c>
      <c r="L44" s="26">
        <f t="shared" si="23"/>
        <v>556218</v>
      </c>
      <c r="N44" s="33">
        <f t="shared" si="27"/>
        <v>528407.1</v>
      </c>
      <c r="O44" s="91">
        <v>0</v>
      </c>
      <c r="P44" s="52">
        <f t="shared" si="24"/>
        <v>0</v>
      </c>
      <c r="R44" s="26">
        <f t="shared" si="25"/>
        <v>0</v>
      </c>
      <c r="S44" s="61">
        <v>15</v>
      </c>
      <c r="T44" s="217" t="s">
        <v>213</v>
      </c>
      <c r="U44" s="35">
        <f>SUMIF('Avoided Costs 2009-2017'!$A:$A,Actuals!T44&amp;Actuals!S44,'Avoided Costs 2009-2017'!$E:$E)*J44</f>
        <v>664301.03084035905</v>
      </c>
      <c r="V44" s="35">
        <f>SUMIF('Avoided Costs 2009-2017'!$A:$A,Actuals!T44&amp;Actuals!S44,'Avoided Costs 2009-2017'!$K:$K)*N44</f>
        <v>394472.90244543186</v>
      </c>
      <c r="W44" s="35">
        <f>SUMIF('Avoided Costs 2009-2017'!$A:$A,Actuals!T44&amp;Actuals!S44,'Avoided Costs 2009-2017'!$M:$M)*R44</f>
        <v>0</v>
      </c>
      <c r="X44" s="35">
        <f t="shared" si="28"/>
        <v>1058773.933285791</v>
      </c>
      <c r="Y44" s="105">
        <v>15000</v>
      </c>
      <c r="Z44" s="53">
        <f t="shared" si="29"/>
        <v>256500</v>
      </c>
      <c r="AC44" s="53"/>
      <c r="AD44" s="53">
        <v>256500</v>
      </c>
      <c r="AE44" s="53">
        <v>802273.93328579096</v>
      </c>
      <c r="AF44" s="166">
        <f t="shared" si="26"/>
        <v>2946158.9999999995</v>
      </c>
    </row>
    <row r="45" spans="1:32" x14ac:dyDescent="0.2">
      <c r="A45" s="134" t="s">
        <v>947</v>
      </c>
      <c r="B45" s="30" t="s">
        <v>315</v>
      </c>
      <c r="D45" s="33">
        <v>2</v>
      </c>
      <c r="E45" s="51">
        <v>18924</v>
      </c>
      <c r="F45" s="106">
        <v>0.05</v>
      </c>
      <c r="H45" s="51">
        <f t="shared" si="21"/>
        <v>37848</v>
      </c>
      <c r="J45" s="26">
        <f t="shared" si="22"/>
        <v>35955.599999999999</v>
      </c>
      <c r="K45" s="51">
        <v>49102</v>
      </c>
      <c r="L45" s="26">
        <f t="shared" si="23"/>
        <v>98204</v>
      </c>
      <c r="N45" s="33">
        <f t="shared" si="27"/>
        <v>93293.8</v>
      </c>
      <c r="O45" s="91">
        <v>0</v>
      </c>
      <c r="P45" s="52">
        <f t="shared" si="24"/>
        <v>0</v>
      </c>
      <c r="R45" s="26">
        <f t="shared" si="25"/>
        <v>0</v>
      </c>
      <c r="S45" s="61">
        <v>15</v>
      </c>
      <c r="T45" s="217" t="s">
        <v>213</v>
      </c>
      <c r="U45" s="35">
        <f>SUMIF('Avoided Costs 2009-2017'!$A:$A,Actuals!T45&amp;Actuals!S45,'Avoided Costs 2009-2017'!$E:$E)*J45</f>
        <v>121609.23160197878</v>
      </c>
      <c r="V45" s="35">
        <f>SUMIF('Avoided Costs 2009-2017'!$A:$A,Actuals!T45&amp;Actuals!S45,'Avoided Costs 2009-2017'!$K:$K)*N45</f>
        <v>69646.823568728796</v>
      </c>
      <c r="W45" s="35">
        <f>SUMIF('Avoided Costs 2009-2017'!$A:$A,Actuals!T45&amp;Actuals!S45,'Avoided Costs 2009-2017'!$M:$M)*R45</f>
        <v>0</v>
      </c>
      <c r="X45" s="35">
        <f t="shared" si="28"/>
        <v>191256.05517070758</v>
      </c>
      <c r="Y45" s="105">
        <v>20000</v>
      </c>
      <c r="Z45" s="53">
        <f t="shared" si="29"/>
        <v>38000</v>
      </c>
      <c r="AC45" s="53"/>
      <c r="AD45" s="53">
        <v>38000</v>
      </c>
      <c r="AE45" s="53">
        <v>153256.05517070758</v>
      </c>
      <c r="AF45" s="166">
        <f t="shared" si="26"/>
        <v>539334</v>
      </c>
    </row>
    <row r="46" spans="1:32" x14ac:dyDescent="0.2">
      <c r="A46" s="134" t="s">
        <v>301</v>
      </c>
      <c r="B46" s="30" t="s">
        <v>316</v>
      </c>
      <c r="D46" s="33">
        <v>37</v>
      </c>
      <c r="E46" s="51">
        <v>5969.5675675675675</v>
      </c>
      <c r="F46" s="106">
        <v>0.05</v>
      </c>
      <c r="H46" s="51">
        <f t="shared" si="21"/>
        <v>220874</v>
      </c>
      <c r="J46" s="26">
        <f t="shared" si="22"/>
        <v>209830.3</v>
      </c>
      <c r="K46" s="51">
        <v>0</v>
      </c>
      <c r="L46" s="26">
        <f t="shared" si="23"/>
        <v>0</v>
      </c>
      <c r="N46" s="33">
        <f t="shared" si="27"/>
        <v>0</v>
      </c>
      <c r="P46" s="52">
        <f t="shared" si="24"/>
        <v>0</v>
      </c>
      <c r="R46" s="26">
        <f t="shared" si="25"/>
        <v>0</v>
      </c>
      <c r="S46" s="61">
        <v>20</v>
      </c>
      <c r="T46" s="217" t="s">
        <v>213</v>
      </c>
      <c r="U46" s="35">
        <f>SUMIF('Avoided Costs 2009-2017'!$A:$A,Actuals!T46&amp;Actuals!S46,'Avoided Costs 2009-2017'!$E:$E)*J46</f>
        <v>822759.18822179269</v>
      </c>
      <c r="V46" s="35">
        <f>SUMIF('Avoided Costs 2009-2017'!$A:$A,Actuals!T46&amp;Actuals!S46,'Avoided Costs 2009-2017'!$K:$K)*N46</f>
        <v>0</v>
      </c>
      <c r="W46" s="35">
        <f>SUMIF('Avoided Costs 2009-2017'!$A:$A,Actuals!T46&amp;Actuals!S46,'Avoided Costs 2009-2017'!$M:$M)*R46</f>
        <v>0</v>
      </c>
      <c r="X46" s="35">
        <f t="shared" si="28"/>
        <v>822759.18822179269</v>
      </c>
      <c r="Y46" s="105">
        <v>5988.6486486486483</v>
      </c>
      <c r="Z46" s="53">
        <f t="shared" si="29"/>
        <v>210501</v>
      </c>
      <c r="AC46" s="53"/>
      <c r="AD46" s="53">
        <v>210501</v>
      </c>
      <c r="AE46" s="53">
        <v>612258.18822179269</v>
      </c>
      <c r="AF46" s="166">
        <f t="shared" si="26"/>
        <v>4196606</v>
      </c>
    </row>
    <row r="47" spans="1:32" x14ac:dyDescent="0.2">
      <c r="A47" s="134" t="s">
        <v>948</v>
      </c>
      <c r="B47" s="30" t="s">
        <v>949</v>
      </c>
      <c r="D47" s="33">
        <v>0</v>
      </c>
      <c r="F47" s="106">
        <v>0.01</v>
      </c>
      <c r="H47" s="51">
        <f t="shared" si="21"/>
        <v>0</v>
      </c>
      <c r="J47" s="26">
        <f t="shared" si="22"/>
        <v>0</v>
      </c>
      <c r="K47" s="51">
        <v>0</v>
      </c>
      <c r="L47" s="26">
        <f t="shared" si="23"/>
        <v>0</v>
      </c>
      <c r="N47" s="33">
        <f t="shared" si="27"/>
        <v>0</v>
      </c>
      <c r="P47" s="52">
        <f t="shared" si="24"/>
        <v>0</v>
      </c>
      <c r="R47" s="26">
        <f t="shared" si="25"/>
        <v>0</v>
      </c>
      <c r="S47" s="61"/>
      <c r="T47" s="217" t="s">
        <v>213</v>
      </c>
      <c r="U47" s="35">
        <f>SUMIF('Avoided Costs 2009-2017'!$A:$A,Actuals!T47&amp;Actuals!S47,'Avoided Costs 2009-2017'!$E:$E)*J47</f>
        <v>0</v>
      </c>
      <c r="V47" s="35">
        <f>SUMIF('Avoided Costs 2009-2017'!$A:$A,Actuals!T47&amp;Actuals!S47,'Avoided Costs 2009-2017'!$K:$K)*N47</f>
        <v>0</v>
      </c>
      <c r="W47" s="35">
        <f>SUMIF('Avoided Costs 2009-2017'!$A:$A,Actuals!T47&amp;Actuals!S47,'Avoided Costs 2009-2017'!$M:$M)*R47</f>
        <v>0</v>
      </c>
      <c r="X47" s="35">
        <f t="shared" si="28"/>
        <v>0</v>
      </c>
      <c r="Y47" s="105">
        <v>0</v>
      </c>
      <c r="Z47" s="53">
        <f t="shared" si="29"/>
        <v>0</v>
      </c>
      <c r="AC47" s="53"/>
      <c r="AD47" s="53">
        <v>46028.39</v>
      </c>
      <c r="AE47" s="53">
        <v>-46028.39</v>
      </c>
      <c r="AF47" s="166">
        <f t="shared" si="26"/>
        <v>0</v>
      </c>
    </row>
    <row r="48" spans="1:32" x14ac:dyDescent="0.2">
      <c r="A48" s="134" t="s">
        <v>950</v>
      </c>
      <c r="B48" s="30" t="s">
        <v>1199</v>
      </c>
      <c r="D48" s="33">
        <v>117</v>
      </c>
      <c r="E48" s="51">
        <v>430.31623931623932</v>
      </c>
      <c r="F48" s="50">
        <v>0.17499999999999999</v>
      </c>
      <c r="H48" s="51">
        <f t="shared" si="21"/>
        <v>50347</v>
      </c>
      <c r="J48" s="26">
        <f t="shared" si="22"/>
        <v>41536.274999999994</v>
      </c>
      <c r="K48" s="51">
        <v>0</v>
      </c>
      <c r="L48" s="26">
        <f t="shared" si="23"/>
        <v>0</v>
      </c>
      <c r="N48" s="33">
        <f t="shared" si="27"/>
        <v>0</v>
      </c>
      <c r="P48" s="52">
        <f t="shared" si="24"/>
        <v>0</v>
      </c>
      <c r="R48" s="26">
        <f t="shared" si="25"/>
        <v>0</v>
      </c>
      <c r="S48" s="61">
        <v>18</v>
      </c>
      <c r="T48" s="217" t="s">
        <v>213</v>
      </c>
      <c r="U48" s="35">
        <f>SUMIF('Avoided Costs 2009-2017'!$A:$A,Actuals!T48&amp;Actuals!S48,'Avoided Costs 2009-2017'!$E:$E)*J48</f>
        <v>154809.99263078667</v>
      </c>
      <c r="V48" s="35">
        <f>SUMIF('Avoided Costs 2009-2017'!$A:$A,Actuals!T48&amp;Actuals!S48,'Avoided Costs 2009-2017'!$K:$K)*N48</f>
        <v>0</v>
      </c>
      <c r="W48" s="35">
        <f>SUMIF('Avoided Costs 2009-2017'!$A:$A,Actuals!T48&amp;Actuals!S48,'Avoided Costs 2009-2017'!$M:$M)*R48</f>
        <v>0</v>
      </c>
      <c r="X48" s="35">
        <f t="shared" si="28"/>
        <v>154809.99263078667</v>
      </c>
      <c r="Y48" s="105">
        <v>650</v>
      </c>
      <c r="Z48" s="53">
        <f t="shared" si="29"/>
        <v>62741.25</v>
      </c>
      <c r="AC48" s="53"/>
      <c r="AD48" s="53">
        <v>63821.25</v>
      </c>
      <c r="AE48" s="53">
        <v>90988.74263078667</v>
      </c>
      <c r="AF48" s="166">
        <f t="shared" si="26"/>
        <v>747652.95</v>
      </c>
    </row>
    <row r="49" spans="1:32" x14ac:dyDescent="0.2">
      <c r="A49" s="134" t="s">
        <v>302</v>
      </c>
      <c r="B49" s="30" t="s">
        <v>317</v>
      </c>
      <c r="D49" s="33">
        <v>5</v>
      </c>
      <c r="E49" s="51">
        <v>746</v>
      </c>
      <c r="F49" s="106">
        <v>0.05</v>
      </c>
      <c r="H49" s="51">
        <f t="shared" si="21"/>
        <v>3730</v>
      </c>
      <c r="J49" s="26">
        <f t="shared" si="22"/>
        <v>3543.5</v>
      </c>
      <c r="K49" s="51">
        <v>0</v>
      </c>
      <c r="L49" s="26">
        <f t="shared" si="23"/>
        <v>0</v>
      </c>
      <c r="N49" s="33">
        <f t="shared" si="27"/>
        <v>0</v>
      </c>
      <c r="P49" s="52">
        <f t="shared" si="24"/>
        <v>0</v>
      </c>
      <c r="R49" s="26">
        <f t="shared" si="25"/>
        <v>0</v>
      </c>
      <c r="S49" s="61">
        <v>20</v>
      </c>
      <c r="T49" s="217" t="s">
        <v>213</v>
      </c>
      <c r="U49" s="35">
        <f>SUMIF('Avoided Costs 2009-2017'!$A:$A,Actuals!T49&amp;Actuals!S49,'Avoided Costs 2009-2017'!$E:$E)*J49</f>
        <v>13894.309751565539</v>
      </c>
      <c r="V49" s="35">
        <f>SUMIF('Avoided Costs 2009-2017'!$A:$A,Actuals!T49&amp;Actuals!S49,'Avoided Costs 2009-2017'!$K:$K)*N49</f>
        <v>0</v>
      </c>
      <c r="W49" s="35">
        <f>SUMIF('Avoided Costs 2009-2017'!$A:$A,Actuals!T49&amp;Actuals!S49,'Avoided Costs 2009-2017'!$M:$M)*R49</f>
        <v>0</v>
      </c>
      <c r="X49" s="35">
        <f t="shared" si="28"/>
        <v>13894.309751565539</v>
      </c>
      <c r="Y49" s="105">
        <v>1258</v>
      </c>
      <c r="Z49" s="53">
        <f t="shared" si="29"/>
        <v>5975.5</v>
      </c>
      <c r="AC49" s="53"/>
      <c r="AD49" s="53">
        <v>5975.5</v>
      </c>
      <c r="AE49" s="53">
        <v>7918.809751565539</v>
      </c>
      <c r="AF49" s="166">
        <f t="shared" si="26"/>
        <v>70870</v>
      </c>
    </row>
    <row r="50" spans="1:32" x14ac:dyDescent="0.2">
      <c r="A50" s="134" t="s">
        <v>303</v>
      </c>
      <c r="B50" s="30" t="s">
        <v>318</v>
      </c>
      <c r="D50" s="33">
        <v>144</v>
      </c>
      <c r="E50" s="51">
        <v>2145.4166666666665</v>
      </c>
      <c r="F50" s="106">
        <v>0.33</v>
      </c>
      <c r="H50" s="51">
        <f t="shared" si="21"/>
        <v>308940</v>
      </c>
      <c r="J50" s="26">
        <f t="shared" si="22"/>
        <v>206989.8</v>
      </c>
      <c r="K50" s="51">
        <v>599.84722222222217</v>
      </c>
      <c r="L50" s="26">
        <f t="shared" si="23"/>
        <v>86378</v>
      </c>
      <c r="N50" s="33">
        <f t="shared" si="27"/>
        <v>57873.259999999995</v>
      </c>
      <c r="P50" s="52">
        <f t="shared" si="24"/>
        <v>0</v>
      </c>
      <c r="R50" s="26">
        <f t="shared" si="25"/>
        <v>0</v>
      </c>
      <c r="S50" s="61">
        <v>20</v>
      </c>
      <c r="T50" s="217" t="s">
        <v>213</v>
      </c>
      <c r="U50" s="35">
        <f>SUMIF('Avoided Costs 2009-2017'!$A:$A,Actuals!T50&amp;Actuals!S50,'Avoided Costs 2009-2017'!$E:$E)*J50</f>
        <v>811621.39032442507</v>
      </c>
      <c r="V50" s="35">
        <f>SUMIF('Avoided Costs 2009-2017'!$A:$A,Actuals!T50&amp;Actuals!S50,'Avoided Costs 2009-2017'!$K:$K)*N50</f>
        <v>50280.824393902367</v>
      </c>
      <c r="W50" s="35">
        <f>SUMIF('Avoided Costs 2009-2017'!$A:$A,Actuals!T50&amp;Actuals!S50,'Avoided Costs 2009-2017'!$M:$M)*R50</f>
        <v>0</v>
      </c>
      <c r="X50" s="35">
        <f t="shared" si="28"/>
        <v>861902.21471832739</v>
      </c>
      <c r="Y50" s="105">
        <v>1744.9388474295195</v>
      </c>
      <c r="Z50" s="53">
        <f t="shared" si="29"/>
        <v>168351.7</v>
      </c>
      <c r="AC50" s="53"/>
      <c r="AD50" s="53">
        <v>168351.7</v>
      </c>
      <c r="AE50" s="53">
        <v>693550.51471832744</v>
      </c>
      <c r="AF50" s="166">
        <f t="shared" si="26"/>
        <v>4139796</v>
      </c>
    </row>
    <row r="51" spans="1:32" x14ac:dyDescent="0.2">
      <c r="A51" s="134" t="s">
        <v>951</v>
      </c>
      <c r="B51" s="30" t="s">
        <v>319</v>
      </c>
      <c r="D51" s="33">
        <v>1204</v>
      </c>
      <c r="E51" s="51">
        <v>886</v>
      </c>
      <c r="F51" s="121">
        <v>0.124</v>
      </c>
      <c r="G51" s="50">
        <v>0.02</v>
      </c>
      <c r="H51" s="51">
        <f t="shared" si="21"/>
        <v>1066744</v>
      </c>
      <c r="J51" s="26">
        <f t="shared" si="22"/>
        <v>915778.38911999995</v>
      </c>
      <c r="K51" s="51">
        <v>0</v>
      </c>
      <c r="L51" s="26">
        <f t="shared" si="23"/>
        <v>0</v>
      </c>
      <c r="N51" s="33">
        <f t="shared" si="27"/>
        <v>0</v>
      </c>
      <c r="O51" s="91">
        <v>170.32599999999999</v>
      </c>
      <c r="P51" s="52">
        <f t="shared" si="24"/>
        <v>205072.50399999999</v>
      </c>
      <c r="R51" s="26">
        <f t="shared" si="25"/>
        <v>176050.64323392001</v>
      </c>
      <c r="S51" s="61">
        <v>5</v>
      </c>
      <c r="T51" s="217" t="s">
        <v>1176</v>
      </c>
      <c r="U51" s="35">
        <f>SUMIF('Avoided Costs 2009-2017'!$A:$A,Actuals!T51&amp;Actuals!S51,'Avoided Costs 2009-2017'!$E:$E)*J51</f>
        <v>1258931.2048159142</v>
      </c>
      <c r="V51" s="35">
        <f>SUMIF('Avoided Costs 2009-2017'!$A:$A,Actuals!T51&amp;Actuals!S51,'Avoided Costs 2009-2017'!$K:$K)*N51</f>
        <v>0</v>
      </c>
      <c r="W51" s="35">
        <f>SUMIF('Avoided Costs 2009-2017'!$A:$A,Actuals!T51&amp;Actuals!S51,'Avoided Costs 2009-2017'!$M:$M)*R51</f>
        <v>1032759.2161630022</v>
      </c>
      <c r="X51" s="35">
        <f t="shared" si="28"/>
        <v>2291690.4209789163</v>
      </c>
      <c r="Y51" s="105">
        <v>60</v>
      </c>
      <c r="Z51" s="53">
        <f t="shared" si="29"/>
        <v>63282.239999999998</v>
      </c>
      <c r="AC51" s="53"/>
      <c r="AD51" s="53">
        <v>91013.119999999995</v>
      </c>
      <c r="AE51" s="53">
        <v>2200677.3009789162</v>
      </c>
      <c r="AF51" s="166">
        <f t="shared" si="26"/>
        <v>4578891.9455999993</v>
      </c>
    </row>
    <row r="52" spans="1:32" x14ac:dyDescent="0.2">
      <c r="A52" s="134" t="s">
        <v>304</v>
      </c>
      <c r="B52" s="30" t="s">
        <v>320</v>
      </c>
      <c r="D52" s="33">
        <v>297</v>
      </c>
      <c r="E52" s="51">
        <v>190</v>
      </c>
      <c r="F52" s="106">
        <v>0.124</v>
      </c>
      <c r="G52" s="50">
        <v>0.02</v>
      </c>
      <c r="H52" s="51">
        <f t="shared" si="21"/>
        <v>56430</v>
      </c>
      <c r="J52" s="26">
        <f t="shared" si="22"/>
        <v>48444.026400000002</v>
      </c>
      <c r="K52" s="51">
        <v>0</v>
      </c>
      <c r="L52" s="26">
        <f t="shared" si="23"/>
        <v>0</v>
      </c>
      <c r="N52" s="33">
        <f t="shared" si="27"/>
        <v>0</v>
      </c>
      <c r="O52" s="91">
        <v>36.484000000000002</v>
      </c>
      <c r="P52" s="52">
        <f t="shared" si="24"/>
        <v>10835.748000000001</v>
      </c>
      <c r="R52" s="26">
        <f t="shared" si="25"/>
        <v>9302.2729430400013</v>
      </c>
      <c r="S52" s="61">
        <v>5</v>
      </c>
      <c r="T52" s="217" t="s">
        <v>1176</v>
      </c>
      <c r="U52" s="35">
        <f>SUMIF('Avoided Costs 2009-2017'!$A:$A,Actuals!T52&amp;Actuals!S52,'Avoided Costs 2009-2017'!$E:$E)*J52</f>
        <v>66596.56664369526</v>
      </c>
      <c r="V52" s="35">
        <f>SUMIF('Avoided Costs 2009-2017'!$A:$A,Actuals!T52&amp;Actuals!S52,'Avoided Costs 2009-2017'!$K:$K)*N52</f>
        <v>0</v>
      </c>
      <c r="W52" s="35">
        <f>SUMIF('Avoided Costs 2009-2017'!$A:$A,Actuals!T52&amp;Actuals!S52,'Avoided Costs 2009-2017'!$M:$M)*R52</f>
        <v>54569.571213797732</v>
      </c>
      <c r="X52" s="35">
        <f t="shared" si="28"/>
        <v>121166.13785749298</v>
      </c>
      <c r="Y52" s="105">
        <v>60</v>
      </c>
      <c r="Z52" s="53">
        <f t="shared" si="29"/>
        <v>15610.32</v>
      </c>
      <c r="AC52" s="53"/>
      <c r="AD52" s="53">
        <v>15610.32</v>
      </c>
      <c r="AE52" s="53">
        <v>105555.81785749298</v>
      </c>
      <c r="AF52" s="166">
        <f t="shared" si="26"/>
        <v>242220.13200000001</v>
      </c>
    </row>
    <row r="53" spans="1:32" x14ac:dyDescent="0.2">
      <c r="A53" s="134" t="s">
        <v>305</v>
      </c>
      <c r="B53" s="30" t="s">
        <v>321</v>
      </c>
      <c r="D53" s="33">
        <v>428</v>
      </c>
      <c r="E53" s="51">
        <v>200</v>
      </c>
      <c r="F53" s="106">
        <v>0.124</v>
      </c>
      <c r="G53" s="50">
        <v>0.02</v>
      </c>
      <c r="H53" s="51">
        <f t="shared" si="21"/>
        <v>85600</v>
      </c>
      <c r="J53" s="26">
        <f t="shared" si="22"/>
        <v>73485.888000000006</v>
      </c>
      <c r="K53" s="51">
        <v>0</v>
      </c>
      <c r="L53" s="26">
        <f t="shared" si="23"/>
        <v>0</v>
      </c>
      <c r="N53" s="33">
        <f t="shared" si="27"/>
        <v>0</v>
      </c>
      <c r="O53" s="91">
        <v>38.383000000000003</v>
      </c>
      <c r="P53" s="52">
        <f t="shared" si="24"/>
        <v>16427.924000000003</v>
      </c>
      <c r="R53" s="26">
        <f t="shared" si="25"/>
        <v>14103.044195520002</v>
      </c>
      <c r="S53" s="61">
        <v>5</v>
      </c>
      <c r="T53" s="217" t="s">
        <v>1176</v>
      </c>
      <c r="U53" s="35">
        <f>SUMIF('Avoided Costs 2009-2017'!$A:$A,Actuals!T53&amp;Actuals!S53,'Avoided Costs 2009-2017'!$E:$E)*J53</f>
        <v>101021.9050983575</v>
      </c>
      <c r="V53" s="35">
        <f>SUMIF('Avoided Costs 2009-2017'!$A:$A,Actuals!T53&amp;Actuals!S53,'Avoided Costs 2009-2017'!$K:$K)*N53</f>
        <v>0</v>
      </c>
      <c r="W53" s="35">
        <f>SUMIF('Avoided Costs 2009-2017'!$A:$A,Actuals!T53&amp;Actuals!S53,'Avoided Costs 2009-2017'!$M:$M)*R53</f>
        <v>82732.153665151389</v>
      </c>
      <c r="X53" s="35">
        <f t="shared" si="28"/>
        <v>183754.05876350889</v>
      </c>
      <c r="Y53" s="105">
        <v>60</v>
      </c>
      <c r="Z53" s="53">
        <f t="shared" si="29"/>
        <v>22495.68</v>
      </c>
      <c r="AC53" s="53"/>
      <c r="AD53" s="53">
        <v>22495.68</v>
      </c>
      <c r="AE53" s="53">
        <v>161258.3787635089</v>
      </c>
      <c r="AF53" s="166">
        <f t="shared" si="26"/>
        <v>367429.44000000006</v>
      </c>
    </row>
    <row r="54" spans="1:32" x14ac:dyDescent="0.2">
      <c r="A54" s="134" t="s">
        <v>306</v>
      </c>
      <c r="B54" s="30" t="s">
        <v>1269</v>
      </c>
      <c r="D54" s="33">
        <v>28</v>
      </c>
      <c r="E54" s="51">
        <v>1286</v>
      </c>
      <c r="F54" s="106">
        <v>0</v>
      </c>
      <c r="G54" s="50">
        <v>0.02</v>
      </c>
      <c r="H54" s="51">
        <f t="shared" si="21"/>
        <v>36008</v>
      </c>
      <c r="J54" s="26">
        <f t="shared" si="22"/>
        <v>35287.839999999997</v>
      </c>
      <c r="K54" s="51">
        <v>0</v>
      </c>
      <c r="L54" s="26">
        <f t="shared" si="23"/>
        <v>0</v>
      </c>
      <c r="N54" s="33">
        <f t="shared" si="27"/>
        <v>0</v>
      </c>
      <c r="O54" s="91">
        <v>252</v>
      </c>
      <c r="P54" s="52">
        <f t="shared" si="24"/>
        <v>7056</v>
      </c>
      <c r="R54" s="26">
        <f t="shared" si="25"/>
        <v>6914.88</v>
      </c>
      <c r="S54" s="61">
        <v>5</v>
      </c>
      <c r="T54" s="217" t="s">
        <v>1176</v>
      </c>
      <c r="U54" s="35">
        <f>SUMIF('Avoided Costs 2009-2017'!$A:$A,Actuals!T54&amp;Actuals!S54,'Avoided Costs 2009-2017'!$E:$E)*J54</f>
        <v>48510.60415308614</v>
      </c>
      <c r="V54" s="35">
        <f>SUMIF('Avoided Costs 2009-2017'!$A:$A,Actuals!T54&amp;Actuals!S54,'Avoided Costs 2009-2017'!$K:$K)*N54</f>
        <v>0</v>
      </c>
      <c r="W54" s="35">
        <f>SUMIF('Avoided Costs 2009-2017'!$A:$A,Actuals!T54&amp;Actuals!S54,'Avoided Costs 2009-2017'!$M:$M)*R54</f>
        <v>40564.498473160209</v>
      </c>
      <c r="X54" s="35">
        <f t="shared" si="28"/>
        <v>89075.102626246342</v>
      </c>
      <c r="Y54" s="105">
        <v>88</v>
      </c>
      <c r="Z54" s="53">
        <f t="shared" si="29"/>
        <v>2464</v>
      </c>
      <c r="AC54" s="53"/>
      <c r="AD54" s="53">
        <v>2464</v>
      </c>
      <c r="AE54" s="53">
        <v>86611.102626246342</v>
      </c>
      <c r="AF54" s="166">
        <f t="shared" si="26"/>
        <v>176439.19999999998</v>
      </c>
    </row>
    <row r="55" spans="1:32" x14ac:dyDescent="0.2">
      <c r="A55" s="134" t="s">
        <v>307</v>
      </c>
      <c r="B55" s="30" t="s">
        <v>1270</v>
      </c>
      <c r="D55" s="33">
        <v>4</v>
      </c>
      <c r="E55" s="51">
        <v>339</v>
      </c>
      <c r="F55" s="106">
        <v>0</v>
      </c>
      <c r="G55" s="50">
        <v>0.02</v>
      </c>
      <c r="H55" s="51">
        <f t="shared" si="21"/>
        <v>1356</v>
      </c>
      <c r="J55" s="26">
        <f t="shared" si="22"/>
        <v>1328.8799999999999</v>
      </c>
      <c r="K55" s="51">
        <v>0</v>
      </c>
      <c r="L55" s="26">
        <f t="shared" si="23"/>
        <v>0</v>
      </c>
      <c r="N55" s="33">
        <f t="shared" si="27"/>
        <v>0</v>
      </c>
      <c r="O55" s="91">
        <v>66.400000000000006</v>
      </c>
      <c r="P55" s="52">
        <f t="shared" si="24"/>
        <v>265.60000000000002</v>
      </c>
      <c r="R55" s="26">
        <f t="shared" si="25"/>
        <v>260.28800000000001</v>
      </c>
      <c r="S55" s="61">
        <v>5</v>
      </c>
      <c r="T55" s="217" t="s">
        <v>1176</v>
      </c>
      <c r="U55" s="35">
        <f>SUMIF('Avoided Costs 2009-2017'!$A:$A,Actuals!T55&amp;Actuals!S55,'Avoided Costs 2009-2017'!$E:$E)*J55</f>
        <v>1826.8267949229285</v>
      </c>
      <c r="V55" s="35">
        <f>SUMIF('Avoided Costs 2009-2017'!$A:$A,Actuals!T55&amp;Actuals!S55,'Avoided Costs 2009-2017'!$K:$K)*N55</f>
        <v>0</v>
      </c>
      <c r="W55" s="35">
        <f>SUMIF('Avoided Costs 2009-2017'!$A:$A,Actuals!T55&amp;Actuals!S55,'Avoided Costs 2009-2017'!$M:$M)*R55</f>
        <v>1526.9176296019489</v>
      </c>
      <c r="X55" s="35">
        <f t="shared" si="28"/>
        <v>3353.7444245248771</v>
      </c>
      <c r="Y55" s="105">
        <v>88</v>
      </c>
      <c r="Z55" s="53">
        <f t="shared" si="29"/>
        <v>352</v>
      </c>
      <c r="AC55" s="53"/>
      <c r="AD55" s="53">
        <v>352</v>
      </c>
      <c r="AE55" s="53">
        <v>3001.7444245248771</v>
      </c>
      <c r="AF55" s="166">
        <f t="shared" si="26"/>
        <v>6644.4</v>
      </c>
    </row>
    <row r="56" spans="1:32" x14ac:dyDescent="0.2">
      <c r="A56" s="134" t="s">
        <v>308</v>
      </c>
      <c r="B56" s="30" t="s">
        <v>1271</v>
      </c>
      <c r="D56" s="33">
        <v>0</v>
      </c>
      <c r="E56" s="51">
        <v>318</v>
      </c>
      <c r="F56" s="106">
        <v>0</v>
      </c>
      <c r="G56" s="50">
        <v>0.02</v>
      </c>
      <c r="H56" s="51">
        <f t="shared" si="21"/>
        <v>0</v>
      </c>
      <c r="J56" s="26">
        <f t="shared" si="22"/>
        <v>0</v>
      </c>
      <c r="K56" s="51">
        <v>0</v>
      </c>
      <c r="L56" s="26">
        <f t="shared" si="23"/>
        <v>0</v>
      </c>
      <c r="N56" s="33">
        <f t="shared" si="27"/>
        <v>0</v>
      </c>
      <c r="O56" s="91">
        <v>62.2</v>
      </c>
      <c r="P56" s="52">
        <f t="shared" si="24"/>
        <v>0</v>
      </c>
      <c r="R56" s="26">
        <f t="shared" si="25"/>
        <v>0</v>
      </c>
      <c r="S56" s="61">
        <v>5</v>
      </c>
      <c r="T56" s="217" t="s">
        <v>1176</v>
      </c>
      <c r="U56" s="35">
        <f>SUMIF('Avoided Costs 2009-2017'!$A:$A,Actuals!T56&amp;Actuals!S56,'Avoided Costs 2009-2017'!$E:$E)*J56</f>
        <v>0</v>
      </c>
      <c r="V56" s="35">
        <f>SUMIF('Avoided Costs 2009-2017'!$A:$A,Actuals!T56&amp;Actuals!S56,'Avoided Costs 2009-2017'!$K:$K)*N56</f>
        <v>0</v>
      </c>
      <c r="W56" s="35">
        <f>SUMIF('Avoided Costs 2009-2017'!$A:$A,Actuals!T56&amp;Actuals!S56,'Avoided Costs 2009-2017'!$M:$M)*R56</f>
        <v>0</v>
      </c>
      <c r="X56" s="35">
        <f t="shared" si="28"/>
        <v>0</v>
      </c>
      <c r="Y56" s="105">
        <v>88</v>
      </c>
      <c r="Z56" s="53">
        <f t="shared" si="29"/>
        <v>0</v>
      </c>
      <c r="AC56" s="53"/>
      <c r="AD56" s="53">
        <v>0</v>
      </c>
      <c r="AE56" s="53">
        <v>0</v>
      </c>
      <c r="AF56" s="166">
        <f t="shared" si="26"/>
        <v>0</v>
      </c>
    </row>
    <row r="57" spans="1:32" x14ac:dyDescent="0.2">
      <c r="A57" s="134" t="s">
        <v>952</v>
      </c>
      <c r="B57" s="30" t="s">
        <v>953</v>
      </c>
      <c r="D57" s="33">
        <v>0</v>
      </c>
      <c r="F57" s="106">
        <v>0.01</v>
      </c>
      <c r="H57" s="51">
        <f t="shared" si="21"/>
        <v>0</v>
      </c>
      <c r="J57" s="26">
        <f t="shared" si="22"/>
        <v>0</v>
      </c>
      <c r="K57" s="51"/>
      <c r="L57" s="26">
        <f t="shared" si="23"/>
        <v>0</v>
      </c>
      <c r="N57" s="33">
        <f t="shared" si="27"/>
        <v>0</v>
      </c>
      <c r="P57" s="52">
        <f t="shared" si="24"/>
        <v>0</v>
      </c>
      <c r="R57" s="26">
        <f t="shared" si="25"/>
        <v>0</v>
      </c>
      <c r="S57" s="61"/>
      <c r="T57" s="217" t="s">
        <v>213</v>
      </c>
      <c r="U57" s="35">
        <f>SUMIF('Avoided Costs 2009-2017'!$A:$A,Actuals!T57&amp;Actuals!S57,'Avoided Costs 2009-2017'!$E:$E)*J57</f>
        <v>0</v>
      </c>
      <c r="V57" s="35">
        <f>SUMIF('Avoided Costs 2009-2017'!$A:$A,Actuals!T57&amp;Actuals!S57,'Avoided Costs 2009-2017'!$K:$K)*N57</f>
        <v>0</v>
      </c>
      <c r="W57" s="35">
        <f>SUMIF('Avoided Costs 2009-2017'!$A:$A,Actuals!T57&amp;Actuals!S57,'Avoided Costs 2009-2017'!$M:$M)*R57</f>
        <v>0</v>
      </c>
      <c r="X57" s="35">
        <f t="shared" si="28"/>
        <v>0</v>
      </c>
      <c r="Y57" s="105">
        <v>0</v>
      </c>
      <c r="Z57" s="53">
        <f t="shared" si="29"/>
        <v>0</v>
      </c>
      <c r="AC57" s="53"/>
      <c r="AD57" s="53">
        <v>59637.3</v>
      </c>
      <c r="AE57" s="53">
        <v>-59637.3</v>
      </c>
      <c r="AF57" s="166">
        <f t="shared" si="26"/>
        <v>0</v>
      </c>
    </row>
    <row r="58" spans="1:32" x14ac:dyDescent="0.2">
      <c r="A58" s="134" t="s">
        <v>954</v>
      </c>
      <c r="B58" s="30" t="s">
        <v>1332</v>
      </c>
      <c r="D58" s="33">
        <v>564</v>
      </c>
      <c r="E58" s="51">
        <v>255</v>
      </c>
      <c r="F58" s="106">
        <v>0.05</v>
      </c>
      <c r="H58" s="51">
        <f t="shared" si="21"/>
        <v>143820</v>
      </c>
      <c r="J58" s="26">
        <f t="shared" si="22"/>
        <v>136629</v>
      </c>
      <c r="K58" s="51">
        <v>0</v>
      </c>
      <c r="L58" s="26">
        <f t="shared" si="23"/>
        <v>0</v>
      </c>
      <c r="N58" s="33">
        <f t="shared" si="27"/>
        <v>0</v>
      </c>
      <c r="O58" s="91">
        <v>0</v>
      </c>
      <c r="P58" s="52">
        <f t="shared" si="24"/>
        <v>0</v>
      </c>
      <c r="R58" s="26">
        <f t="shared" si="25"/>
        <v>0</v>
      </c>
      <c r="S58" s="61">
        <v>15</v>
      </c>
      <c r="T58" s="217" t="s">
        <v>213</v>
      </c>
      <c r="U58" s="35">
        <f>SUMIF('Avoided Costs 2009-2017'!$A:$A,Actuals!T58&amp;Actuals!S58,'Avoided Costs 2009-2017'!$E:$E)*J58</f>
        <v>462107.36865875579</v>
      </c>
      <c r="V58" s="35">
        <f>SUMIF('Avoided Costs 2009-2017'!$A:$A,Actuals!T58&amp;Actuals!S58,'Avoided Costs 2009-2017'!$K:$K)*N58</f>
        <v>0</v>
      </c>
      <c r="W58" s="35">
        <f>SUMIF('Avoided Costs 2009-2017'!$A:$A,Actuals!T58&amp;Actuals!S58,'Avoided Costs 2009-2017'!$M:$M)*R58</f>
        <v>0</v>
      </c>
      <c r="X58" s="35">
        <f t="shared" si="28"/>
        <v>462107.36865875579</v>
      </c>
      <c r="Y58" s="105">
        <v>375</v>
      </c>
      <c r="Z58" s="53">
        <f t="shared" si="29"/>
        <v>200925</v>
      </c>
      <c r="AC58" s="53"/>
      <c r="AD58" s="53">
        <v>203875.74</v>
      </c>
      <c r="AE58" s="53">
        <v>258231.6286587558</v>
      </c>
      <c r="AF58" s="166">
        <f t="shared" si="26"/>
        <v>2049435</v>
      </c>
    </row>
    <row r="59" spans="1:32" x14ac:dyDescent="0.2">
      <c r="A59" s="134" t="s">
        <v>955</v>
      </c>
      <c r="B59" s="30" t="s">
        <v>1333</v>
      </c>
      <c r="D59" s="33">
        <v>30</v>
      </c>
      <c r="E59" s="51">
        <v>154</v>
      </c>
      <c r="F59" s="106">
        <v>0.02</v>
      </c>
      <c r="H59" s="51">
        <f t="shared" si="21"/>
        <v>4620</v>
      </c>
      <c r="J59" s="26">
        <f t="shared" si="22"/>
        <v>4527.6000000000004</v>
      </c>
      <c r="K59" s="51">
        <v>0</v>
      </c>
      <c r="L59" s="26">
        <f t="shared" si="23"/>
        <v>0</v>
      </c>
      <c r="N59" s="33">
        <f t="shared" si="27"/>
        <v>0</v>
      </c>
      <c r="O59" s="91">
        <v>0</v>
      </c>
      <c r="P59" s="52">
        <f t="shared" si="24"/>
        <v>0</v>
      </c>
      <c r="R59" s="26">
        <f t="shared" si="25"/>
        <v>0</v>
      </c>
      <c r="S59" s="61">
        <v>18</v>
      </c>
      <c r="T59" s="217" t="s">
        <v>1176</v>
      </c>
      <c r="U59" s="35">
        <f>SUMIF('Avoided Costs 2009-2017'!$A:$A,Actuals!T59&amp;Actuals!S59,'Avoided Costs 2009-2017'!$E:$E)*J59</f>
        <v>15363.705673965324</v>
      </c>
      <c r="V59" s="35">
        <f>SUMIF('Avoided Costs 2009-2017'!$A:$A,Actuals!T59&amp;Actuals!S59,'Avoided Costs 2009-2017'!$K:$K)*N59</f>
        <v>0</v>
      </c>
      <c r="W59" s="35">
        <f>SUMIF('Avoided Costs 2009-2017'!$A:$A,Actuals!T59&amp;Actuals!S59,'Avoided Costs 2009-2017'!$M:$M)*R59</f>
        <v>0</v>
      </c>
      <c r="X59" s="35">
        <f t="shared" si="28"/>
        <v>15363.705673965324</v>
      </c>
      <c r="Y59" s="105">
        <v>-1102</v>
      </c>
      <c r="Z59" s="53">
        <f t="shared" si="29"/>
        <v>-32398.799999999999</v>
      </c>
      <c r="AC59" s="53"/>
      <c r="AD59" s="53">
        <v>-32398.799999999999</v>
      </c>
      <c r="AE59" s="53">
        <v>47762.505673965323</v>
      </c>
      <c r="AF59" s="166">
        <f t="shared" si="26"/>
        <v>81496.800000000003</v>
      </c>
    </row>
    <row r="60" spans="1:32" x14ac:dyDescent="0.2">
      <c r="A60" s="134" t="s">
        <v>956</v>
      </c>
      <c r="B60" s="30" t="s">
        <v>1272</v>
      </c>
      <c r="D60" s="33">
        <v>10</v>
      </c>
      <c r="E60" s="51">
        <v>538</v>
      </c>
      <c r="F60" s="106">
        <v>0.2</v>
      </c>
      <c r="H60" s="51">
        <f t="shared" si="21"/>
        <v>5380</v>
      </c>
      <c r="J60" s="26">
        <f t="shared" si="22"/>
        <v>4304</v>
      </c>
      <c r="K60" s="51">
        <v>266</v>
      </c>
      <c r="L60" s="26">
        <f t="shared" si="23"/>
        <v>2660</v>
      </c>
      <c r="N60" s="33">
        <f t="shared" si="27"/>
        <v>2128</v>
      </c>
      <c r="O60" s="91">
        <v>0</v>
      </c>
      <c r="P60" s="52">
        <f t="shared" si="24"/>
        <v>0</v>
      </c>
      <c r="R60" s="26">
        <f t="shared" si="25"/>
        <v>0</v>
      </c>
      <c r="S60" s="61">
        <v>15</v>
      </c>
      <c r="T60" s="217" t="s">
        <v>213</v>
      </c>
      <c r="U60" s="35">
        <f>SUMIF('Avoided Costs 2009-2017'!$A:$A,Actuals!T60&amp;Actuals!S60,'Avoided Costs 2009-2017'!$E:$E)*J60</f>
        <v>14557.012894094847</v>
      </c>
      <c r="V60" s="35">
        <f>SUMIF('Avoided Costs 2009-2017'!$A:$A,Actuals!T60&amp;Actuals!S60,'Avoided Costs 2009-2017'!$K:$K)*N60</f>
        <v>1588.620471609634</v>
      </c>
      <c r="W60" s="35">
        <f>SUMIF('Avoided Costs 2009-2017'!$A:$A,Actuals!T60&amp;Actuals!S60,'Avoided Costs 2009-2017'!$M:$M)*R60</f>
        <v>0</v>
      </c>
      <c r="X60" s="35">
        <f t="shared" si="28"/>
        <v>16145.633365704482</v>
      </c>
      <c r="Y60" s="105">
        <v>110</v>
      </c>
      <c r="Z60" s="53">
        <f t="shared" si="29"/>
        <v>880</v>
      </c>
      <c r="AC60" s="53"/>
      <c r="AD60" s="53">
        <v>1906.66</v>
      </c>
      <c r="AE60" s="53">
        <v>14238.973365704482</v>
      </c>
      <c r="AF60" s="166">
        <f t="shared" si="26"/>
        <v>64560</v>
      </c>
    </row>
    <row r="61" spans="1:32" x14ac:dyDescent="0.2">
      <c r="A61" s="134" t="s">
        <v>309</v>
      </c>
      <c r="B61" s="30" t="s">
        <v>1273</v>
      </c>
      <c r="D61" s="33">
        <v>12</v>
      </c>
      <c r="E61" s="51">
        <v>223</v>
      </c>
      <c r="F61" s="106">
        <v>0.2</v>
      </c>
      <c r="H61" s="51">
        <f t="shared" si="21"/>
        <v>2676</v>
      </c>
      <c r="J61" s="26">
        <f t="shared" si="22"/>
        <v>2140.8000000000002</v>
      </c>
      <c r="K61" s="51">
        <v>156</v>
      </c>
      <c r="L61" s="26">
        <f t="shared" si="23"/>
        <v>1872</v>
      </c>
      <c r="N61" s="33">
        <f t="shared" si="27"/>
        <v>1497.6000000000001</v>
      </c>
      <c r="O61" s="91">
        <v>0</v>
      </c>
      <c r="P61" s="52">
        <f t="shared" si="24"/>
        <v>0</v>
      </c>
      <c r="R61" s="26">
        <f t="shared" si="25"/>
        <v>0</v>
      </c>
      <c r="S61" s="61">
        <v>15</v>
      </c>
      <c r="T61" s="217" t="s">
        <v>213</v>
      </c>
      <c r="U61" s="35">
        <f>SUMIF('Avoided Costs 2009-2017'!$A:$A,Actuals!T61&amp;Actuals!S61,'Avoided Costs 2009-2017'!$E:$E)*J61</f>
        <v>7240.6257443490367</v>
      </c>
      <c r="V61" s="35">
        <f>SUMIF('Avoided Costs 2009-2017'!$A:$A,Actuals!T61&amp;Actuals!S61,'Avoided Costs 2009-2017'!$K:$K)*N61</f>
        <v>1118.0065875388102</v>
      </c>
      <c r="W61" s="35">
        <f>SUMIF('Avoided Costs 2009-2017'!$A:$A,Actuals!T61&amp;Actuals!S61,'Avoided Costs 2009-2017'!$M:$M)*R61</f>
        <v>0</v>
      </c>
      <c r="X61" s="35">
        <f t="shared" si="28"/>
        <v>8358.6323318878476</v>
      </c>
      <c r="Y61" s="105">
        <v>110</v>
      </c>
      <c r="Z61" s="53">
        <f t="shared" si="29"/>
        <v>1056</v>
      </c>
      <c r="AC61" s="53"/>
      <c r="AD61" s="53">
        <v>1056</v>
      </c>
      <c r="AE61" s="53">
        <v>7302.6323318878476</v>
      </c>
      <c r="AF61" s="166">
        <f t="shared" si="26"/>
        <v>32112.000000000004</v>
      </c>
    </row>
    <row r="62" spans="1:32" x14ac:dyDescent="0.2">
      <c r="A62" s="134" t="s">
        <v>310</v>
      </c>
      <c r="B62" s="30" t="s">
        <v>1274</v>
      </c>
      <c r="D62" s="33">
        <v>129</v>
      </c>
      <c r="E62" s="51">
        <v>211</v>
      </c>
      <c r="F62" s="106">
        <v>0.2</v>
      </c>
      <c r="H62" s="51">
        <f t="shared" si="21"/>
        <v>27219</v>
      </c>
      <c r="J62" s="26">
        <f t="shared" si="22"/>
        <v>21775.200000000001</v>
      </c>
      <c r="K62" s="51">
        <v>112</v>
      </c>
      <c r="L62" s="26">
        <f t="shared" si="23"/>
        <v>14448</v>
      </c>
      <c r="N62" s="33">
        <f t="shared" si="27"/>
        <v>11558.400000000001</v>
      </c>
      <c r="O62" s="91">
        <v>0</v>
      </c>
      <c r="P62" s="52">
        <f t="shared" si="24"/>
        <v>0</v>
      </c>
      <c r="R62" s="26">
        <f t="shared" si="25"/>
        <v>0</v>
      </c>
      <c r="S62" s="61">
        <v>15</v>
      </c>
      <c r="T62" s="217" t="s">
        <v>213</v>
      </c>
      <c r="U62" s="35">
        <f>SUMIF('Avoided Costs 2009-2017'!$A:$A,Actuals!T62&amp;Actuals!S62,'Avoided Costs 2009-2017'!$E:$E)*J62</f>
        <v>73648.203339101805</v>
      </c>
      <c r="V62" s="35">
        <f>SUMIF('Avoided Costs 2009-2017'!$A:$A,Actuals!T62&amp;Actuals!S62,'Avoided Costs 2009-2017'!$K:$K)*N62</f>
        <v>8628.7175089533812</v>
      </c>
      <c r="W62" s="35">
        <f>SUMIF('Avoided Costs 2009-2017'!$A:$A,Actuals!T62&amp;Actuals!S62,'Avoided Costs 2009-2017'!$M:$M)*R62</f>
        <v>0</v>
      </c>
      <c r="X62" s="35">
        <f t="shared" si="28"/>
        <v>82276.92084805519</v>
      </c>
      <c r="Y62" s="105">
        <v>110</v>
      </c>
      <c r="Z62" s="53">
        <f t="shared" si="29"/>
        <v>11352</v>
      </c>
      <c r="AC62" s="53"/>
      <c r="AD62" s="53">
        <v>11352</v>
      </c>
      <c r="AE62" s="53">
        <v>70924.92084805519</v>
      </c>
      <c r="AF62" s="166">
        <f t="shared" si="26"/>
        <v>326628</v>
      </c>
    </row>
    <row r="63" spans="1:32" x14ac:dyDescent="0.2">
      <c r="A63" s="134" t="s">
        <v>311</v>
      </c>
      <c r="B63" s="30" t="s">
        <v>1275</v>
      </c>
      <c r="D63" s="33">
        <v>183</v>
      </c>
      <c r="E63" s="51">
        <v>82</v>
      </c>
      <c r="F63" s="106">
        <v>0.2</v>
      </c>
      <c r="H63" s="51">
        <f t="shared" si="21"/>
        <v>15006</v>
      </c>
      <c r="J63" s="26">
        <f t="shared" si="22"/>
        <v>12004.800000000001</v>
      </c>
      <c r="K63" s="51">
        <v>63</v>
      </c>
      <c r="L63" s="26">
        <f t="shared" si="23"/>
        <v>11529</v>
      </c>
      <c r="N63" s="33">
        <f t="shared" si="27"/>
        <v>9223.2000000000007</v>
      </c>
      <c r="O63" s="91">
        <v>0</v>
      </c>
      <c r="P63" s="52">
        <f t="shared" si="24"/>
        <v>0</v>
      </c>
      <c r="R63" s="26">
        <f t="shared" si="25"/>
        <v>0</v>
      </c>
      <c r="S63" s="61">
        <v>15</v>
      </c>
      <c r="T63" s="217" t="s">
        <v>213</v>
      </c>
      <c r="U63" s="35">
        <f>SUMIF('Avoided Costs 2009-2017'!$A:$A,Actuals!T63&amp;Actuals!S63,'Avoided Costs 2009-2017'!$E:$E)*J63</f>
        <v>40602.701763715115</v>
      </c>
      <c r="V63" s="35">
        <f>SUMIF('Avoided Costs 2009-2017'!$A:$A,Actuals!T63&amp;Actuals!S63,'Avoided Costs 2009-2017'!$K:$K)*N63</f>
        <v>6885.4155703712295</v>
      </c>
      <c r="W63" s="35">
        <f>SUMIF('Avoided Costs 2009-2017'!$A:$A,Actuals!T63&amp;Actuals!S63,'Avoided Costs 2009-2017'!$M:$M)*R63</f>
        <v>0</v>
      </c>
      <c r="X63" s="35">
        <f t="shared" si="28"/>
        <v>47488.117334086346</v>
      </c>
      <c r="Y63" s="105">
        <v>110</v>
      </c>
      <c r="Z63" s="53">
        <f t="shared" si="29"/>
        <v>16104</v>
      </c>
      <c r="AC63" s="53"/>
      <c r="AD63" s="53">
        <v>16104</v>
      </c>
      <c r="AE63" s="53">
        <v>31384.117334086346</v>
      </c>
      <c r="AF63" s="166">
        <f t="shared" si="26"/>
        <v>180072.00000000003</v>
      </c>
    </row>
    <row r="64" spans="1:32" x14ac:dyDescent="0.2">
      <c r="A64" s="79" t="s">
        <v>1335</v>
      </c>
      <c r="B64" s="79"/>
      <c r="C64" s="79"/>
      <c r="D64" s="56">
        <f>SUM(D40:D63)</f>
        <v>3261</v>
      </c>
      <c r="E64" s="54"/>
      <c r="F64" s="55"/>
      <c r="G64" s="55"/>
      <c r="H64" s="56">
        <f>SUM(H40:H63)</f>
        <v>2357027</v>
      </c>
      <c r="I64" s="56"/>
      <c r="J64" s="56">
        <f>SUM(J40:J63)</f>
        <v>2029469.4485200001</v>
      </c>
      <c r="K64" s="56"/>
      <c r="L64" s="56">
        <f>SUM(L40:L63)</f>
        <v>913494</v>
      </c>
      <c r="M64" s="56">
        <f>SUM(M40:M63)</f>
        <v>0</v>
      </c>
      <c r="N64" s="56">
        <f>SUM(N40:N63)</f>
        <v>839057.11</v>
      </c>
      <c r="O64" s="95"/>
      <c r="P64" s="56">
        <f>SUM(P40:P63)</f>
        <v>239657.77599999998</v>
      </c>
      <c r="Q64" s="56"/>
      <c r="R64" s="56">
        <f>SUM(R40:R63)</f>
        <v>206631.12837248002</v>
      </c>
      <c r="S64" s="56"/>
      <c r="T64" s="25"/>
      <c r="U64" s="62">
        <f>SUM(U40:U63)</f>
        <v>4948276.8982703863</v>
      </c>
      <c r="V64" s="62">
        <f>SUM(V40:V63)</f>
        <v>633459.70418752532</v>
      </c>
      <c r="W64" s="62">
        <f>SUM(W40:W63)</f>
        <v>1212152.3571447134</v>
      </c>
      <c r="X64" s="62">
        <f>SUM(X40:X63)</f>
        <v>6793888.9596026251</v>
      </c>
      <c r="Y64" s="62"/>
      <c r="Z64" s="62">
        <f>SUM(Z40:Z63)</f>
        <v>1205311.8899999999</v>
      </c>
      <c r="AA64" s="62">
        <v>506664.76</v>
      </c>
      <c r="AB64" s="62">
        <v>175241.61000000002</v>
      </c>
      <c r="AC64" s="62">
        <v>681906.37</v>
      </c>
      <c r="AD64" s="62">
        <v>1380553.5</v>
      </c>
      <c r="AE64" s="62">
        <v>5413335.4596026251</v>
      </c>
      <c r="AF64" s="230">
        <f>SUM(AF40:AF63)</f>
        <v>21938801.117599998</v>
      </c>
    </row>
    <row r="65" spans="1:32" x14ac:dyDescent="0.2">
      <c r="A65" s="135"/>
      <c r="B65" s="4"/>
      <c r="C65" s="4"/>
      <c r="D65" s="26"/>
      <c r="E65" s="31"/>
      <c r="F65" s="32"/>
      <c r="G65" s="32"/>
      <c r="H65" s="31"/>
      <c r="I65" s="31"/>
      <c r="J65" s="26"/>
      <c r="K65" s="26"/>
      <c r="L65" s="26"/>
      <c r="M65" s="31"/>
      <c r="N65" s="26"/>
      <c r="O65" s="92"/>
      <c r="P65" s="36"/>
      <c r="Q65" s="31"/>
      <c r="R65" s="26"/>
      <c r="S65" s="26"/>
      <c r="T65" s="5"/>
      <c r="U65" s="53"/>
      <c r="V65" s="53"/>
      <c r="W65" s="53"/>
      <c r="X65" s="53"/>
      <c r="Y65" s="63"/>
      <c r="Z65" s="53"/>
      <c r="AA65" s="63"/>
      <c r="AB65" s="63"/>
      <c r="AC65" s="53"/>
      <c r="AD65" s="53"/>
      <c r="AE65" s="53"/>
      <c r="AF65" s="166"/>
    </row>
    <row r="66" spans="1:32" x14ac:dyDescent="0.2">
      <c r="A66" s="135"/>
      <c r="B66" s="4"/>
      <c r="C66" s="4"/>
      <c r="D66" s="26"/>
      <c r="E66" s="31"/>
      <c r="F66" s="32"/>
      <c r="G66" s="32"/>
      <c r="H66" s="31"/>
      <c r="I66" s="31"/>
      <c r="J66" s="26"/>
      <c r="K66" s="26"/>
      <c r="L66" s="26"/>
      <c r="M66" s="31"/>
      <c r="N66" s="26"/>
      <c r="O66" s="92"/>
      <c r="P66" s="36"/>
      <c r="Q66" s="31"/>
      <c r="R66" s="26"/>
      <c r="S66" s="26"/>
      <c r="T66" s="5"/>
      <c r="U66" s="53"/>
      <c r="V66" s="53"/>
      <c r="W66" s="53"/>
      <c r="X66" s="53"/>
      <c r="Y66" s="63"/>
      <c r="Z66" s="53"/>
      <c r="AA66" s="63"/>
      <c r="AB66" s="63"/>
      <c r="AC66" s="53"/>
      <c r="AD66" s="53"/>
      <c r="AE66" s="53"/>
      <c r="AF66" s="166"/>
    </row>
    <row r="67" spans="1:32" x14ac:dyDescent="0.2">
      <c r="A67" s="134"/>
      <c r="B67" s="30" t="s">
        <v>1163</v>
      </c>
    </row>
    <row r="68" spans="1:32" x14ac:dyDescent="0.2">
      <c r="A68" s="134" t="s">
        <v>1150</v>
      </c>
      <c r="B68" s="30" t="s">
        <v>1218</v>
      </c>
      <c r="H68" s="236">
        <f>1-3.2%</f>
        <v>0.96799999999999997</v>
      </c>
      <c r="I68" s="236"/>
      <c r="J68" s="236"/>
      <c r="K68" s="236"/>
      <c r="L68" s="236">
        <f>1-10.1%</f>
        <v>0.89900000000000002</v>
      </c>
      <c r="M68" s="236"/>
      <c r="O68" s="92"/>
      <c r="P68" s="106">
        <f>1+49.2%</f>
        <v>1.492</v>
      </c>
      <c r="Q68" s="236"/>
      <c r="R68" s="26"/>
      <c r="S68" s="26"/>
      <c r="Z68" s="53"/>
      <c r="AA68" s="63"/>
      <c r="AC68" s="53"/>
      <c r="AD68" s="53"/>
      <c r="AE68" s="53"/>
      <c r="AF68" s="166"/>
    </row>
    <row r="69" spans="1:32" s="150" customFormat="1" x14ac:dyDescent="0.2">
      <c r="A69" s="144" t="s">
        <v>1110</v>
      </c>
      <c r="B69" s="144"/>
      <c r="C69" s="144"/>
      <c r="D69" s="145">
        <v>0</v>
      </c>
      <c r="E69" s="122"/>
      <c r="F69" s="146">
        <v>0.12</v>
      </c>
      <c r="G69" s="146"/>
      <c r="H69" s="122">
        <v>183927</v>
      </c>
      <c r="I69" s="122">
        <f>+$H$68*H69</f>
        <v>178041.33599999998</v>
      </c>
      <c r="J69" s="147">
        <f>I69*(1-F69)</f>
        <v>156676.37568</v>
      </c>
      <c r="K69" s="122"/>
      <c r="L69" s="122">
        <v>55854</v>
      </c>
      <c r="M69" s="122">
        <f>+$L$68*L69</f>
        <v>50212.745999999999</v>
      </c>
      <c r="N69" s="122">
        <f>M69*(1-F69)</f>
        <v>44187.216480000003</v>
      </c>
      <c r="O69" s="122"/>
      <c r="P69" s="122">
        <v>0</v>
      </c>
      <c r="Q69" s="122">
        <f>+P69*$P$68</f>
        <v>0</v>
      </c>
      <c r="R69" s="147">
        <f>Q69*(1-F69)</f>
        <v>0</v>
      </c>
      <c r="S69" s="145">
        <v>15</v>
      </c>
      <c r="T69" s="144" t="s">
        <v>213</v>
      </c>
      <c r="U69" s="90">
        <f>SUMIF('Avoided Costs 2009-2017'!$A:$A,Actuals!T69&amp;Actuals!S69,'Avoided Costs 2009-2017'!$E:$E)*J69</f>
        <v>529911.71491027146</v>
      </c>
      <c r="V69" s="90">
        <f>SUMIF('Avoided Costs 2009-2017'!$A:$A,Actuals!T69&amp;Actuals!S69,'Avoided Costs 2009-2017'!$K:$K)*N69</f>
        <v>32987.178892657234</v>
      </c>
      <c r="W69" s="90">
        <f>SUMIF('Avoided Costs 2009-2017'!$A:$A,Actuals!T69&amp;Actuals!S69,'Avoided Costs 2009-2017'!$M:$M)*R69</f>
        <v>0</v>
      </c>
      <c r="X69" s="90">
        <f>SUM(U69:W69)</f>
        <v>562898.89380292874</v>
      </c>
      <c r="Y69" s="148">
        <v>121133</v>
      </c>
      <c r="Z69" s="149">
        <f t="shared" ref="Z69:Z80" si="30">Y69*(1-F69)</f>
        <v>106597.04</v>
      </c>
      <c r="AA69" s="148"/>
      <c r="AB69" s="145"/>
      <c r="AC69" s="145"/>
      <c r="AD69" s="148">
        <f t="shared" ref="AD69:AD81" si="31">Z69+AB69</f>
        <v>106597.04</v>
      </c>
      <c r="AE69" s="122">
        <f t="shared" ref="AE69:AE81" si="32">X69-AD69</f>
        <v>456301.85380292876</v>
      </c>
      <c r="AF69" s="167">
        <f t="shared" ref="AF69:AF80" si="33">J69*S69</f>
        <v>2350145.6351999999</v>
      </c>
    </row>
    <row r="70" spans="1:32" s="150" customFormat="1" x14ac:dyDescent="0.2">
      <c r="A70" s="144" t="s">
        <v>235</v>
      </c>
      <c r="B70" s="144"/>
      <c r="C70" s="144"/>
      <c r="D70" s="145">
        <v>1</v>
      </c>
      <c r="E70" s="122"/>
      <c r="F70" s="146">
        <v>0.12</v>
      </c>
      <c r="G70" s="146"/>
      <c r="H70" s="122">
        <v>252402</v>
      </c>
      <c r="I70" s="122">
        <f t="shared" ref="I70:I80" si="34">+$H$68*H70</f>
        <v>244325.136</v>
      </c>
      <c r="J70" s="147">
        <f t="shared" ref="J70:J80" si="35">I70*(1-F70)</f>
        <v>215006.11968</v>
      </c>
      <c r="K70" s="122"/>
      <c r="L70" s="122">
        <v>0</v>
      </c>
      <c r="M70" s="122">
        <f t="shared" ref="M70:M80" si="36">+$L$68*L70</f>
        <v>0</v>
      </c>
      <c r="N70" s="122">
        <f t="shared" ref="N70:N80" si="37">M70*(1-F70)</f>
        <v>0</v>
      </c>
      <c r="O70" s="122"/>
      <c r="P70" s="122">
        <v>0</v>
      </c>
      <c r="Q70" s="122">
        <f t="shared" ref="Q70:Q80" si="38">+P70*$P$68</f>
        <v>0</v>
      </c>
      <c r="R70" s="147">
        <f t="shared" ref="R70:R80" si="39">Q70*(1-F70)</f>
        <v>0</v>
      </c>
      <c r="S70" s="145">
        <v>11</v>
      </c>
      <c r="T70" s="144" t="s">
        <v>213</v>
      </c>
      <c r="U70" s="90">
        <f>SUMIF('Avoided Costs 2009-2017'!$A:$A,Actuals!T70&amp;Actuals!S70,'Avoided Costs 2009-2017'!$E:$E)*J70</f>
        <v>601735.6961148699</v>
      </c>
      <c r="V70" s="90">
        <f>SUMIF('Avoided Costs 2009-2017'!$A:$A,Actuals!T70&amp;Actuals!S70,'Avoided Costs 2009-2017'!$K:$K)*N70</f>
        <v>0</v>
      </c>
      <c r="W70" s="90">
        <f>SUMIF('Avoided Costs 2009-2017'!$A:$A,Actuals!T70&amp;Actuals!S70,'Avoided Costs 2009-2017'!$M:$M)*R70</f>
        <v>0</v>
      </c>
      <c r="X70" s="90">
        <f t="shared" ref="X70:X80" si="40">SUM(U70:W70)</f>
        <v>601735.6961148699</v>
      </c>
      <c r="Y70" s="148">
        <v>230924</v>
      </c>
      <c r="Z70" s="149">
        <f t="shared" si="30"/>
        <v>203213.12</v>
      </c>
      <c r="AA70" s="148"/>
      <c r="AB70" s="145"/>
      <c r="AC70" s="145"/>
      <c r="AD70" s="148">
        <f t="shared" si="31"/>
        <v>203213.12</v>
      </c>
      <c r="AE70" s="122">
        <f t="shared" si="32"/>
        <v>398522.57611486991</v>
      </c>
      <c r="AF70" s="167">
        <f t="shared" si="33"/>
        <v>2365067.31648</v>
      </c>
    </row>
    <row r="71" spans="1:32" s="150" customFormat="1" x14ac:dyDescent="0.2">
      <c r="A71" s="144" t="s">
        <v>236</v>
      </c>
      <c r="B71" s="144"/>
      <c r="C71" s="144"/>
      <c r="D71" s="145">
        <v>1</v>
      </c>
      <c r="E71" s="122"/>
      <c r="F71" s="146">
        <v>0.12</v>
      </c>
      <c r="G71" s="146"/>
      <c r="H71" s="122">
        <v>11920</v>
      </c>
      <c r="I71" s="122">
        <f t="shared" si="34"/>
        <v>11538.56</v>
      </c>
      <c r="J71" s="147">
        <f t="shared" si="35"/>
        <v>10153.9328</v>
      </c>
      <c r="K71" s="122"/>
      <c r="L71" s="122">
        <v>-1792</v>
      </c>
      <c r="M71" s="122">
        <f t="shared" si="36"/>
        <v>-1611.008</v>
      </c>
      <c r="N71" s="122">
        <f t="shared" si="37"/>
        <v>-1417.68704</v>
      </c>
      <c r="O71" s="122"/>
      <c r="P71" s="122">
        <v>0</v>
      </c>
      <c r="Q71" s="122">
        <f t="shared" si="38"/>
        <v>0</v>
      </c>
      <c r="R71" s="147">
        <f t="shared" si="39"/>
        <v>0</v>
      </c>
      <c r="S71" s="145">
        <v>15</v>
      </c>
      <c r="T71" s="144" t="s">
        <v>213</v>
      </c>
      <c r="U71" s="90">
        <f>SUMIF('Avoided Costs 2009-2017'!$A:$A,Actuals!T71&amp;Actuals!S71,'Avoided Costs 2009-2017'!$E:$E)*J71</f>
        <v>34342.688358590291</v>
      </c>
      <c r="V71" s="90">
        <f>SUMIF('Avoided Costs 2009-2017'!$A:$A,Actuals!T71&amp;Actuals!S71,'Avoided Costs 2009-2017'!$K:$K)*N71</f>
        <v>-1058.3489915787904</v>
      </c>
      <c r="W71" s="90">
        <f>SUMIF('Avoided Costs 2009-2017'!$A:$A,Actuals!T71&amp;Actuals!S71,'Avoided Costs 2009-2017'!$M:$M)*R71</f>
        <v>0</v>
      </c>
      <c r="X71" s="90">
        <f t="shared" si="40"/>
        <v>33284.339367011504</v>
      </c>
      <c r="Y71" s="148">
        <v>11671</v>
      </c>
      <c r="Z71" s="149">
        <f t="shared" si="30"/>
        <v>10270.48</v>
      </c>
      <c r="AA71" s="148"/>
      <c r="AB71" s="145"/>
      <c r="AC71" s="145"/>
      <c r="AD71" s="148">
        <f t="shared" si="31"/>
        <v>10270.48</v>
      </c>
      <c r="AE71" s="122">
        <f t="shared" si="32"/>
        <v>23013.859367011504</v>
      </c>
      <c r="AF71" s="167">
        <f t="shared" si="33"/>
        <v>152308.992</v>
      </c>
    </row>
    <row r="72" spans="1:32" s="150" customFormat="1" x14ac:dyDescent="0.2">
      <c r="A72" s="144" t="s">
        <v>237</v>
      </c>
      <c r="B72" s="144"/>
      <c r="C72" s="144"/>
      <c r="D72" s="145">
        <v>1</v>
      </c>
      <c r="E72" s="122"/>
      <c r="F72" s="146">
        <v>0.12</v>
      </c>
      <c r="G72" s="146"/>
      <c r="H72" s="122">
        <v>32148</v>
      </c>
      <c r="I72" s="122">
        <f t="shared" si="34"/>
        <v>31119.263999999999</v>
      </c>
      <c r="J72" s="147">
        <f t="shared" si="35"/>
        <v>27384.95232</v>
      </c>
      <c r="K72" s="122"/>
      <c r="L72" s="122">
        <v>116456</v>
      </c>
      <c r="M72" s="122">
        <f t="shared" si="36"/>
        <v>104693.944</v>
      </c>
      <c r="N72" s="122">
        <f t="shared" si="37"/>
        <v>92130.670720000009</v>
      </c>
      <c r="O72" s="122"/>
      <c r="P72" s="122">
        <v>0</v>
      </c>
      <c r="Q72" s="122">
        <f t="shared" si="38"/>
        <v>0</v>
      </c>
      <c r="R72" s="147">
        <f t="shared" si="39"/>
        <v>0</v>
      </c>
      <c r="S72" s="145">
        <v>15</v>
      </c>
      <c r="T72" s="144" t="s">
        <v>213</v>
      </c>
      <c r="U72" s="90">
        <f>SUMIF('Avoided Costs 2009-2017'!$A:$A,Actuals!T72&amp;Actuals!S72,'Avoided Costs 2009-2017'!$E:$E)*J72</f>
        <v>92621.539039594005</v>
      </c>
      <c r="V72" s="90">
        <f>SUMIF('Avoided Costs 2009-2017'!$A:$A,Actuals!T72&amp;Actuals!S72,'Avoided Costs 2009-2017'!$K:$K)*N72</f>
        <v>68778.510135769888</v>
      </c>
      <c r="W72" s="90">
        <f>SUMIF('Avoided Costs 2009-2017'!$A:$A,Actuals!T72&amp;Actuals!S72,'Avoided Costs 2009-2017'!$M:$M)*R72</f>
        <v>0</v>
      </c>
      <c r="X72" s="90">
        <f t="shared" si="40"/>
        <v>161400.04917536391</v>
      </c>
      <c r="Y72" s="148">
        <v>30780</v>
      </c>
      <c r="Z72" s="149">
        <f t="shared" si="30"/>
        <v>27086.400000000001</v>
      </c>
      <c r="AA72" s="148"/>
      <c r="AB72" s="145"/>
      <c r="AC72" s="145"/>
      <c r="AD72" s="148">
        <f t="shared" si="31"/>
        <v>27086.400000000001</v>
      </c>
      <c r="AE72" s="122">
        <f t="shared" si="32"/>
        <v>134313.64917536391</v>
      </c>
      <c r="AF72" s="167">
        <f t="shared" si="33"/>
        <v>410774.28480000002</v>
      </c>
    </row>
    <row r="73" spans="1:32" s="150" customFormat="1" x14ac:dyDescent="0.2">
      <c r="A73" s="144" t="s">
        <v>238</v>
      </c>
      <c r="B73" s="144"/>
      <c r="C73" s="144"/>
      <c r="D73" s="145">
        <v>1</v>
      </c>
      <c r="E73" s="122"/>
      <c r="F73" s="146">
        <v>0.12</v>
      </c>
      <c r="G73" s="146"/>
      <c r="H73" s="122">
        <v>35771</v>
      </c>
      <c r="I73" s="122">
        <f t="shared" si="34"/>
        <v>34626.328000000001</v>
      </c>
      <c r="J73" s="147">
        <f t="shared" si="35"/>
        <v>30471.16864</v>
      </c>
      <c r="K73" s="122"/>
      <c r="L73" s="122">
        <v>0</v>
      </c>
      <c r="M73" s="122">
        <f t="shared" si="36"/>
        <v>0</v>
      </c>
      <c r="N73" s="122">
        <f t="shared" si="37"/>
        <v>0</v>
      </c>
      <c r="O73" s="122"/>
      <c r="P73" s="122">
        <v>0</v>
      </c>
      <c r="Q73" s="122">
        <f>+P73*$P$68</f>
        <v>0</v>
      </c>
      <c r="R73" s="147">
        <f t="shared" si="39"/>
        <v>0</v>
      </c>
      <c r="S73" s="145">
        <v>15</v>
      </c>
      <c r="T73" s="144" t="s">
        <v>213</v>
      </c>
      <c r="U73" s="90">
        <f>SUMIF('Avoided Costs 2009-2017'!$A:$A,Actuals!T73&amp;Actuals!S73,'Avoided Costs 2009-2017'!$E:$E)*J73</f>
        <v>103059.75715395412</v>
      </c>
      <c r="V73" s="90">
        <f>SUMIF('Avoided Costs 2009-2017'!$A:$A,Actuals!T73&amp;Actuals!S73,'Avoided Costs 2009-2017'!$K:$K)*N73</f>
        <v>0</v>
      </c>
      <c r="W73" s="90">
        <f>SUMIF('Avoided Costs 2009-2017'!$A:$A,Actuals!T73&amp;Actuals!S73,'Avoided Costs 2009-2017'!$M:$M)*R73</f>
        <v>0</v>
      </c>
      <c r="X73" s="90">
        <f t="shared" si="40"/>
        <v>103059.75715395412</v>
      </c>
      <c r="Y73" s="148">
        <v>24200</v>
      </c>
      <c r="Z73" s="149">
        <f t="shared" si="30"/>
        <v>21296</v>
      </c>
      <c r="AA73" s="148"/>
      <c r="AB73" s="145"/>
      <c r="AC73" s="145"/>
      <c r="AD73" s="148">
        <f t="shared" si="31"/>
        <v>21296</v>
      </c>
      <c r="AE73" s="122">
        <f t="shared" si="32"/>
        <v>81763.757153954124</v>
      </c>
      <c r="AF73" s="167">
        <f t="shared" si="33"/>
        <v>457067.52960000001</v>
      </c>
    </row>
    <row r="74" spans="1:32" s="150" customFormat="1" x14ac:dyDescent="0.2">
      <c r="A74" s="144" t="s">
        <v>239</v>
      </c>
      <c r="B74" s="144"/>
      <c r="C74" s="144"/>
      <c r="D74" s="145">
        <v>0</v>
      </c>
      <c r="E74" s="122"/>
      <c r="F74" s="146">
        <v>0.12</v>
      </c>
      <c r="G74" s="146"/>
      <c r="H74" s="122">
        <v>0</v>
      </c>
      <c r="I74" s="122">
        <f t="shared" si="34"/>
        <v>0</v>
      </c>
      <c r="J74" s="147">
        <f t="shared" si="35"/>
        <v>0</v>
      </c>
      <c r="K74" s="122"/>
      <c r="L74" s="122">
        <v>0</v>
      </c>
      <c r="M74" s="122">
        <f t="shared" si="36"/>
        <v>0</v>
      </c>
      <c r="N74" s="122">
        <f t="shared" si="37"/>
        <v>0</v>
      </c>
      <c r="O74" s="122"/>
      <c r="P74" s="122">
        <v>0</v>
      </c>
      <c r="Q74" s="122">
        <f t="shared" si="38"/>
        <v>0</v>
      </c>
      <c r="R74" s="147">
        <f t="shared" si="39"/>
        <v>0</v>
      </c>
      <c r="S74" s="145">
        <v>1</v>
      </c>
      <c r="T74" s="144" t="s">
        <v>213</v>
      </c>
      <c r="U74" s="90">
        <f>SUMIF('Avoided Costs 2009-2017'!$A:$A,Actuals!T74&amp;Actuals!S74,'Avoided Costs 2009-2017'!$E:$E)*J74</f>
        <v>0</v>
      </c>
      <c r="V74" s="90">
        <f>SUMIF('Avoided Costs 2009-2017'!$A:$A,Actuals!T74&amp;Actuals!S74,'Avoided Costs 2009-2017'!$K:$K)*N74</f>
        <v>0</v>
      </c>
      <c r="W74" s="90">
        <f>SUMIF('Avoided Costs 2009-2017'!$A:$A,Actuals!T74&amp;Actuals!S74,'Avoided Costs 2009-2017'!$M:$M)*R74</f>
        <v>0</v>
      </c>
      <c r="X74" s="90">
        <f t="shared" si="40"/>
        <v>0</v>
      </c>
      <c r="Y74" s="148">
        <v>0</v>
      </c>
      <c r="Z74" s="149">
        <f t="shared" si="30"/>
        <v>0</v>
      </c>
      <c r="AA74" s="148"/>
      <c r="AB74" s="145"/>
      <c r="AC74" s="145"/>
      <c r="AD74" s="148">
        <f t="shared" si="31"/>
        <v>0</v>
      </c>
      <c r="AE74" s="122">
        <f t="shared" si="32"/>
        <v>0</v>
      </c>
      <c r="AF74" s="167">
        <f t="shared" si="33"/>
        <v>0</v>
      </c>
    </row>
    <row r="75" spans="1:32" s="150" customFormat="1" x14ac:dyDescent="0.2">
      <c r="A75" s="144" t="s">
        <v>240</v>
      </c>
      <c r="B75" s="144"/>
      <c r="C75" s="144"/>
      <c r="D75" s="145">
        <v>1</v>
      </c>
      <c r="E75" s="122"/>
      <c r="F75" s="146">
        <v>0.12</v>
      </c>
      <c r="G75" s="146"/>
      <c r="H75" s="122">
        <v>9555</v>
      </c>
      <c r="I75" s="122">
        <f t="shared" si="34"/>
        <v>9249.24</v>
      </c>
      <c r="J75" s="147">
        <f t="shared" si="35"/>
        <v>8139.3311999999996</v>
      </c>
      <c r="K75" s="122"/>
      <c r="L75" s="122">
        <v>0</v>
      </c>
      <c r="M75" s="122">
        <f t="shared" si="36"/>
        <v>0</v>
      </c>
      <c r="N75" s="122">
        <f t="shared" si="37"/>
        <v>0</v>
      </c>
      <c r="O75" s="122"/>
      <c r="P75" s="122">
        <v>0</v>
      </c>
      <c r="Q75" s="122">
        <f t="shared" si="38"/>
        <v>0</v>
      </c>
      <c r="R75" s="147">
        <f t="shared" si="39"/>
        <v>0</v>
      </c>
      <c r="S75" s="145">
        <v>15</v>
      </c>
      <c r="T75" s="144" t="s">
        <v>213</v>
      </c>
      <c r="U75" s="90">
        <f>SUMIF('Avoided Costs 2009-2017'!$A:$A,Actuals!T75&amp;Actuals!S75,'Avoided Costs 2009-2017'!$E:$E)*J75</f>
        <v>27528.891549188775</v>
      </c>
      <c r="V75" s="90">
        <f>SUMIF('Avoided Costs 2009-2017'!$A:$A,Actuals!T75&amp;Actuals!S75,'Avoided Costs 2009-2017'!$K:$K)*N75</f>
        <v>0</v>
      </c>
      <c r="W75" s="90">
        <f>SUMIF('Avoided Costs 2009-2017'!$A:$A,Actuals!T75&amp;Actuals!S75,'Avoided Costs 2009-2017'!$M:$M)*R75</f>
        <v>0</v>
      </c>
      <c r="X75" s="90">
        <f t="shared" si="40"/>
        <v>27528.891549188775</v>
      </c>
      <c r="Y75" s="148">
        <v>5000</v>
      </c>
      <c r="Z75" s="149">
        <f t="shared" si="30"/>
        <v>4400</v>
      </c>
      <c r="AA75" s="148"/>
      <c r="AB75" s="145"/>
      <c r="AC75" s="145"/>
      <c r="AD75" s="148">
        <f t="shared" si="31"/>
        <v>4400</v>
      </c>
      <c r="AE75" s="122">
        <f t="shared" si="32"/>
        <v>23128.891549188775</v>
      </c>
      <c r="AF75" s="167">
        <f t="shared" si="33"/>
        <v>122089.96799999999</v>
      </c>
    </row>
    <row r="76" spans="1:32" s="150" customFormat="1" x14ac:dyDescent="0.2">
      <c r="A76" s="144" t="s">
        <v>241</v>
      </c>
      <c r="B76" s="144"/>
      <c r="C76" s="144"/>
      <c r="D76" s="145">
        <v>0</v>
      </c>
      <c r="E76" s="122"/>
      <c r="F76" s="146">
        <v>0.12</v>
      </c>
      <c r="G76" s="146"/>
      <c r="H76" s="122">
        <v>61337</v>
      </c>
      <c r="I76" s="122">
        <f>+H76</f>
        <v>61337</v>
      </c>
      <c r="J76" s="147">
        <f t="shared" si="35"/>
        <v>53976.56</v>
      </c>
      <c r="K76" s="122"/>
      <c r="L76" s="122">
        <v>82115</v>
      </c>
      <c r="M76" s="122">
        <v>409210</v>
      </c>
      <c r="N76" s="122">
        <f t="shared" si="37"/>
        <v>360104.8</v>
      </c>
      <c r="O76" s="122"/>
      <c r="P76" s="122">
        <v>0</v>
      </c>
      <c r="Q76" s="122">
        <f t="shared" si="38"/>
        <v>0</v>
      </c>
      <c r="R76" s="147">
        <f t="shared" si="39"/>
        <v>0</v>
      </c>
      <c r="S76" s="145">
        <v>15</v>
      </c>
      <c r="T76" s="144" t="s">
        <v>213</v>
      </c>
      <c r="U76" s="90">
        <f>SUMIF('Avoided Costs 2009-2017'!$A:$A,Actuals!T76&amp;Actuals!S76,'Avoided Costs 2009-2017'!$E:$E)*J76</f>
        <v>182559.8233965809</v>
      </c>
      <c r="V76" s="90">
        <f>SUMIF('Avoided Costs 2009-2017'!$A:$A,Actuals!T76&amp;Actuals!S76,'Avoided Costs 2009-2017'!$K:$K)*N76</f>
        <v>268829.82011508127</v>
      </c>
      <c r="W76" s="90">
        <f>SUMIF('Avoided Costs 2009-2017'!$A:$A,Actuals!T76&amp;Actuals!S76,'Avoided Costs 2009-2017'!$M:$M)*R76</f>
        <v>0</v>
      </c>
      <c r="X76" s="90">
        <f t="shared" si="40"/>
        <v>451389.64351166214</v>
      </c>
      <c r="Y76" s="148">
        <v>77500</v>
      </c>
      <c r="Z76" s="149">
        <f t="shared" si="30"/>
        <v>68200</v>
      </c>
      <c r="AA76" s="148"/>
      <c r="AB76" s="145"/>
      <c r="AC76" s="145"/>
      <c r="AD76" s="148">
        <f t="shared" si="31"/>
        <v>68200</v>
      </c>
      <c r="AE76" s="122">
        <f t="shared" si="32"/>
        <v>383189.64351166214</v>
      </c>
      <c r="AF76" s="167">
        <f t="shared" si="33"/>
        <v>809648.39999999991</v>
      </c>
    </row>
    <row r="77" spans="1:32" s="150" customFormat="1" x14ac:dyDescent="0.2">
      <c r="A77" s="144" t="s">
        <v>242</v>
      </c>
      <c r="B77" s="144"/>
      <c r="C77" s="144"/>
      <c r="D77" s="145">
        <v>0</v>
      </c>
      <c r="E77" s="122"/>
      <c r="F77" s="146">
        <v>0.12</v>
      </c>
      <c r="G77" s="146"/>
      <c r="H77" s="122">
        <v>22197</v>
      </c>
      <c r="I77" s="122">
        <f>+H77</f>
        <v>22197</v>
      </c>
      <c r="J77" s="147">
        <f t="shared" si="35"/>
        <v>19533.36</v>
      </c>
      <c r="K77" s="122"/>
      <c r="L77" s="122">
        <v>73192</v>
      </c>
      <c r="M77" s="122"/>
      <c r="N77" s="122">
        <f t="shared" si="37"/>
        <v>0</v>
      </c>
      <c r="O77" s="122"/>
      <c r="P77" s="122">
        <v>0</v>
      </c>
      <c r="Q77" s="122">
        <f t="shared" si="38"/>
        <v>0</v>
      </c>
      <c r="R77" s="147">
        <f t="shared" si="39"/>
        <v>0</v>
      </c>
      <c r="S77" s="145">
        <v>15</v>
      </c>
      <c r="T77" s="144" t="s">
        <v>213</v>
      </c>
      <c r="U77" s="90">
        <f>SUMIF('Avoided Costs 2009-2017'!$A:$A,Actuals!T77&amp;Actuals!S77,'Avoided Costs 2009-2017'!$E:$E)*J77</f>
        <v>66065.839541123729</v>
      </c>
      <c r="V77" s="90">
        <f>SUMIF('Avoided Costs 2009-2017'!$A:$A,Actuals!T77&amp;Actuals!S77,'Avoided Costs 2009-2017'!$K:$K)*N77</f>
        <v>0</v>
      </c>
      <c r="W77" s="90">
        <f>SUMIF('Avoided Costs 2009-2017'!$A:$A,Actuals!T77&amp;Actuals!S77,'Avoided Costs 2009-2017'!$M:$M)*R77</f>
        <v>0</v>
      </c>
      <c r="X77" s="90">
        <f t="shared" si="40"/>
        <v>66065.839541123729</v>
      </c>
      <c r="Y77" s="148">
        <v>38696</v>
      </c>
      <c r="Z77" s="149">
        <f t="shared" si="30"/>
        <v>34052.480000000003</v>
      </c>
      <c r="AA77" s="148"/>
      <c r="AB77" s="145"/>
      <c r="AC77" s="145"/>
      <c r="AD77" s="148">
        <f t="shared" si="31"/>
        <v>34052.480000000003</v>
      </c>
      <c r="AE77" s="122">
        <f t="shared" si="32"/>
        <v>32013.359541123726</v>
      </c>
      <c r="AF77" s="167">
        <f t="shared" si="33"/>
        <v>293000.40000000002</v>
      </c>
    </row>
    <row r="78" spans="1:32" s="150" customFormat="1" x14ac:dyDescent="0.2">
      <c r="A78" s="144" t="s">
        <v>243</v>
      </c>
      <c r="B78" s="144"/>
      <c r="C78" s="144"/>
      <c r="D78" s="145">
        <v>0</v>
      </c>
      <c r="E78" s="122"/>
      <c r="F78" s="146">
        <v>0.12</v>
      </c>
      <c r="G78" s="146"/>
      <c r="H78" s="122">
        <v>24613</v>
      </c>
      <c r="I78" s="122">
        <f>+H78</f>
        <v>24613</v>
      </c>
      <c r="J78" s="147">
        <f t="shared" si="35"/>
        <v>21659.439999999999</v>
      </c>
      <c r="K78" s="122"/>
      <c r="L78" s="122">
        <v>0</v>
      </c>
      <c r="M78" s="122"/>
      <c r="N78" s="122">
        <f t="shared" si="37"/>
        <v>0</v>
      </c>
      <c r="O78" s="122"/>
      <c r="P78" s="122">
        <v>0</v>
      </c>
      <c r="Q78" s="122">
        <f t="shared" si="38"/>
        <v>0</v>
      </c>
      <c r="R78" s="147">
        <f t="shared" si="39"/>
        <v>0</v>
      </c>
      <c r="S78" s="145">
        <v>15</v>
      </c>
      <c r="T78" s="144" t="s">
        <v>213</v>
      </c>
      <c r="U78" s="90">
        <f>SUMIF('Avoided Costs 2009-2017'!$A:$A,Actuals!T78&amp;Actuals!S78,'Avoided Costs 2009-2017'!$E:$E)*J78</f>
        <v>73256.679219069163</v>
      </c>
      <c r="V78" s="90">
        <f>SUMIF('Avoided Costs 2009-2017'!$A:$A,Actuals!T78&amp;Actuals!S78,'Avoided Costs 2009-2017'!$K:$K)*N78</f>
        <v>0</v>
      </c>
      <c r="W78" s="90">
        <f>SUMIF('Avoided Costs 2009-2017'!$A:$A,Actuals!T78&amp;Actuals!S78,'Avoided Costs 2009-2017'!$M:$M)*R78</f>
        <v>0</v>
      </c>
      <c r="X78" s="90">
        <f t="shared" si="40"/>
        <v>73256.679219069163</v>
      </c>
      <c r="Y78" s="148">
        <v>93882</v>
      </c>
      <c r="Z78" s="149">
        <f t="shared" si="30"/>
        <v>82616.160000000003</v>
      </c>
      <c r="AA78" s="148"/>
      <c r="AB78" s="145"/>
      <c r="AC78" s="145"/>
      <c r="AD78" s="148">
        <f t="shared" si="31"/>
        <v>82616.160000000003</v>
      </c>
      <c r="AE78" s="122">
        <f t="shared" si="32"/>
        <v>-9359.4807809308404</v>
      </c>
      <c r="AF78" s="167">
        <f t="shared" si="33"/>
        <v>324891.59999999998</v>
      </c>
    </row>
    <row r="79" spans="1:32" s="150" customFormat="1" x14ac:dyDescent="0.2">
      <c r="A79" s="144" t="s">
        <v>244</v>
      </c>
      <c r="B79" s="144"/>
      <c r="C79" s="144"/>
      <c r="D79" s="145">
        <v>1</v>
      </c>
      <c r="E79" s="122"/>
      <c r="F79" s="146">
        <v>0.12</v>
      </c>
      <c r="G79" s="146"/>
      <c r="H79" s="122">
        <v>61532</v>
      </c>
      <c r="I79" s="122">
        <f>+H79</f>
        <v>61532</v>
      </c>
      <c r="J79" s="147">
        <f t="shared" si="35"/>
        <v>54148.160000000003</v>
      </c>
      <c r="K79" s="122"/>
      <c r="L79" s="122">
        <v>564228</v>
      </c>
      <c r="M79" s="122"/>
      <c r="N79" s="122">
        <f t="shared" si="37"/>
        <v>0</v>
      </c>
      <c r="O79" s="122"/>
      <c r="P79" s="122">
        <v>0</v>
      </c>
      <c r="Q79" s="122">
        <f t="shared" si="38"/>
        <v>0</v>
      </c>
      <c r="R79" s="147">
        <f t="shared" si="39"/>
        <v>0</v>
      </c>
      <c r="S79" s="145">
        <v>15</v>
      </c>
      <c r="T79" s="144" t="s">
        <v>213</v>
      </c>
      <c r="U79" s="90">
        <f>SUMIF('Avoided Costs 2009-2017'!$A:$A,Actuals!T79&amp;Actuals!S79,'Avoided Costs 2009-2017'!$E:$E)*J79</f>
        <v>183140.2098772098</v>
      </c>
      <c r="V79" s="90">
        <f>SUMIF('Avoided Costs 2009-2017'!$A:$A,Actuals!T79&amp;Actuals!S79,'Avoided Costs 2009-2017'!$K:$K)*N79</f>
        <v>0</v>
      </c>
      <c r="W79" s="90">
        <f>SUMIF('Avoided Costs 2009-2017'!$A:$A,Actuals!T79&amp;Actuals!S79,'Avoided Costs 2009-2017'!$M:$M)*R79</f>
        <v>0</v>
      </c>
      <c r="X79" s="90">
        <f t="shared" si="40"/>
        <v>183140.2098772098</v>
      </c>
      <c r="Y79" s="148">
        <v>139700</v>
      </c>
      <c r="Z79" s="149">
        <f t="shared" si="30"/>
        <v>122936</v>
      </c>
      <c r="AA79" s="148"/>
      <c r="AB79" s="145"/>
      <c r="AC79" s="145"/>
      <c r="AD79" s="148">
        <f t="shared" si="31"/>
        <v>122936</v>
      </c>
      <c r="AE79" s="122">
        <f t="shared" si="32"/>
        <v>60204.209877209796</v>
      </c>
      <c r="AF79" s="167">
        <f t="shared" si="33"/>
        <v>812222.4</v>
      </c>
    </row>
    <row r="80" spans="1:32" s="150" customFormat="1" x14ac:dyDescent="0.2">
      <c r="A80" s="144" t="s">
        <v>245</v>
      </c>
      <c r="B80" s="144"/>
      <c r="C80" s="144"/>
      <c r="D80" s="145">
        <v>1</v>
      </c>
      <c r="E80" s="122"/>
      <c r="F80" s="146">
        <v>0.12</v>
      </c>
      <c r="G80" s="146"/>
      <c r="H80" s="122">
        <v>9868</v>
      </c>
      <c r="I80" s="122">
        <f t="shared" si="34"/>
        <v>9552.2240000000002</v>
      </c>
      <c r="J80" s="147">
        <f t="shared" si="35"/>
        <v>8405.9571200000009</v>
      </c>
      <c r="K80" s="122"/>
      <c r="L80" s="122">
        <v>0</v>
      </c>
      <c r="M80" s="122">
        <f t="shared" si="36"/>
        <v>0</v>
      </c>
      <c r="N80" s="122">
        <f t="shared" si="37"/>
        <v>0</v>
      </c>
      <c r="O80" s="122"/>
      <c r="P80" s="122">
        <v>0</v>
      </c>
      <c r="Q80" s="122">
        <f t="shared" si="38"/>
        <v>0</v>
      </c>
      <c r="R80" s="147">
        <f t="shared" si="39"/>
        <v>0</v>
      </c>
      <c r="S80" s="145">
        <v>15</v>
      </c>
      <c r="T80" s="144" t="s">
        <v>213</v>
      </c>
      <c r="U80" s="90">
        <f>SUMIF('Avoided Costs 2009-2017'!$A:$A,Actuals!T80&amp;Actuals!S80,'Avoided Costs 2009-2017'!$E:$E)*J80</f>
        <v>28430.675228403441</v>
      </c>
      <c r="V80" s="90">
        <f>SUMIF('Avoided Costs 2009-2017'!$A:$A,Actuals!T80&amp;Actuals!S80,'Avoided Costs 2009-2017'!$K:$K)*N80</f>
        <v>0</v>
      </c>
      <c r="W80" s="90">
        <f>SUMIF('Avoided Costs 2009-2017'!$A:$A,Actuals!T80&amp;Actuals!S80,'Avoided Costs 2009-2017'!$M:$M)*R80</f>
        <v>0</v>
      </c>
      <c r="X80" s="90">
        <f t="shared" si="40"/>
        <v>28430.675228403441</v>
      </c>
      <c r="Y80" s="148">
        <v>10650</v>
      </c>
      <c r="Z80" s="149">
        <f t="shared" si="30"/>
        <v>9372</v>
      </c>
      <c r="AA80" s="148"/>
      <c r="AB80" s="145"/>
      <c r="AC80" s="145"/>
      <c r="AD80" s="148">
        <f t="shared" si="31"/>
        <v>9372</v>
      </c>
      <c r="AE80" s="122">
        <f t="shared" si="32"/>
        <v>19058.675228403441</v>
      </c>
      <c r="AF80" s="167">
        <f t="shared" si="33"/>
        <v>126089.35680000001</v>
      </c>
    </row>
    <row r="81" spans="1:32" s="4" customFormat="1" x14ac:dyDescent="0.2">
      <c r="A81" s="152" t="s">
        <v>200</v>
      </c>
      <c r="B81" s="152" t="s">
        <v>509</v>
      </c>
      <c r="C81" s="152"/>
      <c r="D81" s="153">
        <f>SUM(D69:D80)</f>
        <v>7</v>
      </c>
      <c r="E81" s="147"/>
      <c r="F81" s="154"/>
      <c r="G81" s="155"/>
      <c r="H81" s="237">
        <f>SUM(H69:H80)</f>
        <v>705270</v>
      </c>
      <c r="I81" s="237">
        <f>SUM(I69:I80)</f>
        <v>688131.08799999999</v>
      </c>
      <c r="J81" s="237">
        <f>SUM(J69:J80)</f>
        <v>605555.35744000005</v>
      </c>
      <c r="K81" s="147"/>
      <c r="L81" s="237">
        <f>SUM(L69:L80)</f>
        <v>890053</v>
      </c>
      <c r="M81" s="237">
        <f>SUM(M69:M80)</f>
        <v>562505.68200000003</v>
      </c>
      <c r="N81" s="237">
        <f>SUM(N69:N80)</f>
        <v>495005.00016</v>
      </c>
      <c r="O81" s="156"/>
      <c r="P81" s="237">
        <f>SUM(P69:P80)</f>
        <v>0</v>
      </c>
      <c r="Q81" s="237">
        <f>SUM(Q69:Q80)</f>
        <v>0</v>
      </c>
      <c r="R81" s="237">
        <f>SUM(R69:R80)</f>
        <v>0</v>
      </c>
      <c r="S81" s="153"/>
      <c r="T81" s="152"/>
      <c r="U81" s="238">
        <f>SUM(U69:U80)</f>
        <v>1922653.5143888555</v>
      </c>
      <c r="V81" s="238">
        <f>SUM(V69:V80)</f>
        <v>369537.16015192959</v>
      </c>
      <c r="W81" s="238">
        <f>SUM(W69:W80)</f>
        <v>0</v>
      </c>
      <c r="X81" s="238">
        <f>SUM(X69:X80)</f>
        <v>2292190.6745407856</v>
      </c>
      <c r="Y81" s="157"/>
      <c r="Z81" s="238">
        <f>SUM(Z69:Z80)</f>
        <v>690039.67999999993</v>
      </c>
      <c r="AA81" s="148">
        <v>54715</v>
      </c>
      <c r="AB81" s="148">
        <v>18547.009999999998</v>
      </c>
      <c r="AC81" s="149">
        <f>AB81+AA81</f>
        <v>73262.009999999995</v>
      </c>
      <c r="AD81" s="149">
        <f t="shared" si="31"/>
        <v>708586.69</v>
      </c>
      <c r="AE81" s="158">
        <f t="shared" si="32"/>
        <v>1583603.9845407857</v>
      </c>
      <c r="AF81" s="168">
        <f>SUM(AF69:AF80)</f>
        <v>8223305.8828800013</v>
      </c>
    </row>
    <row r="82" spans="1:32" x14ac:dyDescent="0.2">
      <c r="A82" s="134"/>
      <c r="K82" s="51"/>
      <c r="L82" s="51"/>
      <c r="O82" s="92"/>
      <c r="P82" s="36"/>
      <c r="R82" s="26"/>
      <c r="S82" s="26"/>
      <c r="Z82" s="53"/>
      <c r="AA82" s="63"/>
      <c r="AC82" s="53"/>
      <c r="AD82" s="53"/>
      <c r="AE82" s="53"/>
      <c r="AF82" s="166"/>
    </row>
    <row r="83" spans="1:32" x14ac:dyDescent="0.2">
      <c r="A83" s="134" t="s">
        <v>1155</v>
      </c>
      <c r="B83" s="30" t="s">
        <v>1156</v>
      </c>
      <c r="K83" s="51"/>
      <c r="L83" s="51"/>
      <c r="O83" s="92"/>
      <c r="P83" s="36"/>
      <c r="R83" s="26"/>
      <c r="S83" s="26"/>
      <c r="Z83" s="53"/>
      <c r="AA83" s="63"/>
      <c r="AC83" s="53"/>
      <c r="AD83" s="53"/>
      <c r="AE83" s="53"/>
      <c r="AF83" s="166"/>
    </row>
    <row r="84" spans="1:32" s="150" customFormat="1" x14ac:dyDescent="0.2">
      <c r="A84" s="144" t="s">
        <v>882</v>
      </c>
      <c r="B84" s="144"/>
      <c r="C84" s="144"/>
      <c r="D84" s="145">
        <v>1</v>
      </c>
      <c r="E84" s="122"/>
      <c r="F84" s="146">
        <v>0.12</v>
      </c>
      <c r="G84" s="146"/>
      <c r="H84" s="122">
        <v>50106</v>
      </c>
      <c r="I84" s="122">
        <f t="shared" ref="I84:I137" si="41">+$H$68*H84</f>
        <v>48502.608</v>
      </c>
      <c r="J84" s="147">
        <f t="shared" ref="J84:J137" si="42">I84*(1-F84)</f>
        <v>42682.295039999997</v>
      </c>
      <c r="K84" s="122"/>
      <c r="L84" s="122">
        <v>0</v>
      </c>
      <c r="M84" s="122">
        <f t="shared" ref="M84:M137" si="43">+$L$68*L84</f>
        <v>0</v>
      </c>
      <c r="N84" s="122">
        <f t="shared" ref="N84:N137" si="44">M84*(1-F84)</f>
        <v>0</v>
      </c>
      <c r="O84" s="122"/>
      <c r="P84" s="122">
        <v>0</v>
      </c>
      <c r="Q84" s="122">
        <f t="shared" ref="Q84:Q137" si="45">+P84*$P$68</f>
        <v>0</v>
      </c>
      <c r="R84" s="147">
        <f t="shared" ref="R84:R137" si="46">Q84*(1-F84)</f>
        <v>0</v>
      </c>
      <c r="S84" s="145">
        <v>11</v>
      </c>
      <c r="T84" s="144" t="s">
        <v>213</v>
      </c>
      <c r="U84" s="90">
        <f>SUMIF('Avoided Costs 2009-2017'!$A:$A,Actuals!T84&amp;Actuals!S84,'Avoided Costs 2009-2017'!$E:$E)*J84</f>
        <v>119454.55578613351</v>
      </c>
      <c r="V84" s="90">
        <f>SUMIF('Avoided Costs 2009-2017'!$A:$A,Actuals!T84&amp;Actuals!S84,'Avoided Costs 2009-2017'!$K:$K)*N84</f>
        <v>0</v>
      </c>
      <c r="W84" s="90">
        <f>SUMIF('Avoided Costs 2009-2017'!$A:$A,Actuals!T84&amp;Actuals!S84,'Avoided Costs 2009-2017'!$M:$M)*R84</f>
        <v>0</v>
      </c>
      <c r="X84" s="90">
        <f t="shared" ref="X84:X137" si="47">SUM(U84:W84)</f>
        <v>119454.55578613351</v>
      </c>
      <c r="Y84" s="148">
        <v>26670</v>
      </c>
      <c r="Z84" s="149">
        <f t="shared" ref="Z84:Z137" si="48">Y84*(1-F84)</f>
        <v>23469.599999999999</v>
      </c>
      <c r="AA84" s="148"/>
      <c r="AB84" s="145"/>
      <c r="AC84" s="145"/>
      <c r="AD84" s="148">
        <f t="shared" ref="AD84:AD115" si="49">Z84+AB84</f>
        <v>23469.599999999999</v>
      </c>
      <c r="AE84" s="122">
        <f t="shared" ref="AE84:AE115" si="50">X84-AD84</f>
        <v>95984.955786133505</v>
      </c>
      <c r="AF84" s="167">
        <f t="shared" ref="AF84:AF137" si="51">J84*S84</f>
        <v>469505.24543999997</v>
      </c>
    </row>
    <row r="85" spans="1:32" s="150" customFormat="1" x14ac:dyDescent="0.2">
      <c r="A85" s="144" t="s">
        <v>883</v>
      </c>
      <c r="B85" s="144"/>
      <c r="C85" s="144"/>
      <c r="D85" s="145">
        <v>0</v>
      </c>
      <c r="E85" s="122"/>
      <c r="F85" s="146">
        <v>0.12</v>
      </c>
      <c r="G85" s="146"/>
      <c r="H85" s="122">
        <v>18336</v>
      </c>
      <c r="I85" s="122">
        <v>0</v>
      </c>
      <c r="J85" s="147">
        <f t="shared" si="42"/>
        <v>0</v>
      </c>
      <c r="K85" s="122"/>
      <c r="L85" s="122">
        <v>43566</v>
      </c>
      <c r="M85" s="122">
        <v>0</v>
      </c>
      <c r="N85" s="122">
        <f t="shared" si="44"/>
        <v>0</v>
      </c>
      <c r="O85" s="122"/>
      <c r="P85" s="122">
        <v>0</v>
      </c>
      <c r="Q85" s="122">
        <f t="shared" si="45"/>
        <v>0</v>
      </c>
      <c r="R85" s="147">
        <f t="shared" si="46"/>
        <v>0</v>
      </c>
      <c r="S85" s="145">
        <v>15</v>
      </c>
      <c r="T85" s="144" t="s">
        <v>213</v>
      </c>
      <c r="U85" s="90">
        <f>SUMIF('Avoided Costs 2009-2017'!$A:$A,Actuals!T85&amp;Actuals!S85,'Avoided Costs 2009-2017'!$E:$E)*J85</f>
        <v>0</v>
      </c>
      <c r="V85" s="90">
        <f>SUMIF('Avoided Costs 2009-2017'!$A:$A,Actuals!T85&amp;Actuals!S85,'Avoided Costs 2009-2017'!$K:$K)*N85</f>
        <v>0</v>
      </c>
      <c r="W85" s="90">
        <f>SUMIF('Avoided Costs 2009-2017'!$A:$A,Actuals!T85&amp;Actuals!S85,'Avoided Costs 2009-2017'!$M:$M)*R85</f>
        <v>0</v>
      </c>
      <c r="X85" s="90">
        <f t="shared" si="47"/>
        <v>0</v>
      </c>
      <c r="Y85" s="148">
        <v>19000</v>
      </c>
      <c r="Z85" s="149">
        <f t="shared" si="48"/>
        <v>16720</v>
      </c>
      <c r="AA85" s="148"/>
      <c r="AB85" s="145"/>
      <c r="AC85" s="145"/>
      <c r="AD85" s="148">
        <f t="shared" si="49"/>
        <v>16720</v>
      </c>
      <c r="AE85" s="122">
        <f t="shared" si="50"/>
        <v>-16720</v>
      </c>
      <c r="AF85" s="167">
        <f t="shared" si="51"/>
        <v>0</v>
      </c>
    </row>
    <row r="86" spans="1:32" s="150" customFormat="1" x14ac:dyDescent="0.2">
      <c r="A86" s="144" t="s">
        <v>884</v>
      </c>
      <c r="B86" s="144"/>
      <c r="C86" s="144"/>
      <c r="D86" s="145">
        <v>1</v>
      </c>
      <c r="E86" s="122"/>
      <c r="F86" s="146">
        <v>0.12</v>
      </c>
      <c r="G86" s="146"/>
      <c r="H86" s="122">
        <v>60324</v>
      </c>
      <c r="I86" s="122">
        <f>+H86</f>
        <v>60324</v>
      </c>
      <c r="J86" s="147">
        <f t="shared" si="42"/>
        <v>53085.120000000003</v>
      </c>
      <c r="K86" s="122"/>
      <c r="L86" s="122">
        <v>0</v>
      </c>
      <c r="M86" s="122">
        <f t="shared" si="43"/>
        <v>0</v>
      </c>
      <c r="N86" s="122">
        <f t="shared" si="44"/>
        <v>0</v>
      </c>
      <c r="O86" s="122"/>
      <c r="P86" s="122">
        <v>0</v>
      </c>
      <c r="Q86" s="122">
        <f t="shared" si="45"/>
        <v>0</v>
      </c>
      <c r="R86" s="147">
        <f t="shared" si="46"/>
        <v>0</v>
      </c>
      <c r="S86" s="145">
        <v>11</v>
      </c>
      <c r="T86" s="144" t="s">
        <v>213</v>
      </c>
      <c r="U86" s="90">
        <f>SUMIF('Avoided Costs 2009-2017'!$A:$A,Actuals!T86&amp;Actuals!S86,'Avoided Costs 2009-2017'!$E:$E)*J86</f>
        <v>148568.84857083808</v>
      </c>
      <c r="V86" s="90">
        <f>SUMIF('Avoided Costs 2009-2017'!$A:$A,Actuals!T86&amp;Actuals!S86,'Avoided Costs 2009-2017'!$K:$K)*N86</f>
        <v>0</v>
      </c>
      <c r="W86" s="90">
        <f>SUMIF('Avoided Costs 2009-2017'!$A:$A,Actuals!T86&amp;Actuals!S86,'Avoided Costs 2009-2017'!$M:$M)*R86</f>
        <v>0</v>
      </c>
      <c r="X86" s="90">
        <f t="shared" si="47"/>
        <v>148568.84857083808</v>
      </c>
      <c r="Y86" s="148">
        <v>53160</v>
      </c>
      <c r="Z86" s="149">
        <f t="shared" si="48"/>
        <v>46780.800000000003</v>
      </c>
      <c r="AA86" s="148"/>
      <c r="AB86" s="145"/>
      <c r="AC86" s="145"/>
      <c r="AD86" s="148">
        <f t="shared" si="49"/>
        <v>46780.800000000003</v>
      </c>
      <c r="AE86" s="122">
        <f t="shared" si="50"/>
        <v>101788.04857083807</v>
      </c>
      <c r="AF86" s="167">
        <f t="shared" si="51"/>
        <v>583936.32000000007</v>
      </c>
    </row>
    <row r="87" spans="1:32" s="150" customFormat="1" x14ac:dyDescent="0.2">
      <c r="A87" s="144" t="s">
        <v>885</v>
      </c>
      <c r="B87" s="144"/>
      <c r="C87" s="144"/>
      <c r="D87" s="145">
        <v>0</v>
      </c>
      <c r="E87" s="122"/>
      <c r="F87" s="146">
        <v>0.12</v>
      </c>
      <c r="G87" s="146"/>
      <c r="H87" s="122">
        <v>12087</v>
      </c>
      <c r="I87" s="122">
        <f t="shared" si="41"/>
        <v>11700.216</v>
      </c>
      <c r="J87" s="147">
        <f t="shared" si="42"/>
        <v>10296.19008</v>
      </c>
      <c r="K87" s="122"/>
      <c r="L87" s="122">
        <v>0</v>
      </c>
      <c r="M87" s="122">
        <f t="shared" si="43"/>
        <v>0</v>
      </c>
      <c r="N87" s="122">
        <f t="shared" si="44"/>
        <v>0</v>
      </c>
      <c r="O87" s="122"/>
      <c r="P87" s="122">
        <v>0</v>
      </c>
      <c r="Q87" s="122">
        <f t="shared" si="45"/>
        <v>0</v>
      </c>
      <c r="R87" s="147">
        <f t="shared" si="46"/>
        <v>0</v>
      </c>
      <c r="S87" s="145">
        <v>8</v>
      </c>
      <c r="T87" s="144" t="s">
        <v>1176</v>
      </c>
      <c r="U87" s="90">
        <f>SUMIF('Avoided Costs 2009-2017'!$A:$A,Actuals!T87&amp;Actuals!S87,'Avoided Costs 2009-2017'!$E:$E)*J87</f>
        <v>21094.870059294288</v>
      </c>
      <c r="V87" s="90">
        <f>SUMIF('Avoided Costs 2009-2017'!$A:$A,Actuals!T87&amp;Actuals!S87,'Avoided Costs 2009-2017'!$K:$K)*N87</f>
        <v>0</v>
      </c>
      <c r="W87" s="90">
        <f>SUMIF('Avoided Costs 2009-2017'!$A:$A,Actuals!T87&amp;Actuals!S87,'Avoided Costs 2009-2017'!$M:$M)*R87</f>
        <v>0</v>
      </c>
      <c r="X87" s="90">
        <f t="shared" si="47"/>
        <v>21094.870059294288</v>
      </c>
      <c r="Y87" s="148">
        <v>19057</v>
      </c>
      <c r="Z87" s="149">
        <f t="shared" si="48"/>
        <v>16770.16</v>
      </c>
      <c r="AA87" s="148"/>
      <c r="AB87" s="145"/>
      <c r="AC87" s="145"/>
      <c r="AD87" s="148">
        <f t="shared" si="49"/>
        <v>16770.16</v>
      </c>
      <c r="AE87" s="122">
        <f t="shared" si="50"/>
        <v>4324.7100592942879</v>
      </c>
      <c r="AF87" s="167">
        <f t="shared" si="51"/>
        <v>82369.520640000002</v>
      </c>
    </row>
    <row r="88" spans="1:32" s="150" customFormat="1" x14ac:dyDescent="0.2">
      <c r="A88" s="144" t="s">
        <v>886</v>
      </c>
      <c r="B88" s="144"/>
      <c r="C88" s="144"/>
      <c r="D88" s="145">
        <v>0</v>
      </c>
      <c r="E88" s="122"/>
      <c r="F88" s="146">
        <v>0.12</v>
      </c>
      <c r="G88" s="146"/>
      <c r="H88" s="122">
        <v>11102</v>
      </c>
      <c r="I88" s="122">
        <f t="shared" si="41"/>
        <v>10746.735999999999</v>
      </c>
      <c r="J88" s="147">
        <f t="shared" si="42"/>
        <v>9457.1276799999996</v>
      </c>
      <c r="K88" s="122"/>
      <c r="L88" s="122">
        <v>0</v>
      </c>
      <c r="M88" s="122">
        <f t="shared" si="43"/>
        <v>0</v>
      </c>
      <c r="N88" s="122">
        <f t="shared" si="44"/>
        <v>0</v>
      </c>
      <c r="O88" s="122"/>
      <c r="P88" s="122">
        <v>0</v>
      </c>
      <c r="Q88" s="122">
        <f t="shared" si="45"/>
        <v>0</v>
      </c>
      <c r="R88" s="147">
        <f t="shared" si="46"/>
        <v>0</v>
      </c>
      <c r="S88" s="145">
        <v>15</v>
      </c>
      <c r="T88" s="144" t="s">
        <v>213</v>
      </c>
      <c r="U88" s="90">
        <f>SUMIF('Avoided Costs 2009-2017'!$A:$A,Actuals!T88&amp;Actuals!S88,'Avoided Costs 2009-2017'!$E:$E)*J88</f>
        <v>31985.950180962194</v>
      </c>
      <c r="V88" s="90">
        <f>SUMIF('Avoided Costs 2009-2017'!$A:$A,Actuals!T88&amp;Actuals!S88,'Avoided Costs 2009-2017'!$K:$K)*N88</f>
        <v>0</v>
      </c>
      <c r="W88" s="90">
        <f>SUMIF('Avoided Costs 2009-2017'!$A:$A,Actuals!T88&amp;Actuals!S88,'Avoided Costs 2009-2017'!$M:$M)*R88</f>
        <v>0</v>
      </c>
      <c r="X88" s="90">
        <f t="shared" si="47"/>
        <v>31985.950180962194</v>
      </c>
      <c r="Y88" s="148">
        <v>17680</v>
      </c>
      <c r="Z88" s="149">
        <f t="shared" si="48"/>
        <v>15558.4</v>
      </c>
      <c r="AA88" s="148"/>
      <c r="AB88" s="145"/>
      <c r="AC88" s="145"/>
      <c r="AD88" s="148">
        <f t="shared" si="49"/>
        <v>15558.4</v>
      </c>
      <c r="AE88" s="122">
        <f t="shared" si="50"/>
        <v>16427.550180962193</v>
      </c>
      <c r="AF88" s="167">
        <f t="shared" si="51"/>
        <v>141856.91519999999</v>
      </c>
    </row>
    <row r="89" spans="1:32" s="150" customFormat="1" x14ac:dyDescent="0.2">
      <c r="A89" s="144" t="s">
        <v>887</v>
      </c>
      <c r="B89" s="144"/>
      <c r="C89" s="144"/>
      <c r="D89" s="145">
        <v>1</v>
      </c>
      <c r="E89" s="122"/>
      <c r="F89" s="146">
        <v>0.12</v>
      </c>
      <c r="G89" s="146"/>
      <c r="H89" s="122">
        <v>86042</v>
      </c>
      <c r="I89" s="122">
        <f t="shared" si="41"/>
        <v>83288.656000000003</v>
      </c>
      <c r="J89" s="147">
        <f t="shared" si="42"/>
        <v>73294.01728</v>
      </c>
      <c r="K89" s="122"/>
      <c r="L89" s="122">
        <v>0</v>
      </c>
      <c r="M89" s="122">
        <f t="shared" si="43"/>
        <v>0</v>
      </c>
      <c r="N89" s="122">
        <f t="shared" si="44"/>
        <v>0</v>
      </c>
      <c r="O89" s="122"/>
      <c r="P89" s="122">
        <v>0</v>
      </c>
      <c r="Q89" s="122">
        <f t="shared" si="45"/>
        <v>0</v>
      </c>
      <c r="R89" s="147">
        <f t="shared" si="46"/>
        <v>0</v>
      </c>
      <c r="S89" s="145">
        <v>11</v>
      </c>
      <c r="T89" s="144" t="s">
        <v>213</v>
      </c>
      <c r="U89" s="90">
        <f>SUMIF('Avoided Costs 2009-2017'!$A:$A,Actuals!T89&amp;Actuals!S89,'Avoided Costs 2009-2017'!$E:$E)*J89</f>
        <v>205127.30788629106</v>
      </c>
      <c r="V89" s="90">
        <f>SUMIF('Avoided Costs 2009-2017'!$A:$A,Actuals!T89&amp;Actuals!S89,'Avoided Costs 2009-2017'!$K:$K)*N89</f>
        <v>0</v>
      </c>
      <c r="W89" s="90">
        <f>SUMIF('Avoided Costs 2009-2017'!$A:$A,Actuals!T89&amp;Actuals!S89,'Avoided Costs 2009-2017'!$M:$M)*R89</f>
        <v>0</v>
      </c>
      <c r="X89" s="90">
        <f t="shared" si="47"/>
        <v>205127.30788629106</v>
      </c>
      <c r="Y89" s="148">
        <v>83010</v>
      </c>
      <c r="Z89" s="149">
        <f t="shared" si="48"/>
        <v>73048.800000000003</v>
      </c>
      <c r="AA89" s="148"/>
      <c r="AB89" s="145"/>
      <c r="AC89" s="145"/>
      <c r="AD89" s="148">
        <f t="shared" si="49"/>
        <v>73048.800000000003</v>
      </c>
      <c r="AE89" s="122">
        <f t="shared" si="50"/>
        <v>132078.50788629107</v>
      </c>
      <c r="AF89" s="167">
        <f t="shared" si="51"/>
        <v>806234.19007999997</v>
      </c>
    </row>
    <row r="90" spans="1:32" s="150" customFormat="1" x14ac:dyDescent="0.2">
      <c r="A90" s="144" t="s">
        <v>888</v>
      </c>
      <c r="B90" s="144"/>
      <c r="C90" s="144"/>
      <c r="D90" s="145">
        <v>1</v>
      </c>
      <c r="E90" s="122"/>
      <c r="F90" s="146">
        <v>0.12</v>
      </c>
      <c r="G90" s="146"/>
      <c r="H90" s="122">
        <v>7385</v>
      </c>
      <c r="I90" s="122">
        <f t="shared" si="41"/>
        <v>7148.6799999999994</v>
      </c>
      <c r="J90" s="147">
        <f t="shared" si="42"/>
        <v>6290.8383999999996</v>
      </c>
      <c r="K90" s="122"/>
      <c r="L90" s="122">
        <v>483</v>
      </c>
      <c r="M90" s="122">
        <f t="shared" si="43"/>
        <v>434.21699999999998</v>
      </c>
      <c r="N90" s="122">
        <f t="shared" si="44"/>
        <v>382.11095999999998</v>
      </c>
      <c r="O90" s="122"/>
      <c r="P90" s="122">
        <v>0</v>
      </c>
      <c r="Q90" s="122">
        <f t="shared" si="45"/>
        <v>0</v>
      </c>
      <c r="R90" s="147">
        <f t="shared" si="46"/>
        <v>0</v>
      </c>
      <c r="S90" s="145">
        <v>15</v>
      </c>
      <c r="T90" s="144" t="s">
        <v>213</v>
      </c>
      <c r="U90" s="90">
        <f>SUMIF('Avoided Costs 2009-2017'!$A:$A,Actuals!T90&amp;Actuals!S90,'Avoided Costs 2009-2017'!$E:$E)*J90</f>
        <v>21276.908853036013</v>
      </c>
      <c r="V90" s="90">
        <f>SUMIF('Avoided Costs 2009-2017'!$A:$A,Actuals!T90&amp;Actuals!S90,'Avoided Costs 2009-2017'!$K:$K)*N90</f>
        <v>285.25812663647082</v>
      </c>
      <c r="W90" s="90">
        <f>SUMIF('Avoided Costs 2009-2017'!$A:$A,Actuals!T90&amp;Actuals!S90,'Avoided Costs 2009-2017'!$M:$M)*R90</f>
        <v>0</v>
      </c>
      <c r="X90" s="90">
        <f t="shared" si="47"/>
        <v>21562.166979672485</v>
      </c>
      <c r="Y90" s="148">
        <v>12960</v>
      </c>
      <c r="Z90" s="149">
        <f t="shared" si="48"/>
        <v>11404.8</v>
      </c>
      <c r="AA90" s="148"/>
      <c r="AB90" s="145"/>
      <c r="AC90" s="145"/>
      <c r="AD90" s="148">
        <f t="shared" si="49"/>
        <v>11404.8</v>
      </c>
      <c r="AE90" s="122">
        <f t="shared" si="50"/>
        <v>10157.366979672486</v>
      </c>
      <c r="AF90" s="167">
        <f t="shared" si="51"/>
        <v>94362.576000000001</v>
      </c>
    </row>
    <row r="91" spans="1:32" s="150" customFormat="1" x14ac:dyDescent="0.2">
      <c r="A91" s="144" t="s">
        <v>889</v>
      </c>
      <c r="B91" s="144"/>
      <c r="C91" s="144"/>
      <c r="D91" s="145">
        <v>1</v>
      </c>
      <c r="E91" s="122"/>
      <c r="F91" s="146">
        <v>0.12</v>
      </c>
      <c r="G91" s="146"/>
      <c r="H91" s="122">
        <v>28381</v>
      </c>
      <c r="I91" s="122">
        <f t="shared" si="41"/>
        <v>27472.808000000001</v>
      </c>
      <c r="J91" s="147">
        <f t="shared" si="42"/>
        <v>24176.071040000003</v>
      </c>
      <c r="K91" s="122"/>
      <c r="L91" s="122">
        <v>0</v>
      </c>
      <c r="M91" s="122">
        <f t="shared" si="43"/>
        <v>0</v>
      </c>
      <c r="N91" s="122">
        <f t="shared" si="44"/>
        <v>0</v>
      </c>
      <c r="O91" s="122"/>
      <c r="P91" s="122">
        <v>0</v>
      </c>
      <c r="Q91" s="122">
        <f t="shared" si="45"/>
        <v>0</v>
      </c>
      <c r="R91" s="147">
        <f t="shared" si="46"/>
        <v>0</v>
      </c>
      <c r="S91" s="145">
        <v>11</v>
      </c>
      <c r="T91" s="144" t="s">
        <v>213</v>
      </c>
      <c r="U91" s="90">
        <f>SUMIF('Avoided Costs 2009-2017'!$A:$A,Actuals!T91&amp;Actuals!S91,'Avoided Costs 2009-2017'!$E:$E)*J91</f>
        <v>67661.352887204252</v>
      </c>
      <c r="V91" s="90">
        <f>SUMIF('Avoided Costs 2009-2017'!$A:$A,Actuals!T91&amp;Actuals!S91,'Avoided Costs 2009-2017'!$K:$K)*N91</f>
        <v>0</v>
      </c>
      <c r="W91" s="90">
        <f>SUMIF('Avoided Costs 2009-2017'!$A:$A,Actuals!T91&amp;Actuals!S91,'Avoided Costs 2009-2017'!$M:$M)*R91</f>
        <v>0</v>
      </c>
      <c r="X91" s="90">
        <f t="shared" si="47"/>
        <v>67661.352887204252</v>
      </c>
      <c r="Y91" s="148">
        <v>65720</v>
      </c>
      <c r="Z91" s="149">
        <f t="shared" si="48"/>
        <v>57833.599999999999</v>
      </c>
      <c r="AA91" s="148"/>
      <c r="AB91" s="145"/>
      <c r="AC91" s="145"/>
      <c r="AD91" s="148">
        <f t="shared" si="49"/>
        <v>57833.599999999999</v>
      </c>
      <c r="AE91" s="122">
        <f t="shared" si="50"/>
        <v>9827.7528872042531</v>
      </c>
      <c r="AF91" s="167">
        <f t="shared" si="51"/>
        <v>265936.78144000005</v>
      </c>
    </row>
    <row r="92" spans="1:32" s="150" customFormat="1" x14ac:dyDescent="0.2">
      <c r="A92" s="144" t="s">
        <v>890</v>
      </c>
      <c r="B92" s="144"/>
      <c r="C92" s="144"/>
      <c r="D92" s="145">
        <v>1</v>
      </c>
      <c r="E92" s="122"/>
      <c r="F92" s="146">
        <v>0.12</v>
      </c>
      <c r="G92" s="146"/>
      <c r="H92" s="122">
        <v>12418</v>
      </c>
      <c r="I92" s="122">
        <f t="shared" si="41"/>
        <v>12020.624</v>
      </c>
      <c r="J92" s="147">
        <f t="shared" si="42"/>
        <v>10578.14912</v>
      </c>
      <c r="K92" s="122"/>
      <c r="L92" s="122">
        <v>-13862</v>
      </c>
      <c r="M92" s="122">
        <f t="shared" si="43"/>
        <v>-12461.938</v>
      </c>
      <c r="N92" s="122">
        <f t="shared" si="44"/>
        <v>-10966.505440000001</v>
      </c>
      <c r="O92" s="122"/>
      <c r="P92" s="122">
        <v>0</v>
      </c>
      <c r="Q92" s="122">
        <f t="shared" si="45"/>
        <v>0</v>
      </c>
      <c r="R92" s="147">
        <f t="shared" si="46"/>
        <v>0</v>
      </c>
      <c r="S92" s="145">
        <v>15</v>
      </c>
      <c r="T92" s="144" t="s">
        <v>213</v>
      </c>
      <c r="U92" s="90">
        <f>SUMIF('Avoided Costs 2009-2017'!$A:$A,Actuals!T92&amp;Actuals!S92,'Avoided Costs 2009-2017'!$E:$E)*J92</f>
        <v>35777.475170887097</v>
      </c>
      <c r="V92" s="90">
        <f>SUMIF('Avoided Costs 2009-2017'!$A:$A,Actuals!T92&amp;Actuals!S92,'Avoided Costs 2009-2017'!$K:$K)*N92</f>
        <v>-8186.8491748131664</v>
      </c>
      <c r="W92" s="90">
        <f>SUMIF('Avoided Costs 2009-2017'!$A:$A,Actuals!T92&amp;Actuals!S92,'Avoided Costs 2009-2017'!$M:$M)*R92</f>
        <v>0</v>
      </c>
      <c r="X92" s="90">
        <f t="shared" si="47"/>
        <v>27590.62599607393</v>
      </c>
      <c r="Y92" s="148">
        <v>9500</v>
      </c>
      <c r="Z92" s="149">
        <f t="shared" si="48"/>
        <v>8360</v>
      </c>
      <c r="AA92" s="148"/>
      <c r="AB92" s="145"/>
      <c r="AC92" s="145"/>
      <c r="AD92" s="148">
        <f t="shared" si="49"/>
        <v>8360</v>
      </c>
      <c r="AE92" s="122">
        <f t="shared" si="50"/>
        <v>19230.62599607393</v>
      </c>
      <c r="AF92" s="167">
        <f t="shared" si="51"/>
        <v>158672.23680000001</v>
      </c>
    </row>
    <row r="93" spans="1:32" s="150" customFormat="1" x14ac:dyDescent="0.2">
      <c r="A93" s="144" t="s">
        <v>891</v>
      </c>
      <c r="B93" s="144"/>
      <c r="C93" s="144"/>
      <c r="D93" s="145">
        <v>0</v>
      </c>
      <c r="E93" s="122"/>
      <c r="F93" s="146">
        <v>0.12</v>
      </c>
      <c r="G93" s="146"/>
      <c r="H93" s="122">
        <v>8345</v>
      </c>
      <c r="I93" s="122">
        <f t="shared" si="41"/>
        <v>8077.96</v>
      </c>
      <c r="J93" s="147">
        <f t="shared" si="42"/>
        <v>7108.6048000000001</v>
      </c>
      <c r="K93" s="122"/>
      <c r="L93" s="122">
        <v>0</v>
      </c>
      <c r="M93" s="122">
        <f t="shared" si="43"/>
        <v>0</v>
      </c>
      <c r="N93" s="122">
        <f t="shared" si="44"/>
        <v>0</v>
      </c>
      <c r="O93" s="122"/>
      <c r="P93" s="122">
        <v>0</v>
      </c>
      <c r="Q93" s="122">
        <f t="shared" si="45"/>
        <v>0</v>
      </c>
      <c r="R93" s="147">
        <f t="shared" si="46"/>
        <v>0</v>
      </c>
      <c r="S93" s="145">
        <v>25</v>
      </c>
      <c r="T93" s="144" t="s">
        <v>1176</v>
      </c>
      <c r="U93" s="90">
        <f>SUMIF('Avoided Costs 2009-2017'!$A:$A,Actuals!T93&amp;Actuals!S93,'Avoided Costs 2009-2017'!$E:$E)*J93</f>
        <v>27850.094354232617</v>
      </c>
      <c r="V93" s="90">
        <f>SUMIF('Avoided Costs 2009-2017'!$A:$A,Actuals!T93&amp;Actuals!S93,'Avoided Costs 2009-2017'!$K:$K)*N93</f>
        <v>0</v>
      </c>
      <c r="W93" s="90">
        <f>SUMIF('Avoided Costs 2009-2017'!$A:$A,Actuals!T93&amp;Actuals!S93,'Avoided Costs 2009-2017'!$M:$M)*R93</f>
        <v>0</v>
      </c>
      <c r="X93" s="90">
        <f t="shared" si="47"/>
        <v>27850.094354232617</v>
      </c>
      <c r="Y93" s="148">
        <v>3750</v>
      </c>
      <c r="Z93" s="149">
        <f t="shared" si="48"/>
        <v>3300</v>
      </c>
      <c r="AA93" s="148"/>
      <c r="AB93" s="145"/>
      <c r="AC93" s="145"/>
      <c r="AD93" s="148">
        <f t="shared" si="49"/>
        <v>3300</v>
      </c>
      <c r="AE93" s="122">
        <f t="shared" si="50"/>
        <v>24550.094354232617</v>
      </c>
      <c r="AF93" s="167">
        <f t="shared" si="51"/>
        <v>177715.12</v>
      </c>
    </row>
    <row r="94" spans="1:32" s="150" customFormat="1" x14ac:dyDescent="0.2">
      <c r="A94" s="144" t="s">
        <v>892</v>
      </c>
      <c r="B94" s="144"/>
      <c r="C94" s="144"/>
      <c r="D94" s="145">
        <v>0</v>
      </c>
      <c r="E94" s="122"/>
      <c r="F94" s="146">
        <v>0.12</v>
      </c>
      <c r="G94" s="146"/>
      <c r="H94" s="122">
        <v>7326</v>
      </c>
      <c r="I94" s="122">
        <f t="shared" si="41"/>
        <v>7091.5680000000002</v>
      </c>
      <c r="J94" s="147">
        <f t="shared" si="42"/>
        <v>6240.5798400000003</v>
      </c>
      <c r="K94" s="122"/>
      <c r="L94" s="122">
        <v>24476</v>
      </c>
      <c r="M94" s="122">
        <f t="shared" si="43"/>
        <v>22003.923999999999</v>
      </c>
      <c r="N94" s="122">
        <f t="shared" si="44"/>
        <v>19363.453119999998</v>
      </c>
      <c r="O94" s="122"/>
      <c r="P94" s="122">
        <v>0</v>
      </c>
      <c r="Q94" s="122">
        <f t="shared" si="45"/>
        <v>0</v>
      </c>
      <c r="R94" s="147">
        <f t="shared" si="46"/>
        <v>0</v>
      </c>
      <c r="S94" s="145">
        <v>15</v>
      </c>
      <c r="T94" s="144" t="s">
        <v>213</v>
      </c>
      <c r="U94" s="90">
        <f>SUMIF('Avoided Costs 2009-2017'!$A:$A,Actuals!T94&amp;Actuals!S94,'Avoided Costs 2009-2017'!$E:$E)*J94</f>
        <v>21106.924070053061</v>
      </c>
      <c r="V94" s="90">
        <f>SUMIF('Avoided Costs 2009-2017'!$A:$A,Actuals!T94&amp;Actuals!S94,'Avoided Costs 2009-2017'!$K:$K)*N94</f>
        <v>14455.440802389772</v>
      </c>
      <c r="W94" s="90">
        <f>SUMIF('Avoided Costs 2009-2017'!$A:$A,Actuals!T94&amp;Actuals!S94,'Avoided Costs 2009-2017'!$M:$M)*R94</f>
        <v>0</v>
      </c>
      <c r="X94" s="90">
        <f t="shared" si="47"/>
        <v>35562.364872442835</v>
      </c>
      <c r="Y94" s="148">
        <v>20950</v>
      </c>
      <c r="Z94" s="149">
        <f t="shared" si="48"/>
        <v>18436</v>
      </c>
      <c r="AA94" s="148"/>
      <c r="AB94" s="145"/>
      <c r="AC94" s="145"/>
      <c r="AD94" s="148">
        <f t="shared" si="49"/>
        <v>18436</v>
      </c>
      <c r="AE94" s="122">
        <f t="shared" si="50"/>
        <v>17126.364872442835</v>
      </c>
      <c r="AF94" s="167">
        <f t="shared" si="51"/>
        <v>93608.6976</v>
      </c>
    </row>
    <row r="95" spans="1:32" s="150" customFormat="1" x14ac:dyDescent="0.2">
      <c r="A95" s="144" t="s">
        <v>893</v>
      </c>
      <c r="B95" s="144"/>
      <c r="C95" s="144"/>
      <c r="D95" s="145">
        <v>1</v>
      </c>
      <c r="E95" s="122"/>
      <c r="F95" s="146">
        <v>0.12</v>
      </c>
      <c r="G95" s="146"/>
      <c r="H95" s="122">
        <v>867</v>
      </c>
      <c r="I95" s="122">
        <f t="shared" si="41"/>
        <v>839.25599999999997</v>
      </c>
      <c r="J95" s="147">
        <f t="shared" si="42"/>
        <v>738.54527999999993</v>
      </c>
      <c r="K95" s="122"/>
      <c r="L95" s="122">
        <v>0</v>
      </c>
      <c r="M95" s="122">
        <f t="shared" si="43"/>
        <v>0</v>
      </c>
      <c r="N95" s="122">
        <f t="shared" si="44"/>
        <v>0</v>
      </c>
      <c r="O95" s="122"/>
      <c r="P95" s="122">
        <v>0</v>
      </c>
      <c r="Q95" s="122">
        <f t="shared" si="45"/>
        <v>0</v>
      </c>
      <c r="R95" s="147">
        <f t="shared" si="46"/>
        <v>0</v>
      </c>
      <c r="S95" s="145">
        <v>25</v>
      </c>
      <c r="T95" s="144" t="s">
        <v>213</v>
      </c>
      <c r="U95" s="90">
        <f>SUMIF('Avoided Costs 2009-2017'!$A:$A,Actuals!T95&amp;Actuals!S95,'Avoided Costs 2009-2017'!$E:$E)*J95</f>
        <v>3179.6383178297547</v>
      </c>
      <c r="V95" s="90">
        <f>SUMIF('Avoided Costs 2009-2017'!$A:$A,Actuals!T95&amp;Actuals!S95,'Avoided Costs 2009-2017'!$K:$K)*N95</f>
        <v>0</v>
      </c>
      <c r="W95" s="90">
        <f>SUMIF('Avoided Costs 2009-2017'!$A:$A,Actuals!T95&amp;Actuals!S95,'Avoided Costs 2009-2017'!$M:$M)*R95</f>
        <v>0</v>
      </c>
      <c r="X95" s="90">
        <f t="shared" si="47"/>
        <v>3179.6383178297547</v>
      </c>
      <c r="Y95" s="148">
        <v>13850</v>
      </c>
      <c r="Z95" s="149">
        <f t="shared" si="48"/>
        <v>12188</v>
      </c>
      <c r="AA95" s="148"/>
      <c r="AB95" s="145"/>
      <c r="AC95" s="145"/>
      <c r="AD95" s="148">
        <f t="shared" si="49"/>
        <v>12188</v>
      </c>
      <c r="AE95" s="122">
        <f t="shared" si="50"/>
        <v>-9008.3616821702453</v>
      </c>
      <c r="AF95" s="167">
        <f t="shared" si="51"/>
        <v>18463.631999999998</v>
      </c>
    </row>
    <row r="96" spans="1:32" s="150" customFormat="1" x14ac:dyDescent="0.2">
      <c r="A96" s="144" t="s">
        <v>894</v>
      </c>
      <c r="B96" s="144"/>
      <c r="C96" s="144"/>
      <c r="D96" s="145">
        <v>0</v>
      </c>
      <c r="E96" s="122"/>
      <c r="F96" s="146">
        <v>0.12</v>
      </c>
      <c r="G96" s="146"/>
      <c r="H96" s="122">
        <v>0</v>
      </c>
      <c r="I96" s="122">
        <f t="shared" si="41"/>
        <v>0</v>
      </c>
      <c r="J96" s="147">
        <f t="shared" si="42"/>
        <v>0</v>
      </c>
      <c r="K96" s="122"/>
      <c r="L96" s="122">
        <v>0</v>
      </c>
      <c r="M96" s="122">
        <f t="shared" si="43"/>
        <v>0</v>
      </c>
      <c r="N96" s="122">
        <f t="shared" si="44"/>
        <v>0</v>
      </c>
      <c r="O96" s="122"/>
      <c r="P96" s="122">
        <v>0</v>
      </c>
      <c r="Q96" s="122">
        <f t="shared" si="45"/>
        <v>0</v>
      </c>
      <c r="R96" s="147">
        <f t="shared" si="46"/>
        <v>0</v>
      </c>
      <c r="S96" s="145">
        <v>1</v>
      </c>
      <c r="T96" s="144" t="s">
        <v>213</v>
      </c>
      <c r="U96" s="90">
        <f>SUMIF('Avoided Costs 2009-2017'!$A:$A,Actuals!T96&amp;Actuals!S96,'Avoided Costs 2009-2017'!$E:$E)*J96</f>
        <v>0</v>
      </c>
      <c r="V96" s="90">
        <f>SUMIF('Avoided Costs 2009-2017'!$A:$A,Actuals!T96&amp;Actuals!S96,'Avoided Costs 2009-2017'!$K:$K)*N96</f>
        <v>0</v>
      </c>
      <c r="W96" s="90">
        <f>SUMIF('Avoided Costs 2009-2017'!$A:$A,Actuals!T96&amp;Actuals!S96,'Avoided Costs 2009-2017'!$M:$M)*R96</f>
        <v>0</v>
      </c>
      <c r="X96" s="90">
        <f t="shared" si="47"/>
        <v>0</v>
      </c>
      <c r="Y96" s="148">
        <v>0</v>
      </c>
      <c r="Z96" s="149">
        <f t="shared" si="48"/>
        <v>0</v>
      </c>
      <c r="AA96" s="148"/>
      <c r="AB96" s="145"/>
      <c r="AC96" s="145"/>
      <c r="AD96" s="148">
        <f t="shared" si="49"/>
        <v>0</v>
      </c>
      <c r="AE96" s="122">
        <f t="shared" si="50"/>
        <v>0</v>
      </c>
      <c r="AF96" s="167">
        <f t="shared" si="51"/>
        <v>0</v>
      </c>
    </row>
    <row r="97" spans="1:32" s="150" customFormat="1" x14ac:dyDescent="0.2">
      <c r="A97" s="144" t="s">
        <v>895</v>
      </c>
      <c r="B97" s="144"/>
      <c r="C97" s="144"/>
      <c r="D97" s="145">
        <v>1</v>
      </c>
      <c r="E97" s="122"/>
      <c r="F97" s="146">
        <v>0.12</v>
      </c>
      <c r="G97" s="146"/>
      <c r="H97" s="122">
        <v>13472</v>
      </c>
      <c r="I97" s="122">
        <f t="shared" si="41"/>
        <v>13040.895999999999</v>
      </c>
      <c r="J97" s="147">
        <f t="shared" si="42"/>
        <v>11475.988479999998</v>
      </c>
      <c r="K97" s="122"/>
      <c r="L97" s="122">
        <v>0</v>
      </c>
      <c r="M97" s="122">
        <f t="shared" si="43"/>
        <v>0</v>
      </c>
      <c r="N97" s="122">
        <f t="shared" si="44"/>
        <v>0</v>
      </c>
      <c r="O97" s="122"/>
      <c r="P97" s="122">
        <v>0</v>
      </c>
      <c r="Q97" s="122">
        <f t="shared" si="45"/>
        <v>0</v>
      </c>
      <c r="R97" s="147">
        <f t="shared" si="46"/>
        <v>0</v>
      </c>
      <c r="S97" s="145">
        <v>11</v>
      </c>
      <c r="T97" s="144" t="s">
        <v>213</v>
      </c>
      <c r="U97" s="90">
        <f>SUMIF('Avoided Costs 2009-2017'!$A:$A,Actuals!T97&amp;Actuals!S97,'Avoided Costs 2009-2017'!$E:$E)*J97</f>
        <v>32117.745889729584</v>
      </c>
      <c r="V97" s="90">
        <f>SUMIF('Avoided Costs 2009-2017'!$A:$A,Actuals!T97&amp;Actuals!S97,'Avoided Costs 2009-2017'!$K:$K)*N97</f>
        <v>0</v>
      </c>
      <c r="W97" s="90">
        <f>SUMIF('Avoided Costs 2009-2017'!$A:$A,Actuals!T97&amp;Actuals!S97,'Avoided Costs 2009-2017'!$M:$M)*R97</f>
        <v>0</v>
      </c>
      <c r="X97" s="90">
        <f t="shared" si="47"/>
        <v>32117.745889729584</v>
      </c>
      <c r="Y97" s="148">
        <v>19560.18</v>
      </c>
      <c r="Z97" s="149">
        <f t="shared" si="48"/>
        <v>17212.9584</v>
      </c>
      <c r="AA97" s="148"/>
      <c r="AB97" s="145"/>
      <c r="AC97" s="145"/>
      <c r="AD97" s="148">
        <f t="shared" si="49"/>
        <v>17212.9584</v>
      </c>
      <c r="AE97" s="122">
        <f t="shared" si="50"/>
        <v>14904.787489729584</v>
      </c>
      <c r="AF97" s="167">
        <f t="shared" si="51"/>
        <v>126235.87327999999</v>
      </c>
    </row>
    <row r="98" spans="1:32" s="150" customFormat="1" x14ac:dyDescent="0.2">
      <c r="A98" s="144" t="s">
        <v>896</v>
      </c>
      <c r="B98" s="144"/>
      <c r="C98" s="144"/>
      <c r="D98" s="145">
        <v>1</v>
      </c>
      <c r="E98" s="122"/>
      <c r="F98" s="146">
        <v>0.12</v>
      </c>
      <c r="G98" s="146"/>
      <c r="H98" s="122">
        <v>29466</v>
      </c>
      <c r="I98" s="122">
        <f t="shared" si="41"/>
        <v>28523.088</v>
      </c>
      <c r="J98" s="147">
        <f t="shared" si="42"/>
        <v>25100.317439999999</v>
      </c>
      <c r="K98" s="122"/>
      <c r="L98" s="122">
        <v>0</v>
      </c>
      <c r="M98" s="122">
        <f t="shared" si="43"/>
        <v>0</v>
      </c>
      <c r="N98" s="122">
        <f t="shared" si="44"/>
        <v>0</v>
      </c>
      <c r="O98" s="122"/>
      <c r="P98" s="122">
        <v>0</v>
      </c>
      <c r="Q98" s="122">
        <f t="shared" si="45"/>
        <v>0</v>
      </c>
      <c r="R98" s="147">
        <f t="shared" si="46"/>
        <v>0</v>
      </c>
      <c r="S98" s="145">
        <v>15</v>
      </c>
      <c r="T98" s="144" t="s">
        <v>213</v>
      </c>
      <c r="U98" s="90">
        <f>SUMIF('Avoided Costs 2009-2017'!$A:$A,Actuals!T98&amp;Actuals!S98,'Avoided Costs 2009-2017'!$E:$E)*J98</f>
        <v>84894.434158911186</v>
      </c>
      <c r="V98" s="90">
        <f>SUMIF('Avoided Costs 2009-2017'!$A:$A,Actuals!T98&amp;Actuals!S98,'Avoided Costs 2009-2017'!$K:$K)*N98</f>
        <v>0</v>
      </c>
      <c r="W98" s="90">
        <f>SUMIF('Avoided Costs 2009-2017'!$A:$A,Actuals!T98&amp;Actuals!S98,'Avoided Costs 2009-2017'!$M:$M)*R98</f>
        <v>0</v>
      </c>
      <c r="X98" s="90">
        <f t="shared" si="47"/>
        <v>84894.434158911186</v>
      </c>
      <c r="Y98" s="148">
        <v>27500</v>
      </c>
      <c r="Z98" s="149">
        <f t="shared" si="48"/>
        <v>24200</v>
      </c>
      <c r="AA98" s="148"/>
      <c r="AB98" s="145"/>
      <c r="AC98" s="145"/>
      <c r="AD98" s="148">
        <f t="shared" si="49"/>
        <v>24200</v>
      </c>
      <c r="AE98" s="122">
        <f t="shared" si="50"/>
        <v>60694.434158911186</v>
      </c>
      <c r="AF98" s="167">
        <f t="shared" si="51"/>
        <v>376504.76159999997</v>
      </c>
    </row>
    <row r="99" spans="1:32" s="150" customFormat="1" x14ac:dyDescent="0.2">
      <c r="A99" s="144" t="s">
        <v>897</v>
      </c>
      <c r="B99" s="144"/>
      <c r="C99" s="144"/>
      <c r="D99" s="145">
        <v>1</v>
      </c>
      <c r="E99" s="122"/>
      <c r="F99" s="146">
        <v>0.12</v>
      </c>
      <c r="G99" s="146"/>
      <c r="H99" s="122">
        <v>90301</v>
      </c>
      <c r="I99" s="122">
        <f t="shared" si="41"/>
        <v>87411.368000000002</v>
      </c>
      <c r="J99" s="147">
        <f t="shared" si="42"/>
        <v>76922.003840000005</v>
      </c>
      <c r="K99" s="122"/>
      <c r="L99" s="122">
        <v>0</v>
      </c>
      <c r="M99" s="122">
        <f t="shared" si="43"/>
        <v>0</v>
      </c>
      <c r="N99" s="122">
        <f t="shared" si="44"/>
        <v>0</v>
      </c>
      <c r="O99" s="122"/>
      <c r="P99" s="122">
        <v>0</v>
      </c>
      <c r="Q99" s="122">
        <f t="shared" si="45"/>
        <v>0</v>
      </c>
      <c r="R99" s="147">
        <f t="shared" si="46"/>
        <v>0</v>
      </c>
      <c r="S99" s="145">
        <v>11</v>
      </c>
      <c r="T99" s="144" t="s">
        <v>213</v>
      </c>
      <c r="U99" s="90">
        <f>SUMIF('Avoided Costs 2009-2017'!$A:$A,Actuals!T99&amp;Actuals!S99,'Avoided Costs 2009-2017'!$E:$E)*J99</f>
        <v>215280.92128774288</v>
      </c>
      <c r="V99" s="90">
        <f>SUMIF('Avoided Costs 2009-2017'!$A:$A,Actuals!T99&amp;Actuals!S99,'Avoided Costs 2009-2017'!$K:$K)*N99</f>
        <v>0</v>
      </c>
      <c r="W99" s="90">
        <f>SUMIF('Avoided Costs 2009-2017'!$A:$A,Actuals!T99&amp;Actuals!S99,'Avoided Costs 2009-2017'!$M:$M)*R99</f>
        <v>0</v>
      </c>
      <c r="X99" s="90">
        <f t="shared" si="47"/>
        <v>215280.92128774288</v>
      </c>
      <c r="Y99" s="148">
        <v>111088</v>
      </c>
      <c r="Z99" s="149">
        <f t="shared" si="48"/>
        <v>97757.440000000002</v>
      </c>
      <c r="AA99" s="148"/>
      <c r="AB99" s="145"/>
      <c r="AC99" s="145"/>
      <c r="AD99" s="148">
        <f t="shared" si="49"/>
        <v>97757.440000000002</v>
      </c>
      <c r="AE99" s="122">
        <f t="shared" si="50"/>
        <v>117523.48128774288</v>
      </c>
      <c r="AF99" s="167">
        <f t="shared" si="51"/>
        <v>846142.0422400001</v>
      </c>
    </row>
    <row r="100" spans="1:32" s="150" customFormat="1" x14ac:dyDescent="0.2">
      <c r="A100" s="144" t="s">
        <v>898</v>
      </c>
      <c r="B100" s="144"/>
      <c r="C100" s="144"/>
      <c r="D100" s="145">
        <v>0</v>
      </c>
      <c r="E100" s="122"/>
      <c r="F100" s="146">
        <v>0.12</v>
      </c>
      <c r="G100" s="146"/>
      <c r="H100" s="122">
        <v>22016</v>
      </c>
      <c r="I100" s="122">
        <f t="shared" si="41"/>
        <v>21311.487999999998</v>
      </c>
      <c r="J100" s="147">
        <f t="shared" si="42"/>
        <v>18754.109439999997</v>
      </c>
      <c r="K100" s="122"/>
      <c r="L100" s="122">
        <v>13881</v>
      </c>
      <c r="M100" s="122">
        <f t="shared" si="43"/>
        <v>12479.019</v>
      </c>
      <c r="N100" s="122">
        <f t="shared" si="44"/>
        <v>10981.53672</v>
      </c>
      <c r="O100" s="122"/>
      <c r="P100" s="122">
        <v>0</v>
      </c>
      <c r="Q100" s="122">
        <f t="shared" si="45"/>
        <v>0</v>
      </c>
      <c r="R100" s="147">
        <f t="shared" si="46"/>
        <v>0</v>
      </c>
      <c r="S100" s="145">
        <v>15</v>
      </c>
      <c r="T100" s="144" t="s">
        <v>213</v>
      </c>
      <c r="U100" s="90">
        <f>SUMIF('Avoided Costs 2009-2017'!$A:$A,Actuals!T100&amp;Actuals!S100,'Avoided Costs 2009-2017'!$E:$E)*J100</f>
        <v>63430.25393479225</v>
      </c>
      <c r="V100" s="90">
        <f>SUMIF('Avoided Costs 2009-2017'!$A:$A,Actuals!T100&amp;Actuals!S100,'Avoided Costs 2009-2017'!$K:$K)*N100</f>
        <v>8198.0705089872718</v>
      </c>
      <c r="W100" s="90">
        <f>SUMIF('Avoided Costs 2009-2017'!$A:$A,Actuals!T100&amp;Actuals!S100,'Avoided Costs 2009-2017'!$M:$M)*R100</f>
        <v>0</v>
      </c>
      <c r="X100" s="90">
        <f t="shared" si="47"/>
        <v>71628.324443779522</v>
      </c>
      <c r="Y100" s="148">
        <v>15065</v>
      </c>
      <c r="Z100" s="149">
        <f t="shared" si="48"/>
        <v>13257.2</v>
      </c>
      <c r="AA100" s="148"/>
      <c r="AB100" s="145"/>
      <c r="AC100" s="145"/>
      <c r="AD100" s="148">
        <f t="shared" si="49"/>
        <v>13257.2</v>
      </c>
      <c r="AE100" s="122">
        <f t="shared" si="50"/>
        <v>58371.124443779525</v>
      </c>
      <c r="AF100" s="167">
        <f t="shared" si="51"/>
        <v>281311.64159999997</v>
      </c>
    </row>
    <row r="101" spans="1:32" s="150" customFormat="1" x14ac:dyDescent="0.2">
      <c r="A101" s="144" t="s">
        <v>899</v>
      </c>
      <c r="B101" s="144"/>
      <c r="C101" s="144"/>
      <c r="D101" s="145">
        <v>1</v>
      </c>
      <c r="E101" s="122"/>
      <c r="F101" s="146">
        <v>0.12</v>
      </c>
      <c r="G101" s="146"/>
      <c r="H101" s="122">
        <v>60300</v>
      </c>
      <c r="I101" s="122">
        <f t="shared" si="41"/>
        <v>58370.400000000001</v>
      </c>
      <c r="J101" s="147">
        <f t="shared" si="42"/>
        <v>51365.952000000005</v>
      </c>
      <c r="K101" s="122"/>
      <c r="L101" s="122">
        <v>0</v>
      </c>
      <c r="M101" s="122">
        <f t="shared" si="43"/>
        <v>0</v>
      </c>
      <c r="N101" s="122">
        <f t="shared" si="44"/>
        <v>0</v>
      </c>
      <c r="O101" s="122"/>
      <c r="P101" s="122">
        <v>0</v>
      </c>
      <c r="Q101" s="122">
        <f t="shared" si="45"/>
        <v>0</v>
      </c>
      <c r="R101" s="147">
        <f t="shared" si="46"/>
        <v>0</v>
      </c>
      <c r="S101" s="145">
        <v>11</v>
      </c>
      <c r="T101" s="144" t="s">
        <v>213</v>
      </c>
      <c r="U101" s="90">
        <f>SUMIF('Avoided Costs 2009-2017'!$A:$A,Actuals!T101&amp;Actuals!S101,'Avoided Costs 2009-2017'!$E:$E)*J101</f>
        <v>143757.4285295943</v>
      </c>
      <c r="V101" s="90">
        <f>SUMIF('Avoided Costs 2009-2017'!$A:$A,Actuals!T101&amp;Actuals!S101,'Avoided Costs 2009-2017'!$K:$K)*N101</f>
        <v>0</v>
      </c>
      <c r="W101" s="90">
        <f>SUMIF('Avoided Costs 2009-2017'!$A:$A,Actuals!T101&amp;Actuals!S101,'Avoided Costs 2009-2017'!$M:$M)*R101</f>
        <v>0</v>
      </c>
      <c r="X101" s="90">
        <f t="shared" si="47"/>
        <v>143757.4285295943</v>
      </c>
      <c r="Y101" s="148">
        <v>36975</v>
      </c>
      <c r="Z101" s="149">
        <f t="shared" si="48"/>
        <v>32538</v>
      </c>
      <c r="AA101" s="148"/>
      <c r="AB101" s="145"/>
      <c r="AC101" s="145"/>
      <c r="AD101" s="148">
        <f t="shared" si="49"/>
        <v>32538</v>
      </c>
      <c r="AE101" s="122">
        <f t="shared" si="50"/>
        <v>111219.4285295943</v>
      </c>
      <c r="AF101" s="167">
        <f t="shared" si="51"/>
        <v>565025.47200000007</v>
      </c>
    </row>
    <row r="102" spans="1:32" s="150" customFormat="1" x14ac:dyDescent="0.2">
      <c r="A102" s="144" t="s">
        <v>900</v>
      </c>
      <c r="B102" s="144"/>
      <c r="C102" s="144"/>
      <c r="D102" s="145">
        <v>1</v>
      </c>
      <c r="E102" s="122"/>
      <c r="F102" s="146">
        <v>0.12</v>
      </c>
      <c r="G102" s="146"/>
      <c r="H102" s="122">
        <v>15059</v>
      </c>
      <c r="I102" s="122">
        <f t="shared" si="41"/>
        <v>14577.111999999999</v>
      </c>
      <c r="J102" s="147">
        <f t="shared" si="42"/>
        <v>12827.858559999999</v>
      </c>
      <c r="K102" s="122"/>
      <c r="L102" s="122">
        <v>0</v>
      </c>
      <c r="M102" s="122">
        <f t="shared" si="43"/>
        <v>0</v>
      </c>
      <c r="N102" s="122">
        <f t="shared" si="44"/>
        <v>0</v>
      </c>
      <c r="O102" s="122"/>
      <c r="P102" s="122">
        <v>0</v>
      </c>
      <c r="Q102" s="122">
        <f t="shared" si="45"/>
        <v>0</v>
      </c>
      <c r="R102" s="147">
        <f t="shared" si="46"/>
        <v>0</v>
      </c>
      <c r="S102" s="145">
        <v>13</v>
      </c>
      <c r="T102" s="144" t="s">
        <v>213</v>
      </c>
      <c r="U102" s="90">
        <f>SUMIF('Avoided Costs 2009-2017'!$A:$A,Actuals!T102&amp;Actuals!S102,'Avoided Costs 2009-2017'!$E:$E)*J102</f>
        <v>39896.668799586339</v>
      </c>
      <c r="V102" s="90">
        <f>SUMIF('Avoided Costs 2009-2017'!$A:$A,Actuals!T102&amp;Actuals!S102,'Avoided Costs 2009-2017'!$K:$K)*N102</f>
        <v>0</v>
      </c>
      <c r="W102" s="90">
        <f>SUMIF('Avoided Costs 2009-2017'!$A:$A,Actuals!T102&amp;Actuals!S102,'Avoided Costs 2009-2017'!$M:$M)*R102</f>
        <v>0</v>
      </c>
      <c r="X102" s="90">
        <f t="shared" si="47"/>
        <v>39896.668799586339</v>
      </c>
      <c r="Y102" s="148">
        <v>4800</v>
      </c>
      <c r="Z102" s="149">
        <f t="shared" si="48"/>
        <v>4224</v>
      </c>
      <c r="AA102" s="148"/>
      <c r="AB102" s="145"/>
      <c r="AC102" s="145"/>
      <c r="AD102" s="148">
        <f t="shared" si="49"/>
        <v>4224</v>
      </c>
      <c r="AE102" s="122">
        <f t="shared" si="50"/>
        <v>35672.668799586339</v>
      </c>
      <c r="AF102" s="167">
        <f t="shared" si="51"/>
        <v>166762.16127999997</v>
      </c>
    </row>
    <row r="103" spans="1:32" s="150" customFormat="1" x14ac:dyDescent="0.2">
      <c r="A103" s="144" t="s">
        <v>901</v>
      </c>
      <c r="B103" s="144"/>
      <c r="C103" s="144"/>
      <c r="D103" s="145">
        <v>1</v>
      </c>
      <c r="E103" s="122"/>
      <c r="F103" s="146">
        <v>0.12</v>
      </c>
      <c r="G103" s="146"/>
      <c r="H103" s="122">
        <v>49729</v>
      </c>
      <c r="I103" s="122">
        <f t="shared" si="41"/>
        <v>48137.671999999999</v>
      </c>
      <c r="J103" s="147">
        <f t="shared" si="42"/>
        <v>42361.151359999996</v>
      </c>
      <c r="K103" s="122"/>
      <c r="L103" s="122">
        <v>0</v>
      </c>
      <c r="M103" s="122">
        <f t="shared" si="43"/>
        <v>0</v>
      </c>
      <c r="N103" s="122">
        <f t="shared" si="44"/>
        <v>0</v>
      </c>
      <c r="O103" s="122"/>
      <c r="P103" s="122">
        <v>0</v>
      </c>
      <c r="Q103" s="122">
        <f t="shared" si="45"/>
        <v>0</v>
      </c>
      <c r="R103" s="147">
        <f t="shared" si="46"/>
        <v>0</v>
      </c>
      <c r="S103" s="145">
        <v>11</v>
      </c>
      <c r="T103" s="144" t="s">
        <v>213</v>
      </c>
      <c r="U103" s="90">
        <f>SUMIF('Avoided Costs 2009-2017'!$A:$A,Actuals!T103&amp;Actuals!S103,'Avoided Costs 2009-2017'!$E:$E)*J103</f>
        <v>118555.77385320388</v>
      </c>
      <c r="V103" s="90">
        <f>SUMIF('Avoided Costs 2009-2017'!$A:$A,Actuals!T103&amp;Actuals!S103,'Avoided Costs 2009-2017'!$K:$K)*N103</f>
        <v>0</v>
      </c>
      <c r="W103" s="90">
        <f>SUMIF('Avoided Costs 2009-2017'!$A:$A,Actuals!T103&amp;Actuals!S103,'Avoided Costs 2009-2017'!$M:$M)*R103</f>
        <v>0</v>
      </c>
      <c r="X103" s="90">
        <f t="shared" si="47"/>
        <v>118555.77385320388</v>
      </c>
      <c r="Y103" s="148">
        <v>97255</v>
      </c>
      <c r="Z103" s="149">
        <f t="shared" si="48"/>
        <v>85584.4</v>
      </c>
      <c r="AA103" s="148"/>
      <c r="AB103" s="145"/>
      <c r="AC103" s="145"/>
      <c r="AD103" s="148">
        <f t="shared" si="49"/>
        <v>85584.4</v>
      </c>
      <c r="AE103" s="122">
        <f t="shared" si="50"/>
        <v>32971.373853203884</v>
      </c>
      <c r="AF103" s="167">
        <f t="shared" si="51"/>
        <v>465972.66495999997</v>
      </c>
    </row>
    <row r="104" spans="1:32" s="150" customFormat="1" x14ac:dyDescent="0.2">
      <c r="A104" s="144" t="s">
        <v>902</v>
      </c>
      <c r="B104" s="144"/>
      <c r="C104" s="144"/>
      <c r="D104" s="145">
        <v>1</v>
      </c>
      <c r="E104" s="122"/>
      <c r="F104" s="146">
        <v>0.12</v>
      </c>
      <c r="G104" s="146"/>
      <c r="H104" s="122">
        <v>10548</v>
      </c>
      <c r="I104" s="122">
        <f t="shared" si="41"/>
        <v>10210.464</v>
      </c>
      <c r="J104" s="147">
        <f t="shared" si="42"/>
        <v>8985.2083199999997</v>
      </c>
      <c r="K104" s="122"/>
      <c r="L104" s="122">
        <v>0</v>
      </c>
      <c r="M104" s="122">
        <f t="shared" si="43"/>
        <v>0</v>
      </c>
      <c r="N104" s="122">
        <f t="shared" si="44"/>
        <v>0</v>
      </c>
      <c r="O104" s="122"/>
      <c r="P104" s="122">
        <v>0</v>
      </c>
      <c r="Q104" s="122">
        <f t="shared" si="45"/>
        <v>0</v>
      </c>
      <c r="R104" s="147">
        <f t="shared" si="46"/>
        <v>0</v>
      </c>
      <c r="S104" s="145">
        <v>13</v>
      </c>
      <c r="T104" s="144" t="s">
        <v>213</v>
      </c>
      <c r="U104" s="90">
        <f>SUMIF('Avoided Costs 2009-2017'!$A:$A,Actuals!T104&amp;Actuals!S104,'Avoided Costs 2009-2017'!$E:$E)*J104</f>
        <v>27945.418852383074</v>
      </c>
      <c r="V104" s="90">
        <f>SUMIF('Avoided Costs 2009-2017'!$A:$A,Actuals!T104&amp;Actuals!S104,'Avoided Costs 2009-2017'!$K:$K)*N104</f>
        <v>0</v>
      </c>
      <c r="W104" s="90">
        <f>SUMIF('Avoided Costs 2009-2017'!$A:$A,Actuals!T104&amp;Actuals!S104,'Avoided Costs 2009-2017'!$M:$M)*R104</f>
        <v>0</v>
      </c>
      <c r="X104" s="90">
        <f t="shared" si="47"/>
        <v>27945.418852383074</v>
      </c>
      <c r="Y104" s="148">
        <v>1605</v>
      </c>
      <c r="Z104" s="149">
        <f t="shared" si="48"/>
        <v>1412.4</v>
      </c>
      <c r="AA104" s="148"/>
      <c r="AB104" s="145"/>
      <c r="AC104" s="145"/>
      <c r="AD104" s="148">
        <f t="shared" si="49"/>
        <v>1412.4</v>
      </c>
      <c r="AE104" s="122">
        <f t="shared" si="50"/>
        <v>26533.018852383073</v>
      </c>
      <c r="AF104" s="167">
        <f t="shared" si="51"/>
        <v>116807.70815999999</v>
      </c>
    </row>
    <row r="105" spans="1:32" s="150" customFormat="1" x14ac:dyDescent="0.2">
      <c r="A105" s="144" t="s">
        <v>903</v>
      </c>
      <c r="B105" s="144"/>
      <c r="C105" s="144"/>
      <c r="D105" s="145">
        <v>0</v>
      </c>
      <c r="E105" s="122"/>
      <c r="F105" s="146">
        <v>0.12</v>
      </c>
      <c r="G105" s="146"/>
      <c r="H105" s="122">
        <v>7059</v>
      </c>
      <c r="I105" s="122">
        <f t="shared" si="41"/>
        <v>6833.1120000000001</v>
      </c>
      <c r="J105" s="147">
        <f t="shared" si="42"/>
        <v>6013.1385600000003</v>
      </c>
      <c r="K105" s="122"/>
      <c r="L105" s="122">
        <v>0</v>
      </c>
      <c r="M105" s="122">
        <f t="shared" si="43"/>
        <v>0</v>
      </c>
      <c r="N105" s="122">
        <f t="shared" si="44"/>
        <v>0</v>
      </c>
      <c r="O105" s="122"/>
      <c r="P105" s="122">
        <v>0</v>
      </c>
      <c r="Q105" s="122">
        <f t="shared" si="45"/>
        <v>0</v>
      </c>
      <c r="R105" s="147">
        <f t="shared" si="46"/>
        <v>0</v>
      </c>
      <c r="S105" s="145">
        <v>15</v>
      </c>
      <c r="T105" s="144" t="s">
        <v>1176</v>
      </c>
      <c r="U105" s="90">
        <f>SUMIF('Avoided Costs 2009-2017'!$A:$A,Actuals!T105&amp;Actuals!S105,'Avoided Costs 2009-2017'!$E:$E)*J105</f>
        <v>18523.400546936373</v>
      </c>
      <c r="V105" s="90">
        <f>SUMIF('Avoided Costs 2009-2017'!$A:$A,Actuals!T105&amp;Actuals!S105,'Avoided Costs 2009-2017'!$K:$K)*N105</f>
        <v>0</v>
      </c>
      <c r="W105" s="90">
        <f>SUMIF('Avoided Costs 2009-2017'!$A:$A,Actuals!T105&amp;Actuals!S105,'Avoided Costs 2009-2017'!$M:$M)*R105</f>
        <v>0</v>
      </c>
      <c r="X105" s="90">
        <f t="shared" si="47"/>
        <v>18523.400546936373</v>
      </c>
      <c r="Y105" s="148">
        <v>0</v>
      </c>
      <c r="Z105" s="149">
        <f t="shared" si="48"/>
        <v>0</v>
      </c>
      <c r="AA105" s="148"/>
      <c r="AB105" s="145"/>
      <c r="AC105" s="145"/>
      <c r="AD105" s="148">
        <f t="shared" si="49"/>
        <v>0</v>
      </c>
      <c r="AE105" s="122">
        <f t="shared" si="50"/>
        <v>18523.400546936373</v>
      </c>
      <c r="AF105" s="167">
        <f t="shared" si="51"/>
        <v>90197.078399999999</v>
      </c>
    </row>
    <row r="106" spans="1:32" s="150" customFormat="1" x14ac:dyDescent="0.2">
      <c r="A106" s="144" t="s">
        <v>904</v>
      </c>
      <c r="B106" s="144"/>
      <c r="C106" s="144"/>
      <c r="D106" s="145">
        <v>0</v>
      </c>
      <c r="E106" s="122"/>
      <c r="F106" s="146">
        <v>0.12</v>
      </c>
      <c r="G106" s="146"/>
      <c r="H106" s="122">
        <v>17899</v>
      </c>
      <c r="I106" s="122">
        <f t="shared" si="41"/>
        <v>17326.232</v>
      </c>
      <c r="J106" s="147">
        <f t="shared" si="42"/>
        <v>15247.08416</v>
      </c>
      <c r="K106" s="122"/>
      <c r="L106" s="122">
        <v>0</v>
      </c>
      <c r="M106" s="122">
        <f t="shared" si="43"/>
        <v>0</v>
      </c>
      <c r="N106" s="122">
        <f t="shared" si="44"/>
        <v>0</v>
      </c>
      <c r="O106" s="122"/>
      <c r="P106" s="122">
        <v>0</v>
      </c>
      <c r="Q106" s="122">
        <f t="shared" si="45"/>
        <v>0</v>
      </c>
      <c r="R106" s="147">
        <f t="shared" si="46"/>
        <v>0</v>
      </c>
      <c r="S106" s="145">
        <v>15</v>
      </c>
      <c r="T106" s="144" t="s">
        <v>213</v>
      </c>
      <c r="U106" s="90">
        <f>SUMIF('Avoided Costs 2009-2017'!$A:$A,Actuals!T106&amp;Actuals!S106,'Avoided Costs 2009-2017'!$E:$E)*J106</f>
        <v>51568.773400201979</v>
      </c>
      <c r="V106" s="90">
        <f>SUMIF('Avoided Costs 2009-2017'!$A:$A,Actuals!T106&amp;Actuals!S106,'Avoided Costs 2009-2017'!$K:$K)*N106</f>
        <v>0</v>
      </c>
      <c r="W106" s="90">
        <f>SUMIF('Avoided Costs 2009-2017'!$A:$A,Actuals!T106&amp;Actuals!S106,'Avoided Costs 2009-2017'!$M:$M)*R106</f>
        <v>0</v>
      </c>
      <c r="X106" s="90">
        <f t="shared" si="47"/>
        <v>51568.773400201979</v>
      </c>
      <c r="Y106" s="148">
        <v>0</v>
      </c>
      <c r="Z106" s="149">
        <f t="shared" si="48"/>
        <v>0</v>
      </c>
      <c r="AA106" s="148"/>
      <c r="AB106" s="145"/>
      <c r="AC106" s="145"/>
      <c r="AD106" s="148">
        <f t="shared" si="49"/>
        <v>0</v>
      </c>
      <c r="AE106" s="122">
        <f t="shared" si="50"/>
        <v>51568.773400201979</v>
      </c>
      <c r="AF106" s="167">
        <f t="shared" si="51"/>
        <v>228706.26240000001</v>
      </c>
    </row>
    <row r="107" spans="1:32" s="150" customFormat="1" x14ac:dyDescent="0.2">
      <c r="A107" s="144" t="s">
        <v>905</v>
      </c>
      <c r="B107" s="144"/>
      <c r="C107" s="144"/>
      <c r="D107" s="145">
        <v>1</v>
      </c>
      <c r="E107" s="122"/>
      <c r="F107" s="146">
        <v>0.12</v>
      </c>
      <c r="G107" s="146"/>
      <c r="H107" s="122">
        <v>25180</v>
      </c>
      <c r="I107" s="122">
        <f t="shared" si="41"/>
        <v>24374.239999999998</v>
      </c>
      <c r="J107" s="147">
        <f t="shared" si="42"/>
        <v>21449.331199999997</v>
      </c>
      <c r="K107" s="122"/>
      <c r="L107" s="122">
        <v>0</v>
      </c>
      <c r="M107" s="122">
        <f t="shared" si="43"/>
        <v>0</v>
      </c>
      <c r="N107" s="122">
        <f t="shared" si="44"/>
        <v>0</v>
      </c>
      <c r="O107" s="122"/>
      <c r="P107" s="122">
        <v>0</v>
      </c>
      <c r="Q107" s="122">
        <f t="shared" si="45"/>
        <v>0</v>
      </c>
      <c r="R107" s="147">
        <f t="shared" si="46"/>
        <v>0</v>
      </c>
      <c r="S107" s="145">
        <v>15</v>
      </c>
      <c r="T107" s="144" t="s">
        <v>213</v>
      </c>
      <c r="U107" s="90">
        <f>SUMIF('Avoided Costs 2009-2017'!$A:$A,Actuals!T107&amp;Actuals!S107,'Avoided Costs 2009-2017'!$E:$E)*J107</f>
        <v>72546.048059505309</v>
      </c>
      <c r="V107" s="90">
        <f>SUMIF('Avoided Costs 2009-2017'!$A:$A,Actuals!T107&amp;Actuals!S107,'Avoided Costs 2009-2017'!$K:$K)*N107</f>
        <v>0</v>
      </c>
      <c r="W107" s="90">
        <f>SUMIF('Avoided Costs 2009-2017'!$A:$A,Actuals!T107&amp;Actuals!S107,'Avoided Costs 2009-2017'!$M:$M)*R107</f>
        <v>0</v>
      </c>
      <c r="X107" s="90">
        <f t="shared" si="47"/>
        <v>72546.048059505309</v>
      </c>
      <c r="Y107" s="148">
        <v>48850</v>
      </c>
      <c r="Z107" s="149">
        <f t="shared" si="48"/>
        <v>42988</v>
      </c>
      <c r="AA107" s="148"/>
      <c r="AB107" s="145"/>
      <c r="AC107" s="145"/>
      <c r="AD107" s="148">
        <f t="shared" si="49"/>
        <v>42988</v>
      </c>
      <c r="AE107" s="122">
        <f t="shared" si="50"/>
        <v>29558.048059505309</v>
      </c>
      <c r="AF107" s="167">
        <f t="shared" si="51"/>
        <v>321739.96799999994</v>
      </c>
    </row>
    <row r="108" spans="1:32" s="150" customFormat="1" x14ac:dyDescent="0.2">
      <c r="A108" s="144" t="s">
        <v>906</v>
      </c>
      <c r="B108" s="144"/>
      <c r="C108" s="144"/>
      <c r="D108" s="145">
        <v>0</v>
      </c>
      <c r="E108" s="122"/>
      <c r="F108" s="146">
        <v>0.12</v>
      </c>
      <c r="G108" s="146"/>
      <c r="H108" s="122">
        <v>0</v>
      </c>
      <c r="I108" s="122">
        <f t="shared" si="41"/>
        <v>0</v>
      </c>
      <c r="J108" s="147">
        <f t="shared" si="42"/>
        <v>0</v>
      </c>
      <c r="K108" s="122"/>
      <c r="L108" s="122">
        <v>0</v>
      </c>
      <c r="M108" s="122">
        <f t="shared" si="43"/>
        <v>0</v>
      </c>
      <c r="N108" s="122">
        <f t="shared" si="44"/>
        <v>0</v>
      </c>
      <c r="O108" s="122"/>
      <c r="P108" s="122">
        <v>0</v>
      </c>
      <c r="Q108" s="122">
        <f t="shared" si="45"/>
        <v>0</v>
      </c>
      <c r="R108" s="147">
        <f t="shared" si="46"/>
        <v>0</v>
      </c>
      <c r="S108" s="145">
        <v>1</v>
      </c>
      <c r="T108" s="144" t="s">
        <v>1176</v>
      </c>
      <c r="U108" s="90">
        <f>SUMIF('Avoided Costs 2009-2017'!$A:$A,Actuals!T108&amp;Actuals!S108,'Avoided Costs 2009-2017'!$E:$E)*J108</f>
        <v>0</v>
      </c>
      <c r="V108" s="90">
        <f>SUMIF('Avoided Costs 2009-2017'!$A:$A,Actuals!T108&amp;Actuals!S108,'Avoided Costs 2009-2017'!$K:$K)*N108</f>
        <v>0</v>
      </c>
      <c r="W108" s="90">
        <f>SUMIF('Avoided Costs 2009-2017'!$A:$A,Actuals!T108&amp;Actuals!S108,'Avoided Costs 2009-2017'!$M:$M)*R108</f>
        <v>0</v>
      </c>
      <c r="X108" s="90">
        <f t="shared" si="47"/>
        <v>0</v>
      </c>
      <c r="Y108" s="148">
        <v>0</v>
      </c>
      <c r="Z108" s="149">
        <f t="shared" si="48"/>
        <v>0</v>
      </c>
      <c r="AA108" s="148"/>
      <c r="AB108" s="145"/>
      <c r="AC108" s="145"/>
      <c r="AD108" s="148">
        <f t="shared" si="49"/>
        <v>0</v>
      </c>
      <c r="AE108" s="122">
        <f t="shared" si="50"/>
        <v>0</v>
      </c>
      <c r="AF108" s="167">
        <f t="shared" si="51"/>
        <v>0</v>
      </c>
    </row>
    <row r="109" spans="1:32" s="150" customFormat="1" x14ac:dyDescent="0.2">
      <c r="A109" s="144" t="s">
        <v>907</v>
      </c>
      <c r="B109" s="144"/>
      <c r="C109" s="144"/>
      <c r="D109" s="145">
        <v>0</v>
      </c>
      <c r="E109" s="122"/>
      <c r="F109" s="146">
        <v>0.12</v>
      </c>
      <c r="G109" s="146"/>
      <c r="H109" s="122">
        <v>0</v>
      </c>
      <c r="I109" s="122">
        <f t="shared" si="41"/>
        <v>0</v>
      </c>
      <c r="J109" s="147">
        <f t="shared" si="42"/>
        <v>0</v>
      </c>
      <c r="K109" s="122"/>
      <c r="L109" s="122">
        <v>0</v>
      </c>
      <c r="M109" s="122">
        <f t="shared" si="43"/>
        <v>0</v>
      </c>
      <c r="N109" s="122">
        <f t="shared" si="44"/>
        <v>0</v>
      </c>
      <c r="O109" s="122"/>
      <c r="P109" s="122">
        <v>0</v>
      </c>
      <c r="Q109" s="122">
        <f t="shared" si="45"/>
        <v>0</v>
      </c>
      <c r="R109" s="147">
        <f t="shared" si="46"/>
        <v>0</v>
      </c>
      <c r="S109" s="145">
        <v>1</v>
      </c>
      <c r="T109" s="144" t="s">
        <v>213</v>
      </c>
      <c r="U109" s="90">
        <f>SUMIF('Avoided Costs 2009-2017'!$A:$A,Actuals!T109&amp;Actuals!S109,'Avoided Costs 2009-2017'!$E:$E)*J109</f>
        <v>0</v>
      </c>
      <c r="V109" s="90">
        <f>SUMIF('Avoided Costs 2009-2017'!$A:$A,Actuals!T109&amp;Actuals!S109,'Avoided Costs 2009-2017'!$K:$K)*N109</f>
        <v>0</v>
      </c>
      <c r="W109" s="90">
        <f>SUMIF('Avoided Costs 2009-2017'!$A:$A,Actuals!T109&amp;Actuals!S109,'Avoided Costs 2009-2017'!$M:$M)*R109</f>
        <v>0</v>
      </c>
      <c r="X109" s="90">
        <f t="shared" si="47"/>
        <v>0</v>
      </c>
      <c r="Y109" s="148">
        <v>0</v>
      </c>
      <c r="Z109" s="149">
        <f t="shared" si="48"/>
        <v>0</v>
      </c>
      <c r="AA109" s="148"/>
      <c r="AB109" s="145"/>
      <c r="AC109" s="145"/>
      <c r="AD109" s="148">
        <f t="shared" si="49"/>
        <v>0</v>
      </c>
      <c r="AE109" s="122">
        <f t="shared" si="50"/>
        <v>0</v>
      </c>
      <c r="AF109" s="167">
        <f t="shared" si="51"/>
        <v>0</v>
      </c>
    </row>
    <row r="110" spans="1:32" s="150" customFormat="1" x14ac:dyDescent="0.2">
      <c r="A110" s="144" t="s">
        <v>908</v>
      </c>
      <c r="B110" s="144"/>
      <c r="C110" s="144"/>
      <c r="D110" s="145">
        <v>1</v>
      </c>
      <c r="E110" s="122"/>
      <c r="F110" s="146">
        <v>0.12</v>
      </c>
      <c r="G110" s="146"/>
      <c r="H110" s="122">
        <v>114875</v>
      </c>
      <c r="I110" s="122">
        <f t="shared" si="41"/>
        <v>111199</v>
      </c>
      <c r="J110" s="147">
        <f t="shared" si="42"/>
        <v>97855.12</v>
      </c>
      <c r="K110" s="122"/>
      <c r="L110" s="122">
        <v>0</v>
      </c>
      <c r="M110" s="122">
        <f t="shared" si="43"/>
        <v>0</v>
      </c>
      <c r="N110" s="122">
        <f t="shared" si="44"/>
        <v>0</v>
      </c>
      <c r="O110" s="122"/>
      <c r="P110" s="122">
        <v>0</v>
      </c>
      <c r="Q110" s="122">
        <f t="shared" si="45"/>
        <v>0</v>
      </c>
      <c r="R110" s="147">
        <f t="shared" si="46"/>
        <v>0</v>
      </c>
      <c r="S110" s="145">
        <v>11</v>
      </c>
      <c r="T110" s="144" t="s">
        <v>213</v>
      </c>
      <c r="U110" s="90">
        <f>SUMIF('Avoided Costs 2009-2017'!$A:$A,Actuals!T110&amp;Actuals!S110,'Avoided Costs 2009-2017'!$E:$E)*J110</f>
        <v>273866.24547822791</v>
      </c>
      <c r="V110" s="90">
        <f>SUMIF('Avoided Costs 2009-2017'!$A:$A,Actuals!T110&amp;Actuals!S110,'Avoided Costs 2009-2017'!$K:$K)*N110</f>
        <v>0</v>
      </c>
      <c r="W110" s="90">
        <f>SUMIF('Avoided Costs 2009-2017'!$A:$A,Actuals!T110&amp;Actuals!S110,'Avoided Costs 2009-2017'!$M:$M)*R110</f>
        <v>0</v>
      </c>
      <c r="X110" s="90">
        <f t="shared" si="47"/>
        <v>273866.24547822791</v>
      </c>
      <c r="Y110" s="148">
        <v>100700</v>
      </c>
      <c r="Z110" s="149">
        <f t="shared" si="48"/>
        <v>88616</v>
      </c>
      <c r="AA110" s="148"/>
      <c r="AB110" s="145"/>
      <c r="AC110" s="145"/>
      <c r="AD110" s="148">
        <f t="shared" si="49"/>
        <v>88616</v>
      </c>
      <c r="AE110" s="122">
        <f t="shared" si="50"/>
        <v>185250.24547822791</v>
      </c>
      <c r="AF110" s="167">
        <f t="shared" si="51"/>
        <v>1076406.3199999998</v>
      </c>
    </row>
    <row r="111" spans="1:32" s="150" customFormat="1" x14ac:dyDescent="0.2">
      <c r="A111" s="144" t="s">
        <v>0</v>
      </c>
      <c r="B111" s="144"/>
      <c r="C111" s="144"/>
      <c r="D111" s="145">
        <v>0</v>
      </c>
      <c r="E111" s="122"/>
      <c r="F111" s="146">
        <v>0.12</v>
      </c>
      <c r="G111" s="146"/>
      <c r="H111" s="122">
        <v>11880</v>
      </c>
      <c r="I111" s="122">
        <f t="shared" si="41"/>
        <v>11499.84</v>
      </c>
      <c r="J111" s="147">
        <f t="shared" si="42"/>
        <v>10119.859200000001</v>
      </c>
      <c r="K111" s="122"/>
      <c r="L111" s="122">
        <v>0</v>
      </c>
      <c r="M111" s="122">
        <f t="shared" si="43"/>
        <v>0</v>
      </c>
      <c r="N111" s="122">
        <f t="shared" si="44"/>
        <v>0</v>
      </c>
      <c r="O111" s="122"/>
      <c r="P111" s="122">
        <v>0</v>
      </c>
      <c r="Q111" s="122">
        <f t="shared" si="45"/>
        <v>0</v>
      </c>
      <c r="R111" s="147">
        <f t="shared" si="46"/>
        <v>0</v>
      </c>
      <c r="S111" s="145">
        <v>9</v>
      </c>
      <c r="T111" s="144" t="s">
        <v>1176</v>
      </c>
      <c r="U111" s="90">
        <f>SUMIF('Avoided Costs 2009-2017'!$A:$A,Actuals!T111&amp;Actuals!S111,'Avoided Costs 2009-2017'!$E:$E)*J111</f>
        <v>22544.134122492942</v>
      </c>
      <c r="V111" s="90">
        <f>SUMIF('Avoided Costs 2009-2017'!$A:$A,Actuals!T111&amp;Actuals!S111,'Avoided Costs 2009-2017'!$K:$K)*N111</f>
        <v>0</v>
      </c>
      <c r="W111" s="90">
        <f>SUMIF('Avoided Costs 2009-2017'!$A:$A,Actuals!T111&amp;Actuals!S111,'Avoided Costs 2009-2017'!$M:$M)*R111</f>
        <v>0</v>
      </c>
      <c r="X111" s="90">
        <f t="shared" si="47"/>
        <v>22544.134122492942</v>
      </c>
      <c r="Y111" s="148">
        <v>20160</v>
      </c>
      <c r="Z111" s="149">
        <f t="shared" si="48"/>
        <v>17740.8</v>
      </c>
      <c r="AA111" s="148"/>
      <c r="AB111" s="145"/>
      <c r="AC111" s="145"/>
      <c r="AD111" s="148">
        <f t="shared" si="49"/>
        <v>17740.8</v>
      </c>
      <c r="AE111" s="122">
        <f t="shared" si="50"/>
        <v>4803.3341224929427</v>
      </c>
      <c r="AF111" s="167">
        <f t="shared" si="51"/>
        <v>91078.732800000013</v>
      </c>
    </row>
    <row r="112" spans="1:32" s="150" customFormat="1" x14ac:dyDescent="0.2">
      <c r="A112" s="144" t="s">
        <v>1</v>
      </c>
      <c r="B112" s="144"/>
      <c r="C112" s="144"/>
      <c r="D112" s="145">
        <v>1</v>
      </c>
      <c r="E112" s="122"/>
      <c r="F112" s="146">
        <v>0.12</v>
      </c>
      <c r="G112" s="146"/>
      <c r="H112" s="122">
        <v>148993</v>
      </c>
      <c r="I112" s="122">
        <f t="shared" si="41"/>
        <v>144225.22399999999</v>
      </c>
      <c r="J112" s="147">
        <f t="shared" si="42"/>
        <v>126918.19711999998</v>
      </c>
      <c r="K112" s="122"/>
      <c r="L112" s="122">
        <v>0</v>
      </c>
      <c r="M112" s="122">
        <f t="shared" si="43"/>
        <v>0</v>
      </c>
      <c r="N112" s="122">
        <f t="shared" si="44"/>
        <v>0</v>
      </c>
      <c r="O112" s="122"/>
      <c r="P112" s="122">
        <v>0</v>
      </c>
      <c r="Q112" s="122">
        <f t="shared" si="45"/>
        <v>0</v>
      </c>
      <c r="R112" s="147">
        <f t="shared" si="46"/>
        <v>0</v>
      </c>
      <c r="S112" s="145">
        <v>11</v>
      </c>
      <c r="T112" s="144" t="s">
        <v>213</v>
      </c>
      <c r="U112" s="90">
        <f>SUMIF('Avoided Costs 2009-2017'!$A:$A,Actuals!T112&amp;Actuals!S112,'Avoided Costs 2009-2017'!$E:$E)*J112</f>
        <v>355204.81838988123</v>
      </c>
      <c r="V112" s="90">
        <f>SUMIF('Avoided Costs 2009-2017'!$A:$A,Actuals!T112&amp;Actuals!S112,'Avoided Costs 2009-2017'!$K:$K)*N112</f>
        <v>0</v>
      </c>
      <c r="W112" s="90">
        <f>SUMIF('Avoided Costs 2009-2017'!$A:$A,Actuals!T112&amp;Actuals!S112,'Avoided Costs 2009-2017'!$M:$M)*R112</f>
        <v>0</v>
      </c>
      <c r="X112" s="90">
        <f t="shared" si="47"/>
        <v>355204.81838988123</v>
      </c>
      <c r="Y112" s="148">
        <v>97822</v>
      </c>
      <c r="Z112" s="149">
        <f t="shared" si="48"/>
        <v>86083.36</v>
      </c>
      <c r="AA112" s="148"/>
      <c r="AB112" s="145"/>
      <c r="AC112" s="145"/>
      <c r="AD112" s="148">
        <f t="shared" si="49"/>
        <v>86083.36</v>
      </c>
      <c r="AE112" s="122">
        <f t="shared" si="50"/>
        <v>269121.45838988124</v>
      </c>
      <c r="AF112" s="167">
        <f t="shared" si="51"/>
        <v>1396100.1683199997</v>
      </c>
    </row>
    <row r="113" spans="1:32" s="150" customFormat="1" x14ac:dyDescent="0.2">
      <c r="A113" s="144" t="s">
        <v>2</v>
      </c>
      <c r="B113" s="144"/>
      <c r="C113" s="144"/>
      <c r="D113" s="145">
        <v>1</v>
      </c>
      <c r="E113" s="122"/>
      <c r="F113" s="146">
        <v>0.12</v>
      </c>
      <c r="G113" s="146"/>
      <c r="H113" s="122">
        <v>6459</v>
      </c>
      <c r="I113" s="122">
        <f t="shared" si="41"/>
        <v>6252.3119999999999</v>
      </c>
      <c r="J113" s="147">
        <f t="shared" si="42"/>
        <v>5502.0345600000001</v>
      </c>
      <c r="K113" s="122"/>
      <c r="L113" s="122">
        <v>0</v>
      </c>
      <c r="M113" s="122">
        <f t="shared" si="43"/>
        <v>0</v>
      </c>
      <c r="N113" s="122">
        <f t="shared" si="44"/>
        <v>0</v>
      </c>
      <c r="O113" s="122"/>
      <c r="P113" s="122">
        <v>0</v>
      </c>
      <c r="Q113" s="122">
        <f t="shared" si="45"/>
        <v>0</v>
      </c>
      <c r="R113" s="147">
        <f t="shared" si="46"/>
        <v>0</v>
      </c>
      <c r="S113" s="145">
        <v>9</v>
      </c>
      <c r="T113" s="144" t="s">
        <v>1176</v>
      </c>
      <c r="U113" s="90">
        <f>SUMIF('Avoided Costs 2009-2017'!$A:$A,Actuals!T113&amp;Actuals!S113,'Avoided Costs 2009-2017'!$E:$E)*J113</f>
        <v>12256.949688314973</v>
      </c>
      <c r="V113" s="90">
        <f>SUMIF('Avoided Costs 2009-2017'!$A:$A,Actuals!T113&amp;Actuals!S113,'Avoided Costs 2009-2017'!$K:$K)*N113</f>
        <v>0</v>
      </c>
      <c r="W113" s="90">
        <f>SUMIF('Avoided Costs 2009-2017'!$A:$A,Actuals!T113&amp;Actuals!S113,'Avoided Costs 2009-2017'!$M:$M)*R113</f>
        <v>0</v>
      </c>
      <c r="X113" s="90">
        <f t="shared" si="47"/>
        <v>12256.949688314973</v>
      </c>
      <c r="Y113" s="148">
        <v>10422</v>
      </c>
      <c r="Z113" s="149">
        <f t="shared" si="48"/>
        <v>9171.36</v>
      </c>
      <c r="AA113" s="148"/>
      <c r="AB113" s="145"/>
      <c r="AC113" s="145"/>
      <c r="AD113" s="148">
        <f t="shared" si="49"/>
        <v>9171.36</v>
      </c>
      <c r="AE113" s="122">
        <f t="shared" si="50"/>
        <v>3085.5896883149726</v>
      </c>
      <c r="AF113" s="167">
        <f t="shared" si="51"/>
        <v>49518.311040000001</v>
      </c>
    </row>
    <row r="114" spans="1:32" s="150" customFormat="1" x14ac:dyDescent="0.2">
      <c r="A114" s="144" t="s">
        <v>3</v>
      </c>
      <c r="B114" s="144"/>
      <c r="C114" s="144"/>
      <c r="D114" s="145">
        <v>1</v>
      </c>
      <c r="E114" s="122"/>
      <c r="F114" s="146">
        <v>0.12</v>
      </c>
      <c r="G114" s="146"/>
      <c r="H114" s="122">
        <v>14485</v>
      </c>
      <c r="I114" s="122">
        <f t="shared" si="41"/>
        <v>14021.48</v>
      </c>
      <c r="J114" s="147">
        <f t="shared" si="42"/>
        <v>12338.902399999999</v>
      </c>
      <c r="K114" s="122"/>
      <c r="L114" s="122">
        <v>0</v>
      </c>
      <c r="M114" s="122">
        <f t="shared" si="43"/>
        <v>0</v>
      </c>
      <c r="N114" s="122">
        <f t="shared" si="44"/>
        <v>0</v>
      </c>
      <c r="O114" s="122"/>
      <c r="P114" s="122">
        <v>0</v>
      </c>
      <c r="Q114" s="122">
        <f t="shared" si="45"/>
        <v>0</v>
      </c>
      <c r="R114" s="147">
        <f t="shared" si="46"/>
        <v>0</v>
      </c>
      <c r="S114" s="145">
        <v>13</v>
      </c>
      <c r="T114" s="144" t="s">
        <v>213</v>
      </c>
      <c r="U114" s="90">
        <f>SUMIF('Avoided Costs 2009-2017'!$A:$A,Actuals!T114&amp;Actuals!S114,'Avoided Costs 2009-2017'!$E:$E)*J114</f>
        <v>38375.937815393328</v>
      </c>
      <c r="V114" s="90">
        <f>SUMIF('Avoided Costs 2009-2017'!$A:$A,Actuals!T114&amp;Actuals!S114,'Avoided Costs 2009-2017'!$K:$K)*N114</f>
        <v>0</v>
      </c>
      <c r="W114" s="90">
        <f>SUMIF('Avoided Costs 2009-2017'!$A:$A,Actuals!T114&amp;Actuals!S114,'Avoided Costs 2009-2017'!$M:$M)*R114</f>
        <v>0</v>
      </c>
      <c r="X114" s="90">
        <f t="shared" si="47"/>
        <v>38375.937815393328</v>
      </c>
      <c r="Y114" s="148">
        <v>5656</v>
      </c>
      <c r="Z114" s="149">
        <f t="shared" si="48"/>
        <v>4977.28</v>
      </c>
      <c r="AA114" s="148"/>
      <c r="AB114" s="145"/>
      <c r="AC114" s="145"/>
      <c r="AD114" s="148">
        <f t="shared" si="49"/>
        <v>4977.28</v>
      </c>
      <c r="AE114" s="122">
        <f t="shared" si="50"/>
        <v>33398.65781539333</v>
      </c>
      <c r="AF114" s="167">
        <f t="shared" si="51"/>
        <v>160405.73119999998</v>
      </c>
    </row>
    <row r="115" spans="1:32" s="150" customFormat="1" x14ac:dyDescent="0.2">
      <c r="A115" s="144" t="s">
        <v>4</v>
      </c>
      <c r="B115" s="144"/>
      <c r="C115" s="144"/>
      <c r="D115" s="145">
        <v>1</v>
      </c>
      <c r="E115" s="122"/>
      <c r="F115" s="146">
        <v>0.12</v>
      </c>
      <c r="G115" s="146"/>
      <c r="H115" s="122">
        <v>26198</v>
      </c>
      <c r="I115" s="122">
        <f t="shared" si="41"/>
        <v>25359.664000000001</v>
      </c>
      <c r="J115" s="147">
        <f t="shared" si="42"/>
        <v>22316.50432</v>
      </c>
      <c r="K115" s="122"/>
      <c r="L115" s="122">
        <v>0</v>
      </c>
      <c r="M115" s="122">
        <f t="shared" si="43"/>
        <v>0</v>
      </c>
      <c r="N115" s="122">
        <f t="shared" si="44"/>
        <v>0</v>
      </c>
      <c r="O115" s="122"/>
      <c r="P115" s="122">
        <v>0</v>
      </c>
      <c r="Q115" s="122">
        <f t="shared" si="45"/>
        <v>0</v>
      </c>
      <c r="R115" s="147">
        <f t="shared" si="46"/>
        <v>0</v>
      </c>
      <c r="S115" s="145">
        <v>13</v>
      </c>
      <c r="T115" s="144" t="s">
        <v>213</v>
      </c>
      <c r="U115" s="90">
        <f>SUMIF('Avoided Costs 2009-2017'!$A:$A,Actuals!T115&amp;Actuals!S115,'Avoided Costs 2009-2017'!$E:$E)*J115</f>
        <v>69407.85770712285</v>
      </c>
      <c r="V115" s="90">
        <f>SUMIF('Avoided Costs 2009-2017'!$A:$A,Actuals!T115&amp;Actuals!S115,'Avoided Costs 2009-2017'!$K:$K)*N115</f>
        <v>0</v>
      </c>
      <c r="W115" s="90">
        <f>SUMIF('Avoided Costs 2009-2017'!$A:$A,Actuals!T115&amp;Actuals!S115,'Avoided Costs 2009-2017'!$M:$M)*R115</f>
        <v>0</v>
      </c>
      <c r="X115" s="90">
        <f t="shared" si="47"/>
        <v>69407.85770712285</v>
      </c>
      <c r="Y115" s="148">
        <v>2954</v>
      </c>
      <c r="Z115" s="149">
        <f t="shared" si="48"/>
        <v>2599.52</v>
      </c>
      <c r="AA115" s="148"/>
      <c r="AB115" s="145"/>
      <c r="AC115" s="145"/>
      <c r="AD115" s="148">
        <f t="shared" si="49"/>
        <v>2599.52</v>
      </c>
      <c r="AE115" s="122">
        <f t="shared" si="50"/>
        <v>66808.337707122846</v>
      </c>
      <c r="AF115" s="167">
        <f t="shared" si="51"/>
        <v>290114.55615999998</v>
      </c>
    </row>
    <row r="116" spans="1:32" s="150" customFormat="1" x14ac:dyDescent="0.2">
      <c r="A116" s="144" t="s">
        <v>5</v>
      </c>
      <c r="B116" s="144"/>
      <c r="C116" s="144"/>
      <c r="D116" s="145">
        <v>1</v>
      </c>
      <c r="E116" s="122"/>
      <c r="F116" s="146">
        <v>0.12</v>
      </c>
      <c r="G116" s="146"/>
      <c r="H116" s="122">
        <v>28283</v>
      </c>
      <c r="I116" s="122">
        <f t="shared" si="41"/>
        <v>27377.944</v>
      </c>
      <c r="J116" s="147">
        <f t="shared" si="42"/>
        <v>24092.59072</v>
      </c>
      <c r="K116" s="122"/>
      <c r="L116" s="122">
        <v>0</v>
      </c>
      <c r="M116" s="122">
        <f t="shared" si="43"/>
        <v>0</v>
      </c>
      <c r="N116" s="122">
        <f t="shared" si="44"/>
        <v>0</v>
      </c>
      <c r="O116" s="122"/>
      <c r="P116" s="122">
        <v>0</v>
      </c>
      <c r="Q116" s="122">
        <f t="shared" si="45"/>
        <v>0</v>
      </c>
      <c r="R116" s="147">
        <f t="shared" si="46"/>
        <v>0</v>
      </c>
      <c r="S116" s="145">
        <v>13</v>
      </c>
      <c r="T116" s="144" t="s">
        <v>213</v>
      </c>
      <c r="U116" s="90">
        <f>SUMIF('Avoided Costs 2009-2017'!$A:$A,Actuals!T116&amp;Actuals!S116,'Avoided Costs 2009-2017'!$E:$E)*J116</f>
        <v>74931.767292562625</v>
      </c>
      <c r="V116" s="90">
        <f>SUMIF('Avoided Costs 2009-2017'!$A:$A,Actuals!T116&amp;Actuals!S116,'Avoided Costs 2009-2017'!$K:$K)*N116</f>
        <v>0</v>
      </c>
      <c r="W116" s="90">
        <f>SUMIF('Avoided Costs 2009-2017'!$A:$A,Actuals!T116&amp;Actuals!S116,'Avoided Costs 2009-2017'!$M:$M)*R116</f>
        <v>0</v>
      </c>
      <c r="X116" s="90">
        <f t="shared" si="47"/>
        <v>74931.767292562625</v>
      </c>
      <c r="Y116" s="148">
        <v>3580</v>
      </c>
      <c r="Z116" s="149">
        <f t="shared" si="48"/>
        <v>3150.4</v>
      </c>
      <c r="AA116" s="148"/>
      <c r="AB116" s="145"/>
      <c r="AC116" s="145"/>
      <c r="AD116" s="148">
        <f t="shared" ref="AD116:AD138" si="52">Z116+AB116</f>
        <v>3150.4</v>
      </c>
      <c r="AE116" s="122">
        <f t="shared" ref="AE116:AE138" si="53">X116-AD116</f>
        <v>71781.367292562631</v>
      </c>
      <c r="AF116" s="167">
        <f t="shared" si="51"/>
        <v>313203.67936000001</v>
      </c>
    </row>
    <row r="117" spans="1:32" s="150" customFormat="1" x14ac:dyDescent="0.2">
      <c r="A117" s="144" t="s">
        <v>6</v>
      </c>
      <c r="B117" s="144"/>
      <c r="C117" s="144"/>
      <c r="D117" s="145">
        <v>1</v>
      </c>
      <c r="E117" s="122"/>
      <c r="F117" s="146">
        <v>0.12</v>
      </c>
      <c r="G117" s="146"/>
      <c r="H117" s="122">
        <v>12937</v>
      </c>
      <c r="I117" s="122">
        <f t="shared" si="41"/>
        <v>12523.016</v>
      </c>
      <c r="J117" s="147">
        <f t="shared" si="42"/>
        <v>11020.254080000001</v>
      </c>
      <c r="K117" s="122"/>
      <c r="L117" s="122">
        <v>0</v>
      </c>
      <c r="M117" s="122">
        <f t="shared" si="43"/>
        <v>0</v>
      </c>
      <c r="N117" s="122">
        <f t="shared" si="44"/>
        <v>0</v>
      </c>
      <c r="O117" s="122"/>
      <c r="P117" s="122">
        <v>0</v>
      </c>
      <c r="Q117" s="122">
        <f t="shared" si="45"/>
        <v>0</v>
      </c>
      <c r="R117" s="147">
        <f t="shared" si="46"/>
        <v>0</v>
      </c>
      <c r="S117" s="145">
        <v>13</v>
      </c>
      <c r="T117" s="144" t="s">
        <v>213</v>
      </c>
      <c r="U117" s="90">
        <f>SUMIF('Avoided Costs 2009-2017'!$A:$A,Actuals!T117&amp;Actuals!S117,'Avoided Costs 2009-2017'!$E:$E)*J117</f>
        <v>34274.733000879773</v>
      </c>
      <c r="V117" s="90">
        <f>SUMIF('Avoided Costs 2009-2017'!$A:$A,Actuals!T117&amp;Actuals!S117,'Avoided Costs 2009-2017'!$K:$K)*N117</f>
        <v>0</v>
      </c>
      <c r="W117" s="90">
        <f>SUMIF('Avoided Costs 2009-2017'!$A:$A,Actuals!T117&amp;Actuals!S117,'Avoided Costs 2009-2017'!$M:$M)*R117</f>
        <v>0</v>
      </c>
      <c r="X117" s="90">
        <f t="shared" si="47"/>
        <v>34274.733000879773</v>
      </c>
      <c r="Y117" s="148">
        <v>2429</v>
      </c>
      <c r="Z117" s="149">
        <f t="shared" si="48"/>
        <v>2137.52</v>
      </c>
      <c r="AA117" s="148"/>
      <c r="AB117" s="145"/>
      <c r="AC117" s="145"/>
      <c r="AD117" s="148">
        <f t="shared" si="52"/>
        <v>2137.52</v>
      </c>
      <c r="AE117" s="122">
        <f t="shared" si="53"/>
        <v>32137.213000879772</v>
      </c>
      <c r="AF117" s="167">
        <f t="shared" si="51"/>
        <v>143263.30304</v>
      </c>
    </row>
    <row r="118" spans="1:32" s="150" customFormat="1" x14ac:dyDescent="0.2">
      <c r="A118" s="144" t="s">
        <v>7</v>
      </c>
      <c r="B118" s="144"/>
      <c r="C118" s="144"/>
      <c r="D118" s="145">
        <v>1</v>
      </c>
      <c r="E118" s="122"/>
      <c r="F118" s="146">
        <v>0.12</v>
      </c>
      <c r="G118" s="146"/>
      <c r="H118" s="122">
        <v>50120</v>
      </c>
      <c r="I118" s="122">
        <f t="shared" si="41"/>
        <v>48516.159999999996</v>
      </c>
      <c r="J118" s="147">
        <f t="shared" si="42"/>
        <v>42694.220799999996</v>
      </c>
      <c r="K118" s="122"/>
      <c r="L118" s="122">
        <v>0</v>
      </c>
      <c r="M118" s="122">
        <f t="shared" si="43"/>
        <v>0</v>
      </c>
      <c r="N118" s="122">
        <f t="shared" si="44"/>
        <v>0</v>
      </c>
      <c r="O118" s="122"/>
      <c r="P118" s="122">
        <v>0</v>
      </c>
      <c r="Q118" s="122">
        <f t="shared" si="45"/>
        <v>0</v>
      </c>
      <c r="R118" s="147">
        <f t="shared" si="46"/>
        <v>0</v>
      </c>
      <c r="S118" s="145">
        <v>11</v>
      </c>
      <c r="T118" s="144" t="s">
        <v>213</v>
      </c>
      <c r="U118" s="90">
        <f>SUMIF('Avoided Costs 2009-2017'!$A:$A,Actuals!T118&amp;Actuals!S118,'Avoided Costs 2009-2017'!$E:$E)*J118</f>
        <v>119487.93230353673</v>
      </c>
      <c r="V118" s="90">
        <f>SUMIF('Avoided Costs 2009-2017'!$A:$A,Actuals!T118&amp;Actuals!S118,'Avoided Costs 2009-2017'!$K:$K)*N118</f>
        <v>0</v>
      </c>
      <c r="W118" s="90">
        <f>SUMIF('Avoided Costs 2009-2017'!$A:$A,Actuals!T118&amp;Actuals!S118,'Avoided Costs 2009-2017'!$M:$M)*R118</f>
        <v>0</v>
      </c>
      <c r="X118" s="90">
        <f t="shared" si="47"/>
        <v>119487.93230353673</v>
      </c>
      <c r="Y118" s="148">
        <v>52364</v>
      </c>
      <c r="Z118" s="149">
        <f t="shared" si="48"/>
        <v>46080.32</v>
      </c>
      <c r="AA118" s="148"/>
      <c r="AB118" s="145"/>
      <c r="AC118" s="145"/>
      <c r="AD118" s="148">
        <f t="shared" si="52"/>
        <v>46080.32</v>
      </c>
      <c r="AE118" s="122">
        <f t="shared" si="53"/>
        <v>73407.612303536735</v>
      </c>
      <c r="AF118" s="167">
        <f t="shared" si="51"/>
        <v>469636.42879999994</v>
      </c>
    </row>
    <row r="119" spans="1:32" s="150" customFormat="1" x14ac:dyDescent="0.2">
      <c r="A119" s="144" t="s">
        <v>910</v>
      </c>
      <c r="B119" s="144"/>
      <c r="C119" s="144"/>
      <c r="D119" s="145">
        <v>1</v>
      </c>
      <c r="E119" s="122"/>
      <c r="F119" s="146">
        <v>0.12</v>
      </c>
      <c r="G119" s="146"/>
      <c r="H119" s="122">
        <v>28221</v>
      </c>
      <c r="I119" s="122">
        <f t="shared" si="41"/>
        <v>27317.928</v>
      </c>
      <c r="J119" s="147">
        <f t="shared" si="42"/>
        <v>24039.77664</v>
      </c>
      <c r="K119" s="122"/>
      <c r="L119" s="122">
        <v>0</v>
      </c>
      <c r="M119" s="122">
        <f t="shared" si="43"/>
        <v>0</v>
      </c>
      <c r="N119" s="122">
        <f t="shared" si="44"/>
        <v>0</v>
      </c>
      <c r="O119" s="122"/>
      <c r="P119" s="122">
        <v>0</v>
      </c>
      <c r="Q119" s="122">
        <f t="shared" si="45"/>
        <v>0</v>
      </c>
      <c r="R119" s="147">
        <f t="shared" si="46"/>
        <v>0</v>
      </c>
      <c r="S119" s="145">
        <v>13</v>
      </c>
      <c r="T119" s="144" t="s">
        <v>213</v>
      </c>
      <c r="U119" s="90">
        <f>SUMIF('Avoided Costs 2009-2017'!$A:$A,Actuals!T119&amp;Actuals!S119,'Avoided Costs 2009-2017'!$E:$E)*J119</f>
        <v>74767.50715141285</v>
      </c>
      <c r="V119" s="90">
        <f>SUMIF('Avoided Costs 2009-2017'!$A:$A,Actuals!T119&amp;Actuals!S119,'Avoided Costs 2009-2017'!$K:$K)*N119</f>
        <v>0</v>
      </c>
      <c r="W119" s="90">
        <f>SUMIF('Avoided Costs 2009-2017'!$A:$A,Actuals!T119&amp;Actuals!S119,'Avoided Costs 2009-2017'!$M:$M)*R119</f>
        <v>0</v>
      </c>
      <c r="X119" s="90">
        <f t="shared" si="47"/>
        <v>74767.50715141285</v>
      </c>
      <c r="Y119" s="148">
        <v>5087</v>
      </c>
      <c r="Z119" s="149">
        <f t="shared" si="48"/>
        <v>4476.5600000000004</v>
      </c>
      <c r="AA119" s="148"/>
      <c r="AB119" s="145"/>
      <c r="AC119" s="145"/>
      <c r="AD119" s="148">
        <f t="shared" si="52"/>
        <v>4476.5600000000004</v>
      </c>
      <c r="AE119" s="122">
        <f t="shared" si="53"/>
        <v>70290.947151412853</v>
      </c>
      <c r="AF119" s="167">
        <f t="shared" si="51"/>
        <v>312517.09632000001</v>
      </c>
    </row>
    <row r="120" spans="1:32" s="150" customFormat="1" x14ac:dyDescent="0.2">
      <c r="A120" s="144" t="s">
        <v>911</v>
      </c>
      <c r="B120" s="144"/>
      <c r="C120" s="144"/>
      <c r="D120" s="145">
        <v>0</v>
      </c>
      <c r="E120" s="122"/>
      <c r="F120" s="146">
        <v>0.12</v>
      </c>
      <c r="G120" s="146"/>
      <c r="H120" s="122">
        <v>117288</v>
      </c>
      <c r="I120" s="122">
        <f>+H120</f>
        <v>117288</v>
      </c>
      <c r="J120" s="147">
        <f t="shared" si="42"/>
        <v>103213.44</v>
      </c>
      <c r="K120" s="122"/>
      <c r="L120" s="122">
        <v>762635</v>
      </c>
      <c r="M120" s="122">
        <f>+L120</f>
        <v>762635</v>
      </c>
      <c r="N120" s="122">
        <f t="shared" si="44"/>
        <v>671118.8</v>
      </c>
      <c r="O120" s="122"/>
      <c r="P120" s="122">
        <v>0</v>
      </c>
      <c r="Q120" s="122">
        <f t="shared" si="45"/>
        <v>0</v>
      </c>
      <c r="R120" s="147">
        <f t="shared" si="46"/>
        <v>0</v>
      </c>
      <c r="S120" s="145">
        <v>15</v>
      </c>
      <c r="T120" s="144" t="s">
        <v>213</v>
      </c>
      <c r="U120" s="90">
        <f>SUMIF('Avoided Costs 2009-2017'!$A:$A,Actuals!T120&amp;Actuals!S120,'Avoided Costs 2009-2017'!$E:$E)*J120</f>
        <v>349089.07456409966</v>
      </c>
      <c r="V120" s="90">
        <f>SUMIF('Avoided Costs 2009-2017'!$A:$A,Actuals!T120&amp;Actuals!S120,'Avoided Costs 2009-2017'!$K:$K)*N120</f>
        <v>501011.77845962957</v>
      </c>
      <c r="W120" s="90">
        <f>SUMIF('Avoided Costs 2009-2017'!$A:$A,Actuals!T120&amp;Actuals!S120,'Avoided Costs 2009-2017'!$M:$M)*R120</f>
        <v>0</v>
      </c>
      <c r="X120" s="90">
        <f t="shared" si="47"/>
        <v>850100.85302372929</v>
      </c>
      <c r="Y120" s="148">
        <v>301642</v>
      </c>
      <c r="Z120" s="149">
        <f t="shared" si="48"/>
        <v>265444.96000000002</v>
      </c>
      <c r="AA120" s="148"/>
      <c r="AB120" s="145"/>
      <c r="AC120" s="145"/>
      <c r="AD120" s="148">
        <f t="shared" si="52"/>
        <v>265444.96000000002</v>
      </c>
      <c r="AE120" s="122">
        <f t="shared" si="53"/>
        <v>584655.89302372932</v>
      </c>
      <c r="AF120" s="167">
        <f t="shared" si="51"/>
        <v>1548201.6</v>
      </c>
    </row>
    <row r="121" spans="1:32" s="150" customFormat="1" x14ac:dyDescent="0.2">
      <c r="A121" s="144" t="s">
        <v>912</v>
      </c>
      <c r="B121" s="144"/>
      <c r="C121" s="144"/>
      <c r="D121" s="145">
        <v>0</v>
      </c>
      <c r="E121" s="122"/>
      <c r="F121" s="146">
        <v>0.12</v>
      </c>
      <c r="G121" s="146"/>
      <c r="H121" s="122">
        <v>25266</v>
      </c>
      <c r="I121" s="122">
        <f>+H121</f>
        <v>25266</v>
      </c>
      <c r="J121" s="147">
        <f t="shared" si="42"/>
        <v>22234.080000000002</v>
      </c>
      <c r="K121" s="122"/>
      <c r="L121" s="122">
        <v>2894</v>
      </c>
      <c r="M121" s="122">
        <f>+L121</f>
        <v>2894</v>
      </c>
      <c r="N121" s="122">
        <f t="shared" si="44"/>
        <v>2546.7199999999998</v>
      </c>
      <c r="O121" s="122"/>
      <c r="P121" s="122">
        <v>0</v>
      </c>
      <c r="Q121" s="122">
        <f t="shared" si="45"/>
        <v>0</v>
      </c>
      <c r="R121" s="147">
        <f t="shared" si="46"/>
        <v>0</v>
      </c>
      <c r="S121" s="145">
        <v>5</v>
      </c>
      <c r="T121" s="144" t="s">
        <v>213</v>
      </c>
      <c r="U121" s="90">
        <f>SUMIF('Avoided Costs 2009-2017'!$A:$A,Actuals!T121&amp;Actuals!S121,'Avoided Costs 2009-2017'!$E:$E)*J121</f>
        <v>33386.146539931011</v>
      </c>
      <c r="V121" s="90">
        <f>SUMIF('Avoided Costs 2009-2017'!$A:$A,Actuals!T121&amp;Actuals!S121,'Avoided Costs 2009-2017'!$K:$K)*N121</f>
        <v>858.50261084365241</v>
      </c>
      <c r="W121" s="90">
        <f>SUMIF('Avoided Costs 2009-2017'!$A:$A,Actuals!T121&amp;Actuals!S121,'Avoided Costs 2009-2017'!$M:$M)*R121</f>
        <v>0</v>
      </c>
      <c r="X121" s="90">
        <f t="shared" si="47"/>
        <v>34244.649150774661</v>
      </c>
      <c r="Y121" s="148">
        <v>253938</v>
      </c>
      <c r="Z121" s="149">
        <f t="shared" si="48"/>
        <v>223465.44</v>
      </c>
      <c r="AA121" s="148"/>
      <c r="AB121" s="145"/>
      <c r="AC121" s="145"/>
      <c r="AD121" s="148">
        <f t="shared" si="52"/>
        <v>223465.44</v>
      </c>
      <c r="AE121" s="122">
        <f t="shared" si="53"/>
        <v>-189220.79084922533</v>
      </c>
      <c r="AF121" s="167">
        <f t="shared" si="51"/>
        <v>111170.40000000001</v>
      </c>
    </row>
    <row r="122" spans="1:32" s="150" customFormat="1" x14ac:dyDescent="0.2">
      <c r="A122" s="144" t="s">
        <v>913</v>
      </c>
      <c r="B122" s="144"/>
      <c r="C122" s="144"/>
      <c r="D122" s="145">
        <v>1</v>
      </c>
      <c r="E122" s="122"/>
      <c r="F122" s="146">
        <v>0.12</v>
      </c>
      <c r="G122" s="146"/>
      <c r="H122" s="122">
        <v>21942</v>
      </c>
      <c r="I122" s="122">
        <f>+H122</f>
        <v>21942</v>
      </c>
      <c r="J122" s="147">
        <f t="shared" si="42"/>
        <v>19308.96</v>
      </c>
      <c r="K122" s="122"/>
      <c r="L122" s="122">
        <v>0</v>
      </c>
      <c r="M122" s="122">
        <f t="shared" si="43"/>
        <v>0</v>
      </c>
      <c r="N122" s="122">
        <f t="shared" si="44"/>
        <v>0</v>
      </c>
      <c r="O122" s="122"/>
      <c r="P122" s="122">
        <v>0</v>
      </c>
      <c r="Q122" s="122">
        <f t="shared" si="45"/>
        <v>0</v>
      </c>
      <c r="R122" s="147">
        <f t="shared" si="46"/>
        <v>0</v>
      </c>
      <c r="S122" s="145">
        <v>11</v>
      </c>
      <c r="T122" s="144" t="s">
        <v>213</v>
      </c>
      <c r="U122" s="90">
        <f>SUMIF('Avoided Costs 2009-2017'!$A:$A,Actuals!T122&amp;Actuals!S122,'Avoided Costs 2009-2017'!$E:$E)*J122</f>
        <v>54039.812932519868</v>
      </c>
      <c r="V122" s="90">
        <f>SUMIF('Avoided Costs 2009-2017'!$A:$A,Actuals!T122&amp;Actuals!S122,'Avoided Costs 2009-2017'!$K:$K)*N122</f>
        <v>0</v>
      </c>
      <c r="W122" s="90">
        <f>SUMIF('Avoided Costs 2009-2017'!$A:$A,Actuals!T122&amp;Actuals!S122,'Avoided Costs 2009-2017'!$M:$M)*R122</f>
        <v>0</v>
      </c>
      <c r="X122" s="90">
        <f t="shared" si="47"/>
        <v>54039.812932519868</v>
      </c>
      <c r="Y122" s="148">
        <v>222134</v>
      </c>
      <c r="Z122" s="149">
        <f t="shared" si="48"/>
        <v>195477.92</v>
      </c>
      <c r="AA122" s="148"/>
      <c r="AB122" s="145"/>
      <c r="AC122" s="145"/>
      <c r="AD122" s="148">
        <f t="shared" si="52"/>
        <v>195477.92</v>
      </c>
      <c r="AE122" s="122">
        <f t="shared" si="53"/>
        <v>-141438.10706748016</v>
      </c>
      <c r="AF122" s="167">
        <f t="shared" si="51"/>
        <v>212398.56</v>
      </c>
    </row>
    <row r="123" spans="1:32" s="150" customFormat="1" x14ac:dyDescent="0.2">
      <c r="A123" s="144" t="s">
        <v>914</v>
      </c>
      <c r="B123" s="144"/>
      <c r="C123" s="144"/>
      <c r="D123" s="145">
        <v>1</v>
      </c>
      <c r="E123" s="122"/>
      <c r="F123" s="146">
        <v>0.12</v>
      </c>
      <c r="G123" s="146"/>
      <c r="H123" s="122">
        <v>25070</v>
      </c>
      <c r="I123" s="122">
        <f t="shared" si="41"/>
        <v>24267.759999999998</v>
      </c>
      <c r="J123" s="147">
        <f t="shared" si="42"/>
        <v>21355.628799999999</v>
      </c>
      <c r="K123" s="122"/>
      <c r="L123" s="122">
        <v>0</v>
      </c>
      <c r="M123" s="122">
        <f t="shared" si="43"/>
        <v>0</v>
      </c>
      <c r="N123" s="122">
        <f t="shared" si="44"/>
        <v>0</v>
      </c>
      <c r="O123" s="122"/>
      <c r="P123" s="122">
        <v>0</v>
      </c>
      <c r="Q123" s="122">
        <f t="shared" si="45"/>
        <v>0</v>
      </c>
      <c r="R123" s="147">
        <f t="shared" si="46"/>
        <v>0</v>
      </c>
      <c r="S123" s="145">
        <v>11</v>
      </c>
      <c r="T123" s="144" t="s">
        <v>213</v>
      </c>
      <c r="U123" s="90">
        <f>SUMIF('Avoided Costs 2009-2017'!$A:$A,Actuals!T123&amp;Actuals!S123,'Avoided Costs 2009-2017'!$E:$E)*J123</f>
        <v>59767.8065213421</v>
      </c>
      <c r="V123" s="90">
        <f>SUMIF('Avoided Costs 2009-2017'!$A:$A,Actuals!T123&amp;Actuals!S123,'Avoided Costs 2009-2017'!$K:$K)*N123</f>
        <v>0</v>
      </c>
      <c r="W123" s="90">
        <f>SUMIF('Avoided Costs 2009-2017'!$A:$A,Actuals!T123&amp;Actuals!S123,'Avoided Costs 2009-2017'!$M:$M)*R123</f>
        <v>0</v>
      </c>
      <c r="X123" s="90">
        <f t="shared" si="47"/>
        <v>59767.8065213421</v>
      </c>
      <c r="Y123" s="148">
        <v>31376</v>
      </c>
      <c r="Z123" s="149">
        <f t="shared" si="48"/>
        <v>27610.880000000001</v>
      </c>
      <c r="AA123" s="148"/>
      <c r="AB123" s="145"/>
      <c r="AC123" s="145"/>
      <c r="AD123" s="148">
        <f t="shared" si="52"/>
        <v>27610.880000000001</v>
      </c>
      <c r="AE123" s="122">
        <f t="shared" si="53"/>
        <v>32156.926521342099</v>
      </c>
      <c r="AF123" s="167">
        <f t="shared" si="51"/>
        <v>234911.91679999998</v>
      </c>
    </row>
    <row r="124" spans="1:32" s="150" customFormat="1" x14ac:dyDescent="0.2">
      <c r="A124" s="144" t="s">
        <v>915</v>
      </c>
      <c r="B124" s="144"/>
      <c r="C124" s="144"/>
      <c r="D124" s="145">
        <v>1</v>
      </c>
      <c r="E124" s="122"/>
      <c r="F124" s="146">
        <v>0.12</v>
      </c>
      <c r="G124" s="146"/>
      <c r="H124" s="122">
        <v>26201</v>
      </c>
      <c r="I124" s="122">
        <f t="shared" si="41"/>
        <v>25362.567999999999</v>
      </c>
      <c r="J124" s="147">
        <f t="shared" si="42"/>
        <v>22319.059839999998</v>
      </c>
      <c r="K124" s="122"/>
      <c r="L124" s="122">
        <v>0</v>
      </c>
      <c r="M124" s="122">
        <f t="shared" si="43"/>
        <v>0</v>
      </c>
      <c r="N124" s="122">
        <f t="shared" si="44"/>
        <v>0</v>
      </c>
      <c r="O124" s="122"/>
      <c r="P124" s="122">
        <v>0</v>
      </c>
      <c r="Q124" s="122">
        <f t="shared" si="45"/>
        <v>0</v>
      </c>
      <c r="R124" s="147">
        <f t="shared" si="46"/>
        <v>0</v>
      </c>
      <c r="S124" s="145">
        <v>11</v>
      </c>
      <c r="T124" s="144" t="s">
        <v>213</v>
      </c>
      <c r="U124" s="90">
        <f>SUMIF('Avoided Costs 2009-2017'!$A:$A,Actuals!T124&amp;Actuals!S124,'Avoided Costs 2009-2017'!$E:$E)*J124</f>
        <v>62464.152320131005</v>
      </c>
      <c r="V124" s="90">
        <f>SUMIF('Avoided Costs 2009-2017'!$A:$A,Actuals!T124&amp;Actuals!S124,'Avoided Costs 2009-2017'!$K:$K)*N124</f>
        <v>0</v>
      </c>
      <c r="W124" s="90">
        <f>SUMIF('Avoided Costs 2009-2017'!$A:$A,Actuals!T124&amp;Actuals!S124,'Avoided Costs 2009-2017'!$M:$M)*R124</f>
        <v>0</v>
      </c>
      <c r="X124" s="90">
        <f t="shared" si="47"/>
        <v>62464.152320131005</v>
      </c>
      <c r="Y124" s="148">
        <v>31376</v>
      </c>
      <c r="Z124" s="149">
        <f t="shared" si="48"/>
        <v>27610.880000000001</v>
      </c>
      <c r="AA124" s="148"/>
      <c r="AB124" s="145"/>
      <c r="AC124" s="145"/>
      <c r="AD124" s="148">
        <f t="shared" si="52"/>
        <v>27610.880000000001</v>
      </c>
      <c r="AE124" s="122">
        <f t="shared" si="53"/>
        <v>34853.272320131</v>
      </c>
      <c r="AF124" s="167">
        <f t="shared" si="51"/>
        <v>245509.65823999999</v>
      </c>
    </row>
    <row r="125" spans="1:32" s="150" customFormat="1" x14ac:dyDescent="0.2">
      <c r="A125" s="144" t="s">
        <v>916</v>
      </c>
      <c r="B125" s="144"/>
      <c r="C125" s="144"/>
      <c r="D125" s="145">
        <v>1</v>
      </c>
      <c r="E125" s="122"/>
      <c r="F125" s="146">
        <v>0.12</v>
      </c>
      <c r="G125" s="146"/>
      <c r="H125" s="122">
        <v>161395</v>
      </c>
      <c r="I125" s="122">
        <f t="shared" si="41"/>
        <v>156230.35999999999</v>
      </c>
      <c r="J125" s="147">
        <f t="shared" si="42"/>
        <v>137482.71679999999</v>
      </c>
      <c r="K125" s="122"/>
      <c r="L125" s="122">
        <v>0</v>
      </c>
      <c r="M125" s="122">
        <f t="shared" si="43"/>
        <v>0</v>
      </c>
      <c r="N125" s="122">
        <f t="shared" si="44"/>
        <v>0</v>
      </c>
      <c r="O125" s="122"/>
      <c r="P125" s="122">
        <v>0</v>
      </c>
      <c r="Q125" s="122">
        <f t="shared" si="45"/>
        <v>0</v>
      </c>
      <c r="R125" s="147">
        <f t="shared" si="46"/>
        <v>0</v>
      </c>
      <c r="S125" s="145">
        <v>11</v>
      </c>
      <c r="T125" s="144" t="s">
        <v>213</v>
      </c>
      <c r="U125" s="90">
        <f>SUMIF('Avoided Costs 2009-2017'!$A:$A,Actuals!T125&amp;Actuals!S125,'Avoided Costs 2009-2017'!$E:$E)*J125</f>
        <v>384771.64473522169</v>
      </c>
      <c r="V125" s="90">
        <f>SUMIF('Avoided Costs 2009-2017'!$A:$A,Actuals!T125&amp;Actuals!S125,'Avoided Costs 2009-2017'!$K:$K)*N125</f>
        <v>0</v>
      </c>
      <c r="W125" s="90">
        <f>SUMIF('Avoided Costs 2009-2017'!$A:$A,Actuals!T125&amp;Actuals!S125,'Avoided Costs 2009-2017'!$M:$M)*R125</f>
        <v>0</v>
      </c>
      <c r="X125" s="90">
        <f t="shared" si="47"/>
        <v>384771.64473522169</v>
      </c>
      <c r="Y125" s="148">
        <v>284928</v>
      </c>
      <c r="Z125" s="149">
        <f t="shared" si="48"/>
        <v>250736.64000000001</v>
      </c>
      <c r="AA125" s="148"/>
      <c r="AB125" s="145"/>
      <c r="AC125" s="145"/>
      <c r="AD125" s="148">
        <f t="shared" si="52"/>
        <v>250736.64000000001</v>
      </c>
      <c r="AE125" s="122">
        <f t="shared" si="53"/>
        <v>134035.00473522168</v>
      </c>
      <c r="AF125" s="167">
        <f t="shared" si="51"/>
        <v>1512309.8847999999</v>
      </c>
    </row>
    <row r="126" spans="1:32" s="150" customFormat="1" x14ac:dyDescent="0.2">
      <c r="A126" s="144" t="s">
        <v>917</v>
      </c>
      <c r="B126" s="144"/>
      <c r="C126" s="144"/>
      <c r="D126" s="145">
        <v>1</v>
      </c>
      <c r="E126" s="122"/>
      <c r="F126" s="146">
        <v>0.12</v>
      </c>
      <c r="G126" s="146"/>
      <c r="H126" s="122">
        <v>125733</v>
      </c>
      <c r="I126" s="122">
        <f t="shared" si="41"/>
        <v>121709.54399999999</v>
      </c>
      <c r="J126" s="147">
        <f t="shared" si="42"/>
        <v>107104.39872</v>
      </c>
      <c r="K126" s="122"/>
      <c r="L126" s="122">
        <v>0</v>
      </c>
      <c r="M126" s="122">
        <f t="shared" si="43"/>
        <v>0</v>
      </c>
      <c r="N126" s="122">
        <f t="shared" si="44"/>
        <v>0</v>
      </c>
      <c r="O126" s="122"/>
      <c r="P126" s="122">
        <v>0</v>
      </c>
      <c r="Q126" s="122">
        <f t="shared" si="45"/>
        <v>0</v>
      </c>
      <c r="R126" s="147">
        <f t="shared" si="46"/>
        <v>0</v>
      </c>
      <c r="S126" s="145">
        <v>11</v>
      </c>
      <c r="T126" s="144" t="s">
        <v>213</v>
      </c>
      <c r="U126" s="90">
        <f>SUMIF('Avoided Costs 2009-2017'!$A:$A,Actuals!T126&amp;Actuals!S126,'Avoided Costs 2009-2017'!$E:$E)*J126</f>
        <v>299752.11876138439</v>
      </c>
      <c r="V126" s="90">
        <f>SUMIF('Avoided Costs 2009-2017'!$A:$A,Actuals!T126&amp;Actuals!S126,'Avoided Costs 2009-2017'!$K:$K)*N126</f>
        <v>0</v>
      </c>
      <c r="W126" s="90">
        <f>SUMIF('Avoided Costs 2009-2017'!$A:$A,Actuals!T126&amp;Actuals!S126,'Avoided Costs 2009-2017'!$M:$M)*R126</f>
        <v>0</v>
      </c>
      <c r="X126" s="90">
        <f t="shared" si="47"/>
        <v>299752.11876138439</v>
      </c>
      <c r="Y126" s="148">
        <v>188933</v>
      </c>
      <c r="Z126" s="149">
        <f t="shared" si="48"/>
        <v>166261.04</v>
      </c>
      <c r="AA126" s="148"/>
      <c r="AB126" s="145"/>
      <c r="AC126" s="145"/>
      <c r="AD126" s="148">
        <f t="shared" si="52"/>
        <v>166261.04</v>
      </c>
      <c r="AE126" s="122">
        <f t="shared" si="53"/>
        <v>133491.07876138439</v>
      </c>
      <c r="AF126" s="167">
        <f t="shared" si="51"/>
        <v>1178148.38592</v>
      </c>
    </row>
    <row r="127" spans="1:32" s="150" customFormat="1" x14ac:dyDescent="0.2">
      <c r="A127" s="144" t="s">
        <v>918</v>
      </c>
      <c r="B127" s="144"/>
      <c r="C127" s="144"/>
      <c r="D127" s="145">
        <v>1</v>
      </c>
      <c r="E127" s="122"/>
      <c r="F127" s="146">
        <v>0.12</v>
      </c>
      <c r="G127" s="146"/>
      <c r="H127" s="122">
        <v>115298</v>
      </c>
      <c r="I127" s="122">
        <f t="shared" si="41"/>
        <v>111608.46399999999</v>
      </c>
      <c r="J127" s="147">
        <f t="shared" si="42"/>
        <v>98215.448319999996</v>
      </c>
      <c r="K127" s="122"/>
      <c r="L127" s="122">
        <v>0</v>
      </c>
      <c r="M127" s="122">
        <f t="shared" si="43"/>
        <v>0</v>
      </c>
      <c r="N127" s="122">
        <f t="shared" si="44"/>
        <v>0</v>
      </c>
      <c r="O127" s="122"/>
      <c r="P127" s="122">
        <v>0</v>
      </c>
      <c r="Q127" s="122">
        <f t="shared" si="45"/>
        <v>0</v>
      </c>
      <c r="R127" s="147">
        <f t="shared" si="46"/>
        <v>0</v>
      </c>
      <c r="S127" s="145">
        <v>11</v>
      </c>
      <c r="T127" s="144" t="s">
        <v>213</v>
      </c>
      <c r="U127" s="90">
        <f>SUMIF('Avoided Costs 2009-2017'!$A:$A,Actuals!T127&amp;Actuals!S127,'Avoided Costs 2009-2017'!$E:$E)*J127</f>
        <v>274874.69311119668</v>
      </c>
      <c r="V127" s="90">
        <f>SUMIF('Avoided Costs 2009-2017'!$A:$A,Actuals!T127&amp;Actuals!S127,'Avoided Costs 2009-2017'!$K:$K)*N127</f>
        <v>0</v>
      </c>
      <c r="W127" s="90">
        <f>SUMIF('Avoided Costs 2009-2017'!$A:$A,Actuals!T127&amp;Actuals!S127,'Avoided Costs 2009-2017'!$M:$M)*R127</f>
        <v>0</v>
      </c>
      <c r="X127" s="90">
        <f t="shared" si="47"/>
        <v>274874.69311119668</v>
      </c>
      <c r="Y127" s="148">
        <v>93280</v>
      </c>
      <c r="Z127" s="149">
        <f t="shared" si="48"/>
        <v>82086.399999999994</v>
      </c>
      <c r="AA127" s="148"/>
      <c r="AB127" s="145"/>
      <c r="AC127" s="145"/>
      <c r="AD127" s="148">
        <f t="shared" si="52"/>
        <v>82086.399999999994</v>
      </c>
      <c r="AE127" s="122">
        <f t="shared" si="53"/>
        <v>192788.29311119669</v>
      </c>
      <c r="AF127" s="167">
        <f t="shared" si="51"/>
        <v>1080369.9315199999</v>
      </c>
    </row>
    <row r="128" spans="1:32" s="150" customFormat="1" x14ac:dyDescent="0.2">
      <c r="A128" s="144" t="s">
        <v>990</v>
      </c>
      <c r="B128" s="144"/>
      <c r="C128" s="144"/>
      <c r="D128" s="145">
        <v>0</v>
      </c>
      <c r="E128" s="122"/>
      <c r="F128" s="146">
        <v>0.12</v>
      </c>
      <c r="G128" s="146"/>
      <c r="H128" s="122">
        <v>3309</v>
      </c>
      <c r="I128" s="122">
        <f t="shared" si="41"/>
        <v>3203.1120000000001</v>
      </c>
      <c r="J128" s="147">
        <f t="shared" si="42"/>
        <v>2818.7385600000002</v>
      </c>
      <c r="K128" s="122"/>
      <c r="L128" s="122">
        <v>0</v>
      </c>
      <c r="M128" s="122">
        <f t="shared" si="43"/>
        <v>0</v>
      </c>
      <c r="N128" s="122">
        <f t="shared" si="44"/>
        <v>0</v>
      </c>
      <c r="O128" s="122"/>
      <c r="P128" s="122">
        <v>0</v>
      </c>
      <c r="Q128" s="122">
        <f t="shared" si="45"/>
        <v>0</v>
      </c>
      <c r="R128" s="147">
        <f t="shared" si="46"/>
        <v>0</v>
      </c>
      <c r="S128" s="145">
        <v>10</v>
      </c>
      <c r="T128" s="144" t="s">
        <v>1176</v>
      </c>
      <c r="U128" s="90">
        <f>SUMIF('Avoided Costs 2009-2017'!$A:$A,Actuals!T128&amp;Actuals!S128,'Avoided Costs 2009-2017'!$E:$E)*J128</f>
        <v>6750.6439745283133</v>
      </c>
      <c r="V128" s="90">
        <f>SUMIF('Avoided Costs 2009-2017'!$A:$A,Actuals!T128&amp;Actuals!S128,'Avoided Costs 2009-2017'!$K:$K)*N128</f>
        <v>0</v>
      </c>
      <c r="W128" s="90">
        <f>SUMIF('Avoided Costs 2009-2017'!$A:$A,Actuals!T128&amp;Actuals!S128,'Avoided Costs 2009-2017'!$M:$M)*R128</f>
        <v>0</v>
      </c>
      <c r="X128" s="90">
        <f t="shared" si="47"/>
        <v>6750.6439745283133</v>
      </c>
      <c r="Y128" s="148">
        <v>7500</v>
      </c>
      <c r="Z128" s="149">
        <f t="shared" si="48"/>
        <v>6600</v>
      </c>
      <c r="AA128" s="148"/>
      <c r="AB128" s="145"/>
      <c r="AC128" s="145"/>
      <c r="AD128" s="148">
        <f t="shared" si="52"/>
        <v>6600</v>
      </c>
      <c r="AE128" s="122">
        <f t="shared" si="53"/>
        <v>150.64397452831327</v>
      </c>
      <c r="AF128" s="167">
        <f t="shared" si="51"/>
        <v>28187.385600000001</v>
      </c>
    </row>
    <row r="129" spans="1:32" s="150" customFormat="1" x14ac:dyDescent="0.2">
      <c r="A129" s="144" t="s">
        <v>991</v>
      </c>
      <c r="B129" s="144"/>
      <c r="C129" s="144"/>
      <c r="D129" s="145">
        <v>1</v>
      </c>
      <c r="E129" s="122"/>
      <c r="F129" s="146">
        <v>0.12</v>
      </c>
      <c r="G129" s="146"/>
      <c r="H129" s="122">
        <v>156616</v>
      </c>
      <c r="I129" s="122">
        <f t="shared" si="41"/>
        <v>151604.288</v>
      </c>
      <c r="J129" s="147">
        <f t="shared" si="42"/>
        <v>133411.77343999999</v>
      </c>
      <c r="K129" s="122"/>
      <c r="L129" s="122">
        <v>0</v>
      </c>
      <c r="M129" s="122">
        <f t="shared" si="43"/>
        <v>0</v>
      </c>
      <c r="N129" s="122">
        <f t="shared" si="44"/>
        <v>0</v>
      </c>
      <c r="O129" s="122"/>
      <c r="P129" s="122">
        <v>0</v>
      </c>
      <c r="Q129" s="122">
        <f t="shared" si="45"/>
        <v>0</v>
      </c>
      <c r="R129" s="147">
        <f t="shared" si="46"/>
        <v>0</v>
      </c>
      <c r="S129" s="145">
        <v>11</v>
      </c>
      <c r="T129" s="144" t="s">
        <v>213</v>
      </c>
      <c r="U129" s="90">
        <f>SUMIF('Avoided Costs 2009-2017'!$A:$A,Actuals!T129&amp;Actuals!S129,'Avoided Costs 2009-2017'!$E:$E)*J129</f>
        <v>373378.33211593598</v>
      </c>
      <c r="V129" s="90">
        <f>SUMIF('Avoided Costs 2009-2017'!$A:$A,Actuals!T129&amp;Actuals!S129,'Avoided Costs 2009-2017'!$K:$K)*N129</f>
        <v>0</v>
      </c>
      <c r="W129" s="90">
        <f>SUMIF('Avoided Costs 2009-2017'!$A:$A,Actuals!T129&amp;Actuals!S129,'Avoided Costs 2009-2017'!$M:$M)*R129</f>
        <v>0</v>
      </c>
      <c r="X129" s="90">
        <f t="shared" si="47"/>
        <v>373378.33211593598</v>
      </c>
      <c r="Y129" s="148">
        <v>178610</v>
      </c>
      <c r="Z129" s="149">
        <f t="shared" si="48"/>
        <v>157176.79999999999</v>
      </c>
      <c r="AA129" s="148"/>
      <c r="AB129" s="145"/>
      <c r="AC129" s="145"/>
      <c r="AD129" s="148">
        <f t="shared" si="52"/>
        <v>157176.79999999999</v>
      </c>
      <c r="AE129" s="122">
        <f t="shared" si="53"/>
        <v>216201.53211593599</v>
      </c>
      <c r="AF129" s="167">
        <f t="shared" si="51"/>
        <v>1467529.5078399999</v>
      </c>
    </row>
    <row r="130" spans="1:32" s="150" customFormat="1" x14ac:dyDescent="0.2">
      <c r="A130" s="144" t="s">
        <v>992</v>
      </c>
      <c r="B130" s="144"/>
      <c r="C130" s="144"/>
      <c r="D130" s="145">
        <v>1</v>
      </c>
      <c r="E130" s="122"/>
      <c r="F130" s="146">
        <v>0.12</v>
      </c>
      <c r="G130" s="146"/>
      <c r="H130" s="122">
        <v>83255</v>
      </c>
      <c r="I130" s="122">
        <f t="shared" si="41"/>
        <v>80590.84</v>
      </c>
      <c r="J130" s="147">
        <f t="shared" si="42"/>
        <v>70919.939199999993</v>
      </c>
      <c r="K130" s="122"/>
      <c r="L130" s="122">
        <v>0</v>
      </c>
      <c r="M130" s="122">
        <f t="shared" si="43"/>
        <v>0</v>
      </c>
      <c r="N130" s="122">
        <f t="shared" si="44"/>
        <v>0</v>
      </c>
      <c r="O130" s="122"/>
      <c r="P130" s="122">
        <v>0</v>
      </c>
      <c r="Q130" s="122">
        <f t="shared" si="45"/>
        <v>0</v>
      </c>
      <c r="R130" s="147">
        <f t="shared" si="46"/>
        <v>0</v>
      </c>
      <c r="S130" s="145">
        <v>11</v>
      </c>
      <c r="T130" s="144" t="s">
        <v>213</v>
      </c>
      <c r="U130" s="90">
        <f>SUMIF('Avoided Costs 2009-2017'!$A:$A,Actuals!T130&amp;Actuals!S130,'Avoided Costs 2009-2017'!$E:$E)*J130</f>
        <v>198482.99688609238</v>
      </c>
      <c r="V130" s="90">
        <f>SUMIF('Avoided Costs 2009-2017'!$A:$A,Actuals!T130&amp;Actuals!S130,'Avoided Costs 2009-2017'!$K:$K)*N130</f>
        <v>0</v>
      </c>
      <c r="W130" s="90">
        <f>SUMIF('Avoided Costs 2009-2017'!$A:$A,Actuals!T130&amp;Actuals!S130,'Avoided Costs 2009-2017'!$M:$M)*R130</f>
        <v>0</v>
      </c>
      <c r="X130" s="90">
        <f t="shared" si="47"/>
        <v>198482.99688609238</v>
      </c>
      <c r="Y130" s="148">
        <v>44555</v>
      </c>
      <c r="Z130" s="149">
        <f t="shared" si="48"/>
        <v>39208.400000000001</v>
      </c>
      <c r="AA130" s="148"/>
      <c r="AB130" s="145"/>
      <c r="AC130" s="145"/>
      <c r="AD130" s="148">
        <f t="shared" si="52"/>
        <v>39208.400000000001</v>
      </c>
      <c r="AE130" s="122">
        <f t="shared" si="53"/>
        <v>159274.59688609239</v>
      </c>
      <c r="AF130" s="167">
        <f t="shared" si="51"/>
        <v>780119.3311999999</v>
      </c>
    </row>
    <row r="131" spans="1:32" s="150" customFormat="1" x14ac:dyDescent="0.2">
      <c r="A131" s="144" t="s">
        <v>993</v>
      </c>
      <c r="B131" s="144"/>
      <c r="C131" s="144"/>
      <c r="D131" s="145">
        <v>0</v>
      </c>
      <c r="E131" s="122"/>
      <c r="F131" s="146">
        <v>0.12</v>
      </c>
      <c r="G131" s="146"/>
      <c r="H131" s="122">
        <v>33713</v>
      </c>
      <c r="I131" s="122">
        <f t="shared" si="41"/>
        <v>32634.183999999997</v>
      </c>
      <c r="J131" s="147">
        <f t="shared" si="42"/>
        <v>28718.081919999997</v>
      </c>
      <c r="K131" s="122"/>
      <c r="L131" s="122">
        <v>0</v>
      </c>
      <c r="M131" s="122">
        <f t="shared" si="43"/>
        <v>0</v>
      </c>
      <c r="N131" s="122">
        <f t="shared" si="44"/>
        <v>0</v>
      </c>
      <c r="O131" s="122"/>
      <c r="P131" s="122">
        <v>0</v>
      </c>
      <c r="Q131" s="122">
        <f t="shared" si="45"/>
        <v>0</v>
      </c>
      <c r="R131" s="147">
        <f t="shared" si="46"/>
        <v>0</v>
      </c>
      <c r="S131" s="145">
        <v>25</v>
      </c>
      <c r="T131" s="144" t="s">
        <v>213</v>
      </c>
      <c r="U131" s="90">
        <f>SUMIF('Avoided Costs 2009-2017'!$A:$A,Actuals!T131&amp;Actuals!S131,'Avoided Costs 2009-2017'!$E:$E)*J131</f>
        <v>123639.15410495331</v>
      </c>
      <c r="V131" s="90">
        <f>SUMIF('Avoided Costs 2009-2017'!$A:$A,Actuals!T131&amp;Actuals!S131,'Avoided Costs 2009-2017'!$K:$K)*N131</f>
        <v>0</v>
      </c>
      <c r="W131" s="90">
        <f>SUMIF('Avoided Costs 2009-2017'!$A:$A,Actuals!T131&amp;Actuals!S131,'Avoided Costs 2009-2017'!$M:$M)*R131</f>
        <v>0</v>
      </c>
      <c r="X131" s="90">
        <f t="shared" si="47"/>
        <v>123639.15410495331</v>
      </c>
      <c r="Y131" s="148">
        <v>97832</v>
      </c>
      <c r="Z131" s="149">
        <f t="shared" si="48"/>
        <v>86092.160000000003</v>
      </c>
      <c r="AA131" s="148"/>
      <c r="AB131" s="145"/>
      <c r="AC131" s="145"/>
      <c r="AD131" s="148">
        <f t="shared" si="52"/>
        <v>86092.160000000003</v>
      </c>
      <c r="AE131" s="122">
        <f t="shared" si="53"/>
        <v>37546.994104953308</v>
      </c>
      <c r="AF131" s="167">
        <f t="shared" si="51"/>
        <v>717952.04799999995</v>
      </c>
    </row>
    <row r="132" spans="1:32" s="150" customFormat="1" x14ac:dyDescent="0.2">
      <c r="A132" s="144" t="s">
        <v>994</v>
      </c>
      <c r="B132" s="144"/>
      <c r="C132" s="144"/>
      <c r="D132" s="145">
        <v>1</v>
      </c>
      <c r="E132" s="122"/>
      <c r="F132" s="146">
        <v>0.12</v>
      </c>
      <c r="G132" s="146"/>
      <c r="H132" s="122">
        <v>60514</v>
      </c>
      <c r="I132" s="122">
        <f t="shared" si="41"/>
        <v>58577.551999999996</v>
      </c>
      <c r="J132" s="147">
        <f t="shared" si="42"/>
        <v>51548.245759999998</v>
      </c>
      <c r="K132" s="122"/>
      <c r="L132" s="122">
        <v>0</v>
      </c>
      <c r="M132" s="122">
        <f t="shared" si="43"/>
        <v>0</v>
      </c>
      <c r="N132" s="122">
        <f t="shared" si="44"/>
        <v>0</v>
      </c>
      <c r="O132" s="122"/>
      <c r="P132" s="122">
        <v>0</v>
      </c>
      <c r="Q132" s="122">
        <f t="shared" si="45"/>
        <v>0</v>
      </c>
      <c r="R132" s="147">
        <f t="shared" si="46"/>
        <v>0</v>
      </c>
      <c r="S132" s="145">
        <v>25</v>
      </c>
      <c r="T132" s="144" t="s">
        <v>213</v>
      </c>
      <c r="U132" s="90">
        <f>SUMIF('Avoided Costs 2009-2017'!$A:$A,Actuals!T132&amp;Actuals!S132,'Avoided Costs 2009-2017'!$E:$E)*J132</f>
        <v>221929.21933696631</v>
      </c>
      <c r="V132" s="90">
        <f>SUMIF('Avoided Costs 2009-2017'!$A:$A,Actuals!T132&amp;Actuals!S132,'Avoided Costs 2009-2017'!$K:$K)*N132</f>
        <v>0</v>
      </c>
      <c r="W132" s="90">
        <f>SUMIF('Avoided Costs 2009-2017'!$A:$A,Actuals!T132&amp;Actuals!S132,'Avoided Costs 2009-2017'!$M:$M)*R132</f>
        <v>0</v>
      </c>
      <c r="X132" s="90">
        <f t="shared" si="47"/>
        <v>221929.21933696631</v>
      </c>
      <c r="Y132" s="148">
        <v>175442</v>
      </c>
      <c r="Z132" s="149">
        <f t="shared" si="48"/>
        <v>154388.96</v>
      </c>
      <c r="AA132" s="148"/>
      <c r="AB132" s="145"/>
      <c r="AC132" s="145"/>
      <c r="AD132" s="148">
        <f t="shared" si="52"/>
        <v>154388.96</v>
      </c>
      <c r="AE132" s="122">
        <f t="shared" si="53"/>
        <v>67540.259336966323</v>
      </c>
      <c r="AF132" s="167">
        <f t="shared" si="51"/>
        <v>1288706.1439999999</v>
      </c>
    </row>
    <row r="133" spans="1:32" s="150" customFormat="1" x14ac:dyDescent="0.2">
      <c r="A133" s="144" t="s">
        <v>995</v>
      </c>
      <c r="B133" s="144"/>
      <c r="C133" s="144"/>
      <c r="D133" s="145">
        <v>1</v>
      </c>
      <c r="E133" s="122"/>
      <c r="F133" s="146">
        <v>0.12</v>
      </c>
      <c r="G133" s="146"/>
      <c r="H133" s="122">
        <v>65300</v>
      </c>
      <c r="I133" s="122">
        <f t="shared" si="41"/>
        <v>63210.400000000001</v>
      </c>
      <c r="J133" s="147">
        <f t="shared" si="42"/>
        <v>55625.152000000002</v>
      </c>
      <c r="K133" s="122"/>
      <c r="L133" s="122">
        <v>0</v>
      </c>
      <c r="M133" s="122">
        <f t="shared" si="43"/>
        <v>0</v>
      </c>
      <c r="N133" s="122">
        <f t="shared" si="44"/>
        <v>0</v>
      </c>
      <c r="O133" s="122"/>
      <c r="P133" s="122">
        <v>0</v>
      </c>
      <c r="Q133" s="122">
        <f t="shared" si="45"/>
        <v>0</v>
      </c>
      <c r="R133" s="147">
        <f t="shared" si="46"/>
        <v>0</v>
      </c>
      <c r="S133" s="145">
        <v>11</v>
      </c>
      <c r="T133" s="144" t="s">
        <v>213</v>
      </c>
      <c r="U133" s="90">
        <f>SUMIF('Avoided Costs 2009-2017'!$A:$A,Actuals!T133&amp;Actuals!S133,'Avoided Costs 2009-2017'!$E:$E)*J133</f>
        <v>155677.61331645949</v>
      </c>
      <c r="V133" s="90">
        <f>SUMIF('Avoided Costs 2009-2017'!$A:$A,Actuals!T133&amp;Actuals!S133,'Avoided Costs 2009-2017'!$K:$K)*N133</f>
        <v>0</v>
      </c>
      <c r="W133" s="90">
        <f>SUMIF('Avoided Costs 2009-2017'!$A:$A,Actuals!T133&amp;Actuals!S133,'Avoided Costs 2009-2017'!$M:$M)*R133</f>
        <v>0</v>
      </c>
      <c r="X133" s="90">
        <f t="shared" si="47"/>
        <v>155677.61331645949</v>
      </c>
      <c r="Y133" s="148">
        <v>126500</v>
      </c>
      <c r="Z133" s="149">
        <f t="shared" si="48"/>
        <v>111320</v>
      </c>
      <c r="AA133" s="148"/>
      <c r="AB133" s="145"/>
      <c r="AC133" s="145"/>
      <c r="AD133" s="148">
        <f t="shared" si="52"/>
        <v>111320</v>
      </c>
      <c r="AE133" s="122">
        <f t="shared" si="53"/>
        <v>44357.613316459494</v>
      </c>
      <c r="AF133" s="167">
        <f t="shared" si="51"/>
        <v>611876.67200000002</v>
      </c>
    </row>
    <row r="134" spans="1:32" s="150" customFormat="1" x14ac:dyDescent="0.2">
      <c r="A134" s="144" t="s">
        <v>996</v>
      </c>
      <c r="B134" s="144"/>
      <c r="C134" s="144"/>
      <c r="D134" s="145">
        <v>1</v>
      </c>
      <c r="E134" s="122"/>
      <c r="F134" s="146">
        <v>0.12</v>
      </c>
      <c r="G134" s="146"/>
      <c r="H134" s="122">
        <v>45087</v>
      </c>
      <c r="I134" s="122">
        <f t="shared" si="41"/>
        <v>43644.216</v>
      </c>
      <c r="J134" s="147">
        <f t="shared" si="42"/>
        <v>38406.910080000001</v>
      </c>
      <c r="K134" s="122"/>
      <c r="L134" s="122">
        <v>0</v>
      </c>
      <c r="M134" s="122">
        <f t="shared" si="43"/>
        <v>0</v>
      </c>
      <c r="N134" s="122">
        <f t="shared" si="44"/>
        <v>0</v>
      </c>
      <c r="O134" s="122"/>
      <c r="P134" s="122">
        <v>0</v>
      </c>
      <c r="Q134" s="122">
        <f t="shared" si="45"/>
        <v>0</v>
      </c>
      <c r="R134" s="147">
        <f t="shared" si="46"/>
        <v>0</v>
      </c>
      <c r="S134" s="145">
        <v>11</v>
      </c>
      <c r="T134" s="144" t="s">
        <v>213</v>
      </c>
      <c r="U134" s="90">
        <f>SUMIF('Avoided Costs 2009-2017'!$A:$A,Actuals!T134&amp;Actuals!S134,'Avoided Costs 2009-2017'!$E:$E)*J134</f>
        <v>107489.07429707824</v>
      </c>
      <c r="V134" s="90">
        <f>SUMIF('Avoided Costs 2009-2017'!$A:$A,Actuals!T134&amp;Actuals!S134,'Avoided Costs 2009-2017'!$K:$K)*N134</f>
        <v>0</v>
      </c>
      <c r="W134" s="90">
        <f>SUMIF('Avoided Costs 2009-2017'!$A:$A,Actuals!T134&amp;Actuals!S134,'Avoided Costs 2009-2017'!$M:$M)*R134</f>
        <v>0</v>
      </c>
      <c r="X134" s="90">
        <f t="shared" si="47"/>
        <v>107489.07429707824</v>
      </c>
      <c r="Y134" s="148">
        <v>11925</v>
      </c>
      <c r="Z134" s="149">
        <f t="shared" si="48"/>
        <v>10494</v>
      </c>
      <c r="AA134" s="148"/>
      <c r="AB134" s="145"/>
      <c r="AC134" s="145"/>
      <c r="AD134" s="148">
        <f t="shared" si="52"/>
        <v>10494</v>
      </c>
      <c r="AE134" s="122">
        <f t="shared" si="53"/>
        <v>96995.074297078245</v>
      </c>
      <c r="AF134" s="167">
        <f t="shared" si="51"/>
        <v>422476.01088000002</v>
      </c>
    </row>
    <row r="135" spans="1:32" s="150" customFormat="1" x14ac:dyDescent="0.2">
      <c r="A135" s="144" t="s">
        <v>997</v>
      </c>
      <c r="B135" s="144"/>
      <c r="C135" s="144"/>
      <c r="D135" s="145">
        <v>1</v>
      </c>
      <c r="E135" s="122"/>
      <c r="F135" s="146">
        <v>0.12</v>
      </c>
      <c r="G135" s="146"/>
      <c r="H135" s="122">
        <v>240696</v>
      </c>
      <c r="I135" s="122">
        <f t="shared" si="41"/>
        <v>232993.728</v>
      </c>
      <c r="J135" s="147">
        <f t="shared" si="42"/>
        <v>205034.48063999999</v>
      </c>
      <c r="K135" s="122"/>
      <c r="L135" s="122">
        <v>701131</v>
      </c>
      <c r="M135" s="122">
        <f t="shared" si="43"/>
        <v>630316.76899999997</v>
      </c>
      <c r="N135" s="122">
        <f t="shared" si="44"/>
        <v>554678.75671999995</v>
      </c>
      <c r="O135" s="122"/>
      <c r="P135" s="122">
        <v>0</v>
      </c>
      <c r="Q135" s="122">
        <f t="shared" si="45"/>
        <v>0</v>
      </c>
      <c r="R135" s="147">
        <f t="shared" si="46"/>
        <v>0</v>
      </c>
      <c r="S135" s="145">
        <v>15</v>
      </c>
      <c r="T135" s="144" t="s">
        <v>213</v>
      </c>
      <c r="U135" s="90">
        <f>SUMIF('Avoided Costs 2009-2017'!$A:$A,Actuals!T135&amp;Actuals!S135,'Avoided Costs 2009-2017'!$E:$E)*J135</f>
        <v>693468.7682180577</v>
      </c>
      <c r="V135" s="90">
        <f>SUMIF('Avoided Costs 2009-2017'!$A:$A,Actuals!T135&amp;Actuals!S135,'Avoided Costs 2009-2017'!$K:$K)*N135</f>
        <v>414085.53951709199</v>
      </c>
      <c r="W135" s="90">
        <f>SUMIF('Avoided Costs 2009-2017'!$A:$A,Actuals!T135&amp;Actuals!S135,'Avoided Costs 2009-2017'!$M:$M)*R135</f>
        <v>0</v>
      </c>
      <c r="X135" s="90">
        <f t="shared" si="47"/>
        <v>1107554.3077351497</v>
      </c>
      <c r="Y135" s="148">
        <v>70000</v>
      </c>
      <c r="Z135" s="149">
        <f t="shared" si="48"/>
        <v>61600</v>
      </c>
      <c r="AA135" s="148"/>
      <c r="AB135" s="145"/>
      <c r="AC135" s="145"/>
      <c r="AD135" s="148">
        <f t="shared" si="52"/>
        <v>61600</v>
      </c>
      <c r="AE135" s="122">
        <f t="shared" si="53"/>
        <v>1045954.3077351497</v>
      </c>
      <c r="AF135" s="167">
        <f t="shared" si="51"/>
        <v>3075517.2095999997</v>
      </c>
    </row>
    <row r="136" spans="1:32" s="150" customFormat="1" x14ac:dyDescent="0.2">
      <c r="A136" s="144" t="s">
        <v>998</v>
      </c>
      <c r="B136" s="144"/>
      <c r="C136" s="144"/>
      <c r="D136" s="145">
        <v>1</v>
      </c>
      <c r="E136" s="122"/>
      <c r="F136" s="146">
        <v>0.12</v>
      </c>
      <c r="G136" s="146"/>
      <c r="H136" s="122">
        <v>26680</v>
      </c>
      <c r="I136" s="122">
        <f t="shared" si="41"/>
        <v>25826.239999999998</v>
      </c>
      <c r="J136" s="147">
        <f t="shared" si="42"/>
        <v>22727.091199999999</v>
      </c>
      <c r="K136" s="122"/>
      <c r="L136" s="122">
        <v>0</v>
      </c>
      <c r="M136" s="122">
        <f t="shared" si="43"/>
        <v>0</v>
      </c>
      <c r="N136" s="122">
        <f t="shared" si="44"/>
        <v>0</v>
      </c>
      <c r="O136" s="122"/>
      <c r="P136" s="122">
        <v>0</v>
      </c>
      <c r="Q136" s="122">
        <f t="shared" si="45"/>
        <v>0</v>
      </c>
      <c r="R136" s="147">
        <f t="shared" si="46"/>
        <v>0</v>
      </c>
      <c r="S136" s="145">
        <v>15</v>
      </c>
      <c r="T136" s="144" t="s">
        <v>213</v>
      </c>
      <c r="U136" s="90">
        <f>SUMIF('Avoided Costs 2009-2017'!$A:$A,Actuals!T136&amp;Actuals!S136,'Avoided Costs 2009-2017'!$E:$E)*J136</f>
        <v>76867.695084495703</v>
      </c>
      <c r="V136" s="90">
        <f>SUMIF('Avoided Costs 2009-2017'!$A:$A,Actuals!T136&amp;Actuals!S136,'Avoided Costs 2009-2017'!$K:$K)*N136</f>
        <v>0</v>
      </c>
      <c r="W136" s="90">
        <f>SUMIF('Avoided Costs 2009-2017'!$A:$A,Actuals!T136&amp;Actuals!S136,'Avoided Costs 2009-2017'!$M:$M)*R136</f>
        <v>0</v>
      </c>
      <c r="X136" s="90">
        <f t="shared" si="47"/>
        <v>76867.695084495703</v>
      </c>
      <c r="Y136" s="148">
        <v>22000</v>
      </c>
      <c r="Z136" s="149">
        <f t="shared" si="48"/>
        <v>19360</v>
      </c>
      <c r="AA136" s="148"/>
      <c r="AB136" s="145"/>
      <c r="AC136" s="145"/>
      <c r="AD136" s="148">
        <f t="shared" si="52"/>
        <v>19360</v>
      </c>
      <c r="AE136" s="122">
        <f t="shared" si="53"/>
        <v>57507.695084495703</v>
      </c>
      <c r="AF136" s="167">
        <f t="shared" si="51"/>
        <v>340906.36799999996</v>
      </c>
    </row>
    <row r="137" spans="1:32" s="150" customFormat="1" x14ac:dyDescent="0.2">
      <c r="A137" s="144" t="s">
        <v>999</v>
      </c>
      <c r="B137" s="144"/>
      <c r="C137" s="144"/>
      <c r="D137" s="145">
        <v>1</v>
      </c>
      <c r="E137" s="122"/>
      <c r="F137" s="146">
        <v>0.12</v>
      </c>
      <c r="G137" s="146"/>
      <c r="H137" s="122">
        <v>7177</v>
      </c>
      <c r="I137" s="122">
        <f t="shared" si="41"/>
        <v>6947.3360000000002</v>
      </c>
      <c r="J137" s="147">
        <f t="shared" si="42"/>
        <v>6113.6556799999998</v>
      </c>
      <c r="K137" s="122"/>
      <c r="L137" s="122">
        <v>110438</v>
      </c>
      <c r="M137" s="122">
        <f t="shared" si="43"/>
        <v>99283.762000000002</v>
      </c>
      <c r="N137" s="122">
        <f t="shared" si="44"/>
        <v>87369.710560000007</v>
      </c>
      <c r="O137" s="122"/>
      <c r="P137" s="122">
        <v>0</v>
      </c>
      <c r="Q137" s="122">
        <f t="shared" si="45"/>
        <v>0</v>
      </c>
      <c r="R137" s="147">
        <f t="shared" si="46"/>
        <v>0</v>
      </c>
      <c r="S137" s="145">
        <v>15</v>
      </c>
      <c r="T137" s="144" t="s">
        <v>213</v>
      </c>
      <c r="U137" s="90">
        <f>SUMIF('Avoided Costs 2009-2017'!$A:$A,Actuals!T137&amp;Actuals!S137,'Avoided Costs 2009-2017'!$E:$E)*J137</f>
        <v>20677.640465570679</v>
      </c>
      <c r="V137" s="90">
        <f>SUMIF('Avoided Costs 2009-2017'!$A:$A,Actuals!T137&amp;Actuals!S137,'Avoided Costs 2009-2017'!$K:$K)*N137</f>
        <v>65224.300185255837</v>
      </c>
      <c r="W137" s="90">
        <f>SUMIF('Avoided Costs 2009-2017'!$A:$A,Actuals!T137&amp;Actuals!S137,'Avoided Costs 2009-2017'!$M:$M)*R137</f>
        <v>0</v>
      </c>
      <c r="X137" s="90">
        <f t="shared" si="47"/>
        <v>85901.940650826524</v>
      </c>
      <c r="Y137" s="148">
        <v>37665</v>
      </c>
      <c r="Z137" s="149">
        <f t="shared" si="48"/>
        <v>33145.199999999997</v>
      </c>
      <c r="AA137" s="148"/>
      <c r="AB137" s="145"/>
      <c r="AC137" s="145"/>
      <c r="AD137" s="148">
        <f t="shared" si="52"/>
        <v>33145.199999999997</v>
      </c>
      <c r="AE137" s="122">
        <f t="shared" si="53"/>
        <v>52756.740650826527</v>
      </c>
      <c r="AF137" s="167">
        <f t="shared" si="51"/>
        <v>91704.835200000001</v>
      </c>
    </row>
    <row r="138" spans="1:32" s="4" customFormat="1" x14ac:dyDescent="0.2">
      <c r="A138" s="152" t="s">
        <v>200</v>
      </c>
      <c r="B138" s="152" t="s">
        <v>1248</v>
      </c>
      <c r="C138" s="152"/>
      <c r="D138" s="153">
        <f>SUM(D84:D137)</f>
        <v>38</v>
      </c>
      <c r="E138" s="147"/>
      <c r="F138" s="154"/>
      <c r="G138" s="155"/>
      <c r="H138" s="237">
        <f>SUM(H84:H137)</f>
        <v>2426739</v>
      </c>
      <c r="I138" s="237">
        <f>SUM(I84:I137)</f>
        <v>2338528.344</v>
      </c>
      <c r="J138" s="237">
        <f>SUM(J84:J137)</f>
        <v>2057904.9427199999</v>
      </c>
      <c r="K138" s="147"/>
      <c r="L138" s="237">
        <f>SUM(L84:L137)</f>
        <v>1645642</v>
      </c>
      <c r="M138" s="237">
        <f>SUM(M84:M137)</f>
        <v>1517584.753</v>
      </c>
      <c r="N138" s="237">
        <f>SUM(N84:N137)</f>
        <v>1335474.5826400002</v>
      </c>
      <c r="O138" s="156"/>
      <c r="P138" s="237">
        <f>SUM(P84:P137)</f>
        <v>0</v>
      </c>
      <c r="Q138" s="237">
        <f>SUM(Q84:Q137)</f>
        <v>0</v>
      </c>
      <c r="R138" s="237">
        <f>SUM(R84:R137)</f>
        <v>0</v>
      </c>
      <c r="S138" s="153"/>
      <c r="T138" s="152"/>
      <c r="U138" s="238">
        <f>SUM(U84:U137)</f>
        <v>6143225.2636851389</v>
      </c>
      <c r="V138" s="238">
        <f>SUM(V84:V137)</f>
        <v>995932.04103602131</v>
      </c>
      <c r="W138" s="238">
        <f>SUM(W84:W137)</f>
        <v>0</v>
      </c>
      <c r="X138" s="238">
        <f>SUM(X84:X137)</f>
        <v>7139157.3047211608</v>
      </c>
      <c r="Y138" s="157"/>
      <c r="Z138" s="238">
        <f>SUM(Z84:Z137)</f>
        <v>2806157.3583999998</v>
      </c>
      <c r="AA138" s="148">
        <v>253633.6</v>
      </c>
      <c r="AB138" s="148">
        <v>44458.29</v>
      </c>
      <c r="AC138" s="149">
        <f>AB138+AA138</f>
        <v>298091.89</v>
      </c>
      <c r="AD138" s="149">
        <f t="shared" si="52"/>
        <v>2850615.6483999998</v>
      </c>
      <c r="AE138" s="158">
        <f t="shared" si="53"/>
        <v>4288541.6563211605</v>
      </c>
      <c r="AF138" s="168">
        <f>SUM(AF84:AF137)</f>
        <v>25728307.045760002</v>
      </c>
    </row>
    <row r="139" spans="1:32" x14ac:dyDescent="0.2">
      <c r="A139" s="134"/>
      <c r="K139" s="51"/>
      <c r="L139" s="51"/>
      <c r="O139" s="92"/>
      <c r="P139" s="36"/>
      <c r="R139" s="26"/>
      <c r="S139" s="26"/>
      <c r="Z139" s="53"/>
      <c r="AA139" s="63"/>
      <c r="AC139" s="53"/>
      <c r="AD139" s="53"/>
      <c r="AE139" s="53"/>
      <c r="AF139" s="166"/>
    </row>
    <row r="140" spans="1:32" x14ac:dyDescent="0.2">
      <c r="A140" s="134" t="s">
        <v>1153</v>
      </c>
      <c r="B140" s="30" t="s">
        <v>1154</v>
      </c>
      <c r="J140" s="61"/>
      <c r="K140" s="51"/>
      <c r="L140" s="51"/>
      <c r="O140" s="92"/>
      <c r="P140" s="36"/>
      <c r="R140" s="26"/>
      <c r="S140" s="26"/>
      <c r="Z140" s="53"/>
      <c r="AA140" s="63"/>
      <c r="AC140" s="53"/>
      <c r="AD140" s="53"/>
      <c r="AE140" s="53"/>
      <c r="AF140" s="166"/>
    </row>
    <row r="141" spans="1:32" s="150" customFormat="1" x14ac:dyDescent="0.2">
      <c r="A141" s="144" t="s">
        <v>13</v>
      </c>
      <c r="B141" s="144"/>
      <c r="C141" s="144"/>
      <c r="D141" s="145">
        <v>0</v>
      </c>
      <c r="E141" s="122"/>
      <c r="F141" s="146">
        <v>0.12</v>
      </c>
      <c r="G141" s="146"/>
      <c r="H141" s="122">
        <v>21684</v>
      </c>
      <c r="I141" s="122">
        <f t="shared" ref="I141:I147" si="54">+$H$68*H141</f>
        <v>20990.112000000001</v>
      </c>
      <c r="J141" s="147">
        <f t="shared" ref="J141:J159" si="55">I141*(1-F141)</f>
        <v>18471.298559999999</v>
      </c>
      <c r="K141" s="122"/>
      <c r="L141" s="122">
        <v>0</v>
      </c>
      <c r="M141" s="122">
        <f t="shared" ref="M141:M147" si="56">+$L$68*L141</f>
        <v>0</v>
      </c>
      <c r="N141" s="122">
        <f t="shared" ref="N141:N159" si="57">M141*(1-F141)</f>
        <v>0</v>
      </c>
      <c r="O141" s="122"/>
      <c r="P141" s="122">
        <v>0</v>
      </c>
      <c r="Q141" s="122">
        <f t="shared" ref="Q141:Q159" si="58">+P141*$P$68</f>
        <v>0</v>
      </c>
      <c r="R141" s="147">
        <f t="shared" ref="R141:R159" si="59">Q141*(1-F141)</f>
        <v>0</v>
      </c>
      <c r="S141" s="145">
        <v>15</v>
      </c>
      <c r="T141" s="144" t="s">
        <v>213</v>
      </c>
      <c r="U141" s="90">
        <f>SUMIF('Avoided Costs 2009-2017'!$A:$A,Actuals!T141&amp;Actuals!S141,'Avoided Costs 2009-2017'!$E:$E)*J141</f>
        <v>62473.729393261056</v>
      </c>
      <c r="V141" s="90">
        <f>SUMIF('Avoided Costs 2009-2017'!$A:$A,Actuals!T141&amp;Actuals!S141,'Avoided Costs 2009-2017'!$K:$K)*N141</f>
        <v>0</v>
      </c>
      <c r="W141" s="90">
        <f>SUMIF('Avoided Costs 2009-2017'!$A:$A,Actuals!T141&amp;Actuals!S141,'Avoided Costs 2009-2017'!$M:$M)*R141</f>
        <v>0</v>
      </c>
      <c r="X141" s="90">
        <f t="shared" ref="X141:X159" si="60">SUM(U141:W141)</f>
        <v>62473.729393261056</v>
      </c>
      <c r="Y141" s="148">
        <v>26310</v>
      </c>
      <c r="Z141" s="149">
        <f t="shared" ref="Z141:Z159" si="61">Y141*(1-F141)</f>
        <v>23152.799999999999</v>
      </c>
      <c r="AA141" s="148"/>
      <c r="AB141" s="145"/>
      <c r="AC141" s="145"/>
      <c r="AD141" s="148">
        <f t="shared" ref="AD141:AD160" si="62">Z141+AB141</f>
        <v>23152.799999999999</v>
      </c>
      <c r="AE141" s="122">
        <f t="shared" ref="AE141:AE160" si="63">X141-AD141</f>
        <v>39320.92939326106</v>
      </c>
      <c r="AF141" s="167">
        <f t="shared" ref="AF141:AF159" si="64">J141*S141</f>
        <v>277069.47839999996</v>
      </c>
    </row>
    <row r="142" spans="1:32" s="150" customFormat="1" x14ac:dyDescent="0.2">
      <c r="A142" s="144" t="s">
        <v>14</v>
      </c>
      <c r="B142" s="144"/>
      <c r="C142" s="144"/>
      <c r="D142" s="145">
        <v>1</v>
      </c>
      <c r="E142" s="122"/>
      <c r="F142" s="146">
        <v>0.12</v>
      </c>
      <c r="G142" s="146"/>
      <c r="H142" s="122">
        <v>96473</v>
      </c>
      <c r="I142" s="122">
        <f t="shared" si="54"/>
        <v>93385.864000000001</v>
      </c>
      <c r="J142" s="147">
        <f t="shared" si="55"/>
        <v>82179.560320000004</v>
      </c>
      <c r="K142" s="122"/>
      <c r="L142" s="122">
        <v>0</v>
      </c>
      <c r="M142" s="122">
        <f t="shared" si="56"/>
        <v>0</v>
      </c>
      <c r="N142" s="122">
        <f t="shared" si="57"/>
        <v>0</v>
      </c>
      <c r="O142" s="122"/>
      <c r="P142" s="122">
        <v>0</v>
      </c>
      <c r="Q142" s="122">
        <f t="shared" si="58"/>
        <v>0</v>
      </c>
      <c r="R142" s="147">
        <f t="shared" si="59"/>
        <v>0</v>
      </c>
      <c r="S142" s="145">
        <v>11</v>
      </c>
      <c r="T142" s="144" t="s">
        <v>213</v>
      </c>
      <c r="U142" s="90">
        <f>SUMIF('Avoided Costs 2009-2017'!$A:$A,Actuals!T142&amp;Actuals!S142,'Avoided Costs 2009-2017'!$E:$E)*J142</f>
        <v>229995.19738864928</v>
      </c>
      <c r="V142" s="90">
        <f>SUMIF('Avoided Costs 2009-2017'!$A:$A,Actuals!T142&amp;Actuals!S142,'Avoided Costs 2009-2017'!$K:$K)*N142</f>
        <v>0</v>
      </c>
      <c r="W142" s="90">
        <f>SUMIF('Avoided Costs 2009-2017'!$A:$A,Actuals!T142&amp;Actuals!S142,'Avoided Costs 2009-2017'!$M:$M)*R142</f>
        <v>0</v>
      </c>
      <c r="X142" s="90">
        <f t="shared" si="60"/>
        <v>229995.19738864928</v>
      </c>
      <c r="Y142" s="148">
        <v>148335</v>
      </c>
      <c r="Z142" s="149">
        <f t="shared" si="61"/>
        <v>130534.8</v>
      </c>
      <c r="AA142" s="148"/>
      <c r="AB142" s="145"/>
      <c r="AC142" s="145"/>
      <c r="AD142" s="148">
        <f t="shared" si="62"/>
        <v>130534.8</v>
      </c>
      <c r="AE142" s="122">
        <f t="shared" si="63"/>
        <v>99460.397388649275</v>
      </c>
      <c r="AF142" s="167">
        <f t="shared" si="64"/>
        <v>903975.16352000006</v>
      </c>
    </row>
    <row r="143" spans="1:32" s="150" customFormat="1" x14ac:dyDescent="0.2">
      <c r="A143" s="144" t="s">
        <v>15</v>
      </c>
      <c r="B143" s="144"/>
      <c r="C143" s="144"/>
      <c r="D143" s="145">
        <v>1</v>
      </c>
      <c r="E143" s="122"/>
      <c r="F143" s="146">
        <v>0.12</v>
      </c>
      <c r="G143" s="146"/>
      <c r="H143" s="122">
        <v>50775</v>
      </c>
      <c r="I143" s="122">
        <f t="shared" si="54"/>
        <v>49150.2</v>
      </c>
      <c r="J143" s="147">
        <f t="shared" si="55"/>
        <v>43252.175999999999</v>
      </c>
      <c r="K143" s="122"/>
      <c r="L143" s="122">
        <v>0</v>
      </c>
      <c r="M143" s="122">
        <f t="shared" si="56"/>
        <v>0</v>
      </c>
      <c r="N143" s="122">
        <f t="shared" si="57"/>
        <v>0</v>
      </c>
      <c r="O143" s="122"/>
      <c r="P143" s="122">
        <v>0</v>
      </c>
      <c r="Q143" s="122">
        <f t="shared" si="58"/>
        <v>0</v>
      </c>
      <c r="R143" s="147">
        <f t="shared" si="59"/>
        <v>0</v>
      </c>
      <c r="S143" s="145">
        <v>11</v>
      </c>
      <c r="T143" s="144" t="s">
        <v>213</v>
      </c>
      <c r="U143" s="90">
        <f>SUMIF('Avoided Costs 2009-2017'!$A:$A,Actuals!T143&amp;Actuals!S143,'Avoided Costs 2009-2017'!$E:$E)*J143</f>
        <v>121049.47651061609</v>
      </c>
      <c r="V143" s="90">
        <f>SUMIF('Avoided Costs 2009-2017'!$A:$A,Actuals!T143&amp;Actuals!S143,'Avoided Costs 2009-2017'!$K:$K)*N143</f>
        <v>0</v>
      </c>
      <c r="W143" s="90">
        <f>SUMIF('Avoided Costs 2009-2017'!$A:$A,Actuals!T143&amp;Actuals!S143,'Avoided Costs 2009-2017'!$M:$M)*R143</f>
        <v>0</v>
      </c>
      <c r="X143" s="90">
        <f t="shared" si="60"/>
        <v>121049.47651061609</v>
      </c>
      <c r="Y143" s="148">
        <v>66895</v>
      </c>
      <c r="Z143" s="149">
        <f t="shared" si="61"/>
        <v>58867.6</v>
      </c>
      <c r="AA143" s="148"/>
      <c r="AB143" s="145"/>
      <c r="AC143" s="145"/>
      <c r="AD143" s="148">
        <f t="shared" si="62"/>
        <v>58867.6</v>
      </c>
      <c r="AE143" s="122">
        <f t="shared" si="63"/>
        <v>62181.876510616094</v>
      </c>
      <c r="AF143" s="167">
        <f t="shared" si="64"/>
        <v>475773.93599999999</v>
      </c>
    </row>
    <row r="144" spans="1:32" s="150" customFormat="1" x14ac:dyDescent="0.2">
      <c r="A144" s="144" t="s">
        <v>16</v>
      </c>
      <c r="B144" s="144"/>
      <c r="C144" s="144"/>
      <c r="D144" s="145">
        <v>0</v>
      </c>
      <c r="E144" s="122"/>
      <c r="F144" s="146">
        <v>0.12</v>
      </c>
      <c r="G144" s="146"/>
      <c r="H144" s="122">
        <v>48809</v>
      </c>
      <c r="I144" s="122">
        <f t="shared" si="54"/>
        <v>47247.112000000001</v>
      </c>
      <c r="J144" s="147">
        <f t="shared" si="55"/>
        <v>41577.458559999999</v>
      </c>
      <c r="K144" s="122"/>
      <c r="L144" s="122">
        <v>12253</v>
      </c>
      <c r="M144" s="122">
        <f t="shared" si="56"/>
        <v>11015.447</v>
      </c>
      <c r="N144" s="122">
        <f t="shared" si="57"/>
        <v>9693.5933600000008</v>
      </c>
      <c r="O144" s="122"/>
      <c r="P144" s="122">
        <v>0</v>
      </c>
      <c r="Q144" s="122">
        <f t="shared" si="58"/>
        <v>0</v>
      </c>
      <c r="R144" s="147">
        <f t="shared" si="59"/>
        <v>0</v>
      </c>
      <c r="S144" s="145">
        <v>15</v>
      </c>
      <c r="T144" s="144" t="s">
        <v>213</v>
      </c>
      <c r="U144" s="90">
        <f>SUMIF('Avoided Costs 2009-2017'!$A:$A,Actuals!T144&amp;Actuals!S144,'Avoided Costs 2009-2017'!$E:$E)*J144</f>
        <v>140623.51309517058</v>
      </c>
      <c r="V144" s="90">
        <f>SUMIF('Avoided Costs 2009-2017'!$A:$A,Actuals!T144&amp;Actuals!S144,'Avoided Costs 2009-2017'!$K:$K)*N144</f>
        <v>7236.5793492270759</v>
      </c>
      <c r="W144" s="90">
        <f>SUMIF('Avoided Costs 2009-2017'!$A:$A,Actuals!T144&amp;Actuals!S144,'Avoided Costs 2009-2017'!$M:$M)*R144</f>
        <v>0</v>
      </c>
      <c r="X144" s="90">
        <f t="shared" si="60"/>
        <v>147860.09244439765</v>
      </c>
      <c r="Y144" s="148">
        <v>21700</v>
      </c>
      <c r="Z144" s="149">
        <f t="shared" si="61"/>
        <v>19096</v>
      </c>
      <c r="AA144" s="148"/>
      <c r="AB144" s="145"/>
      <c r="AC144" s="145"/>
      <c r="AD144" s="148">
        <f t="shared" si="62"/>
        <v>19096</v>
      </c>
      <c r="AE144" s="122">
        <f t="shared" si="63"/>
        <v>128764.09244439765</v>
      </c>
      <c r="AF144" s="167">
        <f t="shared" si="64"/>
        <v>623661.87840000005</v>
      </c>
    </row>
    <row r="145" spans="1:32" s="150" customFormat="1" x14ac:dyDescent="0.2">
      <c r="A145" s="144" t="s">
        <v>17</v>
      </c>
      <c r="B145" s="144"/>
      <c r="C145" s="144"/>
      <c r="D145" s="145">
        <v>1</v>
      </c>
      <c r="E145" s="122"/>
      <c r="F145" s="146">
        <v>0.12</v>
      </c>
      <c r="G145" s="146"/>
      <c r="H145" s="122">
        <v>73436</v>
      </c>
      <c r="I145" s="122">
        <f t="shared" si="54"/>
        <v>71086.047999999995</v>
      </c>
      <c r="J145" s="147">
        <f t="shared" si="55"/>
        <v>62555.722239999996</v>
      </c>
      <c r="K145" s="122"/>
      <c r="L145" s="122">
        <v>0</v>
      </c>
      <c r="M145" s="122">
        <f t="shared" si="56"/>
        <v>0</v>
      </c>
      <c r="N145" s="122">
        <f t="shared" si="57"/>
        <v>0</v>
      </c>
      <c r="O145" s="122"/>
      <c r="P145" s="122">
        <v>0</v>
      </c>
      <c r="Q145" s="122">
        <f t="shared" si="58"/>
        <v>0</v>
      </c>
      <c r="R145" s="147">
        <f t="shared" si="59"/>
        <v>0</v>
      </c>
      <c r="S145" s="145">
        <v>11</v>
      </c>
      <c r="T145" s="144" t="s">
        <v>213</v>
      </c>
      <c r="U145" s="90">
        <f>SUMIF('Avoided Costs 2009-2017'!$A:$A,Actuals!T145&amp;Actuals!S145,'Avoided Costs 2009-2017'!$E:$E)*J145</f>
        <v>175074.13800164653</v>
      </c>
      <c r="V145" s="90">
        <f>SUMIF('Avoided Costs 2009-2017'!$A:$A,Actuals!T145&amp;Actuals!S145,'Avoided Costs 2009-2017'!$K:$K)*N145</f>
        <v>0</v>
      </c>
      <c r="W145" s="90">
        <f>SUMIF('Avoided Costs 2009-2017'!$A:$A,Actuals!T145&amp;Actuals!S145,'Avoided Costs 2009-2017'!$M:$M)*R145</f>
        <v>0</v>
      </c>
      <c r="X145" s="90">
        <f t="shared" si="60"/>
        <v>175074.13800164653</v>
      </c>
      <c r="Y145" s="148">
        <v>138860</v>
      </c>
      <c r="Z145" s="149">
        <f t="shared" si="61"/>
        <v>122196.8</v>
      </c>
      <c r="AA145" s="148"/>
      <c r="AB145" s="145"/>
      <c r="AC145" s="145"/>
      <c r="AD145" s="148">
        <f t="shared" si="62"/>
        <v>122196.8</v>
      </c>
      <c r="AE145" s="122">
        <f t="shared" si="63"/>
        <v>52877.338001646523</v>
      </c>
      <c r="AF145" s="167">
        <f t="shared" si="64"/>
        <v>688112.94464</v>
      </c>
    </row>
    <row r="146" spans="1:32" s="150" customFormat="1" x14ac:dyDescent="0.2">
      <c r="A146" s="144" t="s">
        <v>18</v>
      </c>
      <c r="B146" s="144"/>
      <c r="C146" s="144"/>
      <c r="D146" s="145">
        <v>0</v>
      </c>
      <c r="E146" s="122"/>
      <c r="F146" s="146">
        <v>0.12</v>
      </c>
      <c r="G146" s="146"/>
      <c r="H146" s="122">
        <v>18574</v>
      </c>
      <c r="I146" s="122">
        <f t="shared" si="54"/>
        <v>17979.631999999998</v>
      </c>
      <c r="J146" s="147">
        <f t="shared" si="55"/>
        <v>15822.076159999999</v>
      </c>
      <c r="K146" s="122"/>
      <c r="L146" s="122">
        <v>94757</v>
      </c>
      <c r="M146" s="122">
        <f t="shared" si="56"/>
        <v>85186.543000000005</v>
      </c>
      <c r="N146" s="122">
        <f t="shared" si="57"/>
        <v>74964.15784</v>
      </c>
      <c r="O146" s="122"/>
      <c r="P146" s="122">
        <v>0</v>
      </c>
      <c r="Q146" s="122">
        <f t="shared" si="58"/>
        <v>0</v>
      </c>
      <c r="R146" s="147">
        <f t="shared" si="59"/>
        <v>0</v>
      </c>
      <c r="S146" s="145">
        <v>15</v>
      </c>
      <c r="T146" s="144" t="s">
        <v>213</v>
      </c>
      <c r="U146" s="90">
        <f>SUMIF('Avoided Costs 2009-2017'!$A:$A,Actuals!T146&amp;Actuals!S146,'Avoided Costs 2009-2017'!$E:$E)*J146</f>
        <v>53513.51456144765</v>
      </c>
      <c r="V146" s="90">
        <f>SUMIF('Avoided Costs 2009-2017'!$A:$A,Actuals!T146&amp;Actuals!S146,'Avoided Costs 2009-2017'!$K:$K)*N146</f>
        <v>55963.155912405942</v>
      </c>
      <c r="W146" s="90">
        <f>SUMIF('Avoided Costs 2009-2017'!$A:$A,Actuals!T146&amp;Actuals!S146,'Avoided Costs 2009-2017'!$M:$M)*R146</f>
        <v>0</v>
      </c>
      <c r="X146" s="90">
        <f t="shared" si="60"/>
        <v>109476.67047385359</v>
      </c>
      <c r="Y146" s="148">
        <v>8000</v>
      </c>
      <c r="Z146" s="149">
        <f t="shared" si="61"/>
        <v>7040</v>
      </c>
      <c r="AA146" s="148"/>
      <c r="AB146" s="145"/>
      <c r="AC146" s="145"/>
      <c r="AD146" s="148">
        <f t="shared" si="62"/>
        <v>7040</v>
      </c>
      <c r="AE146" s="122">
        <f t="shared" si="63"/>
        <v>102436.67047385359</v>
      </c>
      <c r="AF146" s="167">
        <f t="shared" si="64"/>
        <v>237331.14239999998</v>
      </c>
    </row>
    <row r="147" spans="1:32" s="150" customFormat="1" x14ac:dyDescent="0.2">
      <c r="A147" s="144" t="s">
        <v>19</v>
      </c>
      <c r="B147" s="144"/>
      <c r="C147" s="144"/>
      <c r="D147" s="145">
        <v>1</v>
      </c>
      <c r="E147" s="122"/>
      <c r="F147" s="146">
        <v>0.12</v>
      </c>
      <c r="G147" s="146"/>
      <c r="H147" s="122">
        <v>51614</v>
      </c>
      <c r="I147" s="122">
        <f t="shared" si="54"/>
        <v>49962.351999999999</v>
      </c>
      <c r="J147" s="147">
        <f t="shared" si="55"/>
        <v>43966.869760000001</v>
      </c>
      <c r="K147" s="122"/>
      <c r="L147" s="122">
        <v>0</v>
      </c>
      <c r="M147" s="122">
        <f t="shared" si="56"/>
        <v>0</v>
      </c>
      <c r="N147" s="122">
        <f t="shared" si="57"/>
        <v>0</v>
      </c>
      <c r="O147" s="122"/>
      <c r="P147" s="122">
        <v>0</v>
      </c>
      <c r="Q147" s="122">
        <f t="shared" si="58"/>
        <v>0</v>
      </c>
      <c r="R147" s="147">
        <f t="shared" si="59"/>
        <v>0</v>
      </c>
      <c r="S147" s="145">
        <v>11</v>
      </c>
      <c r="T147" s="144" t="s">
        <v>213</v>
      </c>
      <c r="U147" s="90">
        <f>SUMIF('Avoided Costs 2009-2017'!$A:$A,Actuals!T147&amp;Actuals!S147,'Avoided Costs 2009-2017'!$E:$E)*J147</f>
        <v>123049.68351785207</v>
      </c>
      <c r="V147" s="90">
        <f>SUMIF('Avoided Costs 2009-2017'!$A:$A,Actuals!T147&amp;Actuals!S147,'Avoided Costs 2009-2017'!$K:$K)*N147</f>
        <v>0</v>
      </c>
      <c r="W147" s="90">
        <f>SUMIF('Avoided Costs 2009-2017'!$A:$A,Actuals!T147&amp;Actuals!S147,'Avoided Costs 2009-2017'!$M:$M)*R147</f>
        <v>0</v>
      </c>
      <c r="X147" s="90">
        <f t="shared" si="60"/>
        <v>123049.68351785207</v>
      </c>
      <c r="Y147" s="148">
        <v>58300</v>
      </c>
      <c r="Z147" s="149">
        <f t="shared" si="61"/>
        <v>51304</v>
      </c>
      <c r="AA147" s="148"/>
      <c r="AB147" s="145"/>
      <c r="AC147" s="145"/>
      <c r="AD147" s="148">
        <f t="shared" si="62"/>
        <v>51304</v>
      </c>
      <c r="AE147" s="122">
        <f t="shared" si="63"/>
        <v>71745.683517852071</v>
      </c>
      <c r="AF147" s="167">
        <f t="shared" si="64"/>
        <v>483635.56735999999</v>
      </c>
    </row>
    <row r="148" spans="1:32" s="150" customFormat="1" x14ac:dyDescent="0.2">
      <c r="A148" s="144" t="s">
        <v>20</v>
      </c>
      <c r="B148" s="144"/>
      <c r="C148" s="144"/>
      <c r="D148" s="145">
        <v>1</v>
      </c>
      <c r="E148" s="122"/>
      <c r="F148" s="146">
        <v>0.05</v>
      </c>
      <c r="G148" s="146"/>
      <c r="H148" s="122">
        <v>4801</v>
      </c>
      <c r="I148" s="122">
        <v>4801</v>
      </c>
      <c r="J148" s="147">
        <f t="shared" si="55"/>
        <v>4560.95</v>
      </c>
      <c r="K148" s="122"/>
      <c r="L148" s="122">
        <v>13521</v>
      </c>
      <c r="M148" s="122">
        <v>13521</v>
      </c>
      <c r="N148" s="122">
        <f t="shared" si="57"/>
        <v>12844.949999999999</v>
      </c>
      <c r="O148" s="122"/>
      <c r="P148" s="122">
        <v>0</v>
      </c>
      <c r="Q148" s="122">
        <f t="shared" si="58"/>
        <v>0</v>
      </c>
      <c r="R148" s="147">
        <f t="shared" si="59"/>
        <v>0</v>
      </c>
      <c r="S148" s="145">
        <v>15</v>
      </c>
      <c r="T148" s="144" t="s">
        <v>213</v>
      </c>
      <c r="U148" s="90">
        <f>SUMIF('Avoided Costs 2009-2017'!$A:$A,Actuals!T148&amp;Actuals!S148,'Avoided Costs 2009-2017'!$E:$E)*J148</f>
        <v>15426.070622519028</v>
      </c>
      <c r="V148" s="90">
        <f>SUMIF('Avoided Costs 2009-2017'!$A:$A,Actuals!T148&amp;Actuals!S148,'Avoided Costs 2009-2017'!$K:$K)*N148</f>
        <v>9589.1684806401154</v>
      </c>
      <c r="W148" s="90">
        <f>SUMIF('Avoided Costs 2009-2017'!$A:$A,Actuals!T148&amp;Actuals!S148,'Avoided Costs 2009-2017'!$M:$M)*R148</f>
        <v>0</v>
      </c>
      <c r="X148" s="90">
        <f t="shared" si="60"/>
        <v>25015.239103159143</v>
      </c>
      <c r="Y148" s="148">
        <v>10000</v>
      </c>
      <c r="Z148" s="149">
        <f t="shared" si="61"/>
        <v>9500</v>
      </c>
      <c r="AA148" s="148"/>
      <c r="AB148" s="145"/>
      <c r="AC148" s="145"/>
      <c r="AD148" s="148">
        <f t="shared" si="62"/>
        <v>9500</v>
      </c>
      <c r="AE148" s="122">
        <f t="shared" si="63"/>
        <v>15515.239103159143</v>
      </c>
      <c r="AF148" s="167">
        <f t="shared" si="64"/>
        <v>68414.25</v>
      </c>
    </row>
    <row r="149" spans="1:32" s="150" customFormat="1" x14ac:dyDescent="0.2">
      <c r="A149" s="144" t="s">
        <v>21</v>
      </c>
      <c r="B149" s="144"/>
      <c r="C149" s="144"/>
      <c r="D149" s="145">
        <v>1</v>
      </c>
      <c r="E149" s="122"/>
      <c r="F149" s="146">
        <v>0.05</v>
      </c>
      <c r="G149" s="146"/>
      <c r="H149" s="122">
        <v>4801</v>
      </c>
      <c r="I149" s="122">
        <v>4801</v>
      </c>
      <c r="J149" s="147">
        <f t="shared" si="55"/>
        <v>4560.95</v>
      </c>
      <c r="K149" s="122"/>
      <c r="L149" s="122">
        <v>13521</v>
      </c>
      <c r="M149" s="122">
        <v>13521</v>
      </c>
      <c r="N149" s="122">
        <f t="shared" si="57"/>
        <v>12844.949999999999</v>
      </c>
      <c r="O149" s="122"/>
      <c r="P149" s="122">
        <v>0</v>
      </c>
      <c r="Q149" s="122">
        <f t="shared" si="58"/>
        <v>0</v>
      </c>
      <c r="R149" s="147">
        <f t="shared" si="59"/>
        <v>0</v>
      </c>
      <c r="S149" s="145">
        <v>15</v>
      </c>
      <c r="T149" s="144" t="s">
        <v>213</v>
      </c>
      <c r="U149" s="90">
        <f>SUMIF('Avoided Costs 2009-2017'!$A:$A,Actuals!T149&amp;Actuals!S149,'Avoided Costs 2009-2017'!$E:$E)*J149</f>
        <v>15426.070622519028</v>
      </c>
      <c r="V149" s="90">
        <f>SUMIF('Avoided Costs 2009-2017'!$A:$A,Actuals!T149&amp;Actuals!S149,'Avoided Costs 2009-2017'!$K:$K)*N149</f>
        <v>9589.1684806401154</v>
      </c>
      <c r="W149" s="90">
        <f>SUMIF('Avoided Costs 2009-2017'!$A:$A,Actuals!T149&amp;Actuals!S149,'Avoided Costs 2009-2017'!$M:$M)*R149</f>
        <v>0</v>
      </c>
      <c r="X149" s="90">
        <f t="shared" si="60"/>
        <v>25015.239103159143</v>
      </c>
      <c r="Y149" s="148">
        <v>10000</v>
      </c>
      <c r="Z149" s="149">
        <f t="shared" si="61"/>
        <v>9500</v>
      </c>
      <c r="AA149" s="148"/>
      <c r="AB149" s="145"/>
      <c r="AC149" s="145"/>
      <c r="AD149" s="148">
        <f t="shared" si="62"/>
        <v>9500</v>
      </c>
      <c r="AE149" s="122">
        <f t="shared" si="63"/>
        <v>15515.239103159143</v>
      </c>
      <c r="AF149" s="167">
        <f t="shared" si="64"/>
        <v>68414.25</v>
      </c>
    </row>
    <row r="150" spans="1:32" s="150" customFormat="1" x14ac:dyDescent="0.2">
      <c r="A150" s="144" t="s">
        <v>22</v>
      </c>
      <c r="B150" s="144"/>
      <c r="C150" s="144"/>
      <c r="D150" s="145">
        <v>1</v>
      </c>
      <c r="E150" s="122"/>
      <c r="F150" s="146">
        <v>0.05</v>
      </c>
      <c r="G150" s="146"/>
      <c r="H150" s="122">
        <v>4801</v>
      </c>
      <c r="I150" s="122">
        <v>4801</v>
      </c>
      <c r="J150" s="147">
        <f t="shared" si="55"/>
        <v>4560.95</v>
      </c>
      <c r="K150" s="122"/>
      <c r="L150" s="122">
        <v>13521</v>
      </c>
      <c r="M150" s="122">
        <v>13521</v>
      </c>
      <c r="N150" s="122">
        <f t="shared" si="57"/>
        <v>12844.949999999999</v>
      </c>
      <c r="O150" s="122"/>
      <c r="P150" s="122">
        <v>0</v>
      </c>
      <c r="Q150" s="122">
        <f t="shared" si="58"/>
        <v>0</v>
      </c>
      <c r="R150" s="147">
        <f t="shared" si="59"/>
        <v>0</v>
      </c>
      <c r="S150" s="145">
        <v>15</v>
      </c>
      <c r="T150" s="144" t="s">
        <v>213</v>
      </c>
      <c r="U150" s="90">
        <f>SUMIF('Avoided Costs 2009-2017'!$A:$A,Actuals!T150&amp;Actuals!S150,'Avoided Costs 2009-2017'!$E:$E)*J150</f>
        <v>15426.070622519028</v>
      </c>
      <c r="V150" s="90">
        <f>SUMIF('Avoided Costs 2009-2017'!$A:$A,Actuals!T150&amp;Actuals!S150,'Avoided Costs 2009-2017'!$K:$K)*N150</f>
        <v>9589.1684806401154</v>
      </c>
      <c r="W150" s="90">
        <f>SUMIF('Avoided Costs 2009-2017'!$A:$A,Actuals!T150&amp;Actuals!S150,'Avoided Costs 2009-2017'!$M:$M)*R150</f>
        <v>0</v>
      </c>
      <c r="X150" s="90">
        <f t="shared" si="60"/>
        <v>25015.239103159143</v>
      </c>
      <c r="Y150" s="148">
        <v>10000</v>
      </c>
      <c r="Z150" s="149">
        <f t="shared" si="61"/>
        <v>9500</v>
      </c>
      <c r="AA150" s="148"/>
      <c r="AB150" s="145"/>
      <c r="AC150" s="145"/>
      <c r="AD150" s="148">
        <f t="shared" si="62"/>
        <v>9500</v>
      </c>
      <c r="AE150" s="122">
        <f t="shared" si="63"/>
        <v>15515.239103159143</v>
      </c>
      <c r="AF150" s="167">
        <f t="shared" si="64"/>
        <v>68414.25</v>
      </c>
    </row>
    <row r="151" spans="1:32" s="150" customFormat="1" x14ac:dyDescent="0.2">
      <c r="A151" s="144" t="s">
        <v>23</v>
      </c>
      <c r="B151" s="144"/>
      <c r="C151" s="144"/>
      <c r="D151" s="145">
        <v>1</v>
      </c>
      <c r="E151" s="122"/>
      <c r="F151" s="146">
        <v>0.05</v>
      </c>
      <c r="G151" s="146"/>
      <c r="H151" s="122">
        <v>4801</v>
      </c>
      <c r="I151" s="122">
        <v>4801</v>
      </c>
      <c r="J151" s="147">
        <f t="shared" si="55"/>
        <v>4560.95</v>
      </c>
      <c r="K151" s="122"/>
      <c r="L151" s="122">
        <v>13521</v>
      </c>
      <c r="M151" s="122">
        <v>13521</v>
      </c>
      <c r="N151" s="122">
        <f t="shared" si="57"/>
        <v>12844.949999999999</v>
      </c>
      <c r="O151" s="122"/>
      <c r="P151" s="122">
        <v>0</v>
      </c>
      <c r="Q151" s="122">
        <f t="shared" si="58"/>
        <v>0</v>
      </c>
      <c r="R151" s="147">
        <f t="shared" si="59"/>
        <v>0</v>
      </c>
      <c r="S151" s="145">
        <v>15</v>
      </c>
      <c r="T151" s="144" t="s">
        <v>213</v>
      </c>
      <c r="U151" s="90">
        <f>SUMIF('Avoided Costs 2009-2017'!$A:$A,Actuals!T151&amp;Actuals!S151,'Avoided Costs 2009-2017'!$E:$E)*J151</f>
        <v>15426.070622519028</v>
      </c>
      <c r="V151" s="90">
        <f>SUMIF('Avoided Costs 2009-2017'!$A:$A,Actuals!T151&amp;Actuals!S151,'Avoided Costs 2009-2017'!$K:$K)*N151</f>
        <v>9589.1684806401154</v>
      </c>
      <c r="W151" s="90">
        <f>SUMIF('Avoided Costs 2009-2017'!$A:$A,Actuals!T151&amp;Actuals!S151,'Avoided Costs 2009-2017'!$M:$M)*R151</f>
        <v>0</v>
      </c>
      <c r="X151" s="90">
        <f t="shared" si="60"/>
        <v>25015.239103159143</v>
      </c>
      <c r="Y151" s="148">
        <v>10000</v>
      </c>
      <c r="Z151" s="149">
        <f t="shared" si="61"/>
        <v>9500</v>
      </c>
      <c r="AA151" s="148"/>
      <c r="AB151" s="145"/>
      <c r="AC151" s="145"/>
      <c r="AD151" s="148">
        <f t="shared" si="62"/>
        <v>9500</v>
      </c>
      <c r="AE151" s="122">
        <f t="shared" si="63"/>
        <v>15515.239103159143</v>
      </c>
      <c r="AF151" s="167">
        <f t="shared" si="64"/>
        <v>68414.25</v>
      </c>
    </row>
    <row r="152" spans="1:32" s="150" customFormat="1" x14ac:dyDescent="0.2">
      <c r="A152" s="144" t="s">
        <v>24</v>
      </c>
      <c r="B152" s="144"/>
      <c r="C152" s="144"/>
      <c r="D152" s="145">
        <v>1</v>
      </c>
      <c r="E152" s="122"/>
      <c r="F152" s="146">
        <v>0.05</v>
      </c>
      <c r="G152" s="146"/>
      <c r="H152" s="122">
        <v>4801</v>
      </c>
      <c r="I152" s="122">
        <v>4801</v>
      </c>
      <c r="J152" s="147">
        <f t="shared" si="55"/>
        <v>4560.95</v>
      </c>
      <c r="K152" s="122"/>
      <c r="L152" s="122">
        <v>13521</v>
      </c>
      <c r="M152" s="122">
        <v>13521</v>
      </c>
      <c r="N152" s="122">
        <f t="shared" si="57"/>
        <v>12844.949999999999</v>
      </c>
      <c r="O152" s="122"/>
      <c r="P152" s="122">
        <v>0</v>
      </c>
      <c r="Q152" s="122">
        <f t="shared" si="58"/>
        <v>0</v>
      </c>
      <c r="R152" s="147">
        <f t="shared" si="59"/>
        <v>0</v>
      </c>
      <c r="S152" s="145">
        <v>15</v>
      </c>
      <c r="T152" s="144" t="s">
        <v>213</v>
      </c>
      <c r="U152" s="90">
        <f>SUMIF('Avoided Costs 2009-2017'!$A:$A,Actuals!T152&amp;Actuals!S152,'Avoided Costs 2009-2017'!$E:$E)*J152</f>
        <v>15426.070622519028</v>
      </c>
      <c r="V152" s="90">
        <f>SUMIF('Avoided Costs 2009-2017'!$A:$A,Actuals!T152&amp;Actuals!S152,'Avoided Costs 2009-2017'!$K:$K)*N152</f>
        <v>9589.1684806401154</v>
      </c>
      <c r="W152" s="90">
        <f>SUMIF('Avoided Costs 2009-2017'!$A:$A,Actuals!T152&amp;Actuals!S152,'Avoided Costs 2009-2017'!$M:$M)*R152</f>
        <v>0</v>
      </c>
      <c r="X152" s="90">
        <f t="shared" si="60"/>
        <v>25015.239103159143</v>
      </c>
      <c r="Y152" s="148">
        <v>10000</v>
      </c>
      <c r="Z152" s="149">
        <f t="shared" si="61"/>
        <v>9500</v>
      </c>
      <c r="AA152" s="148"/>
      <c r="AB152" s="145"/>
      <c r="AC152" s="145"/>
      <c r="AD152" s="148">
        <f t="shared" si="62"/>
        <v>9500</v>
      </c>
      <c r="AE152" s="122">
        <f t="shared" si="63"/>
        <v>15515.239103159143</v>
      </c>
      <c r="AF152" s="167">
        <f t="shared" si="64"/>
        <v>68414.25</v>
      </c>
    </row>
    <row r="153" spans="1:32" s="150" customFormat="1" x14ac:dyDescent="0.2">
      <c r="A153" s="144" t="s">
        <v>25</v>
      </c>
      <c r="B153" s="144"/>
      <c r="C153" s="144"/>
      <c r="D153" s="145">
        <v>1</v>
      </c>
      <c r="E153" s="122"/>
      <c r="F153" s="146">
        <v>0.05</v>
      </c>
      <c r="G153" s="146"/>
      <c r="H153" s="122">
        <v>4801</v>
      </c>
      <c r="I153" s="122">
        <v>4801</v>
      </c>
      <c r="J153" s="147">
        <f t="shared" si="55"/>
        <v>4560.95</v>
      </c>
      <c r="K153" s="122"/>
      <c r="L153" s="122">
        <v>13521</v>
      </c>
      <c r="M153" s="122">
        <v>13521</v>
      </c>
      <c r="N153" s="122">
        <f t="shared" si="57"/>
        <v>12844.949999999999</v>
      </c>
      <c r="O153" s="122"/>
      <c r="P153" s="122">
        <v>0</v>
      </c>
      <c r="Q153" s="122">
        <f t="shared" si="58"/>
        <v>0</v>
      </c>
      <c r="R153" s="147">
        <f t="shared" si="59"/>
        <v>0</v>
      </c>
      <c r="S153" s="145">
        <v>15</v>
      </c>
      <c r="T153" s="144" t="s">
        <v>213</v>
      </c>
      <c r="U153" s="90">
        <f>SUMIF('Avoided Costs 2009-2017'!$A:$A,Actuals!T153&amp;Actuals!S153,'Avoided Costs 2009-2017'!$E:$E)*J153</f>
        <v>15426.070622519028</v>
      </c>
      <c r="V153" s="90">
        <f>SUMIF('Avoided Costs 2009-2017'!$A:$A,Actuals!T153&amp;Actuals!S153,'Avoided Costs 2009-2017'!$K:$K)*N153</f>
        <v>9589.1684806401154</v>
      </c>
      <c r="W153" s="90">
        <f>SUMIF('Avoided Costs 2009-2017'!$A:$A,Actuals!T153&amp;Actuals!S153,'Avoided Costs 2009-2017'!$M:$M)*R153</f>
        <v>0</v>
      </c>
      <c r="X153" s="90">
        <f t="shared" si="60"/>
        <v>25015.239103159143</v>
      </c>
      <c r="Y153" s="148">
        <v>10000</v>
      </c>
      <c r="Z153" s="149">
        <f t="shared" si="61"/>
        <v>9500</v>
      </c>
      <c r="AA153" s="148"/>
      <c r="AB153" s="145"/>
      <c r="AC153" s="145"/>
      <c r="AD153" s="148">
        <f t="shared" si="62"/>
        <v>9500</v>
      </c>
      <c r="AE153" s="122">
        <f t="shared" si="63"/>
        <v>15515.239103159143</v>
      </c>
      <c r="AF153" s="167">
        <f t="shared" si="64"/>
        <v>68414.25</v>
      </c>
    </row>
    <row r="154" spans="1:32" s="150" customFormat="1" x14ac:dyDescent="0.2">
      <c r="A154" s="144" t="s">
        <v>26</v>
      </c>
      <c r="B154" s="144"/>
      <c r="C154" s="144"/>
      <c r="D154" s="145">
        <v>1</v>
      </c>
      <c r="E154" s="122"/>
      <c r="F154" s="146">
        <v>0.05</v>
      </c>
      <c r="G154" s="146"/>
      <c r="H154" s="122">
        <v>4801</v>
      </c>
      <c r="I154" s="122">
        <v>4801</v>
      </c>
      <c r="J154" s="147">
        <f t="shared" si="55"/>
        <v>4560.95</v>
      </c>
      <c r="K154" s="122"/>
      <c r="L154" s="122">
        <v>13521</v>
      </c>
      <c r="M154" s="122">
        <v>13521</v>
      </c>
      <c r="N154" s="122">
        <f t="shared" si="57"/>
        <v>12844.949999999999</v>
      </c>
      <c r="O154" s="122"/>
      <c r="P154" s="122">
        <v>0</v>
      </c>
      <c r="Q154" s="122">
        <f t="shared" si="58"/>
        <v>0</v>
      </c>
      <c r="R154" s="147">
        <f t="shared" si="59"/>
        <v>0</v>
      </c>
      <c r="S154" s="145">
        <v>15</v>
      </c>
      <c r="T154" s="144" t="s">
        <v>213</v>
      </c>
      <c r="U154" s="90">
        <f>SUMIF('Avoided Costs 2009-2017'!$A:$A,Actuals!T154&amp;Actuals!S154,'Avoided Costs 2009-2017'!$E:$E)*J154</f>
        <v>15426.070622519028</v>
      </c>
      <c r="V154" s="90">
        <f>SUMIF('Avoided Costs 2009-2017'!$A:$A,Actuals!T154&amp;Actuals!S154,'Avoided Costs 2009-2017'!$K:$K)*N154</f>
        <v>9589.1684806401154</v>
      </c>
      <c r="W154" s="90">
        <f>SUMIF('Avoided Costs 2009-2017'!$A:$A,Actuals!T154&amp;Actuals!S154,'Avoided Costs 2009-2017'!$M:$M)*R154</f>
        <v>0</v>
      </c>
      <c r="X154" s="90">
        <f t="shared" si="60"/>
        <v>25015.239103159143</v>
      </c>
      <c r="Y154" s="148">
        <v>10000</v>
      </c>
      <c r="Z154" s="149">
        <f t="shared" si="61"/>
        <v>9500</v>
      </c>
      <c r="AA154" s="148"/>
      <c r="AB154" s="145"/>
      <c r="AC154" s="145"/>
      <c r="AD154" s="148">
        <f t="shared" si="62"/>
        <v>9500</v>
      </c>
      <c r="AE154" s="122">
        <f t="shared" si="63"/>
        <v>15515.239103159143</v>
      </c>
      <c r="AF154" s="167">
        <f t="shared" si="64"/>
        <v>68414.25</v>
      </c>
    </row>
    <row r="155" spans="1:32" s="150" customFormat="1" x14ac:dyDescent="0.2">
      <c r="A155" s="144" t="s">
        <v>27</v>
      </c>
      <c r="B155" s="144"/>
      <c r="C155" s="144"/>
      <c r="D155" s="145">
        <v>1</v>
      </c>
      <c r="E155" s="122"/>
      <c r="F155" s="146">
        <v>0.05</v>
      </c>
      <c r="G155" s="146"/>
      <c r="H155" s="122">
        <v>4801</v>
      </c>
      <c r="I155" s="122">
        <v>4801</v>
      </c>
      <c r="J155" s="147">
        <f t="shared" si="55"/>
        <v>4560.95</v>
      </c>
      <c r="K155" s="122"/>
      <c r="L155" s="122">
        <v>13521</v>
      </c>
      <c r="M155" s="122">
        <v>13521</v>
      </c>
      <c r="N155" s="122">
        <f t="shared" si="57"/>
        <v>12844.949999999999</v>
      </c>
      <c r="O155" s="122"/>
      <c r="P155" s="122">
        <v>0</v>
      </c>
      <c r="Q155" s="122">
        <f t="shared" si="58"/>
        <v>0</v>
      </c>
      <c r="R155" s="147">
        <f t="shared" si="59"/>
        <v>0</v>
      </c>
      <c r="S155" s="145">
        <v>15</v>
      </c>
      <c r="T155" s="144" t="s">
        <v>213</v>
      </c>
      <c r="U155" s="90">
        <f>SUMIF('Avoided Costs 2009-2017'!$A:$A,Actuals!T155&amp;Actuals!S155,'Avoided Costs 2009-2017'!$E:$E)*J155</f>
        <v>15426.070622519028</v>
      </c>
      <c r="V155" s="90">
        <f>SUMIF('Avoided Costs 2009-2017'!$A:$A,Actuals!T155&amp;Actuals!S155,'Avoided Costs 2009-2017'!$K:$K)*N155</f>
        <v>9589.1684806401154</v>
      </c>
      <c r="W155" s="90">
        <f>SUMIF('Avoided Costs 2009-2017'!$A:$A,Actuals!T155&amp;Actuals!S155,'Avoided Costs 2009-2017'!$M:$M)*R155</f>
        <v>0</v>
      </c>
      <c r="X155" s="90">
        <f t="shared" si="60"/>
        <v>25015.239103159143</v>
      </c>
      <c r="Y155" s="148">
        <v>10000</v>
      </c>
      <c r="Z155" s="149">
        <f t="shared" si="61"/>
        <v>9500</v>
      </c>
      <c r="AA155" s="148"/>
      <c r="AB155" s="145"/>
      <c r="AC155" s="145"/>
      <c r="AD155" s="148">
        <f t="shared" si="62"/>
        <v>9500</v>
      </c>
      <c r="AE155" s="122">
        <f t="shared" si="63"/>
        <v>15515.239103159143</v>
      </c>
      <c r="AF155" s="167">
        <f t="shared" si="64"/>
        <v>68414.25</v>
      </c>
    </row>
    <row r="156" spans="1:32" s="150" customFormat="1" x14ac:dyDescent="0.2">
      <c r="A156" s="144" t="s">
        <v>28</v>
      </c>
      <c r="B156" s="144"/>
      <c r="C156" s="144"/>
      <c r="D156" s="145">
        <v>1</v>
      </c>
      <c r="E156" s="122"/>
      <c r="F156" s="146">
        <v>0.05</v>
      </c>
      <c r="G156" s="146"/>
      <c r="H156" s="122">
        <v>11486</v>
      </c>
      <c r="I156" s="122">
        <v>11486</v>
      </c>
      <c r="J156" s="147">
        <f t="shared" si="55"/>
        <v>10911.699999999999</v>
      </c>
      <c r="K156" s="122"/>
      <c r="L156" s="122">
        <v>30901</v>
      </c>
      <c r="M156" s="122">
        <v>30901</v>
      </c>
      <c r="N156" s="122">
        <f t="shared" si="57"/>
        <v>29355.949999999997</v>
      </c>
      <c r="O156" s="122"/>
      <c r="P156" s="122">
        <v>0</v>
      </c>
      <c r="Q156" s="122">
        <f t="shared" si="58"/>
        <v>0</v>
      </c>
      <c r="R156" s="147">
        <f t="shared" si="59"/>
        <v>0</v>
      </c>
      <c r="S156" s="145">
        <v>15</v>
      </c>
      <c r="T156" s="144" t="s">
        <v>213</v>
      </c>
      <c r="U156" s="90">
        <f>SUMIF('Avoided Costs 2009-2017'!$A:$A,Actuals!T156&amp;Actuals!S156,'Avoided Costs 2009-2017'!$E:$E)*J156</f>
        <v>36905.612824464391</v>
      </c>
      <c r="V156" s="90">
        <f>SUMIF('Avoided Costs 2009-2017'!$A:$A,Actuals!T156&amp;Actuals!S156,'Avoided Costs 2009-2017'!$K:$K)*N156</f>
        <v>21915.161246968433</v>
      </c>
      <c r="W156" s="90">
        <f>SUMIF('Avoided Costs 2009-2017'!$A:$A,Actuals!T156&amp;Actuals!S156,'Avoided Costs 2009-2017'!$M:$M)*R156</f>
        <v>0</v>
      </c>
      <c r="X156" s="90">
        <f t="shared" si="60"/>
        <v>58820.774071432825</v>
      </c>
      <c r="Y156" s="148">
        <v>15000</v>
      </c>
      <c r="Z156" s="149">
        <f t="shared" si="61"/>
        <v>14250</v>
      </c>
      <c r="AA156" s="148"/>
      <c r="AB156" s="145"/>
      <c r="AC156" s="145"/>
      <c r="AD156" s="148">
        <f t="shared" si="62"/>
        <v>14250</v>
      </c>
      <c r="AE156" s="122">
        <f t="shared" si="63"/>
        <v>44570.774071432825</v>
      </c>
      <c r="AF156" s="167">
        <f t="shared" si="64"/>
        <v>163675.49999999997</v>
      </c>
    </row>
    <row r="157" spans="1:32" s="150" customFormat="1" x14ac:dyDescent="0.2">
      <c r="A157" s="144" t="s">
        <v>29</v>
      </c>
      <c r="B157" s="144"/>
      <c r="C157" s="144"/>
      <c r="D157" s="145">
        <v>1</v>
      </c>
      <c r="E157" s="122"/>
      <c r="F157" s="146">
        <v>0.05</v>
      </c>
      <c r="G157" s="146"/>
      <c r="H157" s="122">
        <v>11486</v>
      </c>
      <c r="I157" s="122">
        <v>11486</v>
      </c>
      <c r="J157" s="147">
        <f t="shared" si="55"/>
        <v>10911.699999999999</v>
      </c>
      <c r="K157" s="122"/>
      <c r="L157" s="122">
        <v>30901</v>
      </c>
      <c r="M157" s="122">
        <v>30901</v>
      </c>
      <c r="N157" s="122">
        <f t="shared" si="57"/>
        <v>29355.949999999997</v>
      </c>
      <c r="O157" s="122"/>
      <c r="P157" s="122">
        <v>0</v>
      </c>
      <c r="Q157" s="122">
        <f t="shared" si="58"/>
        <v>0</v>
      </c>
      <c r="R157" s="147">
        <f t="shared" si="59"/>
        <v>0</v>
      </c>
      <c r="S157" s="145">
        <v>15</v>
      </c>
      <c r="T157" s="144" t="s">
        <v>213</v>
      </c>
      <c r="U157" s="90">
        <f>SUMIF('Avoided Costs 2009-2017'!$A:$A,Actuals!T157&amp;Actuals!S157,'Avoided Costs 2009-2017'!$E:$E)*J157</f>
        <v>36905.612824464391</v>
      </c>
      <c r="V157" s="90">
        <f>SUMIF('Avoided Costs 2009-2017'!$A:$A,Actuals!T157&amp;Actuals!S157,'Avoided Costs 2009-2017'!$K:$K)*N157</f>
        <v>21915.161246968433</v>
      </c>
      <c r="W157" s="90">
        <f>SUMIF('Avoided Costs 2009-2017'!$A:$A,Actuals!T157&amp;Actuals!S157,'Avoided Costs 2009-2017'!$M:$M)*R157</f>
        <v>0</v>
      </c>
      <c r="X157" s="90">
        <f t="shared" si="60"/>
        <v>58820.774071432825</v>
      </c>
      <c r="Y157" s="148">
        <v>15000</v>
      </c>
      <c r="Z157" s="149">
        <f t="shared" si="61"/>
        <v>14250</v>
      </c>
      <c r="AA157" s="148"/>
      <c r="AB157" s="145"/>
      <c r="AC157" s="145"/>
      <c r="AD157" s="148">
        <f t="shared" si="62"/>
        <v>14250</v>
      </c>
      <c r="AE157" s="122">
        <f t="shared" si="63"/>
        <v>44570.774071432825</v>
      </c>
      <c r="AF157" s="167">
        <f t="shared" si="64"/>
        <v>163675.49999999997</v>
      </c>
    </row>
    <row r="158" spans="1:32" s="150" customFormat="1" x14ac:dyDescent="0.2">
      <c r="A158" s="144" t="s">
        <v>30</v>
      </c>
      <c r="B158" s="144"/>
      <c r="C158" s="144"/>
      <c r="D158" s="145">
        <v>1</v>
      </c>
      <c r="E158" s="122"/>
      <c r="F158" s="146">
        <v>0.05</v>
      </c>
      <c r="G158" s="146"/>
      <c r="H158" s="122">
        <v>11486</v>
      </c>
      <c r="I158" s="122">
        <v>11486</v>
      </c>
      <c r="J158" s="147">
        <f t="shared" si="55"/>
        <v>10911.699999999999</v>
      </c>
      <c r="K158" s="122"/>
      <c r="L158" s="122">
        <v>30901</v>
      </c>
      <c r="M158" s="122">
        <v>30901</v>
      </c>
      <c r="N158" s="122">
        <f t="shared" si="57"/>
        <v>29355.949999999997</v>
      </c>
      <c r="O158" s="122"/>
      <c r="P158" s="122">
        <v>0</v>
      </c>
      <c r="Q158" s="122">
        <f t="shared" si="58"/>
        <v>0</v>
      </c>
      <c r="R158" s="147">
        <f t="shared" si="59"/>
        <v>0</v>
      </c>
      <c r="S158" s="145">
        <v>15</v>
      </c>
      <c r="T158" s="144" t="s">
        <v>213</v>
      </c>
      <c r="U158" s="90">
        <f>SUMIF('Avoided Costs 2009-2017'!$A:$A,Actuals!T158&amp;Actuals!S158,'Avoided Costs 2009-2017'!$E:$E)*J158</f>
        <v>36905.612824464391</v>
      </c>
      <c r="V158" s="90">
        <f>SUMIF('Avoided Costs 2009-2017'!$A:$A,Actuals!T158&amp;Actuals!S158,'Avoided Costs 2009-2017'!$K:$K)*N158</f>
        <v>21915.161246968433</v>
      </c>
      <c r="W158" s="90">
        <f>SUMIF('Avoided Costs 2009-2017'!$A:$A,Actuals!T158&amp;Actuals!S158,'Avoided Costs 2009-2017'!$M:$M)*R158</f>
        <v>0</v>
      </c>
      <c r="X158" s="90">
        <f t="shared" si="60"/>
        <v>58820.774071432825</v>
      </c>
      <c r="Y158" s="148">
        <v>15000</v>
      </c>
      <c r="Z158" s="149">
        <f t="shared" si="61"/>
        <v>14250</v>
      </c>
      <c r="AA158" s="148"/>
      <c r="AB158" s="145"/>
      <c r="AC158" s="145"/>
      <c r="AD158" s="148">
        <f t="shared" si="62"/>
        <v>14250</v>
      </c>
      <c r="AE158" s="122">
        <f t="shared" si="63"/>
        <v>44570.774071432825</v>
      </c>
      <c r="AF158" s="167">
        <f t="shared" si="64"/>
        <v>163675.49999999997</v>
      </c>
    </row>
    <row r="159" spans="1:32" s="150" customFormat="1" x14ac:dyDescent="0.2">
      <c r="A159" s="144" t="s">
        <v>31</v>
      </c>
      <c r="B159" s="144"/>
      <c r="C159" s="144"/>
      <c r="D159" s="145">
        <v>1</v>
      </c>
      <c r="E159" s="122"/>
      <c r="F159" s="146">
        <v>0.05</v>
      </c>
      <c r="G159" s="146"/>
      <c r="H159" s="122">
        <v>4801</v>
      </c>
      <c r="I159" s="122">
        <v>4801</v>
      </c>
      <c r="J159" s="147">
        <f t="shared" si="55"/>
        <v>4560.95</v>
      </c>
      <c r="K159" s="122"/>
      <c r="L159" s="122">
        <v>13521</v>
      </c>
      <c r="M159" s="122">
        <v>13521</v>
      </c>
      <c r="N159" s="122">
        <f t="shared" si="57"/>
        <v>12844.949999999999</v>
      </c>
      <c r="O159" s="122"/>
      <c r="P159" s="122">
        <v>0</v>
      </c>
      <c r="Q159" s="122">
        <f t="shared" si="58"/>
        <v>0</v>
      </c>
      <c r="R159" s="147">
        <f t="shared" si="59"/>
        <v>0</v>
      </c>
      <c r="S159" s="145">
        <v>15</v>
      </c>
      <c r="T159" s="144" t="s">
        <v>213</v>
      </c>
      <c r="U159" s="90">
        <f>SUMIF('Avoided Costs 2009-2017'!$A:$A,Actuals!T159&amp;Actuals!S159,'Avoided Costs 2009-2017'!$E:$E)*J159</f>
        <v>15426.070622519028</v>
      </c>
      <c r="V159" s="90">
        <f>SUMIF('Avoided Costs 2009-2017'!$A:$A,Actuals!T159&amp;Actuals!S159,'Avoided Costs 2009-2017'!$K:$K)*N159</f>
        <v>9589.1684806401154</v>
      </c>
      <c r="W159" s="90">
        <f>SUMIF('Avoided Costs 2009-2017'!$A:$A,Actuals!T159&amp;Actuals!S159,'Avoided Costs 2009-2017'!$M:$M)*R159</f>
        <v>0</v>
      </c>
      <c r="X159" s="90">
        <f t="shared" si="60"/>
        <v>25015.239103159143</v>
      </c>
      <c r="Y159" s="148">
        <v>10000</v>
      </c>
      <c r="Z159" s="149">
        <f t="shared" si="61"/>
        <v>9500</v>
      </c>
      <c r="AA159" s="148"/>
      <c r="AB159" s="145"/>
      <c r="AC159" s="145"/>
      <c r="AD159" s="148">
        <f t="shared" si="62"/>
        <v>9500</v>
      </c>
      <c r="AE159" s="122">
        <f t="shared" si="63"/>
        <v>15515.239103159143</v>
      </c>
      <c r="AF159" s="167">
        <f t="shared" si="64"/>
        <v>68414.25</v>
      </c>
    </row>
    <row r="160" spans="1:32" s="4" customFormat="1" x14ac:dyDescent="0.2">
      <c r="A160" s="152" t="s">
        <v>200</v>
      </c>
      <c r="B160" s="152" t="s">
        <v>1331</v>
      </c>
      <c r="C160" s="152"/>
      <c r="D160" s="153">
        <f>SUM(D141:D159)</f>
        <v>16</v>
      </c>
      <c r="E160" s="147"/>
      <c r="F160" s="154"/>
      <c r="G160" s="155"/>
      <c r="H160" s="237">
        <f>SUM(H141:H159)</f>
        <v>439032</v>
      </c>
      <c r="I160" s="237">
        <f>SUM(I141:I159)</f>
        <v>427468.31999999995</v>
      </c>
      <c r="J160" s="237">
        <f>SUM(J141:J159)</f>
        <v>381608.81160000013</v>
      </c>
      <c r="K160" s="147"/>
      <c r="L160" s="237">
        <f>SUM(L141:L159)</f>
        <v>321402</v>
      </c>
      <c r="M160" s="237">
        <f>SUM(M141:M159)</f>
        <v>310593.99</v>
      </c>
      <c r="N160" s="237">
        <f>SUM(N141:N159)</f>
        <v>288330.15120000008</v>
      </c>
      <c r="O160" s="156"/>
      <c r="P160" s="237">
        <f>SUM(P141:P159)</f>
        <v>0</v>
      </c>
      <c r="Q160" s="237">
        <f>SUM(Q141:Q159)</f>
        <v>0</v>
      </c>
      <c r="R160" s="237">
        <f>SUM(R141:R159)</f>
        <v>0</v>
      </c>
      <c r="S160" s="153"/>
      <c r="T160" s="152"/>
      <c r="U160" s="238">
        <f>SUM(U141:U159)</f>
        <v>1155330.7265447078</v>
      </c>
      <c r="V160" s="238">
        <f>SUM(V141:V159)</f>
        <v>215247.73532829934</v>
      </c>
      <c r="W160" s="238">
        <f>SUM(W141:W159)</f>
        <v>0</v>
      </c>
      <c r="X160" s="238">
        <f>SUM(X141:X159)</f>
        <v>1370578.4618730075</v>
      </c>
      <c r="Y160" s="157"/>
      <c r="Z160" s="238">
        <f>SUM(Z141:Z159)</f>
        <v>540442</v>
      </c>
      <c r="AA160" s="148">
        <v>66873</v>
      </c>
      <c r="AB160" s="148">
        <v>28330.83</v>
      </c>
      <c r="AC160" s="149">
        <f>AB160+AA160</f>
        <v>95203.83</v>
      </c>
      <c r="AD160" s="149">
        <f t="shared" si="62"/>
        <v>568772.82999999996</v>
      </c>
      <c r="AE160" s="158">
        <f t="shared" si="63"/>
        <v>801805.63187300751</v>
      </c>
      <c r="AF160" s="168">
        <f>SUM(AF141:AF159)</f>
        <v>4796314.8607199993</v>
      </c>
    </row>
    <row r="161" spans="1:32" x14ac:dyDescent="0.2">
      <c r="A161" s="134"/>
      <c r="J161" s="61"/>
      <c r="K161" s="51"/>
      <c r="L161" s="51"/>
      <c r="O161" s="92"/>
      <c r="P161" s="36"/>
      <c r="R161" s="26"/>
      <c r="S161" s="26"/>
      <c r="Z161" s="53"/>
      <c r="AA161" s="63"/>
      <c r="AC161" s="53"/>
      <c r="AD161" s="53"/>
      <c r="AE161" s="53"/>
      <c r="AF161" s="166"/>
    </row>
    <row r="162" spans="1:32" x14ac:dyDescent="0.2">
      <c r="A162" s="134" t="s">
        <v>1151</v>
      </c>
      <c r="B162" s="30" t="s">
        <v>1152</v>
      </c>
      <c r="K162" s="51"/>
      <c r="L162" s="51"/>
      <c r="O162" s="92"/>
      <c r="P162" s="36"/>
      <c r="R162" s="26"/>
      <c r="S162" s="26"/>
      <c r="Z162" s="53"/>
      <c r="AA162" s="63"/>
      <c r="AC162" s="53"/>
      <c r="AD162" s="53"/>
      <c r="AE162" s="53"/>
      <c r="AF162" s="166"/>
    </row>
    <row r="163" spans="1:32" s="150" customFormat="1" x14ac:dyDescent="0.2">
      <c r="A163" s="144" t="s">
        <v>1095</v>
      </c>
      <c r="B163" s="144"/>
      <c r="C163" s="144"/>
      <c r="D163" s="145">
        <v>1</v>
      </c>
      <c r="E163" s="122"/>
      <c r="F163" s="146">
        <v>0.12</v>
      </c>
      <c r="G163" s="146"/>
      <c r="H163" s="122">
        <v>3189</v>
      </c>
      <c r="I163" s="122">
        <f t="shared" ref="I163:I172" si="65">+$H$68*H163</f>
        <v>3086.9519999999998</v>
      </c>
      <c r="J163" s="147">
        <f t="shared" ref="J163:J172" si="66">I163*(1-F163)</f>
        <v>2716.5177599999997</v>
      </c>
      <c r="K163" s="122"/>
      <c r="L163" s="122">
        <v>0</v>
      </c>
      <c r="M163" s="122">
        <f t="shared" ref="M163:M172" si="67">+$L$68*L163</f>
        <v>0</v>
      </c>
      <c r="N163" s="122">
        <f t="shared" ref="N163:N172" si="68">M163*(1-F163)</f>
        <v>0</v>
      </c>
      <c r="O163" s="122"/>
      <c r="P163" s="122">
        <v>0</v>
      </c>
      <c r="Q163" s="122">
        <f t="shared" ref="Q163:Q172" si="69">+P163*$P$68</f>
        <v>0</v>
      </c>
      <c r="R163" s="147">
        <f t="shared" ref="R163:R172" si="70">Q163*(1-F163)</f>
        <v>0</v>
      </c>
      <c r="S163" s="145">
        <v>5</v>
      </c>
      <c r="T163" s="144" t="s">
        <v>213</v>
      </c>
      <c r="U163" s="90">
        <f>SUMIF('Avoided Costs 2009-2017'!$A:$A,Actuals!T163&amp;Actuals!S163,'Avoided Costs 2009-2017'!$E:$E)*J163</f>
        <v>4079.0561162721874</v>
      </c>
      <c r="V163" s="90">
        <f>SUMIF('Avoided Costs 2009-2017'!$A:$A,Actuals!T163&amp;Actuals!S163,'Avoided Costs 2009-2017'!$K:$K)*N163</f>
        <v>0</v>
      </c>
      <c r="W163" s="90">
        <f>SUMIF('Avoided Costs 2009-2017'!$A:$A,Actuals!T163&amp;Actuals!S163,'Avoided Costs 2009-2017'!$M:$M)*R163</f>
        <v>0</v>
      </c>
      <c r="X163" s="90">
        <f t="shared" ref="X163:X172" si="71">SUM(U163:W163)</f>
        <v>4079.0561162721874</v>
      </c>
      <c r="Y163" s="148">
        <v>0</v>
      </c>
      <c r="Z163" s="149">
        <f t="shared" ref="Z163:Z172" si="72">Y163*(1-F163)</f>
        <v>0</v>
      </c>
      <c r="AA163" s="148"/>
      <c r="AB163" s="145"/>
      <c r="AC163" s="145"/>
      <c r="AD163" s="148">
        <f t="shared" ref="AD163:AD173" si="73">Z163+AB163</f>
        <v>0</v>
      </c>
      <c r="AE163" s="122">
        <f t="shared" ref="AE163:AE173" si="74">X163-AD163</f>
        <v>4079.0561162721874</v>
      </c>
      <c r="AF163" s="167">
        <f t="shared" ref="AF163:AF172" si="75">J163*S163</f>
        <v>13582.588799999998</v>
      </c>
    </row>
    <row r="164" spans="1:32" s="150" customFormat="1" x14ac:dyDescent="0.2">
      <c r="A164" s="144" t="s">
        <v>1096</v>
      </c>
      <c r="B164" s="144"/>
      <c r="C164" s="144"/>
      <c r="D164" s="145">
        <v>1</v>
      </c>
      <c r="E164" s="122"/>
      <c r="F164" s="146">
        <v>0.12</v>
      </c>
      <c r="G164" s="146"/>
      <c r="H164" s="122">
        <v>17890</v>
      </c>
      <c r="I164" s="122">
        <f t="shared" si="65"/>
        <v>17317.52</v>
      </c>
      <c r="J164" s="147">
        <f t="shared" si="66"/>
        <v>15239.417600000001</v>
      </c>
      <c r="K164" s="122"/>
      <c r="L164" s="122">
        <v>0</v>
      </c>
      <c r="M164" s="122">
        <f t="shared" si="67"/>
        <v>0</v>
      </c>
      <c r="N164" s="122">
        <f t="shared" si="68"/>
        <v>0</v>
      </c>
      <c r="O164" s="122"/>
      <c r="P164" s="122">
        <v>0</v>
      </c>
      <c r="Q164" s="122">
        <f t="shared" si="69"/>
        <v>0</v>
      </c>
      <c r="R164" s="147">
        <f t="shared" si="70"/>
        <v>0</v>
      </c>
      <c r="S164" s="145">
        <v>15</v>
      </c>
      <c r="T164" s="144" t="s">
        <v>213</v>
      </c>
      <c r="U164" s="90">
        <f>SUMIF('Avoided Costs 2009-2017'!$A:$A,Actuals!T164&amp;Actuals!S164,'Avoided Costs 2009-2017'!$E:$E)*J164</f>
        <v>51542.843518052039</v>
      </c>
      <c r="V164" s="90">
        <f>SUMIF('Avoided Costs 2009-2017'!$A:$A,Actuals!T164&amp;Actuals!S164,'Avoided Costs 2009-2017'!$K:$K)*N164</f>
        <v>0</v>
      </c>
      <c r="W164" s="90">
        <f>SUMIF('Avoided Costs 2009-2017'!$A:$A,Actuals!T164&amp;Actuals!S164,'Avoided Costs 2009-2017'!$M:$M)*R164</f>
        <v>0</v>
      </c>
      <c r="X164" s="90">
        <f t="shared" si="71"/>
        <v>51542.843518052039</v>
      </c>
      <c r="Y164" s="148">
        <v>44268</v>
      </c>
      <c r="Z164" s="149">
        <f t="shared" si="72"/>
        <v>38955.840000000004</v>
      </c>
      <c r="AA164" s="148"/>
      <c r="AB164" s="145"/>
      <c r="AC164" s="145"/>
      <c r="AD164" s="148">
        <f t="shared" si="73"/>
        <v>38955.840000000004</v>
      </c>
      <c r="AE164" s="122">
        <f t="shared" si="74"/>
        <v>12587.003518052035</v>
      </c>
      <c r="AF164" s="167">
        <f t="shared" si="75"/>
        <v>228591.26400000002</v>
      </c>
    </row>
    <row r="165" spans="1:32" s="150" customFormat="1" x14ac:dyDescent="0.2">
      <c r="A165" s="144" t="s">
        <v>1097</v>
      </c>
      <c r="B165" s="144"/>
      <c r="C165" s="144"/>
      <c r="D165" s="145">
        <v>1</v>
      </c>
      <c r="E165" s="122"/>
      <c r="F165" s="146">
        <v>0.12</v>
      </c>
      <c r="G165" s="146"/>
      <c r="H165" s="122">
        <v>40563</v>
      </c>
      <c r="I165" s="122">
        <f t="shared" si="65"/>
        <v>39264.983999999997</v>
      </c>
      <c r="J165" s="147">
        <f t="shared" si="66"/>
        <v>34553.185919999996</v>
      </c>
      <c r="K165" s="122"/>
      <c r="L165" s="122">
        <v>0</v>
      </c>
      <c r="M165" s="122">
        <f t="shared" si="67"/>
        <v>0</v>
      </c>
      <c r="N165" s="122">
        <f t="shared" si="68"/>
        <v>0</v>
      </c>
      <c r="O165" s="122"/>
      <c r="P165" s="122">
        <v>0</v>
      </c>
      <c r="Q165" s="122">
        <f t="shared" si="69"/>
        <v>0</v>
      </c>
      <c r="R165" s="147">
        <f t="shared" si="70"/>
        <v>0</v>
      </c>
      <c r="S165" s="145">
        <v>15</v>
      </c>
      <c r="T165" s="144" t="s">
        <v>213</v>
      </c>
      <c r="U165" s="90">
        <f>SUMIF('Avoided Costs 2009-2017'!$A:$A,Actuals!T165&amp;Actuals!S165,'Avoided Costs 2009-2017'!$E:$E)*J165</f>
        <v>116865.97884979007</v>
      </c>
      <c r="V165" s="90">
        <f>SUMIF('Avoided Costs 2009-2017'!$A:$A,Actuals!T165&amp;Actuals!S165,'Avoided Costs 2009-2017'!$K:$K)*N165</f>
        <v>0</v>
      </c>
      <c r="W165" s="90">
        <f>SUMIF('Avoided Costs 2009-2017'!$A:$A,Actuals!T165&amp;Actuals!S165,'Avoided Costs 2009-2017'!$M:$M)*R165</f>
        <v>0</v>
      </c>
      <c r="X165" s="90">
        <f t="shared" si="71"/>
        <v>116865.97884979007</v>
      </c>
      <c r="Y165" s="148">
        <v>41464</v>
      </c>
      <c r="Z165" s="149">
        <f t="shared" si="72"/>
        <v>36488.32</v>
      </c>
      <c r="AA165" s="148"/>
      <c r="AB165" s="145"/>
      <c r="AC165" s="145"/>
      <c r="AD165" s="148">
        <f t="shared" si="73"/>
        <v>36488.32</v>
      </c>
      <c r="AE165" s="122">
        <f t="shared" si="74"/>
        <v>80377.658849790081</v>
      </c>
      <c r="AF165" s="167">
        <f t="shared" si="75"/>
        <v>518297.78879999992</v>
      </c>
    </row>
    <row r="166" spans="1:32" s="150" customFormat="1" x14ac:dyDescent="0.2">
      <c r="A166" s="144" t="s">
        <v>1098</v>
      </c>
      <c r="B166" s="144"/>
      <c r="C166" s="144"/>
      <c r="D166" s="145">
        <v>1</v>
      </c>
      <c r="E166" s="122"/>
      <c r="F166" s="146">
        <v>0.12</v>
      </c>
      <c r="G166" s="146"/>
      <c r="H166" s="122">
        <v>15116</v>
      </c>
      <c r="I166" s="122">
        <f t="shared" si="65"/>
        <v>14632.288</v>
      </c>
      <c r="J166" s="147">
        <f t="shared" si="66"/>
        <v>12876.41344</v>
      </c>
      <c r="K166" s="122"/>
      <c r="L166" s="122">
        <v>-12996</v>
      </c>
      <c r="M166" s="122">
        <f t="shared" si="67"/>
        <v>-11683.404</v>
      </c>
      <c r="N166" s="122">
        <f t="shared" si="68"/>
        <v>-10281.39552</v>
      </c>
      <c r="O166" s="122"/>
      <c r="P166" s="122">
        <v>0</v>
      </c>
      <c r="Q166" s="122">
        <f t="shared" si="69"/>
        <v>0</v>
      </c>
      <c r="R166" s="147">
        <f t="shared" si="70"/>
        <v>0</v>
      </c>
      <c r="S166" s="145">
        <v>15</v>
      </c>
      <c r="T166" s="144" t="s">
        <v>213</v>
      </c>
      <c r="U166" s="90">
        <f>SUMIF('Avoided Costs 2009-2017'!$A:$A,Actuals!T166&amp;Actuals!S166,'Avoided Costs 2009-2017'!$E:$E)*J166</f>
        <v>43550.677619836475</v>
      </c>
      <c r="V166" s="90">
        <f>SUMIF('Avoided Costs 2009-2017'!$A:$A,Actuals!T166&amp;Actuals!S166,'Avoided Costs 2009-2017'!$K:$K)*N166</f>
        <v>-7675.3925750881472</v>
      </c>
      <c r="W166" s="90">
        <f>SUMIF('Avoided Costs 2009-2017'!$A:$A,Actuals!T166&amp;Actuals!S166,'Avoided Costs 2009-2017'!$M:$M)*R166</f>
        <v>0</v>
      </c>
      <c r="X166" s="90">
        <f t="shared" si="71"/>
        <v>35875.285044748329</v>
      </c>
      <c r="Y166" s="148">
        <v>7308.08</v>
      </c>
      <c r="Z166" s="149">
        <f t="shared" si="72"/>
        <v>6431.1103999999996</v>
      </c>
      <c r="AA166" s="148"/>
      <c r="AB166" s="145"/>
      <c r="AC166" s="145"/>
      <c r="AD166" s="148">
        <f t="shared" si="73"/>
        <v>6431.1103999999996</v>
      </c>
      <c r="AE166" s="122">
        <f t="shared" si="74"/>
        <v>29444.174644748331</v>
      </c>
      <c r="AF166" s="167">
        <f t="shared" si="75"/>
        <v>193146.2016</v>
      </c>
    </row>
    <row r="167" spans="1:32" s="150" customFormat="1" x14ac:dyDescent="0.2">
      <c r="A167" s="144" t="s">
        <v>1099</v>
      </c>
      <c r="B167" s="144"/>
      <c r="C167" s="144"/>
      <c r="D167" s="145">
        <v>1</v>
      </c>
      <c r="E167" s="122"/>
      <c r="F167" s="146">
        <v>0.12</v>
      </c>
      <c r="G167" s="146"/>
      <c r="H167" s="122">
        <v>3375</v>
      </c>
      <c r="I167" s="122">
        <f t="shared" si="65"/>
        <v>3267</v>
      </c>
      <c r="J167" s="147">
        <f t="shared" si="66"/>
        <v>2874.96</v>
      </c>
      <c r="K167" s="122"/>
      <c r="L167" s="122">
        <v>-9396</v>
      </c>
      <c r="M167" s="122">
        <f t="shared" si="67"/>
        <v>-8447.0040000000008</v>
      </c>
      <c r="N167" s="122">
        <f t="shared" si="68"/>
        <v>-7433.3635200000008</v>
      </c>
      <c r="O167" s="122"/>
      <c r="P167" s="122">
        <v>0</v>
      </c>
      <c r="Q167" s="122">
        <f t="shared" si="69"/>
        <v>0</v>
      </c>
      <c r="R167" s="147">
        <f t="shared" si="70"/>
        <v>0</v>
      </c>
      <c r="S167" s="145">
        <v>15</v>
      </c>
      <c r="T167" s="144" t="s">
        <v>213</v>
      </c>
      <c r="U167" s="90">
        <f>SUMIF('Avoided Costs 2009-2017'!$A:$A,Actuals!T167&amp;Actuals!S167,'Avoided Costs 2009-2017'!$E:$E)*J167</f>
        <v>9723.7058062283741</v>
      </c>
      <c r="V167" s="90">
        <f>SUMIF('Avoided Costs 2009-2017'!$A:$A,Actuals!T167&amp;Actuals!S167,'Avoided Costs 2009-2017'!$K:$K)*N167</f>
        <v>-5549.2450473628996</v>
      </c>
      <c r="W167" s="90">
        <f>SUMIF('Avoided Costs 2009-2017'!$A:$A,Actuals!T167&amp;Actuals!S167,'Avoided Costs 2009-2017'!$M:$M)*R167</f>
        <v>0</v>
      </c>
      <c r="X167" s="90">
        <f t="shared" si="71"/>
        <v>4174.4607588654744</v>
      </c>
      <c r="Y167" s="148">
        <v>3654</v>
      </c>
      <c r="Z167" s="149">
        <f t="shared" si="72"/>
        <v>3215.52</v>
      </c>
      <c r="AA167" s="148"/>
      <c r="AB167" s="145"/>
      <c r="AC167" s="145"/>
      <c r="AD167" s="148">
        <f t="shared" si="73"/>
        <v>3215.52</v>
      </c>
      <c r="AE167" s="122">
        <f t="shared" si="74"/>
        <v>958.94075886547444</v>
      </c>
      <c r="AF167" s="167">
        <f t="shared" si="75"/>
        <v>43124.4</v>
      </c>
    </row>
    <row r="168" spans="1:32" s="150" customFormat="1" x14ac:dyDescent="0.2">
      <c r="A168" s="144" t="s">
        <v>120</v>
      </c>
      <c r="B168" s="144"/>
      <c r="C168" s="144"/>
      <c r="D168" s="145">
        <v>1</v>
      </c>
      <c r="E168" s="122"/>
      <c r="F168" s="146">
        <v>0.12</v>
      </c>
      <c r="G168" s="146"/>
      <c r="H168" s="122">
        <v>33621</v>
      </c>
      <c r="I168" s="122">
        <f t="shared" si="65"/>
        <v>32545.128000000001</v>
      </c>
      <c r="J168" s="147">
        <f t="shared" si="66"/>
        <v>28639.712640000002</v>
      </c>
      <c r="K168" s="122"/>
      <c r="L168" s="122">
        <v>-25600</v>
      </c>
      <c r="M168" s="122">
        <f t="shared" si="67"/>
        <v>-23014.400000000001</v>
      </c>
      <c r="N168" s="122">
        <f t="shared" si="68"/>
        <v>-20252.672000000002</v>
      </c>
      <c r="O168" s="122"/>
      <c r="P168" s="122">
        <v>0</v>
      </c>
      <c r="Q168" s="122">
        <f t="shared" si="69"/>
        <v>0</v>
      </c>
      <c r="R168" s="147">
        <f t="shared" si="70"/>
        <v>0</v>
      </c>
      <c r="S168" s="145">
        <v>15</v>
      </c>
      <c r="T168" s="144" t="s">
        <v>213</v>
      </c>
      <c r="U168" s="90">
        <f>SUMIF('Avoided Costs 2009-2017'!$A:$A,Actuals!T168&amp;Actuals!S168,'Avoided Costs 2009-2017'!$E:$E)*J168</f>
        <v>96865.39641813458</v>
      </c>
      <c r="V168" s="90">
        <f>SUMIF('Avoided Costs 2009-2017'!$A:$A,Actuals!T168&amp;Actuals!S168,'Avoided Costs 2009-2017'!$K:$K)*N168</f>
        <v>-15119.271308268437</v>
      </c>
      <c r="W168" s="90">
        <f>SUMIF('Avoided Costs 2009-2017'!$A:$A,Actuals!T168&amp;Actuals!S168,'Avoided Costs 2009-2017'!$M:$M)*R168</f>
        <v>0</v>
      </c>
      <c r="X168" s="90">
        <f t="shared" si="71"/>
        <v>81746.125109866145</v>
      </c>
      <c r="Y168" s="148">
        <v>34281</v>
      </c>
      <c r="Z168" s="149">
        <f t="shared" si="72"/>
        <v>30167.279999999999</v>
      </c>
      <c r="AA168" s="148"/>
      <c r="AB168" s="145"/>
      <c r="AC168" s="145"/>
      <c r="AD168" s="148">
        <f t="shared" si="73"/>
        <v>30167.279999999999</v>
      </c>
      <c r="AE168" s="122">
        <f t="shared" si="74"/>
        <v>51578.845109866146</v>
      </c>
      <c r="AF168" s="167">
        <f t="shared" si="75"/>
        <v>429595.68960000004</v>
      </c>
    </row>
    <row r="169" spans="1:32" s="150" customFormat="1" x14ac:dyDescent="0.2">
      <c r="A169" s="144" t="s">
        <v>121</v>
      </c>
      <c r="B169" s="144"/>
      <c r="C169" s="144"/>
      <c r="D169" s="145">
        <v>1</v>
      </c>
      <c r="E169" s="122"/>
      <c r="F169" s="146">
        <v>0.12</v>
      </c>
      <c r="G169" s="146"/>
      <c r="H169" s="122">
        <v>72454</v>
      </c>
      <c r="I169" s="122">
        <f t="shared" si="65"/>
        <v>70135.471999999994</v>
      </c>
      <c r="J169" s="147">
        <f t="shared" si="66"/>
        <v>61719.215359999995</v>
      </c>
      <c r="K169" s="122"/>
      <c r="L169" s="122">
        <v>14303</v>
      </c>
      <c r="M169" s="122">
        <f t="shared" si="67"/>
        <v>12858.397000000001</v>
      </c>
      <c r="N169" s="122">
        <f t="shared" si="68"/>
        <v>11315.389360000001</v>
      </c>
      <c r="O169" s="122"/>
      <c r="P169" s="122">
        <v>0</v>
      </c>
      <c r="Q169" s="122">
        <f t="shared" si="69"/>
        <v>0</v>
      </c>
      <c r="R169" s="147">
        <f t="shared" si="70"/>
        <v>0</v>
      </c>
      <c r="S169" s="145">
        <v>15</v>
      </c>
      <c r="T169" s="144" t="s">
        <v>213</v>
      </c>
      <c r="U169" s="90">
        <f>SUMIF('Avoided Costs 2009-2017'!$A:$A,Actuals!T169&amp;Actuals!S169,'Avoided Costs 2009-2017'!$E:$E)*J169</f>
        <v>208747.0756991024</v>
      </c>
      <c r="V169" s="90">
        <f>SUMIF('Avoided Costs 2009-2017'!$A:$A,Actuals!T169&amp;Actuals!S169,'Avoided Costs 2009-2017'!$K:$K)*N169</f>
        <v>8447.3022469595089</v>
      </c>
      <c r="W169" s="90">
        <f>SUMIF('Avoided Costs 2009-2017'!$A:$A,Actuals!T169&amp;Actuals!S169,'Avoided Costs 2009-2017'!$M:$M)*R169</f>
        <v>0</v>
      </c>
      <c r="X169" s="90">
        <f t="shared" si="71"/>
        <v>217194.3779460619</v>
      </c>
      <c r="Y169" s="148">
        <v>64093</v>
      </c>
      <c r="Z169" s="149">
        <f t="shared" si="72"/>
        <v>56401.840000000004</v>
      </c>
      <c r="AA169" s="148"/>
      <c r="AB169" s="145"/>
      <c r="AC169" s="145"/>
      <c r="AD169" s="148">
        <f t="shared" si="73"/>
        <v>56401.840000000004</v>
      </c>
      <c r="AE169" s="122">
        <f t="shared" si="74"/>
        <v>160792.5379460619</v>
      </c>
      <c r="AF169" s="167">
        <f t="shared" si="75"/>
        <v>925788.23039999988</v>
      </c>
    </row>
    <row r="170" spans="1:32" s="150" customFormat="1" x14ac:dyDescent="0.2">
      <c r="A170" s="144" t="s">
        <v>122</v>
      </c>
      <c r="B170" s="144"/>
      <c r="C170" s="144"/>
      <c r="D170" s="145">
        <v>1</v>
      </c>
      <c r="E170" s="122"/>
      <c r="F170" s="146">
        <v>0.12</v>
      </c>
      <c r="G170" s="146"/>
      <c r="H170" s="122">
        <v>19163</v>
      </c>
      <c r="I170" s="122">
        <f t="shared" si="65"/>
        <v>18549.784</v>
      </c>
      <c r="J170" s="147">
        <f t="shared" si="66"/>
        <v>16323.80992</v>
      </c>
      <c r="K170" s="122"/>
      <c r="L170" s="122">
        <v>0</v>
      </c>
      <c r="M170" s="122">
        <f t="shared" si="67"/>
        <v>0</v>
      </c>
      <c r="N170" s="122">
        <f t="shared" si="68"/>
        <v>0</v>
      </c>
      <c r="O170" s="122"/>
      <c r="P170" s="122">
        <v>0</v>
      </c>
      <c r="Q170" s="122">
        <f t="shared" si="69"/>
        <v>0</v>
      </c>
      <c r="R170" s="147">
        <f t="shared" si="70"/>
        <v>0</v>
      </c>
      <c r="S170" s="145">
        <v>15</v>
      </c>
      <c r="T170" s="144" t="s">
        <v>213</v>
      </c>
      <c r="U170" s="90">
        <f>SUMIF('Avoided Costs 2009-2017'!$A:$A,Actuals!T170&amp;Actuals!S170,'Avoided Costs 2009-2017'!$E:$E)*J170</f>
        <v>55210.481293260542</v>
      </c>
      <c r="V170" s="90">
        <f>SUMIF('Avoided Costs 2009-2017'!$A:$A,Actuals!T170&amp;Actuals!S170,'Avoided Costs 2009-2017'!$K:$K)*N170</f>
        <v>0</v>
      </c>
      <c r="W170" s="90">
        <f>SUMIF('Avoided Costs 2009-2017'!$A:$A,Actuals!T170&amp;Actuals!S170,'Avoided Costs 2009-2017'!$M:$M)*R170</f>
        <v>0</v>
      </c>
      <c r="X170" s="90">
        <f t="shared" si="71"/>
        <v>55210.481293260542</v>
      </c>
      <c r="Y170" s="148">
        <v>3007</v>
      </c>
      <c r="Z170" s="149">
        <f t="shared" si="72"/>
        <v>2646.16</v>
      </c>
      <c r="AA170" s="148"/>
      <c r="AB170" s="145"/>
      <c r="AC170" s="145"/>
      <c r="AD170" s="148">
        <f t="shared" si="73"/>
        <v>2646.16</v>
      </c>
      <c r="AE170" s="122">
        <f t="shared" si="74"/>
        <v>52564.321293260538</v>
      </c>
      <c r="AF170" s="167">
        <f t="shared" si="75"/>
        <v>244857.1488</v>
      </c>
    </row>
    <row r="171" spans="1:32" s="150" customFormat="1" x14ac:dyDescent="0.2">
      <c r="A171" s="144" t="s">
        <v>123</v>
      </c>
      <c r="B171" s="144"/>
      <c r="C171" s="144"/>
      <c r="D171" s="145">
        <v>1</v>
      </c>
      <c r="E171" s="122"/>
      <c r="F171" s="146">
        <v>0.12</v>
      </c>
      <c r="G171" s="146"/>
      <c r="H171" s="122">
        <v>44803</v>
      </c>
      <c r="I171" s="122">
        <f t="shared" si="65"/>
        <v>43369.303999999996</v>
      </c>
      <c r="J171" s="147">
        <f t="shared" si="66"/>
        <v>38164.987519999995</v>
      </c>
      <c r="K171" s="122"/>
      <c r="L171" s="122">
        <v>0</v>
      </c>
      <c r="M171" s="122">
        <f t="shared" si="67"/>
        <v>0</v>
      </c>
      <c r="N171" s="122">
        <f t="shared" si="68"/>
        <v>0</v>
      </c>
      <c r="O171" s="122"/>
      <c r="P171" s="122">
        <v>0</v>
      </c>
      <c r="Q171" s="122">
        <f t="shared" si="69"/>
        <v>0</v>
      </c>
      <c r="R171" s="147">
        <f t="shared" si="70"/>
        <v>0</v>
      </c>
      <c r="S171" s="145">
        <v>10</v>
      </c>
      <c r="T171" s="144" t="s">
        <v>213</v>
      </c>
      <c r="U171" s="90">
        <f>SUMIF('Avoided Costs 2009-2017'!$A:$A,Actuals!T171&amp;Actuals!S171,'Avoided Costs 2009-2017'!$E:$E)*J171</f>
        <v>100237.32882397344</v>
      </c>
      <c r="V171" s="90">
        <f>SUMIF('Avoided Costs 2009-2017'!$A:$A,Actuals!T171&amp;Actuals!S171,'Avoided Costs 2009-2017'!$K:$K)*N171</f>
        <v>0</v>
      </c>
      <c r="W171" s="90">
        <f>SUMIF('Avoided Costs 2009-2017'!$A:$A,Actuals!T171&amp;Actuals!S171,'Avoided Costs 2009-2017'!$M:$M)*R171</f>
        <v>0</v>
      </c>
      <c r="X171" s="90">
        <f t="shared" si="71"/>
        <v>100237.32882397344</v>
      </c>
      <c r="Y171" s="148">
        <v>88445</v>
      </c>
      <c r="Z171" s="149">
        <f t="shared" si="72"/>
        <v>77831.600000000006</v>
      </c>
      <c r="AA171" s="148"/>
      <c r="AB171" s="145"/>
      <c r="AC171" s="145"/>
      <c r="AD171" s="148">
        <f t="shared" si="73"/>
        <v>77831.600000000006</v>
      </c>
      <c r="AE171" s="122">
        <f t="shared" si="74"/>
        <v>22405.728823973433</v>
      </c>
      <c r="AF171" s="167">
        <f t="shared" si="75"/>
        <v>381649.87519999995</v>
      </c>
    </row>
    <row r="172" spans="1:32" s="150" customFormat="1" x14ac:dyDescent="0.2">
      <c r="A172" s="144" t="s">
        <v>124</v>
      </c>
      <c r="B172" s="144"/>
      <c r="C172" s="144"/>
      <c r="D172" s="145">
        <v>1</v>
      </c>
      <c r="E172" s="122"/>
      <c r="F172" s="146">
        <v>0.12</v>
      </c>
      <c r="G172" s="146"/>
      <c r="H172" s="122">
        <v>60787</v>
      </c>
      <c r="I172" s="122">
        <f t="shared" si="65"/>
        <v>58841.815999999999</v>
      </c>
      <c r="J172" s="147">
        <f t="shared" si="66"/>
        <v>51780.79808</v>
      </c>
      <c r="K172" s="122"/>
      <c r="L172" s="122">
        <v>0</v>
      </c>
      <c r="M172" s="122">
        <f t="shared" si="67"/>
        <v>0</v>
      </c>
      <c r="N172" s="122">
        <f t="shared" si="68"/>
        <v>0</v>
      </c>
      <c r="O172" s="122"/>
      <c r="P172" s="122">
        <v>0</v>
      </c>
      <c r="Q172" s="122">
        <f t="shared" si="69"/>
        <v>0</v>
      </c>
      <c r="R172" s="147">
        <f t="shared" si="70"/>
        <v>0</v>
      </c>
      <c r="S172" s="145">
        <v>15</v>
      </c>
      <c r="T172" s="144" t="s">
        <v>213</v>
      </c>
      <c r="U172" s="90">
        <f>SUMIF('Avoided Costs 2009-2017'!$A:$A,Actuals!T172&amp;Actuals!S172,'Avoided Costs 2009-2017'!$E:$E)*J172</f>
        <v>175133.30513872718</v>
      </c>
      <c r="V172" s="90">
        <f>SUMIF('Avoided Costs 2009-2017'!$A:$A,Actuals!T172&amp;Actuals!S172,'Avoided Costs 2009-2017'!$K:$K)*N172</f>
        <v>0</v>
      </c>
      <c r="W172" s="90">
        <f>SUMIF('Avoided Costs 2009-2017'!$A:$A,Actuals!T172&amp;Actuals!S172,'Avoided Costs 2009-2017'!$M:$M)*R172</f>
        <v>0</v>
      </c>
      <c r="X172" s="90">
        <f t="shared" si="71"/>
        <v>175133.30513872718</v>
      </c>
      <c r="Y172" s="148">
        <v>13312</v>
      </c>
      <c r="Z172" s="149">
        <f t="shared" si="72"/>
        <v>11714.56</v>
      </c>
      <c r="AA172" s="148"/>
      <c r="AB172" s="145"/>
      <c r="AC172" s="145"/>
      <c r="AD172" s="148">
        <f t="shared" si="73"/>
        <v>11714.56</v>
      </c>
      <c r="AE172" s="122">
        <f t="shared" si="74"/>
        <v>163418.74513872719</v>
      </c>
      <c r="AF172" s="167">
        <f t="shared" si="75"/>
        <v>776711.97120000003</v>
      </c>
    </row>
    <row r="173" spans="1:32" s="4" customFormat="1" x14ac:dyDescent="0.2">
      <c r="A173" s="152" t="s">
        <v>200</v>
      </c>
      <c r="B173" s="152" t="s">
        <v>1334</v>
      </c>
      <c r="C173" s="152"/>
      <c r="D173" s="153">
        <f>SUM(D163:D172)</f>
        <v>10</v>
      </c>
      <c r="E173" s="147"/>
      <c r="F173" s="154"/>
      <c r="G173" s="155"/>
      <c r="H173" s="237">
        <f>SUM(H163:H172)</f>
        <v>310961</v>
      </c>
      <c r="I173" s="237">
        <f>SUM(I163:I172)</f>
        <v>301010.24799999996</v>
      </c>
      <c r="J173" s="237">
        <f>SUM(J163:J172)</f>
        <v>264889.01824</v>
      </c>
      <c r="K173" s="147"/>
      <c r="L173" s="237">
        <f>SUM(L163:L172)</f>
        <v>-33689</v>
      </c>
      <c r="M173" s="237">
        <f>SUM(M163:M172)</f>
        <v>-30286.411000000004</v>
      </c>
      <c r="N173" s="237">
        <f>SUM(N163:N172)</f>
        <v>-26652.041680000002</v>
      </c>
      <c r="O173" s="156"/>
      <c r="P173" s="237">
        <f>SUM(P163:P172)</f>
        <v>0</v>
      </c>
      <c r="Q173" s="237">
        <f>SUM(Q163:Q172)</f>
        <v>0</v>
      </c>
      <c r="R173" s="237">
        <f>SUM(R163:R172)</f>
        <v>0</v>
      </c>
      <c r="S173" s="153"/>
      <c r="T173" s="152"/>
      <c r="U173" s="238">
        <f>SUM(U163:U172)</f>
        <v>861955.84928337729</v>
      </c>
      <c r="V173" s="238">
        <f>SUM(V163:V172)</f>
        <v>-19896.606683759972</v>
      </c>
      <c r="W173" s="238">
        <f>SUM(W163:W172)</f>
        <v>0</v>
      </c>
      <c r="X173" s="238">
        <f>SUM(X163:X172)</f>
        <v>842059.24259961734</v>
      </c>
      <c r="Y173" s="157"/>
      <c r="Z173" s="238">
        <f>SUM(Z163:Z172)</f>
        <v>263852.23040000006</v>
      </c>
      <c r="AA173" s="148">
        <v>21222</v>
      </c>
      <c r="AB173" s="148">
        <v>7609.11</v>
      </c>
      <c r="AC173" s="149">
        <f>AB173+AA173</f>
        <v>28831.11</v>
      </c>
      <c r="AD173" s="149">
        <f t="shared" si="73"/>
        <v>271461.34040000004</v>
      </c>
      <c r="AE173" s="158">
        <f t="shared" si="74"/>
        <v>570597.90219961735</v>
      </c>
      <c r="AF173" s="168">
        <f>SUM(AF163:AF172)</f>
        <v>3755345.1584000001</v>
      </c>
    </row>
    <row r="174" spans="1:32" x14ac:dyDescent="0.2">
      <c r="A174" s="134"/>
      <c r="K174" s="51"/>
      <c r="L174" s="51"/>
      <c r="O174" s="92"/>
      <c r="P174" s="36"/>
      <c r="R174" s="26"/>
      <c r="S174" s="26"/>
      <c r="Z174" s="53"/>
      <c r="AA174" s="63"/>
      <c r="AC174" s="53"/>
      <c r="AD174" s="53"/>
      <c r="AE174" s="53"/>
      <c r="AF174" s="166"/>
    </row>
    <row r="175" spans="1:32" x14ac:dyDescent="0.2">
      <c r="A175" s="134" t="s">
        <v>961</v>
      </c>
      <c r="B175" s="30" t="s">
        <v>1219</v>
      </c>
      <c r="K175" s="51"/>
      <c r="L175" s="51"/>
      <c r="O175" s="92"/>
      <c r="P175" s="36"/>
      <c r="R175" s="26"/>
      <c r="S175" s="26"/>
      <c r="Z175" s="53"/>
      <c r="AA175" s="63"/>
      <c r="AC175" s="53"/>
      <c r="AD175" s="53"/>
      <c r="AE175" s="53"/>
      <c r="AF175" s="166"/>
    </row>
    <row r="176" spans="1:32" s="150" customFormat="1" x14ac:dyDescent="0.2">
      <c r="A176" s="144" t="s">
        <v>1000</v>
      </c>
      <c r="B176" s="144"/>
      <c r="C176" s="144"/>
      <c r="D176" s="145">
        <v>1</v>
      </c>
      <c r="E176" s="122"/>
      <c r="F176" s="146">
        <v>0.12</v>
      </c>
      <c r="G176" s="146"/>
      <c r="H176" s="122">
        <v>17849</v>
      </c>
      <c r="I176" s="122">
        <f t="shared" ref="I176:I194" si="76">+$H$68*H176</f>
        <v>17277.831999999999</v>
      </c>
      <c r="J176" s="147">
        <f t="shared" ref="J176:J194" si="77">I176*(1-F176)</f>
        <v>15204.492159999998</v>
      </c>
      <c r="K176" s="122"/>
      <c r="L176" s="122">
        <v>0</v>
      </c>
      <c r="M176" s="122">
        <f t="shared" ref="M176:M194" si="78">+$L$68*L176</f>
        <v>0</v>
      </c>
      <c r="N176" s="122">
        <f t="shared" ref="N176:N194" si="79">M176*(1-F176)</f>
        <v>0</v>
      </c>
      <c r="O176" s="122"/>
      <c r="P176" s="122">
        <v>0</v>
      </c>
      <c r="Q176" s="122">
        <f t="shared" ref="Q176:Q194" si="80">+P176*$P$68</f>
        <v>0</v>
      </c>
      <c r="R176" s="147">
        <f t="shared" ref="R176:R194" si="81">Q176*(1-F176)</f>
        <v>0</v>
      </c>
      <c r="S176" s="145">
        <v>25</v>
      </c>
      <c r="T176" s="144" t="s">
        <v>213</v>
      </c>
      <c r="U176" s="90">
        <f>SUMIF('Avoided Costs 2009-2017'!$A:$A,Actuals!T176&amp;Actuals!S176,'Avoided Costs 2009-2017'!$E:$E)*J176</f>
        <v>65459.474434767348</v>
      </c>
      <c r="V176" s="90">
        <f>SUMIF('Avoided Costs 2009-2017'!$A:$A,Actuals!T176&amp;Actuals!S176,'Avoided Costs 2009-2017'!$K:$K)*N176</f>
        <v>0</v>
      </c>
      <c r="W176" s="90">
        <f>SUMIF('Avoided Costs 2009-2017'!$A:$A,Actuals!T176&amp;Actuals!S176,'Avoided Costs 2009-2017'!$M:$M)*R176</f>
        <v>0</v>
      </c>
      <c r="X176" s="90">
        <f t="shared" ref="X176:X194" si="82">SUM(U176:W176)</f>
        <v>65459.474434767348</v>
      </c>
      <c r="Y176" s="148">
        <v>24800</v>
      </c>
      <c r="Z176" s="149">
        <f t="shared" ref="Z176:Z194" si="83">Y176*(1-F176)</f>
        <v>21824</v>
      </c>
      <c r="AA176" s="148"/>
      <c r="AB176" s="145"/>
      <c r="AC176" s="145"/>
      <c r="AD176" s="148">
        <f t="shared" ref="AD176:AD195" si="84">Z176+AB176</f>
        <v>21824</v>
      </c>
      <c r="AE176" s="122">
        <f t="shared" ref="AE176:AE195" si="85">X176-AD176</f>
        <v>43635.474434767348</v>
      </c>
      <c r="AF176" s="167">
        <f t="shared" ref="AF176:AF194" si="86">J176*S176</f>
        <v>380112.30399999995</v>
      </c>
    </row>
    <row r="177" spans="1:32" s="150" customFormat="1" x14ac:dyDescent="0.2">
      <c r="A177" s="144" t="s">
        <v>1001</v>
      </c>
      <c r="B177" s="144"/>
      <c r="C177" s="144"/>
      <c r="D177" s="145">
        <v>1</v>
      </c>
      <c r="E177" s="122"/>
      <c r="F177" s="146">
        <v>0.12</v>
      </c>
      <c r="G177" s="146"/>
      <c r="H177" s="122">
        <v>10723</v>
      </c>
      <c r="I177" s="122">
        <f t="shared" si="76"/>
        <v>10379.864</v>
      </c>
      <c r="J177" s="147">
        <f t="shared" si="77"/>
        <v>9134.2803199999998</v>
      </c>
      <c r="K177" s="122"/>
      <c r="L177" s="122">
        <v>0</v>
      </c>
      <c r="M177" s="122">
        <f t="shared" si="78"/>
        <v>0</v>
      </c>
      <c r="N177" s="122">
        <f t="shared" si="79"/>
        <v>0</v>
      </c>
      <c r="O177" s="122"/>
      <c r="P177" s="122">
        <v>0</v>
      </c>
      <c r="Q177" s="122">
        <f t="shared" si="80"/>
        <v>0</v>
      </c>
      <c r="R177" s="147">
        <f t="shared" si="81"/>
        <v>0</v>
      </c>
      <c r="S177" s="145">
        <v>21</v>
      </c>
      <c r="T177" s="144" t="s">
        <v>213</v>
      </c>
      <c r="U177" s="90">
        <f>SUMIF('Avoided Costs 2009-2017'!$A:$A,Actuals!T177&amp;Actuals!S177,'Avoided Costs 2009-2017'!$E:$E)*J177</f>
        <v>36616.066862980748</v>
      </c>
      <c r="V177" s="90">
        <f>SUMIF('Avoided Costs 2009-2017'!$A:$A,Actuals!T177&amp;Actuals!S177,'Avoided Costs 2009-2017'!$K:$K)*N177</f>
        <v>0</v>
      </c>
      <c r="W177" s="90">
        <f>SUMIF('Avoided Costs 2009-2017'!$A:$A,Actuals!T177&amp;Actuals!S177,'Avoided Costs 2009-2017'!$M:$M)*R177</f>
        <v>0</v>
      </c>
      <c r="X177" s="90">
        <f t="shared" si="82"/>
        <v>36616.066862980748</v>
      </c>
      <c r="Y177" s="148">
        <v>9803</v>
      </c>
      <c r="Z177" s="149">
        <f t="shared" si="83"/>
        <v>8626.64</v>
      </c>
      <c r="AA177" s="148"/>
      <c r="AB177" s="145"/>
      <c r="AC177" s="145"/>
      <c r="AD177" s="148">
        <f t="shared" si="84"/>
        <v>8626.64</v>
      </c>
      <c r="AE177" s="122">
        <f t="shared" si="85"/>
        <v>27989.426862980748</v>
      </c>
      <c r="AF177" s="167">
        <f t="shared" si="86"/>
        <v>191819.88672000001</v>
      </c>
    </row>
    <row r="178" spans="1:32" s="150" customFormat="1" x14ac:dyDescent="0.2">
      <c r="A178" s="144" t="s">
        <v>1002</v>
      </c>
      <c r="B178" s="144"/>
      <c r="C178" s="144"/>
      <c r="D178" s="145">
        <v>1</v>
      </c>
      <c r="E178" s="122"/>
      <c r="F178" s="146">
        <v>0.12</v>
      </c>
      <c r="G178" s="146"/>
      <c r="H178" s="122">
        <v>24386</v>
      </c>
      <c r="I178" s="122">
        <f t="shared" si="76"/>
        <v>23605.648000000001</v>
      </c>
      <c r="J178" s="147">
        <f t="shared" si="77"/>
        <v>20772.970240000002</v>
      </c>
      <c r="K178" s="122"/>
      <c r="L178" s="122">
        <v>0</v>
      </c>
      <c r="M178" s="122">
        <f t="shared" si="78"/>
        <v>0</v>
      </c>
      <c r="N178" s="122">
        <f t="shared" si="79"/>
        <v>0</v>
      </c>
      <c r="O178" s="122"/>
      <c r="P178" s="122">
        <v>0</v>
      </c>
      <c r="Q178" s="122">
        <f t="shared" si="80"/>
        <v>0</v>
      </c>
      <c r="R178" s="147">
        <f t="shared" si="81"/>
        <v>0</v>
      </c>
      <c r="S178" s="145">
        <v>13</v>
      </c>
      <c r="T178" s="144" t="s">
        <v>213</v>
      </c>
      <c r="U178" s="90">
        <f>SUMIF('Avoided Costs 2009-2017'!$A:$A,Actuals!T178&amp;Actuals!S178,'Avoided Costs 2009-2017'!$E:$E)*J178</f>
        <v>64607.222614165126</v>
      </c>
      <c r="V178" s="90">
        <f>SUMIF('Avoided Costs 2009-2017'!$A:$A,Actuals!T178&amp;Actuals!S178,'Avoided Costs 2009-2017'!$K:$K)*N178</f>
        <v>0</v>
      </c>
      <c r="W178" s="90">
        <f>SUMIF('Avoided Costs 2009-2017'!$A:$A,Actuals!T178&amp;Actuals!S178,'Avoided Costs 2009-2017'!$M:$M)*R178</f>
        <v>0</v>
      </c>
      <c r="X178" s="90">
        <f t="shared" si="82"/>
        <v>64607.222614165126</v>
      </c>
      <c r="Y178" s="148">
        <v>6428</v>
      </c>
      <c r="Z178" s="149">
        <f t="shared" si="83"/>
        <v>5656.64</v>
      </c>
      <c r="AA178" s="148"/>
      <c r="AB178" s="145"/>
      <c r="AC178" s="145"/>
      <c r="AD178" s="148">
        <f t="shared" si="84"/>
        <v>5656.64</v>
      </c>
      <c r="AE178" s="122">
        <f t="shared" si="85"/>
        <v>58950.582614165127</v>
      </c>
      <c r="AF178" s="167">
        <f t="shared" si="86"/>
        <v>270048.61312000005</v>
      </c>
    </row>
    <row r="179" spans="1:32" s="150" customFormat="1" x14ac:dyDescent="0.2">
      <c r="A179" s="144" t="s">
        <v>1003</v>
      </c>
      <c r="B179" s="144"/>
      <c r="C179" s="144"/>
      <c r="D179" s="145">
        <v>1</v>
      </c>
      <c r="E179" s="122"/>
      <c r="F179" s="146">
        <v>0.12</v>
      </c>
      <c r="G179" s="146"/>
      <c r="H179" s="122">
        <v>35229</v>
      </c>
      <c r="I179" s="122">
        <f t="shared" si="76"/>
        <v>34101.671999999999</v>
      </c>
      <c r="J179" s="147">
        <f t="shared" si="77"/>
        <v>30009.47136</v>
      </c>
      <c r="K179" s="122"/>
      <c r="L179" s="122">
        <v>23989</v>
      </c>
      <c r="M179" s="122">
        <f t="shared" si="78"/>
        <v>21566.111000000001</v>
      </c>
      <c r="N179" s="122">
        <f t="shared" si="79"/>
        <v>18978.177680000001</v>
      </c>
      <c r="O179" s="122"/>
      <c r="P179" s="122">
        <v>0</v>
      </c>
      <c r="Q179" s="122">
        <f t="shared" si="80"/>
        <v>0</v>
      </c>
      <c r="R179" s="147">
        <f t="shared" si="81"/>
        <v>0</v>
      </c>
      <c r="S179" s="145">
        <v>15</v>
      </c>
      <c r="T179" s="144" t="s">
        <v>213</v>
      </c>
      <c r="U179" s="90">
        <f>SUMIF('Avoided Costs 2009-2017'!$A:$A,Actuals!T179&amp;Actuals!S179,'Avoided Costs 2009-2017'!$E:$E)*J179</f>
        <v>101498.20202892426</v>
      </c>
      <c r="V179" s="90">
        <f>SUMIF('Avoided Costs 2009-2017'!$A:$A,Actuals!T179&amp;Actuals!S179,'Avoided Costs 2009-2017'!$K:$K)*N179</f>
        <v>14167.820289611385</v>
      </c>
      <c r="W179" s="90">
        <f>SUMIF('Avoided Costs 2009-2017'!$A:$A,Actuals!T179&amp;Actuals!S179,'Avoided Costs 2009-2017'!$M:$M)*R179</f>
        <v>0</v>
      </c>
      <c r="X179" s="90">
        <f t="shared" si="82"/>
        <v>115666.02231853564</v>
      </c>
      <c r="Y179" s="148">
        <v>22175</v>
      </c>
      <c r="Z179" s="149">
        <f t="shared" si="83"/>
        <v>19514</v>
      </c>
      <c r="AA179" s="148"/>
      <c r="AB179" s="145"/>
      <c r="AC179" s="145"/>
      <c r="AD179" s="148">
        <f t="shared" si="84"/>
        <v>19514</v>
      </c>
      <c r="AE179" s="122">
        <f t="shared" si="85"/>
        <v>96152.022318535644</v>
      </c>
      <c r="AF179" s="167">
        <f t="shared" si="86"/>
        <v>450142.07039999997</v>
      </c>
    </row>
    <row r="180" spans="1:32" s="150" customFormat="1" x14ac:dyDescent="0.2">
      <c r="A180" s="144" t="s">
        <v>1004</v>
      </c>
      <c r="B180" s="144"/>
      <c r="C180" s="144"/>
      <c r="D180" s="145">
        <v>1</v>
      </c>
      <c r="E180" s="122"/>
      <c r="F180" s="146">
        <v>0.12</v>
      </c>
      <c r="G180" s="146"/>
      <c r="H180" s="122">
        <v>14543</v>
      </c>
      <c r="I180" s="122">
        <f t="shared" si="76"/>
        <v>14077.624</v>
      </c>
      <c r="J180" s="147">
        <f t="shared" si="77"/>
        <v>12388.30912</v>
      </c>
      <c r="K180" s="122"/>
      <c r="L180" s="122">
        <v>0</v>
      </c>
      <c r="M180" s="122">
        <f t="shared" si="78"/>
        <v>0</v>
      </c>
      <c r="N180" s="122">
        <f t="shared" si="79"/>
        <v>0</v>
      </c>
      <c r="O180" s="122"/>
      <c r="P180" s="122">
        <v>0</v>
      </c>
      <c r="Q180" s="122">
        <f t="shared" si="80"/>
        <v>0</v>
      </c>
      <c r="R180" s="147">
        <f t="shared" si="81"/>
        <v>0</v>
      </c>
      <c r="S180" s="145">
        <v>8</v>
      </c>
      <c r="T180" s="144" t="s">
        <v>1176</v>
      </c>
      <c r="U180" s="90">
        <f>SUMIF('Avoided Costs 2009-2017'!$A:$A,Actuals!T180&amp;Actuals!S180,'Avoided Costs 2009-2017'!$E:$E)*J180</f>
        <v>25381.210827526833</v>
      </c>
      <c r="V180" s="90">
        <f>SUMIF('Avoided Costs 2009-2017'!$A:$A,Actuals!T180&amp;Actuals!S180,'Avoided Costs 2009-2017'!$K:$K)*N180</f>
        <v>0</v>
      </c>
      <c r="W180" s="90">
        <f>SUMIF('Avoided Costs 2009-2017'!$A:$A,Actuals!T180&amp;Actuals!S180,'Avoided Costs 2009-2017'!$M:$M)*R180</f>
        <v>0</v>
      </c>
      <c r="X180" s="90">
        <f t="shared" si="82"/>
        <v>25381.210827526833</v>
      </c>
      <c r="Y180" s="148">
        <v>21658</v>
      </c>
      <c r="Z180" s="149">
        <f t="shared" si="83"/>
        <v>19059.04</v>
      </c>
      <c r="AA180" s="148"/>
      <c r="AB180" s="145"/>
      <c r="AC180" s="145"/>
      <c r="AD180" s="148">
        <f t="shared" si="84"/>
        <v>19059.04</v>
      </c>
      <c r="AE180" s="122">
        <f t="shared" si="85"/>
        <v>6322.170827526832</v>
      </c>
      <c r="AF180" s="167">
        <f t="shared" si="86"/>
        <v>99106.472959999999</v>
      </c>
    </row>
    <row r="181" spans="1:32" s="150" customFormat="1" x14ac:dyDescent="0.2">
      <c r="A181" s="144" t="s">
        <v>1005</v>
      </c>
      <c r="B181" s="144"/>
      <c r="C181" s="144"/>
      <c r="D181" s="145">
        <v>1</v>
      </c>
      <c r="E181" s="122"/>
      <c r="F181" s="146">
        <v>0.12</v>
      </c>
      <c r="G181" s="146"/>
      <c r="H181" s="122">
        <v>524953</v>
      </c>
      <c r="I181" s="122">
        <f t="shared" si="76"/>
        <v>508154.50399999996</v>
      </c>
      <c r="J181" s="147">
        <f t="shared" si="77"/>
        <v>447175.96351999999</v>
      </c>
      <c r="K181" s="122"/>
      <c r="L181" s="122">
        <v>0</v>
      </c>
      <c r="M181" s="122">
        <f t="shared" si="78"/>
        <v>0</v>
      </c>
      <c r="N181" s="122">
        <f t="shared" si="79"/>
        <v>0</v>
      </c>
      <c r="O181" s="122"/>
      <c r="P181" s="122">
        <v>0</v>
      </c>
      <c r="Q181" s="122">
        <f t="shared" si="80"/>
        <v>0</v>
      </c>
      <c r="R181" s="147">
        <f t="shared" si="81"/>
        <v>0</v>
      </c>
      <c r="S181" s="145">
        <v>15</v>
      </c>
      <c r="T181" s="144" t="s">
        <v>213</v>
      </c>
      <c r="U181" s="90">
        <f>SUMIF('Avoided Costs 2009-2017'!$A:$A,Actuals!T181&amp;Actuals!S181,'Avoided Costs 2009-2017'!$E:$E)*J181</f>
        <v>1512441.047139853</v>
      </c>
      <c r="V181" s="90">
        <f>SUMIF('Avoided Costs 2009-2017'!$A:$A,Actuals!T181&amp;Actuals!S181,'Avoided Costs 2009-2017'!$K:$K)*N181</f>
        <v>0</v>
      </c>
      <c r="W181" s="90">
        <f>SUMIF('Avoided Costs 2009-2017'!$A:$A,Actuals!T181&amp;Actuals!S181,'Avoided Costs 2009-2017'!$M:$M)*R181</f>
        <v>0</v>
      </c>
      <c r="X181" s="90">
        <f t="shared" si="82"/>
        <v>1512441.047139853</v>
      </c>
      <c r="Y181" s="148">
        <v>301303</v>
      </c>
      <c r="Z181" s="149">
        <f t="shared" si="83"/>
        <v>265146.64</v>
      </c>
      <c r="AA181" s="148"/>
      <c r="AB181" s="145"/>
      <c r="AC181" s="145"/>
      <c r="AD181" s="148">
        <f t="shared" si="84"/>
        <v>265146.64</v>
      </c>
      <c r="AE181" s="122">
        <f t="shared" si="85"/>
        <v>1247294.4071398531</v>
      </c>
      <c r="AF181" s="167">
        <f t="shared" si="86"/>
        <v>6707639.4528000001</v>
      </c>
    </row>
    <row r="182" spans="1:32" s="150" customFormat="1" x14ac:dyDescent="0.2">
      <c r="A182" s="144" t="s">
        <v>1006</v>
      </c>
      <c r="B182" s="144"/>
      <c r="C182" s="144"/>
      <c r="D182" s="145">
        <v>0</v>
      </c>
      <c r="E182" s="122"/>
      <c r="F182" s="146">
        <v>0.12</v>
      </c>
      <c r="G182" s="146"/>
      <c r="H182" s="122">
        <v>93936</v>
      </c>
      <c r="I182" s="122">
        <f t="shared" si="76"/>
        <v>90930.047999999995</v>
      </c>
      <c r="J182" s="147">
        <f t="shared" si="77"/>
        <v>80018.442239999989</v>
      </c>
      <c r="K182" s="122"/>
      <c r="L182" s="122">
        <v>0</v>
      </c>
      <c r="M182" s="122">
        <f t="shared" si="78"/>
        <v>0</v>
      </c>
      <c r="N182" s="122">
        <f t="shared" si="79"/>
        <v>0</v>
      </c>
      <c r="O182" s="122"/>
      <c r="P182" s="122">
        <v>0</v>
      </c>
      <c r="Q182" s="122">
        <f t="shared" si="80"/>
        <v>0</v>
      </c>
      <c r="R182" s="147">
        <f t="shared" si="81"/>
        <v>0</v>
      </c>
      <c r="S182" s="145">
        <v>8</v>
      </c>
      <c r="T182" s="144" t="s">
        <v>1176</v>
      </c>
      <c r="U182" s="90">
        <f>SUMIF('Avoided Costs 2009-2017'!$A:$A,Actuals!T182&amp;Actuals!S182,'Avoided Costs 2009-2017'!$E:$E)*J182</f>
        <v>163942.06286836005</v>
      </c>
      <c r="V182" s="90">
        <f>SUMIF('Avoided Costs 2009-2017'!$A:$A,Actuals!T182&amp;Actuals!S182,'Avoided Costs 2009-2017'!$K:$K)*N182</f>
        <v>0</v>
      </c>
      <c r="W182" s="90">
        <f>SUMIF('Avoided Costs 2009-2017'!$A:$A,Actuals!T182&amp;Actuals!S182,'Avoided Costs 2009-2017'!$M:$M)*R182</f>
        <v>0</v>
      </c>
      <c r="X182" s="90">
        <f t="shared" si="82"/>
        <v>163942.06286836005</v>
      </c>
      <c r="Y182" s="148">
        <v>89821</v>
      </c>
      <c r="Z182" s="149">
        <f t="shared" si="83"/>
        <v>79042.48</v>
      </c>
      <c r="AA182" s="148"/>
      <c r="AB182" s="145"/>
      <c r="AC182" s="145"/>
      <c r="AD182" s="148">
        <f t="shared" si="84"/>
        <v>79042.48</v>
      </c>
      <c r="AE182" s="122">
        <f t="shared" si="85"/>
        <v>84899.582868360056</v>
      </c>
      <c r="AF182" s="167">
        <f t="shared" si="86"/>
        <v>640147.53791999992</v>
      </c>
    </row>
    <row r="183" spans="1:32" s="150" customFormat="1" x14ac:dyDescent="0.2">
      <c r="A183" s="144" t="s">
        <v>1007</v>
      </c>
      <c r="B183" s="144"/>
      <c r="C183" s="144"/>
      <c r="D183" s="145">
        <v>0</v>
      </c>
      <c r="E183" s="122"/>
      <c r="F183" s="146">
        <v>0.12</v>
      </c>
      <c r="G183" s="146"/>
      <c r="H183" s="122">
        <v>42864</v>
      </c>
      <c r="I183" s="122">
        <f t="shared" si="76"/>
        <v>41492.351999999999</v>
      </c>
      <c r="J183" s="147">
        <f t="shared" si="77"/>
        <v>36513.269760000003</v>
      </c>
      <c r="K183" s="122"/>
      <c r="L183" s="122">
        <v>6669</v>
      </c>
      <c r="M183" s="122">
        <f t="shared" si="78"/>
        <v>5995.4310000000005</v>
      </c>
      <c r="N183" s="122">
        <f t="shared" si="79"/>
        <v>5275.9792800000005</v>
      </c>
      <c r="O183" s="122"/>
      <c r="P183" s="122">
        <v>0</v>
      </c>
      <c r="Q183" s="122">
        <f t="shared" si="80"/>
        <v>0</v>
      </c>
      <c r="R183" s="147">
        <f t="shared" si="81"/>
        <v>0</v>
      </c>
      <c r="S183" s="145">
        <v>15</v>
      </c>
      <c r="T183" s="144" t="s">
        <v>213</v>
      </c>
      <c r="U183" s="90">
        <f>SUMIF('Avoided Costs 2009-2017'!$A:$A,Actuals!T183&amp;Actuals!S183,'Avoided Costs 2009-2017'!$E:$E)*J183</f>
        <v>123495.38538612536</v>
      </c>
      <c r="V183" s="90">
        <f>SUMIF('Avoided Costs 2009-2017'!$A:$A,Actuals!T183&amp;Actuals!S183,'Avoided Costs 2009-2017'!$K:$K)*N183</f>
        <v>3938.6882951110233</v>
      </c>
      <c r="W183" s="90">
        <f>SUMIF('Avoided Costs 2009-2017'!$A:$A,Actuals!T183&amp;Actuals!S183,'Avoided Costs 2009-2017'!$M:$M)*R183</f>
        <v>0</v>
      </c>
      <c r="X183" s="90">
        <f t="shared" si="82"/>
        <v>127434.07368123638</v>
      </c>
      <c r="Y183" s="148">
        <v>39858</v>
      </c>
      <c r="Z183" s="149">
        <f t="shared" si="83"/>
        <v>35075.040000000001</v>
      </c>
      <c r="AA183" s="148"/>
      <c r="AB183" s="145"/>
      <c r="AC183" s="145"/>
      <c r="AD183" s="148">
        <f t="shared" si="84"/>
        <v>35075.040000000001</v>
      </c>
      <c r="AE183" s="122">
        <f t="shared" si="85"/>
        <v>92359.033681236382</v>
      </c>
      <c r="AF183" s="167">
        <f t="shared" si="86"/>
        <v>547699.04639999999</v>
      </c>
    </row>
    <row r="184" spans="1:32" s="150" customFormat="1" x14ac:dyDescent="0.2">
      <c r="A184" s="144" t="s">
        <v>1008</v>
      </c>
      <c r="B184" s="144"/>
      <c r="C184" s="144"/>
      <c r="D184" s="145">
        <v>1</v>
      </c>
      <c r="E184" s="122"/>
      <c r="F184" s="146">
        <v>0.12</v>
      </c>
      <c r="G184" s="146"/>
      <c r="H184" s="122">
        <v>141986</v>
      </c>
      <c r="I184" s="122">
        <f t="shared" si="76"/>
        <v>137442.448</v>
      </c>
      <c r="J184" s="147">
        <f t="shared" si="77"/>
        <v>120949.35424</v>
      </c>
      <c r="K184" s="122"/>
      <c r="L184" s="122">
        <v>0</v>
      </c>
      <c r="M184" s="122">
        <f t="shared" si="78"/>
        <v>0</v>
      </c>
      <c r="N184" s="122">
        <f t="shared" si="79"/>
        <v>0</v>
      </c>
      <c r="O184" s="122"/>
      <c r="P184" s="122">
        <v>0</v>
      </c>
      <c r="Q184" s="122">
        <f t="shared" si="80"/>
        <v>0</v>
      </c>
      <c r="R184" s="147">
        <f t="shared" si="81"/>
        <v>0</v>
      </c>
      <c r="S184" s="145">
        <v>11</v>
      </c>
      <c r="T184" s="144" t="s">
        <v>213</v>
      </c>
      <c r="U184" s="90">
        <f>SUMIF('Avoided Costs 2009-2017'!$A:$A,Actuals!T184&amp;Actuals!S184,'Avoided Costs 2009-2017'!$E:$E)*J184</f>
        <v>338499.87142956839</v>
      </c>
      <c r="V184" s="90">
        <f>SUMIF('Avoided Costs 2009-2017'!$A:$A,Actuals!T184&amp;Actuals!S184,'Avoided Costs 2009-2017'!$K:$K)*N184</f>
        <v>0</v>
      </c>
      <c r="W184" s="90">
        <f>SUMIF('Avoided Costs 2009-2017'!$A:$A,Actuals!T184&amp;Actuals!S184,'Avoided Costs 2009-2017'!$M:$M)*R184</f>
        <v>0</v>
      </c>
      <c r="X184" s="90">
        <f t="shared" si="82"/>
        <v>338499.87142956839</v>
      </c>
      <c r="Y184" s="148">
        <v>59950</v>
      </c>
      <c r="Z184" s="149">
        <f t="shared" si="83"/>
        <v>52756</v>
      </c>
      <c r="AA184" s="148"/>
      <c r="AB184" s="145"/>
      <c r="AC184" s="145"/>
      <c r="AD184" s="148">
        <f t="shared" si="84"/>
        <v>52756</v>
      </c>
      <c r="AE184" s="122">
        <f t="shared" si="85"/>
        <v>285743.87142956839</v>
      </c>
      <c r="AF184" s="167">
        <f t="shared" si="86"/>
        <v>1330442.8966399999</v>
      </c>
    </row>
    <row r="185" spans="1:32" s="150" customFormat="1" x14ac:dyDescent="0.2">
      <c r="A185" s="144" t="s">
        <v>1009</v>
      </c>
      <c r="B185" s="144"/>
      <c r="C185" s="144"/>
      <c r="D185" s="145">
        <v>1</v>
      </c>
      <c r="E185" s="122"/>
      <c r="F185" s="146">
        <v>0.12</v>
      </c>
      <c r="G185" s="146"/>
      <c r="H185" s="122">
        <v>118807</v>
      </c>
      <c r="I185" s="122">
        <f t="shared" si="76"/>
        <v>115005.17599999999</v>
      </c>
      <c r="J185" s="147">
        <f t="shared" si="77"/>
        <v>101204.55488</v>
      </c>
      <c r="K185" s="122"/>
      <c r="L185" s="122">
        <v>31963</v>
      </c>
      <c r="M185" s="122">
        <f t="shared" si="78"/>
        <v>28734.737000000001</v>
      </c>
      <c r="N185" s="122">
        <f t="shared" si="79"/>
        <v>25286.56856</v>
      </c>
      <c r="O185" s="122"/>
      <c r="P185" s="122">
        <v>0</v>
      </c>
      <c r="Q185" s="122">
        <f t="shared" si="80"/>
        <v>0</v>
      </c>
      <c r="R185" s="147">
        <f t="shared" si="81"/>
        <v>0</v>
      </c>
      <c r="S185" s="145">
        <v>15</v>
      </c>
      <c r="T185" s="144" t="s">
        <v>213</v>
      </c>
      <c r="U185" s="90">
        <f>SUMIF('Avoided Costs 2009-2017'!$A:$A,Actuals!T185&amp;Actuals!S185,'Avoided Costs 2009-2017'!$E:$E)*J185</f>
        <v>342294.61206535541</v>
      </c>
      <c r="V185" s="90">
        <f>SUMIF('Avoided Costs 2009-2017'!$A:$A,Actuals!T185&amp;Actuals!S185,'Avoided Costs 2009-2017'!$K:$K)*N185</f>
        <v>18877.237063522811</v>
      </c>
      <c r="W185" s="90">
        <f>SUMIF('Avoided Costs 2009-2017'!$A:$A,Actuals!T185&amp;Actuals!S185,'Avoided Costs 2009-2017'!$M:$M)*R185</f>
        <v>0</v>
      </c>
      <c r="X185" s="90">
        <f t="shared" si="82"/>
        <v>361171.84912887821</v>
      </c>
      <c r="Y185" s="148">
        <v>257390</v>
      </c>
      <c r="Z185" s="149">
        <f t="shared" si="83"/>
        <v>226503.2</v>
      </c>
      <c r="AA185" s="148"/>
      <c r="AB185" s="145"/>
      <c r="AC185" s="145"/>
      <c r="AD185" s="148">
        <f t="shared" si="84"/>
        <v>226503.2</v>
      </c>
      <c r="AE185" s="122">
        <f t="shared" si="85"/>
        <v>134668.6491288782</v>
      </c>
      <c r="AF185" s="167">
        <f t="shared" si="86"/>
        <v>1518068.3232</v>
      </c>
    </row>
    <row r="186" spans="1:32" s="150" customFormat="1" x14ac:dyDescent="0.2">
      <c r="A186" s="144" t="s">
        <v>1010</v>
      </c>
      <c r="B186" s="144"/>
      <c r="C186" s="144"/>
      <c r="D186" s="145">
        <v>1</v>
      </c>
      <c r="E186" s="122"/>
      <c r="F186" s="146">
        <v>0.12</v>
      </c>
      <c r="G186" s="146"/>
      <c r="H186" s="122">
        <v>8865</v>
      </c>
      <c r="I186" s="122">
        <f t="shared" si="76"/>
        <v>8581.32</v>
      </c>
      <c r="J186" s="147">
        <f t="shared" si="77"/>
        <v>7551.5616</v>
      </c>
      <c r="K186" s="122"/>
      <c r="L186" s="122">
        <v>0</v>
      </c>
      <c r="M186" s="122">
        <f t="shared" si="78"/>
        <v>0</v>
      </c>
      <c r="N186" s="122">
        <f t="shared" si="79"/>
        <v>0</v>
      </c>
      <c r="O186" s="122"/>
      <c r="P186" s="122">
        <v>0</v>
      </c>
      <c r="Q186" s="122">
        <f t="shared" si="80"/>
        <v>0</v>
      </c>
      <c r="R186" s="147">
        <f t="shared" si="81"/>
        <v>0</v>
      </c>
      <c r="S186" s="145">
        <v>25</v>
      </c>
      <c r="T186" s="144" t="s">
        <v>213</v>
      </c>
      <c r="U186" s="90">
        <f>SUMIF('Avoided Costs 2009-2017'!$A:$A,Actuals!T186&amp;Actuals!S186,'Avoided Costs 2009-2017'!$E:$E)*J186</f>
        <v>32511.52674459144</v>
      </c>
      <c r="V186" s="90">
        <f>SUMIF('Avoided Costs 2009-2017'!$A:$A,Actuals!T186&amp;Actuals!S186,'Avoided Costs 2009-2017'!$K:$K)*N186</f>
        <v>0</v>
      </c>
      <c r="W186" s="90">
        <f>SUMIF('Avoided Costs 2009-2017'!$A:$A,Actuals!T186&amp;Actuals!S186,'Avoided Costs 2009-2017'!$M:$M)*R186</f>
        <v>0</v>
      </c>
      <c r="X186" s="90">
        <f t="shared" si="82"/>
        <v>32511.52674459144</v>
      </c>
      <c r="Y186" s="148">
        <v>13048</v>
      </c>
      <c r="Z186" s="149">
        <f t="shared" si="83"/>
        <v>11482.24</v>
      </c>
      <c r="AA186" s="148"/>
      <c r="AB186" s="145"/>
      <c r="AC186" s="145"/>
      <c r="AD186" s="148">
        <f t="shared" si="84"/>
        <v>11482.24</v>
      </c>
      <c r="AE186" s="122">
        <f t="shared" si="85"/>
        <v>21029.286744591438</v>
      </c>
      <c r="AF186" s="167">
        <f t="shared" si="86"/>
        <v>188789.04</v>
      </c>
    </row>
    <row r="187" spans="1:32" s="150" customFormat="1" x14ac:dyDescent="0.2">
      <c r="A187" s="144" t="s">
        <v>1011</v>
      </c>
      <c r="B187" s="144"/>
      <c r="C187" s="144"/>
      <c r="D187" s="145">
        <v>0</v>
      </c>
      <c r="E187" s="122"/>
      <c r="F187" s="146">
        <v>0.12</v>
      </c>
      <c r="G187" s="146"/>
      <c r="H187" s="122">
        <v>10636</v>
      </c>
      <c r="I187" s="122">
        <f t="shared" si="76"/>
        <v>10295.647999999999</v>
      </c>
      <c r="J187" s="147">
        <f t="shared" si="77"/>
        <v>9060.1702399999995</v>
      </c>
      <c r="K187" s="122"/>
      <c r="L187" s="122">
        <v>5446</v>
      </c>
      <c r="M187" s="122">
        <f t="shared" si="78"/>
        <v>4895.9539999999997</v>
      </c>
      <c r="N187" s="122">
        <f t="shared" si="79"/>
        <v>4308.4395199999999</v>
      </c>
      <c r="O187" s="122"/>
      <c r="P187" s="122">
        <v>0</v>
      </c>
      <c r="Q187" s="122">
        <f t="shared" si="80"/>
        <v>0</v>
      </c>
      <c r="R187" s="147">
        <f t="shared" si="81"/>
        <v>0</v>
      </c>
      <c r="S187" s="145">
        <v>15</v>
      </c>
      <c r="T187" s="144" t="s">
        <v>213</v>
      </c>
      <c r="U187" s="90">
        <f>SUMIF('Avoided Costs 2009-2017'!$A:$A,Actuals!T187&amp;Actuals!S187,'Avoided Costs 2009-2017'!$E:$E)*J187</f>
        <v>30643.358505198514</v>
      </c>
      <c r="V187" s="90">
        <f>SUMIF('Avoided Costs 2009-2017'!$A:$A,Actuals!T187&amp;Actuals!S187,'Avoided Costs 2009-2017'!$K:$K)*N187</f>
        <v>3216.3887322199175</v>
      </c>
      <c r="W187" s="90">
        <f>SUMIF('Avoided Costs 2009-2017'!$A:$A,Actuals!T187&amp;Actuals!S187,'Avoided Costs 2009-2017'!$M:$M)*R187</f>
        <v>0</v>
      </c>
      <c r="X187" s="90">
        <f t="shared" si="82"/>
        <v>33859.747237418429</v>
      </c>
      <c r="Y187" s="148">
        <v>10000</v>
      </c>
      <c r="Z187" s="149">
        <f t="shared" si="83"/>
        <v>8800</v>
      </c>
      <c r="AA187" s="148"/>
      <c r="AB187" s="145"/>
      <c r="AC187" s="145"/>
      <c r="AD187" s="148">
        <f t="shared" si="84"/>
        <v>8800</v>
      </c>
      <c r="AE187" s="122">
        <f t="shared" si="85"/>
        <v>25059.747237418429</v>
      </c>
      <c r="AF187" s="167">
        <f t="shared" si="86"/>
        <v>135902.55359999998</v>
      </c>
    </row>
    <row r="188" spans="1:32" s="150" customFormat="1" x14ac:dyDescent="0.2">
      <c r="A188" s="144" t="s">
        <v>1012</v>
      </c>
      <c r="B188" s="144"/>
      <c r="C188" s="144"/>
      <c r="D188" s="145">
        <v>1</v>
      </c>
      <c r="E188" s="122"/>
      <c r="F188" s="146">
        <v>0.12</v>
      </c>
      <c r="G188" s="146"/>
      <c r="H188" s="122">
        <v>85408</v>
      </c>
      <c r="I188" s="122">
        <f t="shared" si="76"/>
        <v>82674.944000000003</v>
      </c>
      <c r="J188" s="147">
        <f t="shared" si="77"/>
        <v>72753.950720000008</v>
      </c>
      <c r="K188" s="122"/>
      <c r="L188" s="122">
        <v>0</v>
      </c>
      <c r="M188" s="122">
        <f t="shared" si="78"/>
        <v>0</v>
      </c>
      <c r="N188" s="122">
        <f t="shared" si="79"/>
        <v>0</v>
      </c>
      <c r="O188" s="122"/>
      <c r="P188" s="122">
        <v>0</v>
      </c>
      <c r="Q188" s="122">
        <f t="shared" si="80"/>
        <v>0</v>
      </c>
      <c r="R188" s="147">
        <f t="shared" si="81"/>
        <v>0</v>
      </c>
      <c r="S188" s="145">
        <v>11</v>
      </c>
      <c r="T188" s="144" t="s">
        <v>213</v>
      </c>
      <c r="U188" s="90">
        <f>SUMIF('Avoided Costs 2009-2017'!$A:$A,Actuals!T188&amp;Actuals!S188,'Avoided Costs 2009-2017'!$E:$E)*J188</f>
        <v>203615.8284553166</v>
      </c>
      <c r="V188" s="90">
        <f>SUMIF('Avoided Costs 2009-2017'!$A:$A,Actuals!T188&amp;Actuals!S188,'Avoided Costs 2009-2017'!$K:$K)*N188</f>
        <v>0</v>
      </c>
      <c r="W188" s="90">
        <f>SUMIF('Avoided Costs 2009-2017'!$A:$A,Actuals!T188&amp;Actuals!S188,'Avoided Costs 2009-2017'!$M:$M)*R188</f>
        <v>0</v>
      </c>
      <c r="X188" s="90">
        <f t="shared" si="82"/>
        <v>203615.8284553166</v>
      </c>
      <c r="Y188" s="148">
        <v>100093</v>
      </c>
      <c r="Z188" s="149">
        <f t="shared" si="83"/>
        <v>88081.84</v>
      </c>
      <c r="AA188" s="148"/>
      <c r="AB188" s="145"/>
      <c r="AC188" s="145"/>
      <c r="AD188" s="148">
        <f t="shared" si="84"/>
        <v>88081.84</v>
      </c>
      <c r="AE188" s="122">
        <f t="shared" si="85"/>
        <v>115533.9884553166</v>
      </c>
      <c r="AF188" s="167">
        <f t="shared" si="86"/>
        <v>800293.45792000007</v>
      </c>
    </row>
    <row r="189" spans="1:32" s="150" customFormat="1" x14ac:dyDescent="0.2">
      <c r="A189" s="144" t="s">
        <v>1013</v>
      </c>
      <c r="B189" s="144"/>
      <c r="C189" s="144"/>
      <c r="D189" s="145">
        <v>1</v>
      </c>
      <c r="E189" s="122"/>
      <c r="F189" s="146">
        <v>0.12</v>
      </c>
      <c r="G189" s="146"/>
      <c r="H189" s="122">
        <v>8895</v>
      </c>
      <c r="I189" s="122">
        <f t="shared" si="76"/>
        <v>8610.36</v>
      </c>
      <c r="J189" s="147">
        <f t="shared" si="77"/>
        <v>7577.1168000000007</v>
      </c>
      <c r="K189" s="122"/>
      <c r="L189" s="122">
        <v>0</v>
      </c>
      <c r="M189" s="122">
        <f t="shared" si="78"/>
        <v>0</v>
      </c>
      <c r="N189" s="122">
        <f t="shared" si="79"/>
        <v>0</v>
      </c>
      <c r="O189" s="122"/>
      <c r="P189" s="122">
        <v>0</v>
      </c>
      <c r="Q189" s="122">
        <f t="shared" si="80"/>
        <v>0</v>
      </c>
      <c r="R189" s="147">
        <f t="shared" si="81"/>
        <v>0</v>
      </c>
      <c r="S189" s="145">
        <v>11</v>
      </c>
      <c r="T189" s="144" t="s">
        <v>213</v>
      </c>
      <c r="U189" s="90">
        <f>SUMIF('Avoided Costs 2009-2017'!$A:$A,Actuals!T189&amp;Actuals!S189,'Avoided Costs 2009-2017'!$E:$E)*J189</f>
        <v>21206.008735833191</v>
      </c>
      <c r="V189" s="90">
        <f>SUMIF('Avoided Costs 2009-2017'!$A:$A,Actuals!T189&amp;Actuals!S189,'Avoided Costs 2009-2017'!$K:$K)*N189</f>
        <v>0</v>
      </c>
      <c r="W189" s="90">
        <f>SUMIF('Avoided Costs 2009-2017'!$A:$A,Actuals!T189&amp;Actuals!S189,'Avoided Costs 2009-2017'!$M:$M)*R189</f>
        <v>0</v>
      </c>
      <c r="X189" s="90">
        <f t="shared" si="82"/>
        <v>21206.008735833191</v>
      </c>
      <c r="Y189" s="148">
        <v>21598</v>
      </c>
      <c r="Z189" s="149">
        <f t="shared" si="83"/>
        <v>19006.240000000002</v>
      </c>
      <c r="AA189" s="148"/>
      <c r="AB189" s="145"/>
      <c r="AC189" s="145"/>
      <c r="AD189" s="148">
        <f t="shared" si="84"/>
        <v>19006.240000000002</v>
      </c>
      <c r="AE189" s="122">
        <f t="shared" si="85"/>
        <v>2199.7687358331896</v>
      </c>
      <c r="AF189" s="167">
        <f t="shared" si="86"/>
        <v>83348.284800000009</v>
      </c>
    </row>
    <row r="190" spans="1:32" s="150" customFormat="1" x14ac:dyDescent="0.2">
      <c r="A190" s="144" t="s">
        <v>8</v>
      </c>
      <c r="B190" s="144"/>
      <c r="C190" s="144"/>
      <c r="D190" s="145">
        <v>1</v>
      </c>
      <c r="E190" s="122"/>
      <c r="F190" s="146">
        <v>0.12</v>
      </c>
      <c r="G190" s="146"/>
      <c r="H190" s="122">
        <v>135641</v>
      </c>
      <c r="I190" s="122">
        <f t="shared" si="76"/>
        <v>131300.48799999998</v>
      </c>
      <c r="J190" s="147">
        <f t="shared" si="77"/>
        <v>115544.42943999999</v>
      </c>
      <c r="K190" s="122"/>
      <c r="L190" s="122">
        <v>0</v>
      </c>
      <c r="M190" s="122">
        <f t="shared" si="78"/>
        <v>0</v>
      </c>
      <c r="N190" s="122">
        <f t="shared" si="79"/>
        <v>0</v>
      </c>
      <c r="O190" s="122"/>
      <c r="P190" s="122">
        <v>14746</v>
      </c>
      <c r="Q190" s="122">
        <f t="shared" si="80"/>
        <v>22001.031999999999</v>
      </c>
      <c r="R190" s="147">
        <f t="shared" si="81"/>
        <v>19360.908159999999</v>
      </c>
      <c r="S190" s="145">
        <v>15</v>
      </c>
      <c r="T190" s="144" t="s">
        <v>213</v>
      </c>
      <c r="U190" s="90">
        <f>SUMIF('Avoided Costs 2009-2017'!$A:$A,Actuals!T190&amp;Actuals!S190,'Avoided Costs 2009-2017'!$E:$E)*J190</f>
        <v>390795.01607781416</v>
      </c>
      <c r="V190" s="90">
        <f>SUMIF('Avoided Costs 2009-2017'!$A:$A,Actuals!T190&amp;Actuals!S190,'Avoided Costs 2009-2017'!$K:$K)*N190</f>
        <v>0</v>
      </c>
      <c r="W190" s="90">
        <f>SUMIF('Avoided Costs 2009-2017'!$A:$A,Actuals!T190&amp;Actuals!S190,'Avoided Costs 2009-2017'!$M:$M)*R190</f>
        <v>251521.60617481498</v>
      </c>
      <c r="X190" s="90">
        <f t="shared" si="82"/>
        <v>642316.62225262914</v>
      </c>
      <c r="Y190" s="148">
        <v>193109</v>
      </c>
      <c r="Z190" s="149">
        <f t="shared" si="83"/>
        <v>169935.92</v>
      </c>
      <c r="AA190" s="148"/>
      <c r="AB190" s="145"/>
      <c r="AC190" s="145"/>
      <c r="AD190" s="148">
        <f t="shared" si="84"/>
        <v>169935.92</v>
      </c>
      <c r="AE190" s="122">
        <f t="shared" si="85"/>
        <v>472380.7022526291</v>
      </c>
      <c r="AF190" s="167">
        <f t="shared" si="86"/>
        <v>1733166.4415999998</v>
      </c>
    </row>
    <row r="191" spans="1:32" s="150" customFormat="1" x14ac:dyDescent="0.2">
      <c r="A191" s="144" t="s">
        <v>9</v>
      </c>
      <c r="B191" s="144"/>
      <c r="C191" s="144"/>
      <c r="D191" s="145">
        <v>0</v>
      </c>
      <c r="E191" s="122"/>
      <c r="F191" s="146">
        <v>0.12</v>
      </c>
      <c r="G191" s="146"/>
      <c r="H191" s="122">
        <v>0</v>
      </c>
      <c r="I191" s="122">
        <f t="shared" si="76"/>
        <v>0</v>
      </c>
      <c r="J191" s="147">
        <f t="shared" si="77"/>
        <v>0</v>
      </c>
      <c r="K191" s="122"/>
      <c r="L191" s="122">
        <v>0</v>
      </c>
      <c r="M191" s="122">
        <f t="shared" si="78"/>
        <v>0</v>
      </c>
      <c r="N191" s="122">
        <f t="shared" si="79"/>
        <v>0</v>
      </c>
      <c r="O191" s="122"/>
      <c r="P191" s="122">
        <v>0</v>
      </c>
      <c r="Q191" s="122">
        <f t="shared" si="80"/>
        <v>0</v>
      </c>
      <c r="R191" s="147">
        <f t="shared" si="81"/>
        <v>0</v>
      </c>
      <c r="S191" s="145">
        <v>1</v>
      </c>
      <c r="T191" s="144" t="s">
        <v>213</v>
      </c>
      <c r="U191" s="90">
        <f>SUMIF('Avoided Costs 2009-2017'!$A:$A,Actuals!T191&amp;Actuals!S191,'Avoided Costs 2009-2017'!$E:$E)*J191</f>
        <v>0</v>
      </c>
      <c r="V191" s="90">
        <f>SUMIF('Avoided Costs 2009-2017'!$A:$A,Actuals!T191&amp;Actuals!S191,'Avoided Costs 2009-2017'!$K:$K)*N191</f>
        <v>0</v>
      </c>
      <c r="W191" s="90">
        <f>SUMIF('Avoided Costs 2009-2017'!$A:$A,Actuals!T191&amp;Actuals!S191,'Avoided Costs 2009-2017'!$M:$M)*R191</f>
        <v>0</v>
      </c>
      <c r="X191" s="90">
        <f t="shared" si="82"/>
        <v>0</v>
      </c>
      <c r="Y191" s="148">
        <v>0</v>
      </c>
      <c r="Z191" s="149">
        <f t="shared" si="83"/>
        <v>0</v>
      </c>
      <c r="AA191" s="148"/>
      <c r="AB191" s="145"/>
      <c r="AC191" s="145"/>
      <c r="AD191" s="148">
        <f t="shared" si="84"/>
        <v>0</v>
      </c>
      <c r="AE191" s="122">
        <f t="shared" si="85"/>
        <v>0</v>
      </c>
      <c r="AF191" s="167">
        <f t="shared" si="86"/>
        <v>0</v>
      </c>
    </row>
    <row r="192" spans="1:32" s="150" customFormat="1" x14ac:dyDescent="0.2">
      <c r="A192" s="144" t="s">
        <v>10</v>
      </c>
      <c r="B192" s="144"/>
      <c r="C192" s="144"/>
      <c r="D192" s="145">
        <v>0</v>
      </c>
      <c r="E192" s="122"/>
      <c r="F192" s="146">
        <v>0.12</v>
      </c>
      <c r="G192" s="146"/>
      <c r="H192" s="122">
        <v>28519</v>
      </c>
      <c r="I192" s="122">
        <f t="shared" si="76"/>
        <v>27606.392</v>
      </c>
      <c r="J192" s="147">
        <f t="shared" si="77"/>
        <v>24293.624960000001</v>
      </c>
      <c r="K192" s="122"/>
      <c r="L192" s="122">
        <v>0</v>
      </c>
      <c r="M192" s="122">
        <f t="shared" si="78"/>
        <v>0</v>
      </c>
      <c r="N192" s="122">
        <f t="shared" si="79"/>
        <v>0</v>
      </c>
      <c r="O192" s="122"/>
      <c r="P192" s="122">
        <v>0</v>
      </c>
      <c r="Q192" s="122">
        <f t="shared" si="80"/>
        <v>0</v>
      </c>
      <c r="R192" s="147">
        <f t="shared" si="81"/>
        <v>0</v>
      </c>
      <c r="S192" s="145">
        <v>11</v>
      </c>
      <c r="T192" s="144" t="s">
        <v>213</v>
      </c>
      <c r="U192" s="90">
        <f>SUMIF('Avoided Costs 2009-2017'!$A:$A,Actuals!T192&amp;Actuals!S192,'Avoided Costs 2009-2017'!$E:$E)*J192</f>
        <v>67990.349987321722</v>
      </c>
      <c r="V192" s="90">
        <f>SUMIF('Avoided Costs 2009-2017'!$A:$A,Actuals!T192&amp;Actuals!S192,'Avoided Costs 2009-2017'!$K:$K)*N192</f>
        <v>0</v>
      </c>
      <c r="W192" s="90">
        <f>SUMIF('Avoided Costs 2009-2017'!$A:$A,Actuals!T192&amp;Actuals!S192,'Avoided Costs 2009-2017'!$M:$M)*R192</f>
        <v>0</v>
      </c>
      <c r="X192" s="90">
        <f t="shared" si="82"/>
        <v>67990.349987321722</v>
      </c>
      <c r="Y192" s="148">
        <v>62167</v>
      </c>
      <c r="Z192" s="149">
        <f t="shared" si="83"/>
        <v>54706.96</v>
      </c>
      <c r="AA192" s="148"/>
      <c r="AB192" s="145"/>
      <c r="AC192" s="145"/>
      <c r="AD192" s="148">
        <f t="shared" si="84"/>
        <v>54706.96</v>
      </c>
      <c r="AE192" s="122">
        <f t="shared" si="85"/>
        <v>13283.389987321723</v>
      </c>
      <c r="AF192" s="167">
        <f t="shared" si="86"/>
        <v>267229.87456000003</v>
      </c>
    </row>
    <row r="193" spans="1:32" s="150" customFormat="1" x14ac:dyDescent="0.2">
      <c r="A193" s="144" t="s">
        <v>11</v>
      </c>
      <c r="B193" s="144"/>
      <c r="C193" s="144"/>
      <c r="D193" s="145">
        <v>1</v>
      </c>
      <c r="E193" s="122"/>
      <c r="F193" s="146">
        <v>0.12</v>
      </c>
      <c r="G193" s="146"/>
      <c r="H193" s="122">
        <v>82822</v>
      </c>
      <c r="I193" s="122">
        <f t="shared" si="76"/>
        <v>80171.695999999996</v>
      </c>
      <c r="J193" s="147">
        <f t="shared" si="77"/>
        <v>70551.092479999992</v>
      </c>
      <c r="K193" s="122"/>
      <c r="L193" s="122">
        <v>0</v>
      </c>
      <c r="M193" s="122">
        <f t="shared" si="78"/>
        <v>0</v>
      </c>
      <c r="N193" s="122">
        <f t="shared" si="79"/>
        <v>0</v>
      </c>
      <c r="O193" s="122"/>
      <c r="P193" s="122">
        <v>0</v>
      </c>
      <c r="Q193" s="122">
        <f t="shared" si="80"/>
        <v>0</v>
      </c>
      <c r="R193" s="147">
        <f t="shared" si="81"/>
        <v>0</v>
      </c>
      <c r="S193" s="145">
        <v>8</v>
      </c>
      <c r="T193" s="144" t="s">
        <v>1176</v>
      </c>
      <c r="U193" s="90">
        <f>SUMIF('Avoided Costs 2009-2017'!$A:$A,Actuals!T193&amp;Actuals!S193,'Avoided Costs 2009-2017'!$E:$E)*J193</f>
        <v>144545.32374045433</v>
      </c>
      <c r="V193" s="90">
        <f>SUMIF('Avoided Costs 2009-2017'!$A:$A,Actuals!T193&amp;Actuals!S193,'Avoided Costs 2009-2017'!$K:$K)*N193</f>
        <v>0</v>
      </c>
      <c r="W193" s="90">
        <f>SUMIF('Avoided Costs 2009-2017'!$A:$A,Actuals!T193&amp;Actuals!S193,'Avoided Costs 2009-2017'!$M:$M)*R193</f>
        <v>0</v>
      </c>
      <c r="X193" s="90">
        <f t="shared" si="82"/>
        <v>144545.32374045433</v>
      </c>
      <c r="Y193" s="148">
        <v>31083</v>
      </c>
      <c r="Z193" s="149">
        <f t="shared" si="83"/>
        <v>27353.040000000001</v>
      </c>
      <c r="AA193" s="148"/>
      <c r="AB193" s="145"/>
      <c r="AC193" s="145"/>
      <c r="AD193" s="148">
        <f t="shared" si="84"/>
        <v>27353.040000000001</v>
      </c>
      <c r="AE193" s="122">
        <f t="shared" si="85"/>
        <v>117192.28374045432</v>
      </c>
      <c r="AF193" s="167">
        <f t="shared" si="86"/>
        <v>564408.73983999994</v>
      </c>
    </row>
    <row r="194" spans="1:32" s="150" customFormat="1" x14ac:dyDescent="0.2">
      <c r="A194" s="144" t="s">
        <v>12</v>
      </c>
      <c r="B194" s="144"/>
      <c r="C194" s="144"/>
      <c r="D194" s="145">
        <v>1</v>
      </c>
      <c r="E194" s="122"/>
      <c r="F194" s="146">
        <v>0.12</v>
      </c>
      <c r="G194" s="146"/>
      <c r="H194" s="122">
        <v>529538</v>
      </c>
      <c r="I194" s="122">
        <f t="shared" si="76"/>
        <v>512592.78399999999</v>
      </c>
      <c r="J194" s="147">
        <f t="shared" si="77"/>
        <v>451081.64992</v>
      </c>
      <c r="K194" s="122"/>
      <c r="L194" s="122">
        <v>300880</v>
      </c>
      <c r="M194" s="122">
        <f t="shared" si="78"/>
        <v>270491.12</v>
      </c>
      <c r="N194" s="122">
        <f t="shared" si="79"/>
        <v>238032.1856</v>
      </c>
      <c r="O194" s="122"/>
      <c r="P194" s="122">
        <v>0</v>
      </c>
      <c r="Q194" s="122">
        <f t="shared" si="80"/>
        <v>0</v>
      </c>
      <c r="R194" s="147">
        <f t="shared" si="81"/>
        <v>0</v>
      </c>
      <c r="S194" s="145">
        <v>15</v>
      </c>
      <c r="T194" s="144" t="s">
        <v>213</v>
      </c>
      <c r="U194" s="90">
        <f>SUMIF('Avoided Costs 2009-2017'!$A:$A,Actuals!T194&amp;Actuals!S194,'Avoided Costs 2009-2017'!$E:$E)*J194</f>
        <v>1525650.8815462403</v>
      </c>
      <c r="V194" s="90">
        <f>SUMIF('Avoided Costs 2009-2017'!$A:$A,Actuals!T194&amp;Actuals!S194,'Avoided Costs 2009-2017'!$K:$K)*N194</f>
        <v>177698.68559499245</v>
      </c>
      <c r="W194" s="90">
        <f>SUMIF('Avoided Costs 2009-2017'!$A:$A,Actuals!T194&amp;Actuals!S194,'Avoided Costs 2009-2017'!$M:$M)*R194</f>
        <v>0</v>
      </c>
      <c r="X194" s="90">
        <f t="shared" si="82"/>
        <v>1703349.5671412328</v>
      </c>
      <c r="Y194" s="148">
        <v>2970</v>
      </c>
      <c r="Z194" s="149">
        <f t="shared" si="83"/>
        <v>2613.6</v>
      </c>
      <c r="AA194" s="148"/>
      <c r="AB194" s="145"/>
      <c r="AC194" s="145"/>
      <c r="AD194" s="148">
        <f t="shared" si="84"/>
        <v>2613.6</v>
      </c>
      <c r="AE194" s="122">
        <f t="shared" si="85"/>
        <v>1700735.9671412327</v>
      </c>
      <c r="AF194" s="167">
        <f t="shared" si="86"/>
        <v>6766224.7488000002</v>
      </c>
    </row>
    <row r="195" spans="1:32" s="4" customFormat="1" x14ac:dyDescent="0.2">
      <c r="A195" s="152" t="s">
        <v>200</v>
      </c>
      <c r="B195" s="152" t="s">
        <v>1175</v>
      </c>
      <c r="C195" s="152"/>
      <c r="D195" s="153">
        <f>SUM(D176:D194)</f>
        <v>14</v>
      </c>
      <c r="E195" s="147"/>
      <c r="F195" s="154"/>
      <c r="G195" s="155"/>
      <c r="H195" s="237">
        <f>SUM(H176:H194)</f>
        <v>1915600</v>
      </c>
      <c r="I195" s="237">
        <f>SUM(I176:I194)</f>
        <v>1854300.7999999998</v>
      </c>
      <c r="J195" s="237">
        <f>SUM(J176:J194)</f>
        <v>1631784.7040000001</v>
      </c>
      <c r="K195" s="147"/>
      <c r="L195" s="237">
        <f>SUM(L176:L194)</f>
        <v>368947</v>
      </c>
      <c r="M195" s="237">
        <f>SUM(M176:M194)</f>
        <v>331683.353</v>
      </c>
      <c r="N195" s="237">
        <f>SUM(N176:N194)</f>
        <v>291881.35064000002</v>
      </c>
      <c r="O195" s="156"/>
      <c r="P195" s="237">
        <f>SUM(P176:P194)</f>
        <v>14746</v>
      </c>
      <c r="Q195" s="237">
        <f>SUM(Q176:Q194)</f>
        <v>22001.031999999999</v>
      </c>
      <c r="R195" s="237">
        <f>SUM(R176:R194)</f>
        <v>19360.908159999999</v>
      </c>
      <c r="S195" s="153"/>
      <c r="T195" s="152"/>
      <c r="U195" s="238">
        <f>SUM(U176:U194)</f>
        <v>5191193.4494503969</v>
      </c>
      <c r="V195" s="238">
        <f>SUM(V176:V194)</f>
        <v>217898.81997545759</v>
      </c>
      <c r="W195" s="238">
        <f>SUM(W176:W194)</f>
        <v>251521.60617481498</v>
      </c>
      <c r="X195" s="238">
        <f>SUM(X176:X194)</f>
        <v>5660613.8756006686</v>
      </c>
      <c r="Y195" s="157"/>
      <c r="Z195" s="238">
        <f>SUM(Z176:Z194)</f>
        <v>1115183.52</v>
      </c>
      <c r="AA195" s="148">
        <v>129240.55</v>
      </c>
      <c r="AB195" s="148">
        <v>38144.129999999997</v>
      </c>
      <c r="AC195" s="149">
        <f>AB195+AA195</f>
        <v>167384.68</v>
      </c>
      <c r="AD195" s="149">
        <f t="shared" si="84"/>
        <v>1153327.6499999999</v>
      </c>
      <c r="AE195" s="158">
        <f t="shared" si="85"/>
        <v>4507286.2256006692</v>
      </c>
      <c r="AF195" s="168">
        <f>SUM(AF176:AF194)</f>
        <v>22674589.745279998</v>
      </c>
    </row>
    <row r="196" spans="1:32" x14ac:dyDescent="0.2">
      <c r="A196" s="134"/>
      <c r="K196" s="51"/>
      <c r="L196" s="51"/>
      <c r="O196" s="92"/>
      <c r="P196" s="36"/>
      <c r="R196" s="26"/>
      <c r="S196" s="26"/>
      <c r="Z196" s="53"/>
      <c r="AA196" s="63"/>
      <c r="AC196" s="53"/>
      <c r="AD196" s="53"/>
      <c r="AE196" s="53"/>
      <c r="AF196" s="166"/>
    </row>
    <row r="197" spans="1:32" x14ac:dyDescent="0.2">
      <c r="A197" s="140"/>
      <c r="B197" s="79" t="s">
        <v>1223</v>
      </c>
      <c r="C197" s="79"/>
      <c r="D197" s="56">
        <f>D195+D173+D160+D138+D81</f>
        <v>85</v>
      </c>
      <c r="E197" s="54"/>
      <c r="F197" s="55"/>
      <c r="G197" s="55"/>
      <c r="H197" s="56">
        <f>H195+H173+H160+H138+H81</f>
        <v>5797602</v>
      </c>
      <c r="I197" s="56">
        <f>I195+I173+I160+I138+I81</f>
        <v>5609438.7999999989</v>
      </c>
      <c r="J197" s="56">
        <f>J195+J173+J160+J138+J81</f>
        <v>4941742.8340000007</v>
      </c>
      <c r="K197" s="56"/>
      <c r="L197" s="56">
        <f>L195+L173+L160+L138+L81</f>
        <v>3192355</v>
      </c>
      <c r="M197" s="56">
        <f>M195+M173+M160+M138+M81</f>
        <v>2692081.3670000001</v>
      </c>
      <c r="N197" s="56">
        <f>N195+N173+N160+N138+N81</f>
        <v>2384039.0429600002</v>
      </c>
      <c r="O197" s="95"/>
      <c r="P197" s="56">
        <f>P195+P173+P160+P138+P81</f>
        <v>14746</v>
      </c>
      <c r="Q197" s="56">
        <f>Q195+Q173+Q160+Q138+Q81</f>
        <v>22001.031999999999</v>
      </c>
      <c r="R197" s="56">
        <f>R195+R173+R160+R138+R81</f>
        <v>19360.908159999999</v>
      </c>
      <c r="S197" s="56"/>
      <c r="T197" s="25"/>
      <c r="U197" s="62">
        <f>U195+U173+U160+U138+U81</f>
        <v>15274358.803352477</v>
      </c>
      <c r="V197" s="62">
        <f>V195+V173+V160+V138+V81</f>
        <v>1778719.1498079479</v>
      </c>
      <c r="W197" s="62">
        <f>W195+W173+W160+W138+W81</f>
        <v>251521.60617481498</v>
      </c>
      <c r="X197" s="62">
        <f>X195+X173+X160+X138+X81</f>
        <v>17304599.559335239</v>
      </c>
      <c r="Y197" s="62"/>
      <c r="Z197" s="62">
        <f t="shared" ref="Z197:AF197" si="87">Z195+Z173+Z160+Z138+Z81</f>
        <v>5415674.7887999993</v>
      </c>
      <c r="AA197" s="62">
        <f t="shared" si="87"/>
        <v>525684.15</v>
      </c>
      <c r="AB197" s="62">
        <f t="shared" si="87"/>
        <v>137089.37000000002</v>
      </c>
      <c r="AC197" s="62">
        <f t="shared" si="87"/>
        <v>662773.52</v>
      </c>
      <c r="AD197" s="62">
        <f t="shared" si="87"/>
        <v>5552764.1588000003</v>
      </c>
      <c r="AE197" s="62">
        <f t="shared" si="87"/>
        <v>11751835.400535241</v>
      </c>
      <c r="AF197" s="230">
        <f t="shared" si="87"/>
        <v>65177862.693039998</v>
      </c>
    </row>
    <row r="198" spans="1:32" x14ac:dyDescent="0.2">
      <c r="A198" s="135"/>
      <c r="B198" s="4"/>
      <c r="C198" s="4"/>
      <c r="D198" s="26"/>
      <c r="E198" s="31"/>
      <c r="F198" s="32"/>
      <c r="G198" s="32"/>
      <c r="H198" s="31"/>
      <c r="I198" s="31"/>
      <c r="J198" s="26"/>
      <c r="K198" s="26"/>
      <c r="L198" s="26"/>
      <c r="M198" s="31"/>
      <c r="N198" s="26"/>
      <c r="O198" s="92"/>
      <c r="P198" s="36"/>
      <c r="Q198" s="31"/>
      <c r="R198" s="26"/>
      <c r="S198" s="26"/>
      <c r="T198" s="5"/>
      <c r="U198" s="53"/>
      <c r="V198" s="53"/>
      <c r="W198" s="53"/>
      <c r="X198" s="53"/>
      <c r="Y198" s="63"/>
      <c r="Z198" s="53"/>
      <c r="AA198" s="63"/>
      <c r="AB198" s="63"/>
      <c r="AC198" s="53"/>
      <c r="AD198" s="53"/>
      <c r="AE198" s="53"/>
      <c r="AF198" s="166"/>
    </row>
    <row r="199" spans="1:32" x14ac:dyDescent="0.2">
      <c r="A199" s="134" t="s">
        <v>1149</v>
      </c>
      <c r="B199" s="30" t="s">
        <v>1145</v>
      </c>
      <c r="J199" s="26"/>
      <c r="K199" s="51"/>
      <c r="L199" s="51"/>
      <c r="O199" s="92"/>
      <c r="P199" s="36"/>
      <c r="R199" s="26"/>
      <c r="S199" s="26"/>
      <c r="Z199" s="53"/>
      <c r="AA199" s="63"/>
      <c r="AC199" s="53"/>
      <c r="AD199" s="53"/>
      <c r="AE199" s="53"/>
      <c r="AF199" s="166"/>
    </row>
    <row r="200" spans="1:32" s="150" customFormat="1" x14ac:dyDescent="0.2">
      <c r="A200" s="144" t="s">
        <v>182</v>
      </c>
      <c r="B200" s="144"/>
      <c r="C200" s="144"/>
      <c r="D200" s="145">
        <v>1</v>
      </c>
      <c r="E200" s="122"/>
      <c r="F200" s="146">
        <v>0.12</v>
      </c>
      <c r="G200" s="146"/>
      <c r="H200" s="122">
        <v>526978</v>
      </c>
      <c r="I200" s="122">
        <v>421582</v>
      </c>
      <c r="J200" s="147">
        <f t="shared" ref="J200:J226" si="88">I200*(1-F200)</f>
        <v>370992.16</v>
      </c>
      <c r="K200" s="122"/>
      <c r="L200" s="122">
        <v>28700</v>
      </c>
      <c r="M200" s="122">
        <v>99325</v>
      </c>
      <c r="N200" s="122">
        <f t="shared" ref="N200:N226" si="89">M200*(1-F200)</f>
        <v>87406</v>
      </c>
      <c r="O200" s="122"/>
      <c r="P200" s="122">
        <v>0</v>
      </c>
      <c r="Q200" s="122">
        <f t="shared" ref="Q200:Q226" si="90">+P200*$P$68</f>
        <v>0</v>
      </c>
      <c r="R200" s="147">
        <f t="shared" ref="R200:R226" si="91">Q200*(1-F200)</f>
        <v>0</v>
      </c>
      <c r="S200" s="145">
        <v>25</v>
      </c>
      <c r="T200" s="144" t="s">
        <v>213</v>
      </c>
      <c r="U200" s="90">
        <f>SUMIF('Avoided Costs 2009-2017'!$A:$A,Actuals!T200&amp;Actuals!S200,'Avoided Costs 2009-2017'!$E:$E)*J200</f>
        <v>1597222.1602315668</v>
      </c>
      <c r="V200" s="90">
        <f>SUMIF('Avoided Costs 2009-2017'!$A:$A,Actuals!T200&amp;Actuals!S200,'Avoided Costs 2009-2017'!$K:$K)*N200</f>
        <v>83637.175368962096</v>
      </c>
      <c r="W200" s="90">
        <f>SUMIF('Avoided Costs 2009-2017'!$A:$A,Actuals!T200&amp;Actuals!S200,'Avoided Costs 2009-2017'!$M:$M)*R200</f>
        <v>0</v>
      </c>
      <c r="X200" s="90">
        <f t="shared" ref="X200:X226" si="92">SUM(U200:W200)</f>
        <v>1680859.3356005289</v>
      </c>
      <c r="Y200" s="148">
        <v>399500</v>
      </c>
      <c r="Z200" s="149">
        <f t="shared" ref="Z200:Z226" si="93">Y200*(1-F200)</f>
        <v>351560</v>
      </c>
      <c r="AA200" s="148"/>
      <c r="AB200" s="145"/>
      <c r="AC200" s="145"/>
      <c r="AD200" s="148">
        <f t="shared" ref="AD200:AD227" si="94">Z200+AB200</f>
        <v>351560</v>
      </c>
      <c r="AE200" s="122">
        <f t="shared" ref="AE200:AE227" si="95">X200-AD200</f>
        <v>1329299.3356005289</v>
      </c>
      <c r="AF200" s="167">
        <f t="shared" ref="AF200:AF226" si="96">J200*S200</f>
        <v>9274804</v>
      </c>
    </row>
    <row r="201" spans="1:32" s="150" customFormat="1" x14ac:dyDescent="0.2">
      <c r="A201" s="144" t="s">
        <v>183</v>
      </c>
      <c r="B201" s="144"/>
      <c r="C201" s="144"/>
      <c r="D201" s="145">
        <v>1</v>
      </c>
      <c r="E201" s="122"/>
      <c r="F201" s="146">
        <v>0.12</v>
      </c>
      <c r="G201" s="146"/>
      <c r="H201" s="122">
        <v>36931</v>
      </c>
      <c r="I201" s="122">
        <f t="shared" ref="I201:I226" si="97">+$H$68*H201</f>
        <v>35749.207999999999</v>
      </c>
      <c r="J201" s="147">
        <f t="shared" si="88"/>
        <v>31459.303039999999</v>
      </c>
      <c r="K201" s="122"/>
      <c r="L201" s="122">
        <v>0</v>
      </c>
      <c r="M201" s="122">
        <f t="shared" ref="M201:M226" si="98">+$L$68*L201</f>
        <v>0</v>
      </c>
      <c r="N201" s="122">
        <f t="shared" si="89"/>
        <v>0</v>
      </c>
      <c r="O201" s="122"/>
      <c r="P201" s="122">
        <v>0</v>
      </c>
      <c r="Q201" s="122">
        <f t="shared" si="90"/>
        <v>0</v>
      </c>
      <c r="R201" s="147">
        <f t="shared" si="91"/>
        <v>0</v>
      </c>
      <c r="S201" s="145">
        <v>15</v>
      </c>
      <c r="T201" s="144" t="s">
        <v>213</v>
      </c>
      <c r="U201" s="90">
        <f>SUMIF('Avoided Costs 2009-2017'!$A:$A,Actuals!T201&amp;Actuals!S201,'Avoided Costs 2009-2017'!$E:$E)*J201</f>
        <v>106401.83085328003</v>
      </c>
      <c r="V201" s="90">
        <f>SUMIF('Avoided Costs 2009-2017'!$A:$A,Actuals!T201&amp;Actuals!S201,'Avoided Costs 2009-2017'!$K:$K)*N201</f>
        <v>0</v>
      </c>
      <c r="W201" s="90">
        <f>SUMIF('Avoided Costs 2009-2017'!$A:$A,Actuals!T201&amp;Actuals!S201,'Avoided Costs 2009-2017'!$M:$M)*R201</f>
        <v>0</v>
      </c>
      <c r="X201" s="90">
        <f t="shared" si="92"/>
        <v>106401.83085328003</v>
      </c>
      <c r="Y201" s="148">
        <v>39750</v>
      </c>
      <c r="Z201" s="149">
        <f t="shared" si="93"/>
        <v>34980</v>
      </c>
      <c r="AA201" s="148"/>
      <c r="AB201" s="145"/>
      <c r="AC201" s="145"/>
      <c r="AD201" s="148">
        <f t="shared" si="94"/>
        <v>34980</v>
      </c>
      <c r="AE201" s="122">
        <f t="shared" si="95"/>
        <v>71421.830853280029</v>
      </c>
      <c r="AF201" s="167">
        <f t="shared" si="96"/>
        <v>471889.54559999995</v>
      </c>
    </row>
    <row r="202" spans="1:32" s="150" customFormat="1" x14ac:dyDescent="0.2">
      <c r="A202" s="144" t="s">
        <v>184</v>
      </c>
      <c r="B202" s="144"/>
      <c r="C202" s="144"/>
      <c r="D202" s="145">
        <v>1</v>
      </c>
      <c r="E202" s="122"/>
      <c r="F202" s="146">
        <v>0.12</v>
      </c>
      <c r="G202" s="146"/>
      <c r="H202" s="122">
        <v>93598</v>
      </c>
      <c r="I202" s="122">
        <v>93598</v>
      </c>
      <c r="J202" s="147">
        <f t="shared" si="88"/>
        <v>82366.240000000005</v>
      </c>
      <c r="K202" s="122"/>
      <c r="L202" s="122">
        <v>0</v>
      </c>
      <c r="M202" s="122">
        <f t="shared" si="98"/>
        <v>0</v>
      </c>
      <c r="N202" s="122">
        <f t="shared" si="89"/>
        <v>0</v>
      </c>
      <c r="O202" s="122"/>
      <c r="P202" s="122">
        <v>0</v>
      </c>
      <c r="Q202" s="122">
        <f t="shared" si="90"/>
        <v>0</v>
      </c>
      <c r="R202" s="147">
        <f t="shared" si="91"/>
        <v>0</v>
      </c>
      <c r="S202" s="145">
        <v>5</v>
      </c>
      <c r="T202" s="144" t="s">
        <v>213</v>
      </c>
      <c r="U202" s="90">
        <f>SUMIF('Avoided Costs 2009-2017'!$A:$A,Actuals!T202&amp;Actuals!S202,'Avoided Costs 2009-2017'!$E:$E)*J202</f>
        <v>123679.11595996447</v>
      </c>
      <c r="V202" s="90">
        <f>SUMIF('Avoided Costs 2009-2017'!$A:$A,Actuals!T202&amp;Actuals!S202,'Avoided Costs 2009-2017'!$K:$K)*N202</f>
        <v>0</v>
      </c>
      <c r="W202" s="90">
        <f>SUMIF('Avoided Costs 2009-2017'!$A:$A,Actuals!T202&amp;Actuals!S202,'Avoided Costs 2009-2017'!$M:$M)*R202</f>
        <v>0</v>
      </c>
      <c r="X202" s="90">
        <f t="shared" si="92"/>
        <v>123679.11595996447</v>
      </c>
      <c r="Y202" s="148">
        <v>10700</v>
      </c>
      <c r="Z202" s="149">
        <f t="shared" si="93"/>
        <v>9416</v>
      </c>
      <c r="AA202" s="148"/>
      <c r="AB202" s="145"/>
      <c r="AC202" s="145"/>
      <c r="AD202" s="148">
        <f t="shared" si="94"/>
        <v>9416</v>
      </c>
      <c r="AE202" s="122">
        <f t="shared" si="95"/>
        <v>114263.11595996447</v>
      </c>
      <c r="AF202" s="167">
        <f t="shared" si="96"/>
        <v>411831.2</v>
      </c>
    </row>
    <row r="203" spans="1:32" s="150" customFormat="1" x14ac:dyDescent="0.2">
      <c r="A203" s="144" t="s">
        <v>185</v>
      </c>
      <c r="B203" s="144"/>
      <c r="C203" s="144"/>
      <c r="D203" s="145">
        <v>1</v>
      </c>
      <c r="E203" s="122"/>
      <c r="F203" s="146">
        <v>0.12</v>
      </c>
      <c r="G203" s="146"/>
      <c r="H203" s="122">
        <v>915367</v>
      </c>
      <c r="I203" s="122">
        <f t="shared" si="97"/>
        <v>886075.25599999994</v>
      </c>
      <c r="J203" s="147">
        <f t="shared" si="88"/>
        <v>779746.2252799999</v>
      </c>
      <c r="K203" s="122"/>
      <c r="L203" s="122">
        <v>0</v>
      </c>
      <c r="M203" s="122">
        <f t="shared" si="98"/>
        <v>0</v>
      </c>
      <c r="N203" s="122">
        <f t="shared" si="89"/>
        <v>0</v>
      </c>
      <c r="O203" s="122"/>
      <c r="P203" s="122">
        <v>0</v>
      </c>
      <c r="Q203" s="122">
        <f t="shared" si="90"/>
        <v>0</v>
      </c>
      <c r="R203" s="147">
        <f t="shared" si="91"/>
        <v>0</v>
      </c>
      <c r="S203" s="145">
        <v>15</v>
      </c>
      <c r="T203" s="144" t="s">
        <v>213</v>
      </c>
      <c r="U203" s="90">
        <f>SUMIF('Avoided Costs 2009-2017'!$A:$A,Actuals!T203&amp;Actuals!S203,'Avoided Costs 2009-2017'!$E:$E)*J203</f>
        <v>2637262.0482162512</v>
      </c>
      <c r="V203" s="90">
        <f>SUMIF('Avoided Costs 2009-2017'!$A:$A,Actuals!T203&amp;Actuals!S203,'Avoided Costs 2009-2017'!$K:$K)*N203</f>
        <v>0</v>
      </c>
      <c r="W203" s="90">
        <f>SUMIF('Avoided Costs 2009-2017'!$A:$A,Actuals!T203&amp;Actuals!S203,'Avoided Costs 2009-2017'!$M:$M)*R203</f>
        <v>0</v>
      </c>
      <c r="X203" s="90">
        <f t="shared" si="92"/>
        <v>2637262.0482162512</v>
      </c>
      <c r="Y203" s="148">
        <v>365615</v>
      </c>
      <c r="Z203" s="149">
        <f t="shared" si="93"/>
        <v>321741.2</v>
      </c>
      <c r="AA203" s="148"/>
      <c r="AB203" s="145"/>
      <c r="AC203" s="145"/>
      <c r="AD203" s="148">
        <f t="shared" si="94"/>
        <v>321741.2</v>
      </c>
      <c r="AE203" s="122">
        <f t="shared" si="95"/>
        <v>2315520.848216251</v>
      </c>
      <c r="AF203" s="167">
        <f t="shared" si="96"/>
        <v>11696193.379199998</v>
      </c>
    </row>
    <row r="204" spans="1:32" s="150" customFormat="1" x14ac:dyDescent="0.2">
      <c r="A204" s="144" t="s">
        <v>186</v>
      </c>
      <c r="B204" s="144"/>
      <c r="C204" s="144"/>
      <c r="D204" s="145">
        <v>1</v>
      </c>
      <c r="E204" s="122"/>
      <c r="F204" s="146">
        <v>0.12</v>
      </c>
      <c r="G204" s="146"/>
      <c r="H204" s="122">
        <v>153321</v>
      </c>
      <c r="I204" s="122">
        <f t="shared" si="97"/>
        <v>148414.728</v>
      </c>
      <c r="J204" s="147">
        <f t="shared" si="88"/>
        <v>130604.96064</v>
      </c>
      <c r="K204" s="122"/>
      <c r="L204" s="122">
        <v>0</v>
      </c>
      <c r="M204" s="122">
        <f t="shared" si="98"/>
        <v>0</v>
      </c>
      <c r="N204" s="122">
        <f t="shared" si="89"/>
        <v>0</v>
      </c>
      <c r="O204" s="122"/>
      <c r="P204" s="122">
        <v>0</v>
      </c>
      <c r="Q204" s="122">
        <f t="shared" si="90"/>
        <v>0</v>
      </c>
      <c r="R204" s="147">
        <f t="shared" si="91"/>
        <v>0</v>
      </c>
      <c r="S204" s="145">
        <v>5</v>
      </c>
      <c r="T204" s="144" t="s">
        <v>213</v>
      </c>
      <c r="U204" s="90">
        <f>SUMIF('Avoided Costs 2009-2017'!$A:$A,Actuals!T204&amp;Actuals!S204,'Avoided Costs 2009-2017'!$E:$E)*J204</f>
        <v>196113.18996643717</v>
      </c>
      <c r="V204" s="90">
        <f>SUMIF('Avoided Costs 2009-2017'!$A:$A,Actuals!T204&amp;Actuals!S204,'Avoided Costs 2009-2017'!$K:$K)*N204</f>
        <v>0</v>
      </c>
      <c r="W204" s="90">
        <f>SUMIF('Avoided Costs 2009-2017'!$A:$A,Actuals!T204&amp;Actuals!S204,'Avoided Costs 2009-2017'!$M:$M)*R204</f>
        <v>0</v>
      </c>
      <c r="X204" s="90">
        <f t="shared" si="92"/>
        <v>196113.18996643717</v>
      </c>
      <c r="Y204" s="148">
        <v>53000</v>
      </c>
      <c r="Z204" s="149">
        <f t="shared" si="93"/>
        <v>46640</v>
      </c>
      <c r="AA204" s="148"/>
      <c r="AB204" s="145"/>
      <c r="AC204" s="145"/>
      <c r="AD204" s="148">
        <f t="shared" si="94"/>
        <v>46640</v>
      </c>
      <c r="AE204" s="122">
        <f t="shared" si="95"/>
        <v>149473.18996643717</v>
      </c>
      <c r="AF204" s="167">
        <f t="shared" si="96"/>
        <v>653024.80319999997</v>
      </c>
    </row>
    <row r="205" spans="1:32" s="150" customFormat="1" x14ac:dyDescent="0.2">
      <c r="A205" s="144" t="s">
        <v>187</v>
      </c>
      <c r="B205" s="144"/>
      <c r="C205" s="144"/>
      <c r="D205" s="145">
        <v>1</v>
      </c>
      <c r="E205" s="122"/>
      <c r="F205" s="146">
        <v>0.12</v>
      </c>
      <c r="G205" s="146"/>
      <c r="H205" s="122">
        <v>305112</v>
      </c>
      <c r="I205" s="122">
        <f t="shared" si="97"/>
        <v>295348.41599999997</v>
      </c>
      <c r="J205" s="147">
        <f t="shared" si="88"/>
        <v>259906.60607999997</v>
      </c>
      <c r="K205" s="122"/>
      <c r="L205" s="122">
        <v>0</v>
      </c>
      <c r="M205" s="122">
        <f t="shared" si="98"/>
        <v>0</v>
      </c>
      <c r="N205" s="122">
        <f t="shared" si="89"/>
        <v>0</v>
      </c>
      <c r="O205" s="122"/>
      <c r="P205" s="122">
        <v>0</v>
      </c>
      <c r="Q205" s="122">
        <f t="shared" si="90"/>
        <v>0</v>
      </c>
      <c r="R205" s="147">
        <f t="shared" si="91"/>
        <v>0</v>
      </c>
      <c r="S205" s="145">
        <v>5</v>
      </c>
      <c r="T205" s="144" t="s">
        <v>213</v>
      </c>
      <c r="U205" s="90">
        <f>SUMIF('Avoided Costs 2009-2017'!$A:$A,Actuals!T205&amp;Actuals!S205,'Avoided Costs 2009-2017'!$E:$E)*J205</f>
        <v>390269.35395046714</v>
      </c>
      <c r="V205" s="90">
        <f>SUMIF('Avoided Costs 2009-2017'!$A:$A,Actuals!T205&amp;Actuals!S205,'Avoided Costs 2009-2017'!$K:$K)*N205</f>
        <v>0</v>
      </c>
      <c r="W205" s="90">
        <f>SUMIF('Avoided Costs 2009-2017'!$A:$A,Actuals!T205&amp;Actuals!S205,'Avoided Costs 2009-2017'!$M:$M)*R205</f>
        <v>0</v>
      </c>
      <c r="X205" s="90">
        <f t="shared" si="92"/>
        <v>390269.35395046714</v>
      </c>
      <c r="Y205" s="148">
        <v>37500</v>
      </c>
      <c r="Z205" s="149">
        <f t="shared" si="93"/>
        <v>33000</v>
      </c>
      <c r="AA205" s="148"/>
      <c r="AB205" s="145"/>
      <c r="AC205" s="145"/>
      <c r="AD205" s="148">
        <f t="shared" si="94"/>
        <v>33000</v>
      </c>
      <c r="AE205" s="122">
        <f t="shared" si="95"/>
        <v>357269.35395046714</v>
      </c>
      <c r="AF205" s="167">
        <f t="shared" si="96"/>
        <v>1299533.0303999998</v>
      </c>
    </row>
    <row r="206" spans="1:32" s="150" customFormat="1" x14ac:dyDescent="0.2">
      <c r="A206" s="144" t="s">
        <v>188</v>
      </c>
      <c r="B206" s="144"/>
      <c r="C206" s="144"/>
      <c r="D206" s="145">
        <v>1</v>
      </c>
      <c r="E206" s="122"/>
      <c r="F206" s="146">
        <v>0.12</v>
      </c>
      <c r="G206" s="146"/>
      <c r="H206" s="122">
        <v>55270</v>
      </c>
      <c r="I206" s="122">
        <f t="shared" si="97"/>
        <v>53501.36</v>
      </c>
      <c r="J206" s="147">
        <f t="shared" si="88"/>
        <v>47081.196799999998</v>
      </c>
      <c r="K206" s="122"/>
      <c r="L206" s="122">
        <v>0</v>
      </c>
      <c r="M206" s="122">
        <f t="shared" si="98"/>
        <v>0</v>
      </c>
      <c r="N206" s="122">
        <f t="shared" si="89"/>
        <v>0</v>
      </c>
      <c r="O206" s="122"/>
      <c r="P206" s="122">
        <v>0</v>
      </c>
      <c r="Q206" s="122">
        <f t="shared" si="90"/>
        <v>0</v>
      </c>
      <c r="R206" s="147">
        <f t="shared" si="91"/>
        <v>0</v>
      </c>
      <c r="S206" s="145">
        <v>13</v>
      </c>
      <c r="T206" s="144" t="s">
        <v>213</v>
      </c>
      <c r="U206" s="90">
        <f>SUMIF('Avoided Costs 2009-2017'!$A:$A,Actuals!T206&amp;Actuals!S206,'Avoided Costs 2009-2017'!$E:$E)*J206</f>
        <v>146429.96776367203</v>
      </c>
      <c r="V206" s="90">
        <f>SUMIF('Avoided Costs 2009-2017'!$A:$A,Actuals!T206&amp;Actuals!S206,'Avoided Costs 2009-2017'!$K:$K)*N206</f>
        <v>0</v>
      </c>
      <c r="W206" s="90">
        <f>SUMIF('Avoided Costs 2009-2017'!$A:$A,Actuals!T206&amp;Actuals!S206,'Avoided Costs 2009-2017'!$M:$M)*R206</f>
        <v>0</v>
      </c>
      <c r="X206" s="90">
        <f t="shared" si="92"/>
        <v>146429.96776367203</v>
      </c>
      <c r="Y206" s="148">
        <v>1718</v>
      </c>
      <c r="Z206" s="149">
        <f t="shared" si="93"/>
        <v>1511.84</v>
      </c>
      <c r="AA206" s="148"/>
      <c r="AB206" s="145"/>
      <c r="AC206" s="145"/>
      <c r="AD206" s="148">
        <f t="shared" si="94"/>
        <v>1511.84</v>
      </c>
      <c r="AE206" s="122">
        <f t="shared" si="95"/>
        <v>144918.12776367203</v>
      </c>
      <c r="AF206" s="167">
        <f t="shared" si="96"/>
        <v>612055.55839999998</v>
      </c>
    </row>
    <row r="207" spans="1:32" s="150" customFormat="1" x14ac:dyDescent="0.2">
      <c r="A207" s="144" t="s">
        <v>189</v>
      </c>
      <c r="B207" s="144"/>
      <c r="C207" s="144"/>
      <c r="D207" s="145">
        <v>1</v>
      </c>
      <c r="E207" s="122"/>
      <c r="F207" s="146">
        <v>0.12</v>
      </c>
      <c r="G207" s="146"/>
      <c r="H207" s="122">
        <v>51678</v>
      </c>
      <c r="I207" s="122">
        <f t="shared" si="97"/>
        <v>50024.303999999996</v>
      </c>
      <c r="J207" s="147">
        <f t="shared" si="88"/>
        <v>44021.387519999997</v>
      </c>
      <c r="K207" s="122"/>
      <c r="L207" s="122">
        <v>45399</v>
      </c>
      <c r="M207" s="122">
        <f t="shared" si="98"/>
        <v>40813.701000000001</v>
      </c>
      <c r="N207" s="122">
        <f t="shared" si="89"/>
        <v>35916.056880000004</v>
      </c>
      <c r="O207" s="122"/>
      <c r="P207" s="122">
        <v>0</v>
      </c>
      <c r="Q207" s="122">
        <f t="shared" si="90"/>
        <v>0</v>
      </c>
      <c r="R207" s="147">
        <f t="shared" si="91"/>
        <v>0</v>
      </c>
      <c r="S207" s="145">
        <v>15</v>
      </c>
      <c r="T207" s="144" t="s">
        <v>213</v>
      </c>
      <c r="U207" s="90">
        <f>SUMIF('Avoided Costs 2009-2017'!$A:$A,Actuals!T207&amp;Actuals!S207,'Avoided Costs 2009-2017'!$E:$E)*J207</f>
        <v>148889.38330496885</v>
      </c>
      <c r="V207" s="90">
        <f>SUMIF('Avoided Costs 2009-2017'!$A:$A,Actuals!T207&amp;Actuals!S207,'Avoided Costs 2009-2017'!$K:$K)*N207</f>
        <v>26812.492114221826</v>
      </c>
      <c r="W207" s="90">
        <f>SUMIF('Avoided Costs 2009-2017'!$A:$A,Actuals!T207&amp;Actuals!S207,'Avoided Costs 2009-2017'!$M:$M)*R207</f>
        <v>0</v>
      </c>
      <c r="X207" s="90">
        <f t="shared" si="92"/>
        <v>175701.87541919068</v>
      </c>
      <c r="Y207" s="148">
        <v>5254</v>
      </c>
      <c r="Z207" s="149">
        <f t="shared" si="93"/>
        <v>4623.5200000000004</v>
      </c>
      <c r="AA207" s="148"/>
      <c r="AB207" s="145"/>
      <c r="AC207" s="145"/>
      <c r="AD207" s="148">
        <f t="shared" si="94"/>
        <v>4623.5200000000004</v>
      </c>
      <c r="AE207" s="122">
        <f t="shared" si="95"/>
        <v>171078.35541919069</v>
      </c>
      <c r="AF207" s="167">
        <f t="shared" si="96"/>
        <v>660320.81279999996</v>
      </c>
    </row>
    <row r="208" spans="1:32" s="150" customFormat="1" x14ac:dyDescent="0.2">
      <c r="A208" s="144" t="s">
        <v>190</v>
      </c>
      <c r="B208" s="144"/>
      <c r="C208" s="144"/>
      <c r="D208" s="145">
        <v>1</v>
      </c>
      <c r="E208" s="122"/>
      <c r="F208" s="146">
        <v>0.12</v>
      </c>
      <c r="G208" s="146"/>
      <c r="H208" s="122">
        <v>126144</v>
      </c>
      <c r="I208" s="122">
        <f t="shared" si="97"/>
        <v>122107.39199999999</v>
      </c>
      <c r="J208" s="147">
        <f t="shared" si="88"/>
        <v>107454.50495999999</v>
      </c>
      <c r="K208" s="122"/>
      <c r="L208" s="122">
        <v>-262771</v>
      </c>
      <c r="M208" s="122">
        <f t="shared" si="98"/>
        <v>-236231.12900000002</v>
      </c>
      <c r="N208" s="122">
        <f t="shared" si="89"/>
        <v>-207883.39352000001</v>
      </c>
      <c r="O208" s="122"/>
      <c r="P208" s="122">
        <v>0</v>
      </c>
      <c r="Q208" s="122">
        <f t="shared" si="90"/>
        <v>0</v>
      </c>
      <c r="R208" s="147">
        <f t="shared" si="91"/>
        <v>0</v>
      </c>
      <c r="S208" s="145">
        <v>15</v>
      </c>
      <c r="T208" s="144" t="s">
        <v>1176</v>
      </c>
      <c r="U208" s="90">
        <f>SUMIF('Avoided Costs 2009-2017'!$A:$A,Actuals!T208&amp;Actuals!S208,'Avoided Costs 2009-2017'!$E:$E)*J208</f>
        <v>331012.301826426</v>
      </c>
      <c r="V208" s="90">
        <f>SUMIF('Avoided Costs 2009-2017'!$A:$A,Actuals!T208&amp;Actuals!S208,'Avoided Costs 2009-2017'!$K:$K)*N208</f>
        <v>-155191.64222441424</v>
      </c>
      <c r="W208" s="90">
        <f>SUMIF('Avoided Costs 2009-2017'!$A:$A,Actuals!T208&amp;Actuals!S208,'Avoided Costs 2009-2017'!$M:$M)*R208</f>
        <v>0</v>
      </c>
      <c r="X208" s="90">
        <f t="shared" si="92"/>
        <v>175820.65960201176</v>
      </c>
      <c r="Y208" s="148">
        <v>30800</v>
      </c>
      <c r="Z208" s="149">
        <f t="shared" si="93"/>
        <v>27104</v>
      </c>
      <c r="AA208" s="148"/>
      <c r="AB208" s="145"/>
      <c r="AC208" s="145"/>
      <c r="AD208" s="148">
        <f t="shared" si="94"/>
        <v>27104</v>
      </c>
      <c r="AE208" s="122">
        <f t="shared" si="95"/>
        <v>148716.65960201176</v>
      </c>
      <c r="AF208" s="167">
        <f t="shared" si="96"/>
        <v>1611817.5743999998</v>
      </c>
    </row>
    <row r="209" spans="1:32" s="150" customFormat="1" x14ac:dyDescent="0.2">
      <c r="A209" s="144" t="s">
        <v>191</v>
      </c>
      <c r="B209" s="144"/>
      <c r="C209" s="144"/>
      <c r="D209" s="145">
        <v>1</v>
      </c>
      <c r="E209" s="122"/>
      <c r="F209" s="146">
        <v>0.12</v>
      </c>
      <c r="G209" s="146"/>
      <c r="H209" s="122">
        <v>217080</v>
      </c>
      <c r="I209" s="122">
        <f t="shared" si="97"/>
        <v>210133.44</v>
      </c>
      <c r="J209" s="147">
        <f t="shared" si="88"/>
        <v>184917.42720000001</v>
      </c>
      <c r="K209" s="122"/>
      <c r="L209" s="122">
        <v>0</v>
      </c>
      <c r="M209" s="122">
        <f t="shared" si="98"/>
        <v>0</v>
      </c>
      <c r="N209" s="122">
        <f t="shared" si="89"/>
        <v>0</v>
      </c>
      <c r="O209" s="122"/>
      <c r="P209" s="122">
        <v>0</v>
      </c>
      <c r="Q209" s="122">
        <f t="shared" si="90"/>
        <v>0</v>
      </c>
      <c r="R209" s="147">
        <f t="shared" si="91"/>
        <v>0</v>
      </c>
      <c r="S209" s="145">
        <v>5</v>
      </c>
      <c r="T209" s="144" t="s">
        <v>213</v>
      </c>
      <c r="U209" s="90">
        <f>SUMIF('Avoided Costs 2009-2017'!$A:$A,Actuals!T209&amp;Actuals!S209,'Avoided Costs 2009-2017'!$E:$E)*J209</f>
        <v>277667.45115094591</v>
      </c>
      <c r="V209" s="90">
        <f>SUMIF('Avoided Costs 2009-2017'!$A:$A,Actuals!T209&amp;Actuals!S209,'Avoided Costs 2009-2017'!$K:$K)*N209</f>
        <v>0</v>
      </c>
      <c r="W209" s="90">
        <f>SUMIF('Avoided Costs 2009-2017'!$A:$A,Actuals!T209&amp;Actuals!S209,'Avoided Costs 2009-2017'!$M:$M)*R209</f>
        <v>0</v>
      </c>
      <c r="X209" s="90">
        <f t="shared" si="92"/>
        <v>277667.45115094591</v>
      </c>
      <c r="Y209" s="148">
        <v>11052</v>
      </c>
      <c r="Z209" s="149">
        <f t="shared" si="93"/>
        <v>9725.76</v>
      </c>
      <c r="AA209" s="148"/>
      <c r="AB209" s="145"/>
      <c r="AC209" s="145"/>
      <c r="AD209" s="148">
        <f t="shared" si="94"/>
        <v>9725.76</v>
      </c>
      <c r="AE209" s="122">
        <f t="shared" si="95"/>
        <v>267941.6911509459</v>
      </c>
      <c r="AF209" s="167">
        <f t="shared" si="96"/>
        <v>924587.13600000006</v>
      </c>
    </row>
    <row r="210" spans="1:32" s="150" customFormat="1" x14ac:dyDescent="0.2">
      <c r="A210" s="144" t="s">
        <v>192</v>
      </c>
      <c r="B210" s="144"/>
      <c r="C210" s="144"/>
      <c r="D210" s="145">
        <v>1</v>
      </c>
      <c r="E210" s="122"/>
      <c r="F210" s="146">
        <v>0.12</v>
      </c>
      <c r="G210" s="146"/>
      <c r="H210" s="122">
        <v>177337</v>
      </c>
      <c r="I210" s="122">
        <f t="shared" si="97"/>
        <v>171662.21599999999</v>
      </c>
      <c r="J210" s="147">
        <f t="shared" si="88"/>
        <v>151062.75008</v>
      </c>
      <c r="K210" s="122"/>
      <c r="L210" s="122">
        <v>656150</v>
      </c>
      <c r="M210" s="122">
        <f t="shared" si="98"/>
        <v>589878.85</v>
      </c>
      <c r="N210" s="122">
        <f t="shared" si="89"/>
        <v>519093.38799999998</v>
      </c>
      <c r="O210" s="122"/>
      <c r="P210" s="122">
        <v>0</v>
      </c>
      <c r="Q210" s="122">
        <f t="shared" si="90"/>
        <v>0</v>
      </c>
      <c r="R210" s="147">
        <f t="shared" si="91"/>
        <v>0</v>
      </c>
      <c r="S210" s="145">
        <v>15</v>
      </c>
      <c r="T210" s="144" t="s">
        <v>213</v>
      </c>
      <c r="U210" s="90">
        <f>SUMIF('Avoided Costs 2009-2017'!$A:$A,Actuals!T210&amp;Actuals!S210,'Avoided Costs 2009-2017'!$E:$E)*J210</f>
        <v>510925.27898048033</v>
      </c>
      <c r="V210" s="90">
        <f>SUMIF('Avoided Costs 2009-2017'!$A:$A,Actuals!T210&amp;Actuals!S210,'Avoided Costs 2009-2017'!$K:$K)*N210</f>
        <v>387519.91675470048</v>
      </c>
      <c r="W210" s="90">
        <f>SUMIF('Avoided Costs 2009-2017'!$A:$A,Actuals!T210&amp;Actuals!S210,'Avoided Costs 2009-2017'!$M:$M)*R210</f>
        <v>0</v>
      </c>
      <c r="X210" s="90">
        <f t="shared" si="92"/>
        <v>898445.19573518075</v>
      </c>
      <c r="Y210" s="148">
        <v>11881</v>
      </c>
      <c r="Z210" s="149">
        <f t="shared" si="93"/>
        <v>10455.280000000001</v>
      </c>
      <c r="AA210" s="148"/>
      <c r="AB210" s="145"/>
      <c r="AC210" s="145"/>
      <c r="AD210" s="148">
        <f t="shared" si="94"/>
        <v>10455.280000000001</v>
      </c>
      <c r="AE210" s="122">
        <f t="shared" si="95"/>
        <v>887989.91573518072</v>
      </c>
      <c r="AF210" s="167">
        <f t="shared" si="96"/>
        <v>2265941.2511999998</v>
      </c>
    </row>
    <row r="211" spans="1:32" s="150" customFormat="1" x14ac:dyDescent="0.2">
      <c r="A211" s="144" t="s">
        <v>193</v>
      </c>
      <c r="B211" s="144"/>
      <c r="C211" s="144"/>
      <c r="D211" s="145">
        <v>1</v>
      </c>
      <c r="E211" s="122"/>
      <c r="F211" s="146">
        <v>0.12</v>
      </c>
      <c r="G211" s="146"/>
      <c r="H211" s="122">
        <v>30321</v>
      </c>
      <c r="I211" s="122">
        <f t="shared" si="97"/>
        <v>29350.727999999999</v>
      </c>
      <c r="J211" s="147">
        <f t="shared" si="88"/>
        <v>25828.640639999998</v>
      </c>
      <c r="K211" s="122"/>
      <c r="L211" s="122">
        <v>0</v>
      </c>
      <c r="M211" s="122">
        <f t="shared" si="98"/>
        <v>0</v>
      </c>
      <c r="N211" s="122">
        <f t="shared" si="89"/>
        <v>0</v>
      </c>
      <c r="O211" s="122"/>
      <c r="P211" s="122">
        <v>0</v>
      </c>
      <c r="Q211" s="122">
        <f t="shared" si="90"/>
        <v>0</v>
      </c>
      <c r="R211" s="147">
        <f t="shared" si="91"/>
        <v>0</v>
      </c>
      <c r="S211" s="145">
        <v>15</v>
      </c>
      <c r="T211" s="144" t="s">
        <v>213</v>
      </c>
      <c r="U211" s="90">
        <f>SUMIF('Avoided Costs 2009-2017'!$A:$A,Actuals!T211&amp;Actuals!S211,'Avoided Costs 2009-2017'!$E:$E)*J211</f>
        <v>87357.772963155701</v>
      </c>
      <c r="V211" s="90">
        <f>SUMIF('Avoided Costs 2009-2017'!$A:$A,Actuals!T211&amp;Actuals!S211,'Avoided Costs 2009-2017'!$K:$K)*N211</f>
        <v>0</v>
      </c>
      <c r="W211" s="90">
        <f>SUMIF('Avoided Costs 2009-2017'!$A:$A,Actuals!T211&amp;Actuals!S211,'Avoided Costs 2009-2017'!$M:$M)*R211</f>
        <v>0</v>
      </c>
      <c r="X211" s="90">
        <f t="shared" si="92"/>
        <v>87357.772963155701</v>
      </c>
      <c r="Y211" s="148">
        <v>15500</v>
      </c>
      <c r="Z211" s="149">
        <f t="shared" si="93"/>
        <v>13640</v>
      </c>
      <c r="AA211" s="148"/>
      <c r="AB211" s="145"/>
      <c r="AC211" s="145"/>
      <c r="AD211" s="148">
        <f t="shared" si="94"/>
        <v>13640</v>
      </c>
      <c r="AE211" s="122">
        <f t="shared" si="95"/>
        <v>73717.772963155701</v>
      </c>
      <c r="AF211" s="167">
        <f t="shared" si="96"/>
        <v>387429.60959999997</v>
      </c>
    </row>
    <row r="212" spans="1:32" s="150" customFormat="1" x14ac:dyDescent="0.2">
      <c r="A212" s="144" t="s">
        <v>194</v>
      </c>
      <c r="B212" s="144"/>
      <c r="C212" s="144"/>
      <c r="D212" s="145">
        <v>1</v>
      </c>
      <c r="E212" s="122"/>
      <c r="F212" s="146">
        <v>0.12</v>
      </c>
      <c r="G212" s="146"/>
      <c r="H212" s="122">
        <v>30562</v>
      </c>
      <c r="I212" s="122">
        <f t="shared" si="97"/>
        <v>29584.016</v>
      </c>
      <c r="J212" s="147">
        <f t="shared" si="88"/>
        <v>26033.934079999999</v>
      </c>
      <c r="K212" s="122"/>
      <c r="L212" s="122">
        <v>0</v>
      </c>
      <c r="M212" s="122">
        <f t="shared" si="98"/>
        <v>0</v>
      </c>
      <c r="N212" s="122">
        <f t="shared" si="89"/>
        <v>0</v>
      </c>
      <c r="O212" s="122"/>
      <c r="P212" s="122">
        <v>0</v>
      </c>
      <c r="Q212" s="122">
        <f t="shared" si="90"/>
        <v>0</v>
      </c>
      <c r="R212" s="147">
        <f t="shared" si="91"/>
        <v>0</v>
      </c>
      <c r="S212" s="145">
        <v>15</v>
      </c>
      <c r="T212" s="144" t="s">
        <v>213</v>
      </c>
      <c r="U212" s="90">
        <f>SUMIF('Avoided Costs 2009-2017'!$A:$A,Actuals!T212&amp;Actuals!S212,'Avoided Costs 2009-2017'!$E:$E)*J212</f>
        <v>88052.117585170839</v>
      </c>
      <c r="V212" s="90">
        <f>SUMIF('Avoided Costs 2009-2017'!$A:$A,Actuals!T212&amp;Actuals!S212,'Avoided Costs 2009-2017'!$K:$K)*N212</f>
        <v>0</v>
      </c>
      <c r="W212" s="90">
        <f>SUMIF('Avoided Costs 2009-2017'!$A:$A,Actuals!T212&amp;Actuals!S212,'Avoided Costs 2009-2017'!$M:$M)*R212</f>
        <v>0</v>
      </c>
      <c r="X212" s="90">
        <f t="shared" si="92"/>
        <v>88052.117585170839</v>
      </c>
      <c r="Y212" s="148">
        <v>13591</v>
      </c>
      <c r="Z212" s="149">
        <f t="shared" si="93"/>
        <v>11960.08</v>
      </c>
      <c r="AA212" s="148"/>
      <c r="AB212" s="145"/>
      <c r="AC212" s="145"/>
      <c r="AD212" s="148">
        <f t="shared" si="94"/>
        <v>11960.08</v>
      </c>
      <c r="AE212" s="122">
        <f t="shared" si="95"/>
        <v>76092.037585170838</v>
      </c>
      <c r="AF212" s="167">
        <f t="shared" si="96"/>
        <v>390509.01120000001</v>
      </c>
    </row>
    <row r="213" spans="1:32" s="150" customFormat="1" x14ac:dyDescent="0.2">
      <c r="A213" s="144" t="s">
        <v>195</v>
      </c>
      <c r="B213" s="144"/>
      <c r="C213" s="144"/>
      <c r="D213" s="145">
        <v>1</v>
      </c>
      <c r="E213" s="122"/>
      <c r="F213" s="146">
        <v>0.12</v>
      </c>
      <c r="G213" s="146"/>
      <c r="H213" s="122">
        <v>63566</v>
      </c>
      <c r="I213" s="122">
        <f t="shared" si="97"/>
        <v>61531.887999999999</v>
      </c>
      <c r="J213" s="147">
        <f t="shared" si="88"/>
        <v>54148.061439999998</v>
      </c>
      <c r="K213" s="122"/>
      <c r="L213" s="122">
        <v>0</v>
      </c>
      <c r="M213" s="122">
        <f t="shared" si="98"/>
        <v>0</v>
      </c>
      <c r="N213" s="122">
        <f t="shared" si="89"/>
        <v>0</v>
      </c>
      <c r="O213" s="122"/>
      <c r="P213" s="122">
        <v>0</v>
      </c>
      <c r="Q213" s="122">
        <f t="shared" si="90"/>
        <v>0</v>
      </c>
      <c r="R213" s="147">
        <f t="shared" si="91"/>
        <v>0</v>
      </c>
      <c r="S213" s="145">
        <v>5</v>
      </c>
      <c r="T213" s="144" t="s">
        <v>213</v>
      </c>
      <c r="U213" s="90">
        <f>SUMIF('Avoided Costs 2009-2017'!$A:$A,Actuals!T213&amp;Actuals!S213,'Avoided Costs 2009-2017'!$E:$E)*J213</f>
        <v>81307.394508296609</v>
      </c>
      <c r="V213" s="90">
        <f>SUMIF('Avoided Costs 2009-2017'!$A:$A,Actuals!T213&amp;Actuals!S213,'Avoided Costs 2009-2017'!$K:$K)*N213</f>
        <v>0</v>
      </c>
      <c r="W213" s="90">
        <f>SUMIF('Avoided Costs 2009-2017'!$A:$A,Actuals!T213&amp;Actuals!S213,'Avoided Costs 2009-2017'!$M:$M)*R213</f>
        <v>0</v>
      </c>
      <c r="X213" s="90">
        <f t="shared" si="92"/>
        <v>81307.394508296609</v>
      </c>
      <c r="Y213" s="148">
        <v>1</v>
      </c>
      <c r="Z213" s="149">
        <f t="shared" si="93"/>
        <v>0.88</v>
      </c>
      <c r="AA213" s="148"/>
      <c r="AB213" s="145"/>
      <c r="AC213" s="145"/>
      <c r="AD213" s="148">
        <f t="shared" si="94"/>
        <v>0.88</v>
      </c>
      <c r="AE213" s="122">
        <f t="shared" si="95"/>
        <v>81306.514508296605</v>
      </c>
      <c r="AF213" s="167">
        <f t="shared" si="96"/>
        <v>270740.30719999998</v>
      </c>
    </row>
    <row r="214" spans="1:32" s="150" customFormat="1" x14ac:dyDescent="0.2">
      <c r="A214" s="144" t="s">
        <v>196</v>
      </c>
      <c r="B214" s="144"/>
      <c r="C214" s="144"/>
      <c r="D214" s="145">
        <v>0</v>
      </c>
      <c r="E214" s="122"/>
      <c r="F214" s="146">
        <v>0.12</v>
      </c>
      <c r="G214" s="146"/>
      <c r="H214" s="122">
        <v>356841</v>
      </c>
      <c r="I214" s="122">
        <f t="shared" si="97"/>
        <v>345422.08799999999</v>
      </c>
      <c r="J214" s="147">
        <f t="shared" si="88"/>
        <v>303971.43744000001</v>
      </c>
      <c r="K214" s="122"/>
      <c r="L214" s="122">
        <v>0</v>
      </c>
      <c r="M214" s="122">
        <f t="shared" si="98"/>
        <v>0</v>
      </c>
      <c r="N214" s="122">
        <f t="shared" si="89"/>
        <v>0</v>
      </c>
      <c r="O214" s="122"/>
      <c r="P214" s="122">
        <v>0</v>
      </c>
      <c r="Q214" s="122">
        <f t="shared" si="90"/>
        <v>0</v>
      </c>
      <c r="R214" s="147">
        <f t="shared" si="91"/>
        <v>0</v>
      </c>
      <c r="S214" s="145">
        <v>15</v>
      </c>
      <c r="T214" s="144" t="s">
        <v>213</v>
      </c>
      <c r="U214" s="90">
        <f>SUMIF('Avoided Costs 2009-2017'!$A:$A,Actuals!T214&amp;Actuals!S214,'Avoided Costs 2009-2017'!$E:$E)*J214</f>
        <v>1028093.8973630635</v>
      </c>
      <c r="V214" s="90">
        <f>SUMIF('Avoided Costs 2009-2017'!$A:$A,Actuals!T214&amp;Actuals!S214,'Avoided Costs 2009-2017'!$K:$K)*N214</f>
        <v>0</v>
      </c>
      <c r="W214" s="90">
        <f>SUMIF('Avoided Costs 2009-2017'!$A:$A,Actuals!T214&amp;Actuals!S214,'Avoided Costs 2009-2017'!$M:$M)*R214</f>
        <v>0</v>
      </c>
      <c r="X214" s="90">
        <f t="shared" si="92"/>
        <v>1028093.8973630635</v>
      </c>
      <c r="Y214" s="148">
        <v>113387</v>
      </c>
      <c r="Z214" s="149">
        <f t="shared" si="93"/>
        <v>99780.56</v>
      </c>
      <c r="AA214" s="148"/>
      <c r="AB214" s="145"/>
      <c r="AC214" s="145"/>
      <c r="AD214" s="148">
        <f t="shared" si="94"/>
        <v>99780.56</v>
      </c>
      <c r="AE214" s="122">
        <f t="shared" si="95"/>
        <v>928313.33736306359</v>
      </c>
      <c r="AF214" s="167">
        <f t="shared" si="96"/>
        <v>4559571.5615999997</v>
      </c>
    </row>
    <row r="215" spans="1:32" s="150" customFormat="1" x14ac:dyDescent="0.2">
      <c r="A215" s="144" t="s">
        <v>197</v>
      </c>
      <c r="B215" s="144"/>
      <c r="C215" s="144"/>
      <c r="D215" s="145">
        <v>0</v>
      </c>
      <c r="E215" s="122"/>
      <c r="F215" s="146">
        <v>0.12</v>
      </c>
      <c r="G215" s="146"/>
      <c r="H215" s="122">
        <v>54527</v>
      </c>
      <c r="I215" s="122">
        <f t="shared" si="97"/>
        <v>52782.135999999999</v>
      </c>
      <c r="J215" s="147">
        <f t="shared" si="88"/>
        <v>46448.27968</v>
      </c>
      <c r="K215" s="122"/>
      <c r="L215" s="122">
        <v>0</v>
      </c>
      <c r="M215" s="122">
        <f t="shared" si="98"/>
        <v>0</v>
      </c>
      <c r="N215" s="122">
        <f t="shared" si="89"/>
        <v>0</v>
      </c>
      <c r="O215" s="122"/>
      <c r="P215" s="122">
        <v>0</v>
      </c>
      <c r="Q215" s="122">
        <f t="shared" si="90"/>
        <v>0</v>
      </c>
      <c r="R215" s="147">
        <f t="shared" si="91"/>
        <v>0</v>
      </c>
      <c r="S215" s="145">
        <v>25</v>
      </c>
      <c r="T215" s="144" t="s">
        <v>213</v>
      </c>
      <c r="U215" s="90">
        <f>SUMIF('Avoided Costs 2009-2017'!$A:$A,Actuals!T215&amp;Actuals!S215,'Avoided Costs 2009-2017'!$E:$E)*J215</f>
        <v>199972.47815029186</v>
      </c>
      <c r="V215" s="90">
        <f>SUMIF('Avoided Costs 2009-2017'!$A:$A,Actuals!T215&amp;Actuals!S215,'Avoided Costs 2009-2017'!$K:$K)*N215</f>
        <v>0</v>
      </c>
      <c r="W215" s="90">
        <f>SUMIF('Avoided Costs 2009-2017'!$A:$A,Actuals!T215&amp;Actuals!S215,'Avoided Costs 2009-2017'!$M:$M)*R215</f>
        <v>0</v>
      </c>
      <c r="X215" s="90">
        <f t="shared" si="92"/>
        <v>199972.47815029186</v>
      </c>
      <c r="Y215" s="148">
        <v>159087</v>
      </c>
      <c r="Z215" s="149">
        <f t="shared" si="93"/>
        <v>139996.56</v>
      </c>
      <c r="AA215" s="148"/>
      <c r="AB215" s="145"/>
      <c r="AC215" s="145"/>
      <c r="AD215" s="148">
        <f t="shared" si="94"/>
        <v>139996.56</v>
      </c>
      <c r="AE215" s="122">
        <f t="shared" si="95"/>
        <v>59975.918150291865</v>
      </c>
      <c r="AF215" s="167">
        <f t="shared" si="96"/>
        <v>1161206.9920000001</v>
      </c>
    </row>
    <row r="216" spans="1:32" s="150" customFormat="1" x14ac:dyDescent="0.2">
      <c r="A216" s="144" t="s">
        <v>198</v>
      </c>
      <c r="B216" s="144"/>
      <c r="C216" s="144"/>
      <c r="D216" s="145">
        <v>0</v>
      </c>
      <c r="E216" s="122"/>
      <c r="F216" s="146">
        <v>0.12</v>
      </c>
      <c r="G216" s="146"/>
      <c r="H216" s="122">
        <v>917192</v>
      </c>
      <c r="I216" s="122">
        <f t="shared" si="97"/>
        <v>887841.85600000003</v>
      </c>
      <c r="J216" s="147">
        <f t="shared" si="88"/>
        <v>781300.83328000002</v>
      </c>
      <c r="K216" s="122"/>
      <c r="L216" s="122">
        <v>-1571474</v>
      </c>
      <c r="M216" s="122">
        <f t="shared" si="98"/>
        <v>-1412755.1259999999</v>
      </c>
      <c r="N216" s="122">
        <f t="shared" si="89"/>
        <v>-1243224.51088</v>
      </c>
      <c r="O216" s="122"/>
      <c r="P216" s="122">
        <v>8339</v>
      </c>
      <c r="Q216" s="122">
        <f t="shared" si="90"/>
        <v>12441.788</v>
      </c>
      <c r="R216" s="147">
        <f t="shared" si="91"/>
        <v>10948.773440000001</v>
      </c>
      <c r="S216" s="145">
        <v>15</v>
      </c>
      <c r="T216" s="144" t="s">
        <v>213</v>
      </c>
      <c r="U216" s="90">
        <f>SUMIF('Avoided Costs 2009-2017'!$A:$A,Actuals!T216&amp;Actuals!S216,'Avoided Costs 2009-2017'!$E:$E)*J216</f>
        <v>2642520.0520966565</v>
      </c>
      <c r="V216" s="90">
        <f>SUMIF('Avoided Costs 2009-2017'!$A:$A,Actuals!T216&amp;Actuals!S216,'Avoided Costs 2009-2017'!$K:$K)*N216</f>
        <v>-928107.09999569645</v>
      </c>
      <c r="W216" s="90">
        <f>SUMIF('Avoided Costs 2009-2017'!$A:$A,Actuals!T216&amp;Actuals!S216,'Avoided Costs 2009-2017'!$M:$M)*R216</f>
        <v>142237.80509234927</v>
      </c>
      <c r="X216" s="90">
        <f t="shared" si="92"/>
        <v>1856650.7571933093</v>
      </c>
      <c r="Y216" s="148">
        <v>5300</v>
      </c>
      <c r="Z216" s="149">
        <f t="shared" si="93"/>
        <v>4664</v>
      </c>
      <c r="AA216" s="148"/>
      <c r="AB216" s="145"/>
      <c r="AC216" s="145"/>
      <c r="AD216" s="148">
        <f t="shared" si="94"/>
        <v>4664</v>
      </c>
      <c r="AE216" s="122">
        <f t="shared" si="95"/>
        <v>1851986.7571933093</v>
      </c>
      <c r="AF216" s="167">
        <f t="shared" si="96"/>
        <v>11719512.499199999</v>
      </c>
    </row>
    <row r="217" spans="1:32" s="150" customFormat="1" x14ac:dyDescent="0.2">
      <c r="A217" s="144" t="s">
        <v>1100</v>
      </c>
      <c r="B217" s="144"/>
      <c r="C217" s="144"/>
      <c r="D217" s="145">
        <v>1</v>
      </c>
      <c r="E217" s="122"/>
      <c r="F217" s="146">
        <v>0.12</v>
      </c>
      <c r="G217" s="146"/>
      <c r="H217" s="122">
        <v>88711</v>
      </c>
      <c r="I217" s="122">
        <f t="shared" si="97"/>
        <v>85872.247999999992</v>
      </c>
      <c r="J217" s="147">
        <f t="shared" si="88"/>
        <v>75567.578239999988</v>
      </c>
      <c r="K217" s="122"/>
      <c r="L217" s="122">
        <v>0</v>
      </c>
      <c r="M217" s="122">
        <f t="shared" si="98"/>
        <v>0</v>
      </c>
      <c r="N217" s="122">
        <f t="shared" si="89"/>
        <v>0</v>
      </c>
      <c r="O217" s="122"/>
      <c r="P217" s="122">
        <v>0</v>
      </c>
      <c r="Q217" s="122">
        <f t="shared" si="90"/>
        <v>0</v>
      </c>
      <c r="R217" s="147">
        <f t="shared" si="91"/>
        <v>0</v>
      </c>
      <c r="S217" s="145">
        <v>15</v>
      </c>
      <c r="T217" s="144" t="s">
        <v>213</v>
      </c>
      <c r="U217" s="90">
        <f>SUMIF('Avoided Costs 2009-2017'!$A:$A,Actuals!T217&amp;Actuals!S217,'Avoided Costs 2009-2017'!$E:$E)*J217</f>
        <v>255585.0861559482</v>
      </c>
      <c r="V217" s="90">
        <f>SUMIF('Avoided Costs 2009-2017'!$A:$A,Actuals!T217&amp;Actuals!S217,'Avoided Costs 2009-2017'!$K:$K)*N217</f>
        <v>0</v>
      </c>
      <c r="W217" s="90">
        <f>SUMIF('Avoided Costs 2009-2017'!$A:$A,Actuals!T217&amp;Actuals!S217,'Avoided Costs 2009-2017'!$M:$M)*R217</f>
        <v>0</v>
      </c>
      <c r="X217" s="90">
        <f t="shared" si="92"/>
        <v>255585.0861559482</v>
      </c>
      <c r="Y217" s="148">
        <v>128673</v>
      </c>
      <c r="Z217" s="149">
        <f t="shared" si="93"/>
        <v>113232.24</v>
      </c>
      <c r="AA217" s="148"/>
      <c r="AB217" s="145"/>
      <c r="AC217" s="145"/>
      <c r="AD217" s="148">
        <f t="shared" si="94"/>
        <v>113232.24</v>
      </c>
      <c r="AE217" s="122">
        <f t="shared" si="95"/>
        <v>142352.84615594818</v>
      </c>
      <c r="AF217" s="167">
        <f t="shared" si="96"/>
        <v>1133513.6735999999</v>
      </c>
    </row>
    <row r="218" spans="1:32" s="150" customFormat="1" x14ac:dyDescent="0.2">
      <c r="A218" s="144" t="s">
        <v>1101</v>
      </c>
      <c r="B218" s="144"/>
      <c r="C218" s="144"/>
      <c r="D218" s="145">
        <v>1</v>
      </c>
      <c r="E218" s="122"/>
      <c r="F218" s="146">
        <v>0.12</v>
      </c>
      <c r="G218" s="146"/>
      <c r="H218" s="122">
        <v>33235</v>
      </c>
      <c r="I218" s="122">
        <f t="shared" si="97"/>
        <v>32171.48</v>
      </c>
      <c r="J218" s="147">
        <f t="shared" si="88"/>
        <v>28310.902399999999</v>
      </c>
      <c r="K218" s="122"/>
      <c r="L218" s="122">
        <v>0</v>
      </c>
      <c r="M218" s="122">
        <f t="shared" si="98"/>
        <v>0</v>
      </c>
      <c r="N218" s="122">
        <f t="shared" si="89"/>
        <v>0</v>
      </c>
      <c r="O218" s="122"/>
      <c r="P218" s="122">
        <v>0</v>
      </c>
      <c r="Q218" s="122">
        <f t="shared" si="90"/>
        <v>0</v>
      </c>
      <c r="R218" s="147">
        <f t="shared" si="91"/>
        <v>0</v>
      </c>
      <c r="S218" s="145">
        <v>15</v>
      </c>
      <c r="T218" s="144" t="s">
        <v>213</v>
      </c>
      <c r="U218" s="90">
        <f>SUMIF('Avoided Costs 2009-2017'!$A:$A,Actuals!T218&amp;Actuals!S218,'Avoided Costs 2009-2017'!$E:$E)*J218</f>
        <v>95753.292583703704</v>
      </c>
      <c r="V218" s="90">
        <f>SUMIF('Avoided Costs 2009-2017'!$A:$A,Actuals!T218&amp;Actuals!S218,'Avoided Costs 2009-2017'!$K:$K)*N218</f>
        <v>0</v>
      </c>
      <c r="W218" s="90">
        <f>SUMIF('Avoided Costs 2009-2017'!$A:$A,Actuals!T218&amp;Actuals!S218,'Avoided Costs 2009-2017'!$M:$M)*R218</f>
        <v>0</v>
      </c>
      <c r="X218" s="90">
        <f t="shared" si="92"/>
        <v>95753.292583703704</v>
      </c>
      <c r="Y218" s="148">
        <v>25000</v>
      </c>
      <c r="Z218" s="149">
        <f t="shared" si="93"/>
        <v>22000</v>
      </c>
      <c r="AA218" s="148"/>
      <c r="AB218" s="145"/>
      <c r="AC218" s="145"/>
      <c r="AD218" s="148">
        <f t="shared" si="94"/>
        <v>22000</v>
      </c>
      <c r="AE218" s="122">
        <f t="shared" si="95"/>
        <v>73753.292583703704</v>
      </c>
      <c r="AF218" s="167">
        <f t="shared" si="96"/>
        <v>424663.53599999996</v>
      </c>
    </row>
    <row r="219" spans="1:32" s="150" customFormat="1" x14ac:dyDescent="0.2">
      <c r="A219" s="144" t="s">
        <v>1102</v>
      </c>
      <c r="B219" s="144"/>
      <c r="C219" s="144"/>
      <c r="D219" s="145">
        <v>1</v>
      </c>
      <c r="E219" s="122"/>
      <c r="F219" s="146">
        <v>0.12</v>
      </c>
      <c r="G219" s="146"/>
      <c r="H219" s="122">
        <v>235918</v>
      </c>
      <c r="I219" s="122">
        <f t="shared" si="97"/>
        <v>228368.62399999998</v>
      </c>
      <c r="J219" s="147">
        <f t="shared" si="88"/>
        <v>200964.38911999998</v>
      </c>
      <c r="K219" s="122"/>
      <c r="L219" s="122">
        <v>0</v>
      </c>
      <c r="M219" s="122">
        <f t="shared" si="98"/>
        <v>0</v>
      </c>
      <c r="N219" s="122">
        <f t="shared" si="89"/>
        <v>0</v>
      </c>
      <c r="O219" s="122"/>
      <c r="P219" s="122">
        <v>0</v>
      </c>
      <c r="Q219" s="122">
        <f t="shared" si="90"/>
        <v>0</v>
      </c>
      <c r="R219" s="147">
        <f t="shared" si="91"/>
        <v>0</v>
      </c>
      <c r="S219" s="145">
        <v>15</v>
      </c>
      <c r="T219" s="144" t="s">
        <v>213</v>
      </c>
      <c r="U219" s="90">
        <f>SUMIF('Avoided Costs 2009-2017'!$A:$A,Actuals!T219&amp;Actuals!S219,'Avoided Costs 2009-2017'!$E:$E)*J219</f>
        <v>679702.88189445494</v>
      </c>
      <c r="V219" s="90">
        <f>SUMIF('Avoided Costs 2009-2017'!$A:$A,Actuals!T219&amp;Actuals!S219,'Avoided Costs 2009-2017'!$K:$K)*N219</f>
        <v>0</v>
      </c>
      <c r="W219" s="90">
        <f>SUMIF('Avoided Costs 2009-2017'!$A:$A,Actuals!T219&amp;Actuals!S219,'Avoided Costs 2009-2017'!$M:$M)*R219</f>
        <v>0</v>
      </c>
      <c r="X219" s="90">
        <f t="shared" si="92"/>
        <v>679702.88189445494</v>
      </c>
      <c r="Y219" s="148">
        <v>77040</v>
      </c>
      <c r="Z219" s="149">
        <f t="shared" si="93"/>
        <v>67795.199999999997</v>
      </c>
      <c r="AA219" s="148"/>
      <c r="AB219" s="145"/>
      <c r="AC219" s="145"/>
      <c r="AD219" s="148">
        <f t="shared" si="94"/>
        <v>67795.199999999997</v>
      </c>
      <c r="AE219" s="122">
        <f t="shared" si="95"/>
        <v>611907.68189445499</v>
      </c>
      <c r="AF219" s="167">
        <f t="shared" si="96"/>
        <v>3014465.8367999997</v>
      </c>
    </row>
    <row r="220" spans="1:32" s="150" customFormat="1" x14ac:dyDescent="0.2">
      <c r="A220" s="144" t="s">
        <v>1103</v>
      </c>
      <c r="B220" s="144"/>
      <c r="C220" s="144"/>
      <c r="D220" s="145">
        <v>0</v>
      </c>
      <c r="E220" s="122"/>
      <c r="F220" s="146">
        <v>0.12</v>
      </c>
      <c r="G220" s="146"/>
      <c r="H220" s="122">
        <v>73274</v>
      </c>
      <c r="I220" s="122">
        <f t="shared" si="97"/>
        <v>70929.232000000004</v>
      </c>
      <c r="J220" s="147">
        <f t="shared" si="88"/>
        <v>62417.724160000005</v>
      </c>
      <c r="K220" s="122"/>
      <c r="L220" s="122">
        <v>850</v>
      </c>
      <c r="M220" s="122">
        <f t="shared" si="98"/>
        <v>764.15</v>
      </c>
      <c r="N220" s="122">
        <f t="shared" si="89"/>
        <v>672.452</v>
      </c>
      <c r="O220" s="122"/>
      <c r="P220" s="122">
        <v>1492</v>
      </c>
      <c r="Q220" s="122">
        <f t="shared" si="90"/>
        <v>2226.0639999999999</v>
      </c>
      <c r="R220" s="147">
        <f t="shared" si="91"/>
        <v>1958.9363199999998</v>
      </c>
      <c r="S220" s="145">
        <v>15</v>
      </c>
      <c r="T220" s="144" t="s">
        <v>213</v>
      </c>
      <c r="U220" s="90">
        <f>SUMIF('Avoided Costs 2009-2017'!$A:$A,Actuals!T220&amp;Actuals!S220,'Avoided Costs 2009-2017'!$E:$E)*J220</f>
        <v>211109.57607276386</v>
      </c>
      <c r="V220" s="90">
        <f>SUMIF('Avoided Costs 2009-2017'!$A:$A,Actuals!T220&amp;Actuals!S220,'Avoided Costs 2009-2017'!$K:$K)*N220</f>
        <v>502.00705515735035</v>
      </c>
      <c r="W220" s="90">
        <f>SUMIF('Avoided Costs 2009-2017'!$A:$A,Actuals!T220&amp;Actuals!S220,'Avoided Costs 2009-2017'!$M:$M)*R220</f>
        <v>25448.951336825168</v>
      </c>
      <c r="X220" s="90">
        <f t="shared" si="92"/>
        <v>237060.53446474639</v>
      </c>
      <c r="Y220" s="148">
        <v>25832</v>
      </c>
      <c r="Z220" s="149">
        <f t="shared" si="93"/>
        <v>22732.16</v>
      </c>
      <c r="AA220" s="148"/>
      <c r="AB220" s="145"/>
      <c r="AC220" s="145"/>
      <c r="AD220" s="148">
        <f t="shared" si="94"/>
        <v>22732.16</v>
      </c>
      <c r="AE220" s="122">
        <f t="shared" si="95"/>
        <v>214328.37446474639</v>
      </c>
      <c r="AF220" s="167">
        <f t="shared" si="96"/>
        <v>936265.8624000001</v>
      </c>
    </row>
    <row r="221" spans="1:32" s="150" customFormat="1" x14ac:dyDescent="0.2">
      <c r="A221" s="144" t="s">
        <v>1104</v>
      </c>
      <c r="B221" s="144"/>
      <c r="C221" s="144"/>
      <c r="D221" s="145">
        <v>0</v>
      </c>
      <c r="E221" s="122"/>
      <c r="F221" s="146">
        <v>0.12</v>
      </c>
      <c r="G221" s="146"/>
      <c r="H221" s="122">
        <v>11456</v>
      </c>
      <c r="I221" s="122">
        <f t="shared" si="97"/>
        <v>11089.407999999999</v>
      </c>
      <c r="J221" s="147">
        <f t="shared" si="88"/>
        <v>9758.6790399999991</v>
      </c>
      <c r="K221" s="122"/>
      <c r="L221" s="122">
        <v>0</v>
      </c>
      <c r="M221" s="122">
        <f t="shared" si="98"/>
        <v>0</v>
      </c>
      <c r="N221" s="122">
        <f t="shared" si="89"/>
        <v>0</v>
      </c>
      <c r="O221" s="122"/>
      <c r="P221" s="122">
        <v>1492</v>
      </c>
      <c r="Q221" s="122">
        <f t="shared" si="90"/>
        <v>2226.0639999999999</v>
      </c>
      <c r="R221" s="147">
        <f t="shared" si="91"/>
        <v>1958.9363199999998</v>
      </c>
      <c r="S221" s="145">
        <v>25</v>
      </c>
      <c r="T221" s="144" t="s">
        <v>1176</v>
      </c>
      <c r="U221" s="90">
        <f>SUMIF('Avoided Costs 2009-2017'!$A:$A,Actuals!T221&amp;Actuals!S221,'Avoided Costs 2009-2017'!$E:$E)*J221</f>
        <v>38232.556132065765</v>
      </c>
      <c r="V221" s="90">
        <f>SUMIF('Avoided Costs 2009-2017'!$A:$A,Actuals!T221&amp;Actuals!S221,'Avoided Costs 2009-2017'!$K:$K)*N221</f>
        <v>0</v>
      </c>
      <c r="W221" s="90">
        <f>SUMIF('Avoided Costs 2009-2017'!$A:$A,Actuals!T221&amp;Actuals!S221,'Avoided Costs 2009-2017'!$M:$M)*R221</f>
        <v>32619.66311519362</v>
      </c>
      <c r="X221" s="90">
        <f t="shared" si="92"/>
        <v>70852.219247259389</v>
      </c>
      <c r="Y221" s="148">
        <v>28000</v>
      </c>
      <c r="Z221" s="149">
        <f t="shared" si="93"/>
        <v>24640</v>
      </c>
      <c r="AA221" s="148"/>
      <c r="AB221" s="145"/>
      <c r="AC221" s="145"/>
      <c r="AD221" s="148">
        <f t="shared" si="94"/>
        <v>24640</v>
      </c>
      <c r="AE221" s="122">
        <f t="shared" si="95"/>
        <v>46212.219247259389</v>
      </c>
      <c r="AF221" s="167">
        <f t="shared" si="96"/>
        <v>243966.97599999997</v>
      </c>
    </row>
    <row r="222" spans="1:32" s="150" customFormat="1" x14ac:dyDescent="0.2">
      <c r="A222" s="144" t="s">
        <v>1105</v>
      </c>
      <c r="B222" s="144"/>
      <c r="C222" s="144"/>
      <c r="D222" s="145">
        <v>1</v>
      </c>
      <c r="E222" s="122"/>
      <c r="F222" s="146">
        <v>0.12</v>
      </c>
      <c r="G222" s="146"/>
      <c r="H222" s="122">
        <v>26142</v>
      </c>
      <c r="I222" s="122">
        <f t="shared" si="97"/>
        <v>25305.455999999998</v>
      </c>
      <c r="J222" s="147">
        <f t="shared" si="88"/>
        <v>22268.80128</v>
      </c>
      <c r="K222" s="122"/>
      <c r="L222" s="122">
        <v>0</v>
      </c>
      <c r="M222" s="122">
        <f t="shared" si="98"/>
        <v>0</v>
      </c>
      <c r="N222" s="122">
        <f t="shared" si="89"/>
        <v>0</v>
      </c>
      <c r="O222" s="122"/>
      <c r="P222" s="122">
        <v>0</v>
      </c>
      <c r="Q222" s="122">
        <f t="shared" si="90"/>
        <v>0</v>
      </c>
      <c r="R222" s="147">
        <f t="shared" si="91"/>
        <v>0</v>
      </c>
      <c r="S222" s="145">
        <v>25</v>
      </c>
      <c r="T222" s="144" t="s">
        <v>213</v>
      </c>
      <c r="U222" s="90">
        <f>SUMIF('Avoided Costs 2009-2017'!$A:$A,Actuals!T222&amp;Actuals!S222,'Avoided Costs 2009-2017'!$E:$E)*J222</f>
        <v>95873.246718230046</v>
      </c>
      <c r="V222" s="90">
        <f>SUMIF('Avoided Costs 2009-2017'!$A:$A,Actuals!T222&amp;Actuals!S222,'Avoided Costs 2009-2017'!$K:$K)*N222</f>
        <v>0</v>
      </c>
      <c r="W222" s="90">
        <f>SUMIF('Avoided Costs 2009-2017'!$A:$A,Actuals!T222&amp;Actuals!S222,'Avoided Costs 2009-2017'!$M:$M)*R222</f>
        <v>0</v>
      </c>
      <c r="X222" s="90">
        <f t="shared" si="92"/>
        <v>95873.246718230046</v>
      </c>
      <c r="Y222" s="148">
        <v>61000</v>
      </c>
      <c r="Z222" s="149">
        <f t="shared" si="93"/>
        <v>53680</v>
      </c>
      <c r="AA222" s="148"/>
      <c r="AB222" s="145"/>
      <c r="AC222" s="145"/>
      <c r="AD222" s="148">
        <f t="shared" si="94"/>
        <v>53680</v>
      </c>
      <c r="AE222" s="122">
        <f t="shared" si="95"/>
        <v>42193.246718230046</v>
      </c>
      <c r="AF222" s="167">
        <f t="shared" si="96"/>
        <v>556720.03200000001</v>
      </c>
    </row>
    <row r="223" spans="1:32" s="150" customFormat="1" x14ac:dyDescent="0.2">
      <c r="A223" s="144" t="s">
        <v>1106</v>
      </c>
      <c r="B223" s="144"/>
      <c r="C223" s="144"/>
      <c r="D223" s="145">
        <v>0</v>
      </c>
      <c r="E223" s="122"/>
      <c r="F223" s="146">
        <v>0.12</v>
      </c>
      <c r="G223" s="146"/>
      <c r="H223" s="122">
        <v>0</v>
      </c>
      <c r="I223" s="122">
        <f t="shared" si="97"/>
        <v>0</v>
      </c>
      <c r="J223" s="147">
        <f t="shared" si="88"/>
        <v>0</v>
      </c>
      <c r="K223" s="122"/>
      <c r="L223" s="122">
        <v>0</v>
      </c>
      <c r="M223" s="122">
        <f t="shared" si="98"/>
        <v>0</v>
      </c>
      <c r="N223" s="122">
        <f t="shared" si="89"/>
        <v>0</v>
      </c>
      <c r="O223" s="122"/>
      <c r="P223" s="122">
        <v>0</v>
      </c>
      <c r="Q223" s="122">
        <f t="shared" si="90"/>
        <v>0</v>
      </c>
      <c r="R223" s="147">
        <f t="shared" si="91"/>
        <v>0</v>
      </c>
      <c r="S223" s="145">
        <v>1</v>
      </c>
      <c r="T223" s="144" t="s">
        <v>1176</v>
      </c>
      <c r="U223" s="90">
        <f>SUMIF('Avoided Costs 2009-2017'!$A:$A,Actuals!T223&amp;Actuals!S223,'Avoided Costs 2009-2017'!$E:$E)*J223</f>
        <v>0</v>
      </c>
      <c r="V223" s="90">
        <f>SUMIF('Avoided Costs 2009-2017'!$A:$A,Actuals!T223&amp;Actuals!S223,'Avoided Costs 2009-2017'!$K:$K)*N223</f>
        <v>0</v>
      </c>
      <c r="W223" s="90">
        <f>SUMIF('Avoided Costs 2009-2017'!$A:$A,Actuals!T223&amp;Actuals!S223,'Avoided Costs 2009-2017'!$M:$M)*R223</f>
        <v>0</v>
      </c>
      <c r="X223" s="90">
        <f t="shared" si="92"/>
        <v>0</v>
      </c>
      <c r="Y223" s="148">
        <v>0</v>
      </c>
      <c r="Z223" s="149">
        <f t="shared" si="93"/>
        <v>0</v>
      </c>
      <c r="AA223" s="148"/>
      <c r="AB223" s="145"/>
      <c r="AC223" s="145"/>
      <c r="AD223" s="148">
        <f t="shared" si="94"/>
        <v>0</v>
      </c>
      <c r="AE223" s="122">
        <f t="shared" si="95"/>
        <v>0</v>
      </c>
      <c r="AF223" s="167">
        <f t="shared" si="96"/>
        <v>0</v>
      </c>
    </row>
    <row r="224" spans="1:32" s="150" customFormat="1" x14ac:dyDescent="0.2">
      <c r="A224" s="144" t="s">
        <v>1107</v>
      </c>
      <c r="B224" s="144"/>
      <c r="C224" s="144"/>
      <c r="D224" s="145">
        <v>1</v>
      </c>
      <c r="E224" s="122"/>
      <c r="F224" s="146">
        <v>0.12</v>
      </c>
      <c r="G224" s="146"/>
      <c r="H224" s="122">
        <v>265338</v>
      </c>
      <c r="I224" s="122">
        <f t="shared" si="97"/>
        <v>256847.18399999998</v>
      </c>
      <c r="J224" s="147">
        <f t="shared" si="88"/>
        <v>226025.52191999997</v>
      </c>
      <c r="K224" s="122"/>
      <c r="L224" s="122">
        <v>0</v>
      </c>
      <c r="M224" s="122">
        <f t="shared" si="98"/>
        <v>0</v>
      </c>
      <c r="N224" s="122">
        <f t="shared" si="89"/>
        <v>0</v>
      </c>
      <c r="O224" s="122"/>
      <c r="P224" s="122">
        <v>0</v>
      </c>
      <c r="Q224" s="122">
        <f t="shared" si="90"/>
        <v>0</v>
      </c>
      <c r="R224" s="147">
        <f t="shared" si="91"/>
        <v>0</v>
      </c>
      <c r="S224" s="145">
        <v>5</v>
      </c>
      <c r="T224" s="144" t="s">
        <v>213</v>
      </c>
      <c r="U224" s="90">
        <f>SUMIF('Avoided Costs 2009-2017'!$A:$A,Actuals!T224&amp;Actuals!S224,'Avoided Costs 2009-2017'!$E:$E)*J224</f>
        <v>339394.35301957658</v>
      </c>
      <c r="V224" s="90">
        <f>SUMIF('Avoided Costs 2009-2017'!$A:$A,Actuals!T224&amp;Actuals!S224,'Avoided Costs 2009-2017'!$K:$K)*N224</f>
        <v>0</v>
      </c>
      <c r="W224" s="90">
        <f>SUMIF('Avoided Costs 2009-2017'!$A:$A,Actuals!T224&amp;Actuals!S224,'Avoided Costs 2009-2017'!$M:$M)*R224</f>
        <v>0</v>
      </c>
      <c r="X224" s="90">
        <f t="shared" si="92"/>
        <v>339394.35301957658</v>
      </c>
      <c r="Y224" s="148">
        <v>85026</v>
      </c>
      <c r="Z224" s="149">
        <f t="shared" si="93"/>
        <v>74822.880000000005</v>
      </c>
      <c r="AA224" s="148"/>
      <c r="AB224" s="145"/>
      <c r="AC224" s="145"/>
      <c r="AD224" s="148">
        <f t="shared" si="94"/>
        <v>74822.880000000005</v>
      </c>
      <c r="AE224" s="122">
        <f t="shared" si="95"/>
        <v>264571.47301957657</v>
      </c>
      <c r="AF224" s="167">
        <f t="shared" si="96"/>
        <v>1130127.6095999999</v>
      </c>
    </row>
    <row r="225" spans="1:32" s="150" customFormat="1" x14ac:dyDescent="0.2">
      <c r="A225" s="144" t="s">
        <v>1108</v>
      </c>
      <c r="B225" s="144"/>
      <c r="C225" s="144"/>
      <c r="D225" s="145">
        <v>1</v>
      </c>
      <c r="E225" s="122"/>
      <c r="F225" s="146">
        <v>0.12</v>
      </c>
      <c r="G225" s="146"/>
      <c r="H225" s="122">
        <v>457191</v>
      </c>
      <c r="I225" s="122">
        <f t="shared" si="97"/>
        <v>442560.88799999998</v>
      </c>
      <c r="J225" s="147">
        <f t="shared" si="88"/>
        <v>389453.58143999998</v>
      </c>
      <c r="K225" s="122"/>
      <c r="L225" s="122">
        <v>0</v>
      </c>
      <c r="M225" s="122">
        <f t="shared" si="98"/>
        <v>0</v>
      </c>
      <c r="N225" s="122">
        <f t="shared" si="89"/>
        <v>0</v>
      </c>
      <c r="O225" s="122"/>
      <c r="P225" s="122">
        <v>0</v>
      </c>
      <c r="Q225" s="122">
        <f t="shared" si="90"/>
        <v>0</v>
      </c>
      <c r="R225" s="147">
        <f t="shared" si="91"/>
        <v>0</v>
      </c>
      <c r="S225" s="145">
        <v>5</v>
      </c>
      <c r="T225" s="144" t="s">
        <v>213</v>
      </c>
      <c r="U225" s="90">
        <f>SUMIF('Avoided Costs 2009-2017'!$A:$A,Actuals!T225&amp;Actuals!S225,'Avoided Costs 2009-2017'!$E:$E)*J225</f>
        <v>584793.8992958914</v>
      </c>
      <c r="V225" s="90">
        <f>SUMIF('Avoided Costs 2009-2017'!$A:$A,Actuals!T225&amp;Actuals!S225,'Avoided Costs 2009-2017'!$K:$K)*N225</f>
        <v>0</v>
      </c>
      <c r="W225" s="90">
        <f>SUMIF('Avoided Costs 2009-2017'!$A:$A,Actuals!T225&amp;Actuals!S225,'Avoided Costs 2009-2017'!$M:$M)*R225</f>
        <v>0</v>
      </c>
      <c r="X225" s="90">
        <f t="shared" si="92"/>
        <v>584793.8992958914</v>
      </c>
      <c r="Y225" s="148">
        <v>51873</v>
      </c>
      <c r="Z225" s="149">
        <f t="shared" si="93"/>
        <v>45648.24</v>
      </c>
      <c r="AA225" s="148"/>
      <c r="AB225" s="145"/>
      <c r="AC225" s="145"/>
      <c r="AD225" s="148">
        <f t="shared" si="94"/>
        <v>45648.24</v>
      </c>
      <c r="AE225" s="122">
        <f t="shared" si="95"/>
        <v>539145.65929589141</v>
      </c>
      <c r="AF225" s="167">
        <f t="shared" si="96"/>
        <v>1947267.9071999998</v>
      </c>
    </row>
    <row r="226" spans="1:32" s="150" customFormat="1" x14ac:dyDescent="0.2">
      <c r="A226" s="144" t="s">
        <v>1109</v>
      </c>
      <c r="B226" s="144"/>
      <c r="C226" s="144"/>
      <c r="D226" s="145">
        <v>1</v>
      </c>
      <c r="E226" s="122"/>
      <c r="F226" s="146">
        <v>0.12</v>
      </c>
      <c r="G226" s="146"/>
      <c r="H226" s="122">
        <v>98853</v>
      </c>
      <c r="I226" s="122">
        <f t="shared" si="97"/>
        <v>95689.703999999998</v>
      </c>
      <c r="J226" s="147">
        <f t="shared" si="88"/>
        <v>84206.93952</v>
      </c>
      <c r="K226" s="122"/>
      <c r="L226" s="122">
        <v>0</v>
      </c>
      <c r="M226" s="122">
        <f t="shared" si="98"/>
        <v>0</v>
      </c>
      <c r="N226" s="122">
        <f t="shared" si="89"/>
        <v>0</v>
      </c>
      <c r="O226" s="122"/>
      <c r="P226" s="122">
        <v>0</v>
      </c>
      <c r="Q226" s="122">
        <f t="shared" si="90"/>
        <v>0</v>
      </c>
      <c r="R226" s="147">
        <f t="shared" si="91"/>
        <v>0</v>
      </c>
      <c r="S226" s="145">
        <v>5</v>
      </c>
      <c r="T226" s="144" t="s">
        <v>213</v>
      </c>
      <c r="U226" s="90">
        <f>SUMIF('Avoided Costs 2009-2017'!$A:$A,Actuals!T226&amp;Actuals!S226,'Avoided Costs 2009-2017'!$E:$E)*J226</f>
        <v>126443.06499274212</v>
      </c>
      <c r="V226" s="90">
        <f>SUMIF('Avoided Costs 2009-2017'!$A:$A,Actuals!T226&amp;Actuals!S226,'Avoided Costs 2009-2017'!$K:$K)*N226</f>
        <v>0</v>
      </c>
      <c r="W226" s="90">
        <f>SUMIF('Avoided Costs 2009-2017'!$A:$A,Actuals!T226&amp;Actuals!S226,'Avoided Costs 2009-2017'!$M:$M)*R226</f>
        <v>0</v>
      </c>
      <c r="X226" s="90">
        <f t="shared" si="92"/>
        <v>126443.06499274212</v>
      </c>
      <c r="Y226" s="148">
        <v>2000</v>
      </c>
      <c r="Z226" s="149">
        <f t="shared" si="93"/>
        <v>1760</v>
      </c>
      <c r="AA226" s="148"/>
      <c r="AB226" s="145"/>
      <c r="AC226" s="145"/>
      <c r="AD226" s="148">
        <f t="shared" si="94"/>
        <v>1760</v>
      </c>
      <c r="AE226" s="122">
        <f t="shared" si="95"/>
        <v>124683.06499274212</v>
      </c>
      <c r="AF226" s="167">
        <f t="shared" si="96"/>
        <v>421034.69760000001</v>
      </c>
    </row>
    <row r="227" spans="1:32" s="4" customFormat="1" x14ac:dyDescent="0.2">
      <c r="A227" s="152" t="s">
        <v>200</v>
      </c>
      <c r="B227" s="152" t="s">
        <v>511</v>
      </c>
      <c r="C227" s="152"/>
      <c r="D227" s="153">
        <f>SUM(D200:D226)</f>
        <v>21</v>
      </c>
      <c r="E227" s="147"/>
      <c r="F227" s="154"/>
      <c r="G227" s="155"/>
      <c r="H227" s="237">
        <f>SUM(H200:H226)</f>
        <v>5401943</v>
      </c>
      <c r="I227" s="237">
        <f>SUM(I200:I226)</f>
        <v>5143543.2560000001</v>
      </c>
      <c r="J227" s="237">
        <f>SUM(J200:J226)</f>
        <v>4526318.0652799997</v>
      </c>
      <c r="K227" s="147"/>
      <c r="L227" s="237">
        <f>SUM(L200:L226)</f>
        <v>-1103146</v>
      </c>
      <c r="M227" s="237">
        <f>SUM(M200:M226)</f>
        <v>-918204.55399999989</v>
      </c>
      <c r="N227" s="237">
        <f>SUM(N200:N226)</f>
        <v>-808020.00751999998</v>
      </c>
      <c r="O227" s="156"/>
      <c r="P227" s="237">
        <f>SUM(P200:P226)</f>
        <v>11323</v>
      </c>
      <c r="Q227" s="237">
        <f>SUM(Q200:Q226)</f>
        <v>16893.916000000001</v>
      </c>
      <c r="R227" s="237">
        <f>SUM(R200:R226)</f>
        <v>14866.646080000002</v>
      </c>
      <c r="S227" s="153"/>
      <c r="T227" s="152"/>
      <c r="U227" s="238">
        <f>SUM(U200:U226)</f>
        <v>13020063.75173647</v>
      </c>
      <c r="V227" s="238">
        <f>SUM(V200:V226)</f>
        <v>-584827.1509270689</v>
      </c>
      <c r="W227" s="238">
        <f>SUM(W200:W226)</f>
        <v>200306.41954436808</v>
      </c>
      <c r="X227" s="238">
        <f>SUM(X200:X226)</f>
        <v>12635543.02035377</v>
      </c>
      <c r="Y227" s="157"/>
      <c r="Z227" s="238">
        <f>SUM(Z200:Z226)</f>
        <v>1547110.3999999997</v>
      </c>
      <c r="AA227" s="148">
        <v>433135.25</v>
      </c>
      <c r="AB227" s="148">
        <v>26360.36</v>
      </c>
      <c r="AC227" s="149">
        <f>AB227+AA227</f>
        <v>459495.61</v>
      </c>
      <c r="AD227" s="149">
        <f t="shared" si="94"/>
        <v>1573470.7599999998</v>
      </c>
      <c r="AE227" s="158">
        <f t="shared" si="95"/>
        <v>11062072.26035377</v>
      </c>
      <c r="AF227" s="168">
        <f>SUM(AF200:AF226)</f>
        <v>58178994.403200008</v>
      </c>
    </row>
    <row r="228" spans="1:32" x14ac:dyDescent="0.2">
      <c r="A228" s="134"/>
      <c r="J228" s="26"/>
      <c r="K228" s="51"/>
      <c r="L228" s="51"/>
      <c r="O228" s="92"/>
      <c r="P228" s="36"/>
      <c r="R228" s="26"/>
      <c r="S228" s="26"/>
      <c r="Z228" s="53"/>
      <c r="AA228" s="63"/>
      <c r="AC228" s="53"/>
      <c r="AD228" s="53"/>
      <c r="AE228" s="53"/>
      <c r="AF228" s="166"/>
    </row>
    <row r="229" spans="1:32" x14ac:dyDescent="0.2">
      <c r="A229" s="134" t="s">
        <v>957</v>
      </c>
      <c r="B229" s="30" t="s">
        <v>1142</v>
      </c>
      <c r="J229" s="26"/>
      <c r="K229" s="51"/>
      <c r="L229" s="51"/>
      <c r="O229" s="92"/>
      <c r="P229" s="36"/>
      <c r="R229" s="26"/>
      <c r="S229" s="26"/>
      <c r="Z229" s="53"/>
      <c r="AA229" s="63"/>
      <c r="AC229" s="53"/>
      <c r="AD229" s="53"/>
      <c r="AE229" s="53"/>
      <c r="AF229" s="166"/>
    </row>
    <row r="230" spans="1:32" s="150" customFormat="1" x14ac:dyDescent="0.2">
      <c r="A230" s="144" t="s">
        <v>246</v>
      </c>
      <c r="B230" s="144"/>
      <c r="C230" s="144"/>
      <c r="D230" s="145">
        <v>1</v>
      </c>
      <c r="E230" s="122"/>
      <c r="F230" s="146">
        <v>0.12</v>
      </c>
      <c r="G230" s="146"/>
      <c r="H230" s="122">
        <v>52202</v>
      </c>
      <c r="I230" s="122">
        <f t="shared" ref="I230:I246" si="99">+$H$68*H230</f>
        <v>50531.536</v>
      </c>
      <c r="J230" s="147">
        <f t="shared" ref="J230:J247" si="100">I230*(1-F230)</f>
        <v>44467.751680000001</v>
      </c>
      <c r="K230" s="122"/>
      <c r="L230" s="122">
        <v>0</v>
      </c>
      <c r="M230" s="122">
        <f t="shared" ref="M230:M246" si="101">+$L$68*L230</f>
        <v>0</v>
      </c>
      <c r="N230" s="122">
        <f t="shared" ref="N230:N247" si="102">M230*(1-F230)</f>
        <v>0</v>
      </c>
      <c r="O230" s="122"/>
      <c r="P230" s="122">
        <v>0</v>
      </c>
      <c r="Q230" s="122">
        <f t="shared" ref="Q230:Q247" si="103">+P230*$P$68</f>
        <v>0</v>
      </c>
      <c r="R230" s="147">
        <f t="shared" ref="R230:R247" si="104">Q230*(1-F230)</f>
        <v>0</v>
      </c>
      <c r="S230" s="145">
        <v>25</v>
      </c>
      <c r="T230" s="144" t="s">
        <v>1176</v>
      </c>
      <c r="U230" s="90">
        <f>SUMIF('Avoided Costs 2009-2017'!$A:$A,Actuals!T230&amp;Actuals!S230,'Avoided Costs 2009-2017'!$E:$E)*J230</f>
        <v>174215.77297539258</v>
      </c>
      <c r="V230" s="90">
        <f>SUMIF('Avoided Costs 2009-2017'!$A:$A,Actuals!T230&amp;Actuals!S230,'Avoided Costs 2009-2017'!$K:$K)*N230</f>
        <v>0</v>
      </c>
      <c r="W230" s="90">
        <f>SUMIF('Avoided Costs 2009-2017'!$A:$A,Actuals!T230&amp;Actuals!S230,'Avoided Costs 2009-2017'!$M:$M)*R230</f>
        <v>0</v>
      </c>
      <c r="X230" s="90">
        <f t="shared" ref="X230:X247" si="105">SUM(U230:W230)</f>
        <v>174215.77297539258</v>
      </c>
      <c r="Y230" s="148">
        <v>89930</v>
      </c>
      <c r="Z230" s="149">
        <f t="shared" ref="Z230:Z247" si="106">Y230*(1-F230)</f>
        <v>79138.399999999994</v>
      </c>
      <c r="AA230" s="148"/>
      <c r="AB230" s="145"/>
      <c r="AC230" s="145"/>
      <c r="AD230" s="148">
        <f t="shared" ref="AD230:AD248" si="107">Z230+AB230</f>
        <v>79138.399999999994</v>
      </c>
      <c r="AE230" s="122">
        <f t="shared" ref="AE230:AE248" si="108">X230-AD230</f>
        <v>95077.372975392587</v>
      </c>
      <c r="AF230" s="167">
        <f t="shared" ref="AF230:AF247" si="109">J230*S230</f>
        <v>1111693.7920000001</v>
      </c>
    </row>
    <row r="231" spans="1:32" s="150" customFormat="1" x14ac:dyDescent="0.2">
      <c r="A231" s="144" t="s">
        <v>247</v>
      </c>
      <c r="B231" s="144"/>
      <c r="C231" s="144"/>
      <c r="D231" s="145">
        <v>1</v>
      </c>
      <c r="E231" s="122"/>
      <c r="F231" s="146">
        <v>0.12</v>
      </c>
      <c r="G231" s="146"/>
      <c r="H231" s="122">
        <v>26260</v>
      </c>
      <c r="I231" s="122">
        <f t="shared" si="99"/>
        <v>25419.68</v>
      </c>
      <c r="J231" s="147">
        <f t="shared" si="100"/>
        <v>22369.3184</v>
      </c>
      <c r="K231" s="122"/>
      <c r="L231" s="122">
        <v>23524</v>
      </c>
      <c r="M231" s="122">
        <f t="shared" si="101"/>
        <v>21148.076000000001</v>
      </c>
      <c r="N231" s="122">
        <f t="shared" si="102"/>
        <v>18610.30688</v>
      </c>
      <c r="O231" s="122"/>
      <c r="P231" s="122">
        <v>0</v>
      </c>
      <c r="Q231" s="122">
        <f t="shared" si="103"/>
        <v>0</v>
      </c>
      <c r="R231" s="147">
        <f t="shared" si="104"/>
        <v>0</v>
      </c>
      <c r="S231" s="145">
        <v>15</v>
      </c>
      <c r="T231" s="144" t="s">
        <v>213</v>
      </c>
      <c r="U231" s="90">
        <f>SUMIF('Avoided Costs 2009-2017'!$A:$A,Actuals!T231&amp;Actuals!S231,'Avoided Costs 2009-2017'!$E:$E)*J231</f>
        <v>75657.633917498402</v>
      </c>
      <c r="V231" s="90">
        <f>SUMIF('Avoided Costs 2009-2017'!$A:$A,Actuals!T231&amp;Actuals!S231,'Avoided Costs 2009-2017'!$K:$K)*N231</f>
        <v>13893.192900613541</v>
      </c>
      <c r="W231" s="90">
        <f>SUMIF('Avoided Costs 2009-2017'!$A:$A,Actuals!T231&amp;Actuals!S231,'Avoided Costs 2009-2017'!$M:$M)*R231</f>
        <v>0</v>
      </c>
      <c r="X231" s="90">
        <f t="shared" si="105"/>
        <v>89550.826818111949</v>
      </c>
      <c r="Y231" s="148">
        <v>20674</v>
      </c>
      <c r="Z231" s="149">
        <f t="shared" si="106"/>
        <v>18193.12</v>
      </c>
      <c r="AA231" s="148"/>
      <c r="AB231" s="145"/>
      <c r="AC231" s="145"/>
      <c r="AD231" s="148">
        <f t="shared" si="107"/>
        <v>18193.12</v>
      </c>
      <c r="AE231" s="122">
        <f t="shared" si="108"/>
        <v>71357.706818111954</v>
      </c>
      <c r="AF231" s="167">
        <f t="shared" si="109"/>
        <v>335539.77600000001</v>
      </c>
    </row>
    <row r="232" spans="1:32" s="150" customFormat="1" x14ac:dyDescent="0.2">
      <c r="A232" s="144" t="s">
        <v>248</v>
      </c>
      <c r="B232" s="144"/>
      <c r="C232" s="144"/>
      <c r="D232" s="145">
        <v>1</v>
      </c>
      <c r="E232" s="122"/>
      <c r="F232" s="146">
        <v>0.12</v>
      </c>
      <c r="G232" s="146"/>
      <c r="H232" s="122">
        <v>149557</v>
      </c>
      <c r="I232" s="122">
        <f t="shared" si="99"/>
        <v>144771.17600000001</v>
      </c>
      <c r="J232" s="147">
        <f t="shared" si="100"/>
        <v>127398.63488000001</v>
      </c>
      <c r="K232" s="122"/>
      <c r="L232" s="122">
        <v>0</v>
      </c>
      <c r="M232" s="122">
        <f t="shared" si="101"/>
        <v>0</v>
      </c>
      <c r="N232" s="122">
        <f t="shared" si="102"/>
        <v>0</v>
      </c>
      <c r="O232" s="122"/>
      <c r="P232" s="122">
        <v>0</v>
      </c>
      <c r="Q232" s="122">
        <f t="shared" si="103"/>
        <v>0</v>
      </c>
      <c r="R232" s="147">
        <f t="shared" si="104"/>
        <v>0</v>
      </c>
      <c r="S232" s="145">
        <v>11</v>
      </c>
      <c r="T232" s="144" t="s">
        <v>213</v>
      </c>
      <c r="U232" s="90">
        <f>SUMIF('Avoided Costs 2009-2017'!$A:$A,Actuals!T232&amp;Actuals!S232,'Avoided Costs 2009-2017'!$E:$E)*J232</f>
        <v>356549.41523383971</v>
      </c>
      <c r="V232" s="90">
        <f>SUMIF('Avoided Costs 2009-2017'!$A:$A,Actuals!T232&amp;Actuals!S232,'Avoided Costs 2009-2017'!$K:$K)*N232</f>
        <v>0</v>
      </c>
      <c r="W232" s="90">
        <f>SUMIF('Avoided Costs 2009-2017'!$A:$A,Actuals!T232&amp;Actuals!S232,'Avoided Costs 2009-2017'!$M:$M)*R232</f>
        <v>0</v>
      </c>
      <c r="X232" s="90">
        <f t="shared" si="105"/>
        <v>356549.41523383971</v>
      </c>
      <c r="Y232" s="148">
        <v>127108</v>
      </c>
      <c r="Z232" s="149">
        <f t="shared" si="106"/>
        <v>111855.03999999999</v>
      </c>
      <c r="AA232" s="148"/>
      <c r="AB232" s="145"/>
      <c r="AC232" s="145"/>
      <c r="AD232" s="148">
        <f t="shared" si="107"/>
        <v>111855.03999999999</v>
      </c>
      <c r="AE232" s="122">
        <f t="shared" si="108"/>
        <v>244694.37523383973</v>
      </c>
      <c r="AF232" s="167">
        <f t="shared" si="109"/>
        <v>1401384.9836800001</v>
      </c>
    </row>
    <row r="233" spans="1:32" s="150" customFormat="1" x14ac:dyDescent="0.2">
      <c r="A233" s="144" t="s">
        <v>249</v>
      </c>
      <c r="B233" s="144"/>
      <c r="C233" s="144"/>
      <c r="D233" s="145">
        <v>0</v>
      </c>
      <c r="E233" s="122"/>
      <c r="F233" s="146">
        <v>0.12</v>
      </c>
      <c r="G233" s="146"/>
      <c r="H233" s="122">
        <v>117</v>
      </c>
      <c r="I233" s="122">
        <f t="shared" si="99"/>
        <v>113.256</v>
      </c>
      <c r="J233" s="147">
        <f t="shared" si="100"/>
        <v>99.665279999999996</v>
      </c>
      <c r="K233" s="122"/>
      <c r="L233" s="122">
        <v>0</v>
      </c>
      <c r="M233" s="122">
        <f t="shared" si="101"/>
        <v>0</v>
      </c>
      <c r="N233" s="122">
        <f t="shared" si="102"/>
        <v>0</v>
      </c>
      <c r="O233" s="122"/>
      <c r="P233" s="122">
        <v>0</v>
      </c>
      <c r="Q233" s="122">
        <f t="shared" si="103"/>
        <v>0</v>
      </c>
      <c r="R233" s="147">
        <f t="shared" si="104"/>
        <v>0</v>
      </c>
      <c r="S233" s="145">
        <v>15</v>
      </c>
      <c r="T233" s="144" t="s">
        <v>1176</v>
      </c>
      <c r="U233" s="90">
        <f>SUMIF('Avoided Costs 2009-2017'!$A:$A,Actuals!T233&amp;Actuals!S233,'Avoided Costs 2009-2017'!$E:$E)*J233</f>
        <v>307.01768862325474</v>
      </c>
      <c r="V233" s="90">
        <f>SUMIF('Avoided Costs 2009-2017'!$A:$A,Actuals!T233&amp;Actuals!S233,'Avoided Costs 2009-2017'!$K:$K)*N233</f>
        <v>0</v>
      </c>
      <c r="W233" s="90">
        <f>SUMIF('Avoided Costs 2009-2017'!$A:$A,Actuals!T233&amp;Actuals!S233,'Avoided Costs 2009-2017'!$M:$M)*R233</f>
        <v>0</v>
      </c>
      <c r="X233" s="90">
        <f t="shared" si="105"/>
        <v>307.01768862325474</v>
      </c>
      <c r="Y233" s="148">
        <v>0</v>
      </c>
      <c r="Z233" s="149">
        <f t="shared" si="106"/>
        <v>0</v>
      </c>
      <c r="AA233" s="148"/>
      <c r="AB233" s="145"/>
      <c r="AC233" s="145"/>
      <c r="AD233" s="148">
        <f t="shared" si="107"/>
        <v>0</v>
      </c>
      <c r="AE233" s="122">
        <f t="shared" si="108"/>
        <v>307.01768862325474</v>
      </c>
      <c r="AF233" s="167">
        <f t="shared" si="109"/>
        <v>1494.9792</v>
      </c>
    </row>
    <row r="234" spans="1:32" s="150" customFormat="1" x14ac:dyDescent="0.2">
      <c r="A234" s="144" t="s">
        <v>250</v>
      </c>
      <c r="B234" s="144"/>
      <c r="C234" s="144"/>
      <c r="D234" s="145">
        <v>0</v>
      </c>
      <c r="E234" s="122"/>
      <c r="F234" s="146">
        <v>0.12</v>
      </c>
      <c r="G234" s="146"/>
      <c r="H234" s="122">
        <v>36669</v>
      </c>
      <c r="I234" s="122">
        <f t="shared" si="99"/>
        <v>35495.591999999997</v>
      </c>
      <c r="J234" s="147">
        <f t="shared" si="100"/>
        <v>31236.120959999997</v>
      </c>
      <c r="K234" s="122"/>
      <c r="L234" s="122">
        <v>55208</v>
      </c>
      <c r="M234" s="122">
        <f t="shared" si="101"/>
        <v>49631.991999999998</v>
      </c>
      <c r="N234" s="122">
        <f t="shared" si="102"/>
        <v>43676.152959999999</v>
      </c>
      <c r="O234" s="122"/>
      <c r="P234" s="122">
        <v>0</v>
      </c>
      <c r="Q234" s="122">
        <f t="shared" si="103"/>
        <v>0</v>
      </c>
      <c r="R234" s="147">
        <f t="shared" si="104"/>
        <v>0</v>
      </c>
      <c r="S234" s="145">
        <v>15</v>
      </c>
      <c r="T234" s="144" t="s">
        <v>213</v>
      </c>
      <c r="U234" s="90">
        <f>SUMIF('Avoided Costs 2009-2017'!$A:$A,Actuals!T234&amp;Actuals!S234,'Avoided Costs 2009-2017'!$E:$E)*J234</f>
        <v>105646.98317291503</v>
      </c>
      <c r="V234" s="90">
        <f>SUMIF('Avoided Costs 2009-2017'!$A:$A,Actuals!T234&amp;Actuals!S234,'Avoided Costs 2009-2017'!$K:$K)*N234</f>
        <v>32605.653530737643</v>
      </c>
      <c r="W234" s="90">
        <f>SUMIF('Avoided Costs 2009-2017'!$A:$A,Actuals!T234&amp;Actuals!S234,'Avoided Costs 2009-2017'!$M:$M)*R234</f>
        <v>0</v>
      </c>
      <c r="X234" s="90">
        <f t="shared" si="105"/>
        <v>138252.63670365268</v>
      </c>
      <c r="Y234" s="148">
        <v>36000</v>
      </c>
      <c r="Z234" s="149">
        <f t="shared" si="106"/>
        <v>31680</v>
      </c>
      <c r="AA234" s="148"/>
      <c r="AB234" s="145"/>
      <c r="AC234" s="145"/>
      <c r="AD234" s="148">
        <f t="shared" si="107"/>
        <v>31680</v>
      </c>
      <c r="AE234" s="122">
        <f t="shared" si="108"/>
        <v>106572.63670365268</v>
      </c>
      <c r="AF234" s="167">
        <f t="shared" si="109"/>
        <v>468541.81439999997</v>
      </c>
    </row>
    <row r="235" spans="1:32" s="150" customFormat="1" x14ac:dyDescent="0.2">
      <c r="A235" s="144" t="s">
        <v>251</v>
      </c>
      <c r="B235" s="144"/>
      <c r="C235" s="144"/>
      <c r="D235" s="145">
        <v>1</v>
      </c>
      <c r="E235" s="122"/>
      <c r="F235" s="146">
        <v>0.12</v>
      </c>
      <c r="G235" s="146"/>
      <c r="H235" s="122">
        <v>62</v>
      </c>
      <c r="I235" s="122">
        <f t="shared" si="99"/>
        <v>60.015999999999998</v>
      </c>
      <c r="J235" s="147">
        <f t="shared" si="100"/>
        <v>52.814079999999997</v>
      </c>
      <c r="K235" s="122"/>
      <c r="L235" s="122">
        <v>0</v>
      </c>
      <c r="M235" s="122">
        <f t="shared" si="101"/>
        <v>0</v>
      </c>
      <c r="N235" s="122">
        <f t="shared" si="102"/>
        <v>0</v>
      </c>
      <c r="O235" s="122"/>
      <c r="P235" s="122">
        <v>0</v>
      </c>
      <c r="Q235" s="122">
        <f t="shared" si="103"/>
        <v>0</v>
      </c>
      <c r="R235" s="147">
        <f t="shared" si="104"/>
        <v>0</v>
      </c>
      <c r="S235" s="145">
        <v>15</v>
      </c>
      <c r="T235" s="144" t="s">
        <v>213</v>
      </c>
      <c r="U235" s="90">
        <f>SUMIF('Avoided Costs 2009-2017'!$A:$A,Actuals!T235&amp;Actuals!S235,'Avoided Costs 2009-2017'!$E:$E)*J235</f>
        <v>178.62807703293606</v>
      </c>
      <c r="V235" s="90">
        <f>SUMIF('Avoided Costs 2009-2017'!$A:$A,Actuals!T235&amp;Actuals!S235,'Avoided Costs 2009-2017'!$K:$K)*N235</f>
        <v>0</v>
      </c>
      <c r="W235" s="90">
        <f>SUMIF('Avoided Costs 2009-2017'!$A:$A,Actuals!T235&amp;Actuals!S235,'Avoided Costs 2009-2017'!$M:$M)*R235</f>
        <v>0</v>
      </c>
      <c r="X235" s="90">
        <f t="shared" si="105"/>
        <v>178.62807703293606</v>
      </c>
      <c r="Y235" s="148">
        <v>0</v>
      </c>
      <c r="Z235" s="149">
        <f t="shared" si="106"/>
        <v>0</v>
      </c>
      <c r="AA235" s="148"/>
      <c r="AB235" s="145"/>
      <c r="AC235" s="145"/>
      <c r="AD235" s="148">
        <f t="shared" si="107"/>
        <v>0</v>
      </c>
      <c r="AE235" s="122">
        <f t="shared" si="108"/>
        <v>178.62807703293606</v>
      </c>
      <c r="AF235" s="167">
        <f t="shared" si="109"/>
        <v>792.21119999999996</v>
      </c>
    </row>
    <row r="236" spans="1:32" s="150" customFormat="1" x14ac:dyDescent="0.2">
      <c r="A236" s="144" t="s">
        <v>252</v>
      </c>
      <c r="B236" s="144"/>
      <c r="C236" s="144"/>
      <c r="D236" s="145">
        <v>1</v>
      </c>
      <c r="E236" s="122"/>
      <c r="F236" s="146">
        <v>0.12</v>
      </c>
      <c r="G236" s="146"/>
      <c r="H236" s="122">
        <v>52124</v>
      </c>
      <c r="I236" s="122">
        <f t="shared" si="99"/>
        <v>50456.031999999999</v>
      </c>
      <c r="J236" s="147">
        <f t="shared" si="100"/>
        <v>44401.30816</v>
      </c>
      <c r="K236" s="122"/>
      <c r="L236" s="122">
        <v>58816</v>
      </c>
      <c r="M236" s="122">
        <f t="shared" si="101"/>
        <v>52875.584000000003</v>
      </c>
      <c r="N236" s="122">
        <f t="shared" si="102"/>
        <v>46530.513920000005</v>
      </c>
      <c r="O236" s="122"/>
      <c r="P236" s="122">
        <v>0</v>
      </c>
      <c r="Q236" s="122">
        <f t="shared" si="103"/>
        <v>0</v>
      </c>
      <c r="R236" s="147">
        <f t="shared" si="104"/>
        <v>0</v>
      </c>
      <c r="S236" s="145">
        <v>15</v>
      </c>
      <c r="T236" s="144" t="s">
        <v>213</v>
      </c>
      <c r="U236" s="90">
        <f>SUMIF('Avoided Costs 2009-2017'!$A:$A,Actuals!T236&amp;Actuals!S236,'Avoided Costs 2009-2017'!$E:$E)*J236</f>
        <v>150174.35302039934</v>
      </c>
      <c r="V236" s="90">
        <f>SUMIF('Avoided Costs 2009-2017'!$A:$A,Actuals!T236&amp;Actuals!S236,'Avoided Costs 2009-2017'!$K:$K)*N236</f>
        <v>34736.52583074673</v>
      </c>
      <c r="W236" s="90">
        <f>SUMIF('Avoided Costs 2009-2017'!$A:$A,Actuals!T236&amp;Actuals!S236,'Avoided Costs 2009-2017'!$M:$M)*R236</f>
        <v>0</v>
      </c>
      <c r="X236" s="90">
        <f t="shared" si="105"/>
        <v>184910.87885114609</v>
      </c>
      <c r="Y236" s="148">
        <v>24000</v>
      </c>
      <c r="Z236" s="149">
        <f t="shared" si="106"/>
        <v>21120</v>
      </c>
      <c r="AA236" s="148"/>
      <c r="AB236" s="145"/>
      <c r="AC236" s="145"/>
      <c r="AD236" s="148">
        <f t="shared" si="107"/>
        <v>21120</v>
      </c>
      <c r="AE236" s="122">
        <f t="shared" si="108"/>
        <v>163790.87885114609</v>
      </c>
      <c r="AF236" s="167">
        <f t="shared" si="109"/>
        <v>666019.62239999999</v>
      </c>
    </row>
    <row r="237" spans="1:32" s="150" customFormat="1" x14ac:dyDescent="0.2">
      <c r="A237" s="144" t="s">
        <v>253</v>
      </c>
      <c r="B237" s="144"/>
      <c r="C237" s="144"/>
      <c r="D237" s="145">
        <v>1</v>
      </c>
      <c r="E237" s="122"/>
      <c r="F237" s="146">
        <v>0.12</v>
      </c>
      <c r="G237" s="146"/>
      <c r="H237" s="122">
        <v>55774</v>
      </c>
      <c r="I237" s="122">
        <f t="shared" si="99"/>
        <v>53989.231999999996</v>
      </c>
      <c r="J237" s="147">
        <f t="shared" si="100"/>
        <v>47510.524159999994</v>
      </c>
      <c r="K237" s="122"/>
      <c r="L237" s="122">
        <v>82340</v>
      </c>
      <c r="M237" s="122">
        <f t="shared" si="101"/>
        <v>74023.66</v>
      </c>
      <c r="N237" s="122">
        <f t="shared" si="102"/>
        <v>65140.820800000001</v>
      </c>
      <c r="O237" s="122"/>
      <c r="P237" s="122">
        <v>0</v>
      </c>
      <c r="Q237" s="122">
        <f t="shared" si="103"/>
        <v>0</v>
      </c>
      <c r="R237" s="147">
        <f t="shared" si="104"/>
        <v>0</v>
      </c>
      <c r="S237" s="145">
        <v>15</v>
      </c>
      <c r="T237" s="144" t="s">
        <v>213</v>
      </c>
      <c r="U237" s="90">
        <f>SUMIF('Avoided Costs 2009-2017'!$A:$A,Actuals!T237&amp;Actuals!S237,'Avoided Costs 2009-2017'!$E:$E)*J237</f>
        <v>160690.36078120928</v>
      </c>
      <c r="V237" s="90">
        <f>SUMIF('Avoided Costs 2009-2017'!$A:$A,Actuals!T237&amp;Actuals!S237,'Avoided Costs 2009-2017'!$K:$K)*N237</f>
        <v>48629.71873136027</v>
      </c>
      <c r="W237" s="90">
        <f>SUMIF('Avoided Costs 2009-2017'!$A:$A,Actuals!T237&amp;Actuals!S237,'Avoided Costs 2009-2017'!$M:$M)*R237</f>
        <v>0</v>
      </c>
      <c r="X237" s="90">
        <f t="shared" si="105"/>
        <v>209320.07951256956</v>
      </c>
      <c r="Y237" s="148">
        <v>96379</v>
      </c>
      <c r="Z237" s="149">
        <f t="shared" si="106"/>
        <v>84813.52</v>
      </c>
      <c r="AA237" s="148"/>
      <c r="AB237" s="145"/>
      <c r="AC237" s="145"/>
      <c r="AD237" s="148">
        <f t="shared" si="107"/>
        <v>84813.52</v>
      </c>
      <c r="AE237" s="122">
        <f t="shared" si="108"/>
        <v>124506.55951256955</v>
      </c>
      <c r="AF237" s="167">
        <f t="shared" si="109"/>
        <v>712657.86239999987</v>
      </c>
    </row>
    <row r="238" spans="1:32" s="150" customFormat="1" x14ac:dyDescent="0.2">
      <c r="A238" s="144" t="s">
        <v>254</v>
      </c>
      <c r="B238" s="144"/>
      <c r="C238" s="144"/>
      <c r="D238" s="145">
        <v>1</v>
      </c>
      <c r="E238" s="122"/>
      <c r="F238" s="146">
        <v>0.12</v>
      </c>
      <c r="G238" s="146"/>
      <c r="H238" s="122">
        <v>20836</v>
      </c>
      <c r="I238" s="122">
        <f t="shared" si="99"/>
        <v>20169.248</v>
      </c>
      <c r="J238" s="147">
        <f t="shared" si="100"/>
        <v>17748.938239999999</v>
      </c>
      <c r="K238" s="122"/>
      <c r="L238" s="122">
        <v>76756</v>
      </c>
      <c r="M238" s="122">
        <f t="shared" si="101"/>
        <v>69003.644</v>
      </c>
      <c r="N238" s="122">
        <f t="shared" si="102"/>
        <v>60723.206720000002</v>
      </c>
      <c r="O238" s="122"/>
      <c r="P238" s="122">
        <v>0</v>
      </c>
      <c r="Q238" s="122">
        <f t="shared" si="103"/>
        <v>0</v>
      </c>
      <c r="R238" s="147">
        <f t="shared" si="104"/>
        <v>0</v>
      </c>
      <c r="S238" s="145">
        <v>15</v>
      </c>
      <c r="T238" s="144" t="s">
        <v>213</v>
      </c>
      <c r="U238" s="90">
        <f>SUMIF('Avoided Costs 2009-2017'!$A:$A,Actuals!T238&amp;Actuals!S238,'Avoided Costs 2009-2017'!$E:$E)*J238</f>
        <v>60030.558275133153</v>
      </c>
      <c r="V238" s="90">
        <f>SUMIF('Avoided Costs 2009-2017'!$A:$A,Actuals!T238&amp;Actuals!S238,'Avoided Costs 2009-2017'!$K:$K)*N238</f>
        <v>45331.827677244219</v>
      </c>
      <c r="W238" s="90">
        <f>SUMIF('Avoided Costs 2009-2017'!$A:$A,Actuals!T238&amp;Actuals!S238,'Avoided Costs 2009-2017'!$M:$M)*R238</f>
        <v>0</v>
      </c>
      <c r="X238" s="90">
        <f t="shared" si="105"/>
        <v>105362.38595237737</v>
      </c>
      <c r="Y238" s="148">
        <v>51425</v>
      </c>
      <c r="Z238" s="149">
        <f t="shared" si="106"/>
        <v>45254</v>
      </c>
      <c r="AA238" s="148"/>
      <c r="AB238" s="145"/>
      <c r="AC238" s="145"/>
      <c r="AD238" s="148">
        <f t="shared" si="107"/>
        <v>45254</v>
      </c>
      <c r="AE238" s="122">
        <f t="shared" si="108"/>
        <v>60108.385952377372</v>
      </c>
      <c r="AF238" s="167">
        <f t="shared" si="109"/>
        <v>266234.0736</v>
      </c>
    </row>
    <row r="239" spans="1:32" s="150" customFormat="1" x14ac:dyDescent="0.2">
      <c r="A239" s="144" t="s">
        <v>255</v>
      </c>
      <c r="B239" s="144"/>
      <c r="C239" s="144"/>
      <c r="D239" s="145">
        <v>1</v>
      </c>
      <c r="E239" s="122"/>
      <c r="F239" s="146">
        <v>0.12</v>
      </c>
      <c r="G239" s="146"/>
      <c r="H239" s="122">
        <v>13032</v>
      </c>
      <c r="I239" s="122">
        <f t="shared" si="99"/>
        <v>12614.975999999999</v>
      </c>
      <c r="J239" s="147">
        <f t="shared" si="100"/>
        <v>11101.178879999999</v>
      </c>
      <c r="K239" s="122"/>
      <c r="L239" s="122">
        <v>8822</v>
      </c>
      <c r="M239" s="122">
        <f t="shared" si="101"/>
        <v>7930.9780000000001</v>
      </c>
      <c r="N239" s="122">
        <f t="shared" si="102"/>
        <v>6979.2606400000004</v>
      </c>
      <c r="O239" s="122"/>
      <c r="P239" s="122">
        <v>0</v>
      </c>
      <c r="Q239" s="122">
        <f t="shared" si="103"/>
        <v>0</v>
      </c>
      <c r="R239" s="147">
        <f t="shared" si="104"/>
        <v>0</v>
      </c>
      <c r="S239" s="145">
        <v>15</v>
      </c>
      <c r="T239" s="144" t="s">
        <v>213</v>
      </c>
      <c r="U239" s="90">
        <f>SUMIF('Avoided Costs 2009-2017'!$A:$A,Actuals!T239&amp;Actuals!S239,'Avoided Costs 2009-2017'!$E:$E)*J239</f>
        <v>37546.469353116496</v>
      </c>
      <c r="V239" s="90">
        <f>SUMIF('Avoided Costs 2009-2017'!$A:$A,Actuals!T239&amp;Actuals!S239,'Avoided Costs 2009-2017'!$K:$K)*N239</f>
        <v>5210.2426359978181</v>
      </c>
      <c r="W239" s="90">
        <f>SUMIF('Avoided Costs 2009-2017'!$A:$A,Actuals!T239&amp;Actuals!S239,'Avoided Costs 2009-2017'!$M:$M)*R239</f>
        <v>0</v>
      </c>
      <c r="X239" s="90">
        <f t="shared" si="105"/>
        <v>42756.711989114316</v>
      </c>
      <c r="Y239" s="148">
        <v>18981</v>
      </c>
      <c r="Z239" s="149">
        <f t="shared" si="106"/>
        <v>16703.28</v>
      </c>
      <c r="AA239" s="148"/>
      <c r="AB239" s="145"/>
      <c r="AC239" s="145"/>
      <c r="AD239" s="148">
        <f t="shared" si="107"/>
        <v>16703.28</v>
      </c>
      <c r="AE239" s="122">
        <f t="shared" si="108"/>
        <v>26053.431989114317</v>
      </c>
      <c r="AF239" s="167">
        <f t="shared" si="109"/>
        <v>166517.6832</v>
      </c>
    </row>
    <row r="240" spans="1:32" s="150" customFormat="1" x14ac:dyDescent="0.2">
      <c r="A240" s="144" t="s">
        <v>256</v>
      </c>
      <c r="B240" s="144"/>
      <c r="C240" s="144"/>
      <c r="D240" s="145">
        <v>0</v>
      </c>
      <c r="E240" s="122"/>
      <c r="F240" s="146">
        <v>0.12</v>
      </c>
      <c r="G240" s="146"/>
      <c r="H240" s="122">
        <v>17055</v>
      </c>
      <c r="I240" s="122">
        <f t="shared" si="99"/>
        <v>16509.239999999998</v>
      </c>
      <c r="J240" s="147">
        <f t="shared" si="100"/>
        <v>14528.131199999998</v>
      </c>
      <c r="K240" s="122"/>
      <c r="L240" s="122">
        <v>0</v>
      </c>
      <c r="M240" s="122">
        <f t="shared" si="101"/>
        <v>0</v>
      </c>
      <c r="N240" s="122">
        <f t="shared" si="102"/>
        <v>0</v>
      </c>
      <c r="O240" s="122"/>
      <c r="P240" s="122">
        <v>0</v>
      </c>
      <c r="Q240" s="122">
        <f t="shared" si="103"/>
        <v>0</v>
      </c>
      <c r="R240" s="147">
        <f t="shared" si="104"/>
        <v>0</v>
      </c>
      <c r="S240" s="145">
        <v>8</v>
      </c>
      <c r="T240" s="144" t="s">
        <v>1176</v>
      </c>
      <c r="U240" s="90">
        <f>SUMIF('Avoided Costs 2009-2017'!$A:$A,Actuals!T240&amp;Actuals!S240,'Avoided Costs 2009-2017'!$E:$E)*J240</f>
        <v>29765.285750083895</v>
      </c>
      <c r="V240" s="90">
        <f>SUMIF('Avoided Costs 2009-2017'!$A:$A,Actuals!T240&amp;Actuals!S240,'Avoided Costs 2009-2017'!$K:$K)*N240</f>
        <v>0</v>
      </c>
      <c r="W240" s="90">
        <f>SUMIF('Avoided Costs 2009-2017'!$A:$A,Actuals!T240&amp;Actuals!S240,'Avoided Costs 2009-2017'!$M:$M)*R240</f>
        <v>0</v>
      </c>
      <c r="X240" s="90">
        <f t="shared" si="105"/>
        <v>29765.285750083895</v>
      </c>
      <c r="Y240" s="148">
        <v>10600</v>
      </c>
      <c r="Z240" s="149">
        <f t="shared" si="106"/>
        <v>9328</v>
      </c>
      <c r="AA240" s="148"/>
      <c r="AB240" s="145"/>
      <c r="AC240" s="145"/>
      <c r="AD240" s="148">
        <f t="shared" si="107"/>
        <v>9328</v>
      </c>
      <c r="AE240" s="122">
        <f t="shared" si="108"/>
        <v>20437.285750083895</v>
      </c>
      <c r="AF240" s="167">
        <f t="shared" si="109"/>
        <v>116225.04959999998</v>
      </c>
    </row>
    <row r="241" spans="1:32" s="150" customFormat="1" x14ac:dyDescent="0.2">
      <c r="A241" s="144" t="s">
        <v>257</v>
      </c>
      <c r="B241" s="144"/>
      <c r="C241" s="144"/>
      <c r="D241" s="145">
        <v>1</v>
      </c>
      <c r="E241" s="122"/>
      <c r="F241" s="146">
        <v>0.12</v>
      </c>
      <c r="G241" s="146"/>
      <c r="H241" s="122">
        <v>94773</v>
      </c>
      <c r="I241" s="122">
        <f t="shared" si="99"/>
        <v>91740.263999999996</v>
      </c>
      <c r="J241" s="147">
        <f t="shared" si="100"/>
        <v>80731.432319999993</v>
      </c>
      <c r="K241" s="122"/>
      <c r="L241" s="122">
        <v>0</v>
      </c>
      <c r="M241" s="122">
        <f t="shared" si="101"/>
        <v>0</v>
      </c>
      <c r="N241" s="122">
        <f t="shared" si="102"/>
        <v>0</v>
      </c>
      <c r="O241" s="122"/>
      <c r="P241" s="122">
        <v>0</v>
      </c>
      <c r="Q241" s="122">
        <f t="shared" si="103"/>
        <v>0</v>
      </c>
      <c r="R241" s="147">
        <f t="shared" si="104"/>
        <v>0</v>
      </c>
      <c r="S241" s="145">
        <v>11</v>
      </c>
      <c r="T241" s="144" t="s">
        <v>213</v>
      </c>
      <c r="U241" s="90">
        <f>SUMIF('Avoided Costs 2009-2017'!$A:$A,Actuals!T241&amp;Actuals!S241,'Avoided Costs 2009-2017'!$E:$E)*J241</f>
        <v>225942.33456111507</v>
      </c>
      <c r="V241" s="90">
        <f>SUMIF('Avoided Costs 2009-2017'!$A:$A,Actuals!T241&amp;Actuals!S241,'Avoided Costs 2009-2017'!$K:$K)*N241</f>
        <v>0</v>
      </c>
      <c r="W241" s="90">
        <f>SUMIF('Avoided Costs 2009-2017'!$A:$A,Actuals!T241&amp;Actuals!S241,'Avoided Costs 2009-2017'!$M:$M)*R241</f>
        <v>0</v>
      </c>
      <c r="X241" s="90">
        <f t="shared" si="105"/>
        <v>225942.33456111507</v>
      </c>
      <c r="Y241" s="148">
        <v>36865</v>
      </c>
      <c r="Z241" s="149">
        <f t="shared" si="106"/>
        <v>32441.200000000001</v>
      </c>
      <c r="AA241" s="148"/>
      <c r="AB241" s="145"/>
      <c r="AC241" s="145"/>
      <c r="AD241" s="148">
        <f t="shared" si="107"/>
        <v>32441.200000000001</v>
      </c>
      <c r="AE241" s="122">
        <f t="shared" si="108"/>
        <v>193501.13456111506</v>
      </c>
      <c r="AF241" s="167">
        <f t="shared" si="109"/>
        <v>888045.75551999989</v>
      </c>
    </row>
    <row r="242" spans="1:32" s="150" customFormat="1" x14ac:dyDescent="0.2">
      <c r="A242" s="144" t="s">
        <v>258</v>
      </c>
      <c r="B242" s="144"/>
      <c r="C242" s="144"/>
      <c r="D242" s="145">
        <v>1</v>
      </c>
      <c r="E242" s="122"/>
      <c r="F242" s="146">
        <v>0.12</v>
      </c>
      <c r="G242" s="146"/>
      <c r="H242" s="122">
        <v>14232</v>
      </c>
      <c r="I242" s="122">
        <f t="shared" si="99"/>
        <v>13776.575999999999</v>
      </c>
      <c r="J242" s="147">
        <f t="shared" si="100"/>
        <v>12123.38688</v>
      </c>
      <c r="K242" s="122"/>
      <c r="L242" s="122">
        <v>20170</v>
      </c>
      <c r="M242" s="122">
        <f t="shared" si="101"/>
        <v>18132.830000000002</v>
      </c>
      <c r="N242" s="122">
        <f t="shared" si="102"/>
        <v>15956.890400000002</v>
      </c>
      <c r="O242" s="122"/>
      <c r="P242" s="122">
        <v>0</v>
      </c>
      <c r="Q242" s="122">
        <f t="shared" si="103"/>
        <v>0</v>
      </c>
      <c r="R242" s="147">
        <f t="shared" si="104"/>
        <v>0</v>
      </c>
      <c r="S242" s="145">
        <v>15</v>
      </c>
      <c r="T242" s="144" t="s">
        <v>213</v>
      </c>
      <c r="U242" s="90">
        <f>SUMIF('Avoided Costs 2009-2017'!$A:$A,Actuals!T242&amp;Actuals!S242,'Avoided Costs 2009-2017'!$E:$E)*J242</f>
        <v>41003.786973108807</v>
      </c>
      <c r="V242" s="90">
        <f>SUMIF('Avoided Costs 2009-2017'!$A:$A,Actuals!T242&amp;Actuals!S242,'Avoided Costs 2009-2017'!$K:$K)*N242</f>
        <v>11912.332120616185</v>
      </c>
      <c r="W242" s="90">
        <f>SUMIF('Avoided Costs 2009-2017'!$A:$A,Actuals!T242&amp;Actuals!S242,'Avoided Costs 2009-2017'!$M:$M)*R242</f>
        <v>0</v>
      </c>
      <c r="X242" s="90">
        <f t="shared" si="105"/>
        <v>52916.119093724992</v>
      </c>
      <c r="Y242" s="148">
        <v>5460</v>
      </c>
      <c r="Z242" s="149">
        <f t="shared" si="106"/>
        <v>4804.8</v>
      </c>
      <c r="AA242" s="148"/>
      <c r="AB242" s="145"/>
      <c r="AC242" s="145"/>
      <c r="AD242" s="148">
        <f t="shared" si="107"/>
        <v>4804.8</v>
      </c>
      <c r="AE242" s="122">
        <f t="shared" si="108"/>
        <v>48111.319093724989</v>
      </c>
      <c r="AF242" s="167">
        <f t="shared" si="109"/>
        <v>181850.80319999999</v>
      </c>
    </row>
    <row r="243" spans="1:32" s="150" customFormat="1" x14ac:dyDescent="0.2">
      <c r="A243" s="144" t="s">
        <v>259</v>
      </c>
      <c r="B243" s="144"/>
      <c r="C243" s="144"/>
      <c r="D243" s="145">
        <v>1</v>
      </c>
      <c r="E243" s="122"/>
      <c r="F243" s="146">
        <v>0.12</v>
      </c>
      <c r="G243" s="146"/>
      <c r="H243" s="122">
        <v>60144</v>
      </c>
      <c r="I243" s="122">
        <f t="shared" si="99"/>
        <v>58219.392</v>
      </c>
      <c r="J243" s="147">
        <f t="shared" si="100"/>
        <v>51233.064960000003</v>
      </c>
      <c r="K243" s="122"/>
      <c r="L243" s="122">
        <v>0</v>
      </c>
      <c r="M243" s="122">
        <f t="shared" si="101"/>
        <v>0</v>
      </c>
      <c r="N243" s="122">
        <f t="shared" si="102"/>
        <v>0</v>
      </c>
      <c r="O243" s="122"/>
      <c r="P243" s="122">
        <v>0</v>
      </c>
      <c r="Q243" s="122">
        <f t="shared" si="103"/>
        <v>0</v>
      </c>
      <c r="R243" s="147">
        <f t="shared" si="104"/>
        <v>0</v>
      </c>
      <c r="S243" s="145">
        <v>11</v>
      </c>
      <c r="T243" s="144" t="s">
        <v>213</v>
      </c>
      <c r="U243" s="90">
        <f>SUMIF('Avoided Costs 2009-2017'!$A:$A,Actuals!T243&amp;Actuals!S243,'Avoided Costs 2009-2017'!$E:$E)*J243</f>
        <v>143385.5187642441</v>
      </c>
      <c r="V243" s="90">
        <f>SUMIF('Avoided Costs 2009-2017'!$A:$A,Actuals!T243&amp;Actuals!S243,'Avoided Costs 2009-2017'!$K:$K)*N243</f>
        <v>0</v>
      </c>
      <c r="W243" s="90">
        <f>SUMIF('Avoided Costs 2009-2017'!$A:$A,Actuals!T243&amp;Actuals!S243,'Avoided Costs 2009-2017'!$M:$M)*R243</f>
        <v>0</v>
      </c>
      <c r="X243" s="90">
        <f t="shared" si="105"/>
        <v>143385.5187642441</v>
      </c>
      <c r="Y243" s="148">
        <v>31191</v>
      </c>
      <c r="Z243" s="149">
        <f t="shared" si="106"/>
        <v>27448.080000000002</v>
      </c>
      <c r="AA243" s="148"/>
      <c r="AB243" s="145"/>
      <c r="AC243" s="145"/>
      <c r="AD243" s="148">
        <f t="shared" si="107"/>
        <v>27448.080000000002</v>
      </c>
      <c r="AE243" s="122">
        <f t="shared" si="108"/>
        <v>115937.4387642441</v>
      </c>
      <c r="AF243" s="167">
        <f t="shared" si="109"/>
        <v>563563.71455999999</v>
      </c>
    </row>
    <row r="244" spans="1:32" s="150" customFormat="1" x14ac:dyDescent="0.2">
      <c r="A244" s="144" t="s">
        <v>260</v>
      </c>
      <c r="B244" s="144"/>
      <c r="C244" s="144"/>
      <c r="D244" s="145">
        <v>1</v>
      </c>
      <c r="E244" s="122"/>
      <c r="F244" s="146">
        <v>0.12</v>
      </c>
      <c r="G244" s="146"/>
      <c r="H244" s="122">
        <v>7228</v>
      </c>
      <c r="I244" s="122">
        <f t="shared" si="99"/>
        <v>6996.7039999999997</v>
      </c>
      <c r="J244" s="147">
        <f t="shared" si="100"/>
        <v>6157.0995199999998</v>
      </c>
      <c r="K244" s="122"/>
      <c r="L244" s="122">
        <v>8822</v>
      </c>
      <c r="M244" s="122">
        <f t="shared" si="101"/>
        <v>7930.9780000000001</v>
      </c>
      <c r="N244" s="122">
        <f t="shared" si="102"/>
        <v>6979.2606400000004</v>
      </c>
      <c r="O244" s="122"/>
      <c r="P244" s="122">
        <v>0</v>
      </c>
      <c r="Q244" s="122">
        <f t="shared" si="103"/>
        <v>0</v>
      </c>
      <c r="R244" s="147">
        <f t="shared" si="104"/>
        <v>0</v>
      </c>
      <c r="S244" s="145">
        <v>15</v>
      </c>
      <c r="T244" s="144" t="s">
        <v>213</v>
      </c>
      <c r="U244" s="90">
        <f>SUMIF('Avoided Costs 2009-2017'!$A:$A,Actuals!T244&amp;Actuals!S244,'Avoided Costs 2009-2017'!$E:$E)*J244</f>
        <v>20824.576464420352</v>
      </c>
      <c r="V244" s="90">
        <f>SUMIF('Avoided Costs 2009-2017'!$A:$A,Actuals!T244&amp;Actuals!S244,'Avoided Costs 2009-2017'!$K:$K)*N244</f>
        <v>5210.2426359978181</v>
      </c>
      <c r="W244" s="90">
        <f>SUMIF('Avoided Costs 2009-2017'!$A:$A,Actuals!T244&amp;Actuals!S244,'Avoided Costs 2009-2017'!$M:$M)*R244</f>
        <v>0</v>
      </c>
      <c r="X244" s="90">
        <f t="shared" si="105"/>
        <v>26034.819100418172</v>
      </c>
      <c r="Y244" s="148">
        <v>9689</v>
      </c>
      <c r="Z244" s="149">
        <f t="shared" si="106"/>
        <v>8526.32</v>
      </c>
      <c r="AA244" s="148"/>
      <c r="AB244" s="145"/>
      <c r="AC244" s="145"/>
      <c r="AD244" s="148">
        <f t="shared" si="107"/>
        <v>8526.32</v>
      </c>
      <c r="AE244" s="122">
        <f t="shared" si="108"/>
        <v>17508.499100418172</v>
      </c>
      <c r="AF244" s="167">
        <f t="shared" si="109"/>
        <v>92356.492799999993</v>
      </c>
    </row>
    <row r="245" spans="1:32" s="150" customFormat="1" x14ac:dyDescent="0.2">
      <c r="A245" s="144" t="s">
        <v>261</v>
      </c>
      <c r="B245" s="144"/>
      <c r="C245" s="144"/>
      <c r="D245" s="145">
        <v>0</v>
      </c>
      <c r="E245" s="122"/>
      <c r="F245" s="146">
        <v>0.12</v>
      </c>
      <c r="G245" s="146"/>
      <c r="H245" s="122">
        <v>6689</v>
      </c>
      <c r="I245" s="122">
        <f t="shared" si="99"/>
        <v>6474.9520000000002</v>
      </c>
      <c r="J245" s="147">
        <f t="shared" si="100"/>
        <v>5697.9577600000002</v>
      </c>
      <c r="K245" s="122"/>
      <c r="L245" s="122">
        <v>5146</v>
      </c>
      <c r="M245" s="122">
        <f t="shared" si="101"/>
        <v>4626.2539999999999</v>
      </c>
      <c r="N245" s="122">
        <f t="shared" si="102"/>
        <v>4071.1035200000001</v>
      </c>
      <c r="O245" s="122"/>
      <c r="P245" s="122">
        <v>0</v>
      </c>
      <c r="Q245" s="122">
        <f t="shared" si="103"/>
        <v>0</v>
      </c>
      <c r="R245" s="147">
        <f t="shared" si="104"/>
        <v>0</v>
      </c>
      <c r="S245" s="145">
        <v>15</v>
      </c>
      <c r="T245" s="144" t="s">
        <v>213</v>
      </c>
      <c r="U245" s="90">
        <f>SUMIF('Avoided Costs 2009-2017'!$A:$A,Actuals!T245&amp;Actuals!S245,'Avoided Costs 2009-2017'!$E:$E)*J245</f>
        <v>19271.664633440472</v>
      </c>
      <c r="V245" s="90">
        <f>SUMIF('Avoided Costs 2009-2017'!$A:$A,Actuals!T245&amp;Actuals!S245,'Avoided Costs 2009-2017'!$K:$K)*N245</f>
        <v>3039.209771576147</v>
      </c>
      <c r="W245" s="90">
        <f>SUMIF('Avoided Costs 2009-2017'!$A:$A,Actuals!T245&amp;Actuals!S245,'Avoided Costs 2009-2017'!$M:$M)*R245</f>
        <v>0</v>
      </c>
      <c r="X245" s="90">
        <f t="shared" si="105"/>
        <v>22310.874405016621</v>
      </c>
      <c r="Y245" s="148">
        <v>14570</v>
      </c>
      <c r="Z245" s="149">
        <f t="shared" si="106"/>
        <v>12821.6</v>
      </c>
      <c r="AA245" s="148"/>
      <c r="AB245" s="145"/>
      <c r="AC245" s="145"/>
      <c r="AD245" s="148">
        <f t="shared" si="107"/>
        <v>12821.6</v>
      </c>
      <c r="AE245" s="122">
        <f t="shared" si="108"/>
        <v>9489.2744050166202</v>
      </c>
      <c r="AF245" s="167">
        <f t="shared" si="109"/>
        <v>85469.366399999999</v>
      </c>
    </row>
    <row r="246" spans="1:32" s="150" customFormat="1" x14ac:dyDescent="0.2">
      <c r="A246" s="144" t="s">
        <v>262</v>
      </c>
      <c r="B246" s="144"/>
      <c r="C246" s="144"/>
      <c r="D246" s="145">
        <v>1</v>
      </c>
      <c r="E246" s="122"/>
      <c r="F246" s="146">
        <v>0.12</v>
      </c>
      <c r="G246" s="146"/>
      <c r="H246" s="122">
        <v>11352</v>
      </c>
      <c r="I246" s="122">
        <f t="shared" si="99"/>
        <v>10988.735999999999</v>
      </c>
      <c r="J246" s="147">
        <f t="shared" si="100"/>
        <v>9670.0876799999987</v>
      </c>
      <c r="K246" s="122"/>
      <c r="L246" s="122">
        <v>5882</v>
      </c>
      <c r="M246" s="122">
        <f t="shared" si="101"/>
        <v>5287.9180000000006</v>
      </c>
      <c r="N246" s="122">
        <f t="shared" si="102"/>
        <v>4653.3678400000008</v>
      </c>
      <c r="O246" s="122"/>
      <c r="P246" s="122">
        <v>0</v>
      </c>
      <c r="Q246" s="122">
        <f t="shared" si="103"/>
        <v>0</v>
      </c>
      <c r="R246" s="147">
        <f t="shared" si="104"/>
        <v>0</v>
      </c>
      <c r="S246" s="145">
        <v>15</v>
      </c>
      <c r="T246" s="144" t="s">
        <v>213</v>
      </c>
      <c r="U246" s="90">
        <f>SUMIF('Avoided Costs 2009-2017'!$A:$A,Actuals!T246&amp;Actuals!S246,'Avoided Costs 2009-2017'!$E:$E)*J246</f>
        <v>32706.224685127258</v>
      </c>
      <c r="V246" s="90">
        <f>SUMIF('Avoided Costs 2009-2017'!$A:$A,Actuals!T246&amp;Actuals!S246,'Avoided Costs 2009-2017'!$K:$K)*N246</f>
        <v>3473.8888216888649</v>
      </c>
      <c r="W246" s="90">
        <f>SUMIF('Avoided Costs 2009-2017'!$A:$A,Actuals!T246&amp;Actuals!S246,'Avoided Costs 2009-2017'!$M:$M)*R246</f>
        <v>0</v>
      </c>
      <c r="X246" s="90">
        <f t="shared" si="105"/>
        <v>36180.113506816124</v>
      </c>
      <c r="Y246" s="148">
        <v>17000</v>
      </c>
      <c r="Z246" s="149">
        <f t="shared" si="106"/>
        <v>14960</v>
      </c>
      <c r="AA246" s="148"/>
      <c r="AB246" s="145"/>
      <c r="AC246" s="145"/>
      <c r="AD246" s="148">
        <f t="shared" si="107"/>
        <v>14960</v>
      </c>
      <c r="AE246" s="122">
        <f t="shared" si="108"/>
        <v>21220.113506816124</v>
      </c>
      <c r="AF246" s="167">
        <f t="shared" si="109"/>
        <v>145051.31519999998</v>
      </c>
    </row>
    <row r="247" spans="1:32" s="150" customFormat="1" x14ac:dyDescent="0.2">
      <c r="A247" s="144" t="s">
        <v>263</v>
      </c>
      <c r="B247" s="144"/>
      <c r="C247" s="144"/>
      <c r="D247" s="145">
        <v>1</v>
      </c>
      <c r="E247" s="122"/>
      <c r="F247" s="146">
        <v>0.05</v>
      </c>
      <c r="G247" s="146"/>
      <c r="H247" s="122">
        <v>4801</v>
      </c>
      <c r="I247" s="122">
        <f>+H247</f>
        <v>4801</v>
      </c>
      <c r="J247" s="147">
        <f t="shared" si="100"/>
        <v>4560.95</v>
      </c>
      <c r="K247" s="122"/>
      <c r="L247" s="122">
        <v>13521</v>
      </c>
      <c r="M247" s="122">
        <f>+L247</f>
        <v>13521</v>
      </c>
      <c r="N247" s="122">
        <f t="shared" si="102"/>
        <v>12844.949999999999</v>
      </c>
      <c r="O247" s="122"/>
      <c r="P247" s="122">
        <v>0</v>
      </c>
      <c r="Q247" s="122">
        <f t="shared" si="103"/>
        <v>0</v>
      </c>
      <c r="R247" s="147">
        <f t="shared" si="104"/>
        <v>0</v>
      </c>
      <c r="S247" s="145">
        <v>15</v>
      </c>
      <c r="T247" s="144" t="s">
        <v>213</v>
      </c>
      <c r="U247" s="90">
        <f>SUMIF('Avoided Costs 2009-2017'!$A:$A,Actuals!T247&amp;Actuals!S247,'Avoided Costs 2009-2017'!$E:$E)*J247</f>
        <v>15426.070622519028</v>
      </c>
      <c r="V247" s="90">
        <f>SUMIF('Avoided Costs 2009-2017'!$A:$A,Actuals!T247&amp;Actuals!S247,'Avoided Costs 2009-2017'!$K:$K)*N247</f>
        <v>9589.1684806401154</v>
      </c>
      <c r="W247" s="90">
        <f>SUMIF('Avoided Costs 2009-2017'!$A:$A,Actuals!T247&amp;Actuals!S247,'Avoided Costs 2009-2017'!$M:$M)*R247</f>
        <v>0</v>
      </c>
      <c r="X247" s="90">
        <f t="shared" si="105"/>
        <v>25015.239103159143</v>
      </c>
      <c r="Y247" s="148">
        <v>10000</v>
      </c>
      <c r="Z247" s="149">
        <f t="shared" si="106"/>
        <v>9500</v>
      </c>
      <c r="AA247" s="148"/>
      <c r="AB247" s="145"/>
      <c r="AC247" s="145"/>
      <c r="AD247" s="148">
        <f t="shared" si="107"/>
        <v>9500</v>
      </c>
      <c r="AE247" s="122">
        <f t="shared" si="108"/>
        <v>15515.239103159143</v>
      </c>
      <c r="AF247" s="167">
        <f t="shared" si="109"/>
        <v>68414.25</v>
      </c>
    </row>
    <row r="248" spans="1:32" s="4" customFormat="1" x14ac:dyDescent="0.2">
      <c r="A248" s="152" t="s">
        <v>200</v>
      </c>
      <c r="B248" s="152" t="s">
        <v>517</v>
      </c>
      <c r="C248" s="152"/>
      <c r="D248" s="153">
        <f>SUM(D230:D247)</f>
        <v>14</v>
      </c>
      <c r="E248" s="147"/>
      <c r="F248" s="154"/>
      <c r="G248" s="155"/>
      <c r="H248" s="237">
        <f>SUM(H230:H247)</f>
        <v>622907</v>
      </c>
      <c r="I248" s="237">
        <f>SUM(I230:I247)</f>
        <v>603127.60800000012</v>
      </c>
      <c r="J248" s="237">
        <f>SUM(J230:J247)</f>
        <v>531088.36503999995</v>
      </c>
      <c r="K248" s="147"/>
      <c r="L248" s="237">
        <f>SUM(L230:L247)</f>
        <v>359007</v>
      </c>
      <c r="M248" s="237">
        <f>SUM(M230:M247)</f>
        <v>324112.91400000005</v>
      </c>
      <c r="N248" s="237">
        <f>SUM(N230:N247)</f>
        <v>286165.83432000008</v>
      </c>
      <c r="O248" s="156"/>
      <c r="P248" s="237">
        <f>SUM(P230:P247)</f>
        <v>0</v>
      </c>
      <c r="Q248" s="237">
        <f>SUM(Q230:Q247)</f>
        <v>0</v>
      </c>
      <c r="R248" s="237">
        <f>SUM(R230:R247)</f>
        <v>0</v>
      </c>
      <c r="S248" s="153"/>
      <c r="T248" s="152"/>
      <c r="U248" s="238">
        <f>SUM(U230:U247)</f>
        <v>1649322.6549492197</v>
      </c>
      <c r="V248" s="238">
        <f>SUM(V230:V247)</f>
        <v>213632.00313721938</v>
      </c>
      <c r="W248" s="238">
        <f>SUM(W230:W247)</f>
        <v>0</v>
      </c>
      <c r="X248" s="238">
        <f>SUM(X230:X247)</f>
        <v>1862954.6580864387</v>
      </c>
      <c r="Y248" s="157"/>
      <c r="Z248" s="238">
        <f>SUM(Z230:Z247)</f>
        <v>528587.36</v>
      </c>
      <c r="AA248" s="148">
        <v>89660</v>
      </c>
      <c r="AB248" s="148">
        <v>550</v>
      </c>
      <c r="AC248" s="149">
        <f>AB248+AA248</f>
        <v>90210</v>
      </c>
      <c r="AD248" s="149">
        <f t="shared" si="107"/>
        <v>529137.36</v>
      </c>
      <c r="AE248" s="158">
        <f t="shared" si="108"/>
        <v>1333817.2980864388</v>
      </c>
      <c r="AF248" s="168">
        <f>SUM(AF230:AF247)</f>
        <v>7271853.5453599999</v>
      </c>
    </row>
    <row r="249" spans="1:32" x14ac:dyDescent="0.2">
      <c r="A249" s="134"/>
      <c r="J249" s="26"/>
      <c r="K249" s="51"/>
      <c r="L249" s="51"/>
      <c r="O249" s="92"/>
      <c r="P249" s="36"/>
      <c r="R249" s="26"/>
      <c r="S249" s="26"/>
      <c r="Z249" s="53"/>
      <c r="AA249" s="63"/>
      <c r="AC249" s="53"/>
      <c r="AD249" s="53"/>
      <c r="AE249" s="53"/>
      <c r="AF249" s="166"/>
    </row>
    <row r="250" spans="1:32" x14ac:dyDescent="0.2">
      <c r="A250" s="134" t="s">
        <v>1146</v>
      </c>
      <c r="B250" s="30" t="s">
        <v>1143</v>
      </c>
      <c r="J250" s="26"/>
      <c r="K250" s="51"/>
      <c r="L250" s="51"/>
      <c r="O250" s="92"/>
      <c r="P250" s="36"/>
      <c r="R250" s="26"/>
      <c r="S250" s="26"/>
      <c r="Z250" s="53"/>
      <c r="AA250" s="63"/>
      <c r="AC250" s="53"/>
      <c r="AD250" s="53"/>
      <c r="AE250" s="53"/>
      <c r="AF250" s="166"/>
    </row>
    <row r="251" spans="1:32" s="150" customFormat="1" x14ac:dyDescent="0.2">
      <c r="A251" s="144" t="s">
        <v>66</v>
      </c>
      <c r="B251" s="144"/>
      <c r="C251" s="144"/>
      <c r="D251" s="145">
        <v>0</v>
      </c>
      <c r="E251" s="122"/>
      <c r="F251" s="146">
        <v>0.12</v>
      </c>
      <c r="G251" s="146"/>
      <c r="H251" s="122">
        <v>136955</v>
      </c>
      <c r="I251" s="122">
        <f t="shared" ref="I251:I314" si="110">+$H$68*H251</f>
        <v>132572.44</v>
      </c>
      <c r="J251" s="147">
        <f t="shared" ref="J251:J314" si="111">I251*(1-F251)</f>
        <v>116663.7472</v>
      </c>
      <c r="K251" s="122"/>
      <c r="L251" s="122">
        <v>0</v>
      </c>
      <c r="M251" s="122">
        <f t="shared" ref="M251:M314" si="112">+$L$68*L251</f>
        <v>0</v>
      </c>
      <c r="N251" s="122">
        <f t="shared" ref="N251:N314" si="113">M251*(1-F251)</f>
        <v>0</v>
      </c>
      <c r="O251" s="122"/>
      <c r="P251" s="122">
        <v>0</v>
      </c>
      <c r="Q251" s="122">
        <f t="shared" ref="Q251:Q314" si="114">+P251*$P$68</f>
        <v>0</v>
      </c>
      <c r="R251" s="147">
        <f t="shared" ref="R251:R314" si="115">Q251*(1-F251)</f>
        <v>0</v>
      </c>
      <c r="S251" s="145">
        <v>15</v>
      </c>
      <c r="T251" s="144" t="s">
        <v>213</v>
      </c>
      <c r="U251" s="90">
        <f>SUMIF('Avoided Costs 2009-2017'!$A:$A,Actuals!T251&amp;Actuals!S251,'Avoided Costs 2009-2017'!$E:$E)*J251</f>
        <v>394580.77887170576</v>
      </c>
      <c r="V251" s="90">
        <f>SUMIF('Avoided Costs 2009-2017'!$A:$A,Actuals!T251&amp;Actuals!S251,'Avoided Costs 2009-2017'!$K:$K)*N251</f>
        <v>0</v>
      </c>
      <c r="W251" s="90">
        <f>SUMIF('Avoided Costs 2009-2017'!$A:$A,Actuals!T251&amp;Actuals!S251,'Avoided Costs 2009-2017'!$M:$M)*R251</f>
        <v>0</v>
      </c>
      <c r="X251" s="90">
        <f t="shared" ref="X251:X314" si="116">SUM(U251:W251)</f>
        <v>394580.77887170576</v>
      </c>
      <c r="Y251" s="148">
        <v>395491</v>
      </c>
      <c r="Z251" s="149">
        <f t="shared" ref="Z251:Z314" si="117">Y251*(1-F251)</f>
        <v>348032.08</v>
      </c>
      <c r="AA251" s="148"/>
      <c r="AB251" s="145"/>
      <c r="AC251" s="145"/>
      <c r="AD251" s="148">
        <f t="shared" ref="AD251:AD282" si="118">Z251+AB251</f>
        <v>348032.08</v>
      </c>
      <c r="AE251" s="122">
        <f t="shared" ref="AE251:AE282" si="119">X251-AD251</f>
        <v>46548.698871705739</v>
      </c>
      <c r="AF251" s="167">
        <f t="shared" ref="AF251:AF314" si="120">J251*S251</f>
        <v>1749956.2079999999</v>
      </c>
    </row>
    <row r="252" spans="1:32" s="150" customFormat="1" x14ac:dyDescent="0.2">
      <c r="A252" s="144" t="s">
        <v>67</v>
      </c>
      <c r="B252" s="144"/>
      <c r="C252" s="144"/>
      <c r="D252" s="145">
        <v>1</v>
      </c>
      <c r="E252" s="122"/>
      <c r="F252" s="146">
        <v>0.12</v>
      </c>
      <c r="G252" s="146"/>
      <c r="H252" s="122">
        <v>362425</v>
      </c>
      <c r="I252" s="122">
        <f t="shared" si="110"/>
        <v>350827.39999999997</v>
      </c>
      <c r="J252" s="147">
        <f t="shared" si="111"/>
        <v>308728.11199999996</v>
      </c>
      <c r="K252" s="122"/>
      <c r="L252" s="122">
        <v>1319199</v>
      </c>
      <c r="M252" s="122">
        <f t="shared" si="112"/>
        <v>1185959.9010000001</v>
      </c>
      <c r="N252" s="122">
        <f t="shared" si="113"/>
        <v>1043644.7128800001</v>
      </c>
      <c r="O252" s="122"/>
      <c r="P252" s="122">
        <v>0</v>
      </c>
      <c r="Q252" s="122">
        <f t="shared" si="114"/>
        <v>0</v>
      </c>
      <c r="R252" s="147">
        <f t="shared" si="115"/>
        <v>0</v>
      </c>
      <c r="S252" s="145">
        <v>15</v>
      </c>
      <c r="T252" s="144" t="s">
        <v>213</v>
      </c>
      <c r="U252" s="90">
        <f>SUMIF('Avoided Costs 2009-2017'!$A:$A,Actuals!T252&amp;Actuals!S252,'Avoided Costs 2009-2017'!$E:$E)*J252</f>
        <v>1044181.9486880943</v>
      </c>
      <c r="V252" s="90">
        <f>SUMIF('Avoided Costs 2009-2017'!$A:$A,Actuals!T252&amp;Actuals!S252,'Avoided Costs 2009-2017'!$K:$K)*N252</f>
        <v>779114.35900767241</v>
      </c>
      <c r="W252" s="90">
        <f>SUMIF('Avoided Costs 2009-2017'!$A:$A,Actuals!T252&amp;Actuals!S252,'Avoided Costs 2009-2017'!$M:$M)*R252</f>
        <v>0</v>
      </c>
      <c r="X252" s="90">
        <f t="shared" si="116"/>
        <v>1823296.3076957667</v>
      </c>
      <c r="Y252" s="148">
        <v>1616771</v>
      </c>
      <c r="Z252" s="149">
        <f t="shared" si="117"/>
        <v>1422758.48</v>
      </c>
      <c r="AA252" s="148"/>
      <c r="AB252" s="145"/>
      <c r="AC252" s="145"/>
      <c r="AD252" s="148">
        <f t="shared" si="118"/>
        <v>1422758.48</v>
      </c>
      <c r="AE252" s="122">
        <f t="shared" si="119"/>
        <v>400537.8276957667</v>
      </c>
      <c r="AF252" s="167">
        <f t="shared" si="120"/>
        <v>4630921.68</v>
      </c>
    </row>
    <row r="253" spans="1:32" s="150" customFormat="1" x14ac:dyDescent="0.2">
      <c r="A253" s="144" t="s">
        <v>68</v>
      </c>
      <c r="B253" s="144"/>
      <c r="C253" s="144"/>
      <c r="D253" s="145">
        <v>1</v>
      </c>
      <c r="E253" s="122"/>
      <c r="F253" s="146">
        <v>0.12</v>
      </c>
      <c r="G253" s="146"/>
      <c r="H253" s="122">
        <v>4578</v>
      </c>
      <c r="I253" s="122">
        <f t="shared" si="110"/>
        <v>4431.5039999999999</v>
      </c>
      <c r="J253" s="147">
        <f t="shared" si="111"/>
        <v>3899.72352</v>
      </c>
      <c r="K253" s="122"/>
      <c r="L253" s="122">
        <v>-1493</v>
      </c>
      <c r="M253" s="122">
        <f t="shared" si="112"/>
        <v>-1342.2070000000001</v>
      </c>
      <c r="N253" s="122">
        <f t="shared" si="113"/>
        <v>-1181.1421600000001</v>
      </c>
      <c r="O253" s="122"/>
      <c r="P253" s="122">
        <v>0</v>
      </c>
      <c r="Q253" s="122">
        <f t="shared" si="114"/>
        <v>0</v>
      </c>
      <c r="R253" s="147">
        <f t="shared" si="115"/>
        <v>0</v>
      </c>
      <c r="S253" s="145">
        <v>5</v>
      </c>
      <c r="T253" s="144" t="s">
        <v>213</v>
      </c>
      <c r="U253" s="90">
        <f>SUMIF('Avoided Costs 2009-2017'!$A:$A,Actuals!T253&amp;Actuals!S253,'Avoided Costs 2009-2017'!$E:$E)*J253</f>
        <v>5855.7287238300651</v>
      </c>
      <c r="V253" s="90">
        <f>SUMIF('Avoided Costs 2009-2017'!$A:$A,Actuals!T253&amp;Actuals!S253,'Avoided Costs 2009-2017'!$K:$K)*N253</f>
        <v>-398.16455210526135</v>
      </c>
      <c r="W253" s="90">
        <f>SUMIF('Avoided Costs 2009-2017'!$A:$A,Actuals!T253&amp;Actuals!S253,'Avoided Costs 2009-2017'!$M:$M)*R253</f>
        <v>0</v>
      </c>
      <c r="X253" s="90">
        <f t="shared" si="116"/>
        <v>5457.5641717248036</v>
      </c>
      <c r="Y253" s="148">
        <v>35</v>
      </c>
      <c r="Z253" s="149">
        <f t="shared" si="117"/>
        <v>30.8</v>
      </c>
      <c r="AA253" s="148"/>
      <c r="AB253" s="145"/>
      <c r="AC253" s="145"/>
      <c r="AD253" s="148">
        <f t="shared" si="118"/>
        <v>30.8</v>
      </c>
      <c r="AE253" s="122">
        <f t="shared" si="119"/>
        <v>5426.7641717248034</v>
      </c>
      <c r="AF253" s="167">
        <f t="shared" si="120"/>
        <v>19498.617600000001</v>
      </c>
    </row>
    <row r="254" spans="1:32" s="150" customFormat="1" x14ac:dyDescent="0.2">
      <c r="A254" s="144" t="s">
        <v>69</v>
      </c>
      <c r="B254" s="144"/>
      <c r="C254" s="144"/>
      <c r="D254" s="145">
        <v>1</v>
      </c>
      <c r="E254" s="122"/>
      <c r="F254" s="146">
        <v>0.12</v>
      </c>
      <c r="G254" s="146"/>
      <c r="H254" s="122">
        <v>28989</v>
      </c>
      <c r="I254" s="122">
        <f t="shared" si="110"/>
        <v>28061.351999999999</v>
      </c>
      <c r="J254" s="147">
        <f t="shared" si="111"/>
        <v>24693.98976</v>
      </c>
      <c r="K254" s="122"/>
      <c r="L254" s="122">
        <v>0</v>
      </c>
      <c r="M254" s="122">
        <f t="shared" si="112"/>
        <v>0</v>
      </c>
      <c r="N254" s="122">
        <f t="shared" si="113"/>
        <v>0</v>
      </c>
      <c r="O254" s="122"/>
      <c r="P254" s="122">
        <v>0</v>
      </c>
      <c r="Q254" s="122">
        <f t="shared" si="114"/>
        <v>0</v>
      </c>
      <c r="R254" s="147">
        <f t="shared" si="115"/>
        <v>0</v>
      </c>
      <c r="S254" s="145">
        <v>11</v>
      </c>
      <c r="T254" s="144" t="s">
        <v>213</v>
      </c>
      <c r="U254" s="90">
        <f>SUMIF('Avoided Costs 2009-2017'!$A:$A,Actuals!T254&amp;Actuals!S254,'Avoided Costs 2009-2017'!$E:$E)*J254</f>
        <v>69110.847357287043</v>
      </c>
      <c r="V254" s="90">
        <f>SUMIF('Avoided Costs 2009-2017'!$A:$A,Actuals!T254&amp;Actuals!S254,'Avoided Costs 2009-2017'!$K:$K)*N254</f>
        <v>0</v>
      </c>
      <c r="W254" s="90">
        <f>SUMIF('Avoided Costs 2009-2017'!$A:$A,Actuals!T254&amp;Actuals!S254,'Avoided Costs 2009-2017'!$M:$M)*R254</f>
        <v>0</v>
      </c>
      <c r="X254" s="90">
        <f t="shared" si="116"/>
        <v>69110.847357287043</v>
      </c>
      <c r="Y254" s="148">
        <v>41493</v>
      </c>
      <c r="Z254" s="149">
        <f t="shared" si="117"/>
        <v>36513.840000000004</v>
      </c>
      <c r="AA254" s="148"/>
      <c r="AB254" s="145"/>
      <c r="AC254" s="145"/>
      <c r="AD254" s="148">
        <f t="shared" si="118"/>
        <v>36513.840000000004</v>
      </c>
      <c r="AE254" s="122">
        <f t="shared" si="119"/>
        <v>32597.007357287039</v>
      </c>
      <c r="AF254" s="167">
        <f t="shared" si="120"/>
        <v>271633.88735999999</v>
      </c>
    </row>
    <row r="255" spans="1:32" s="150" customFormat="1" x14ac:dyDescent="0.2">
      <c r="A255" s="144" t="s">
        <v>70</v>
      </c>
      <c r="B255" s="144"/>
      <c r="C255" s="144"/>
      <c r="D255" s="145">
        <v>1</v>
      </c>
      <c r="E255" s="122"/>
      <c r="F255" s="146">
        <v>0.12</v>
      </c>
      <c r="G255" s="146"/>
      <c r="H255" s="122">
        <v>16683</v>
      </c>
      <c r="I255" s="122">
        <f t="shared" si="110"/>
        <v>16149.144</v>
      </c>
      <c r="J255" s="147">
        <f t="shared" si="111"/>
        <v>14211.246720000001</v>
      </c>
      <c r="K255" s="122"/>
      <c r="L255" s="122">
        <v>0</v>
      </c>
      <c r="M255" s="122">
        <f t="shared" si="112"/>
        <v>0</v>
      </c>
      <c r="N255" s="122">
        <f t="shared" si="113"/>
        <v>0</v>
      </c>
      <c r="O255" s="122"/>
      <c r="P255" s="122">
        <v>0</v>
      </c>
      <c r="Q255" s="122">
        <f t="shared" si="114"/>
        <v>0</v>
      </c>
      <c r="R255" s="147">
        <f t="shared" si="115"/>
        <v>0</v>
      </c>
      <c r="S255" s="145">
        <v>13</v>
      </c>
      <c r="T255" s="144" t="s">
        <v>213</v>
      </c>
      <c r="U255" s="90">
        <f>SUMIF('Avoided Costs 2009-2017'!$A:$A,Actuals!T255&amp;Actuals!S255,'Avoided Costs 2009-2017'!$E:$E)*J255</f>
        <v>44199.224754864132</v>
      </c>
      <c r="V255" s="90">
        <f>SUMIF('Avoided Costs 2009-2017'!$A:$A,Actuals!T255&amp;Actuals!S255,'Avoided Costs 2009-2017'!$K:$K)*N255</f>
        <v>0</v>
      </c>
      <c r="W255" s="90">
        <f>SUMIF('Avoided Costs 2009-2017'!$A:$A,Actuals!T255&amp;Actuals!S255,'Avoided Costs 2009-2017'!$M:$M)*R255</f>
        <v>0</v>
      </c>
      <c r="X255" s="90">
        <f t="shared" si="116"/>
        <v>44199.224754864132</v>
      </c>
      <c r="Y255" s="148">
        <v>644</v>
      </c>
      <c r="Z255" s="149">
        <f t="shared" si="117"/>
        <v>566.72</v>
      </c>
      <c r="AA255" s="148"/>
      <c r="AB255" s="145"/>
      <c r="AC255" s="145"/>
      <c r="AD255" s="148">
        <f t="shared" si="118"/>
        <v>566.72</v>
      </c>
      <c r="AE255" s="122">
        <f t="shared" si="119"/>
        <v>43632.504754864131</v>
      </c>
      <c r="AF255" s="167">
        <f t="shared" si="120"/>
        <v>184746.20736</v>
      </c>
    </row>
    <row r="256" spans="1:32" s="150" customFormat="1" x14ac:dyDescent="0.2">
      <c r="A256" s="144" t="s">
        <v>71</v>
      </c>
      <c r="B256" s="144"/>
      <c r="C256" s="144"/>
      <c r="D256" s="145">
        <v>1</v>
      </c>
      <c r="E256" s="122"/>
      <c r="F256" s="146">
        <v>0.12</v>
      </c>
      <c r="G256" s="146"/>
      <c r="H256" s="122">
        <v>616</v>
      </c>
      <c r="I256" s="122">
        <f t="shared" si="110"/>
        <v>596.28800000000001</v>
      </c>
      <c r="J256" s="147">
        <f t="shared" si="111"/>
        <v>524.73343999999997</v>
      </c>
      <c r="K256" s="122"/>
      <c r="L256" s="122">
        <v>0</v>
      </c>
      <c r="M256" s="122">
        <f t="shared" si="112"/>
        <v>0</v>
      </c>
      <c r="N256" s="122">
        <f t="shared" si="113"/>
        <v>0</v>
      </c>
      <c r="O256" s="122"/>
      <c r="P256" s="122">
        <v>0</v>
      </c>
      <c r="Q256" s="122">
        <f t="shared" si="114"/>
        <v>0</v>
      </c>
      <c r="R256" s="147">
        <f t="shared" si="115"/>
        <v>0</v>
      </c>
      <c r="S256" s="145">
        <v>10</v>
      </c>
      <c r="T256" s="144" t="s">
        <v>1176</v>
      </c>
      <c r="U256" s="90">
        <f>SUMIF('Avoided Costs 2009-2017'!$A:$A,Actuals!T256&amp;Actuals!S256,'Avoided Costs 2009-2017'!$E:$E)*J256</f>
        <v>1256.6928644029738</v>
      </c>
      <c r="V256" s="90">
        <f>SUMIF('Avoided Costs 2009-2017'!$A:$A,Actuals!T256&amp;Actuals!S256,'Avoided Costs 2009-2017'!$K:$K)*N256</f>
        <v>0</v>
      </c>
      <c r="W256" s="90">
        <f>SUMIF('Avoided Costs 2009-2017'!$A:$A,Actuals!T256&amp;Actuals!S256,'Avoided Costs 2009-2017'!$M:$M)*R256</f>
        <v>0</v>
      </c>
      <c r="X256" s="90">
        <f t="shared" si="116"/>
        <v>1256.6928644029738</v>
      </c>
      <c r="Y256" s="148">
        <v>8986</v>
      </c>
      <c r="Z256" s="149">
        <f t="shared" si="117"/>
        <v>7907.68</v>
      </c>
      <c r="AA256" s="148"/>
      <c r="AB256" s="145"/>
      <c r="AC256" s="145"/>
      <c r="AD256" s="148">
        <f t="shared" si="118"/>
        <v>7907.68</v>
      </c>
      <c r="AE256" s="122">
        <f t="shared" si="119"/>
        <v>-6650.9871355970263</v>
      </c>
      <c r="AF256" s="167">
        <f t="shared" si="120"/>
        <v>5247.3343999999997</v>
      </c>
    </row>
    <row r="257" spans="1:32" s="150" customFormat="1" x14ac:dyDescent="0.2">
      <c r="A257" s="144" t="s">
        <v>72</v>
      </c>
      <c r="B257" s="144"/>
      <c r="C257" s="144"/>
      <c r="D257" s="145">
        <v>1</v>
      </c>
      <c r="E257" s="122"/>
      <c r="F257" s="146">
        <v>0.12</v>
      </c>
      <c r="G257" s="146"/>
      <c r="H257" s="122">
        <v>1110</v>
      </c>
      <c r="I257" s="122">
        <f t="shared" si="110"/>
        <v>1074.48</v>
      </c>
      <c r="J257" s="147">
        <f t="shared" si="111"/>
        <v>945.54240000000004</v>
      </c>
      <c r="K257" s="122"/>
      <c r="L257" s="122">
        <v>0</v>
      </c>
      <c r="M257" s="122">
        <f t="shared" si="112"/>
        <v>0</v>
      </c>
      <c r="N257" s="122">
        <f t="shared" si="113"/>
        <v>0</v>
      </c>
      <c r="O257" s="122"/>
      <c r="P257" s="122">
        <v>0</v>
      </c>
      <c r="Q257" s="122">
        <f t="shared" si="114"/>
        <v>0</v>
      </c>
      <c r="R257" s="147">
        <f t="shared" si="115"/>
        <v>0</v>
      </c>
      <c r="S257" s="145">
        <v>10</v>
      </c>
      <c r="T257" s="144" t="s">
        <v>1176</v>
      </c>
      <c r="U257" s="90">
        <f>SUMIF('Avoided Costs 2009-2017'!$A:$A,Actuals!T257&amp;Actuals!S257,'Avoided Costs 2009-2017'!$E:$E)*J257</f>
        <v>2264.4952589079562</v>
      </c>
      <c r="V257" s="90">
        <f>SUMIF('Avoided Costs 2009-2017'!$A:$A,Actuals!T257&amp;Actuals!S257,'Avoided Costs 2009-2017'!$K:$K)*N257</f>
        <v>0</v>
      </c>
      <c r="W257" s="90">
        <f>SUMIF('Avoided Costs 2009-2017'!$A:$A,Actuals!T257&amp;Actuals!S257,'Avoided Costs 2009-2017'!$M:$M)*R257</f>
        <v>0</v>
      </c>
      <c r="X257" s="90">
        <f t="shared" si="116"/>
        <v>2264.4952589079562</v>
      </c>
      <c r="Y257" s="148">
        <v>2708.68</v>
      </c>
      <c r="Z257" s="149">
        <f t="shared" si="117"/>
        <v>2383.6383999999998</v>
      </c>
      <c r="AA257" s="148"/>
      <c r="AB257" s="145"/>
      <c r="AC257" s="145"/>
      <c r="AD257" s="148">
        <f t="shared" si="118"/>
        <v>2383.6383999999998</v>
      </c>
      <c r="AE257" s="122">
        <f t="shared" si="119"/>
        <v>-119.14314109204361</v>
      </c>
      <c r="AF257" s="167">
        <f t="shared" si="120"/>
        <v>9455.4240000000009</v>
      </c>
    </row>
    <row r="258" spans="1:32" s="150" customFormat="1" x14ac:dyDescent="0.2">
      <c r="A258" s="144" t="s">
        <v>73</v>
      </c>
      <c r="B258" s="144"/>
      <c r="C258" s="144"/>
      <c r="D258" s="145">
        <v>1</v>
      </c>
      <c r="E258" s="122"/>
      <c r="F258" s="146">
        <v>0.12</v>
      </c>
      <c r="G258" s="146"/>
      <c r="H258" s="122">
        <v>780</v>
      </c>
      <c r="I258" s="122">
        <f t="shared" si="110"/>
        <v>755.04</v>
      </c>
      <c r="J258" s="147">
        <f t="shared" si="111"/>
        <v>664.43520000000001</v>
      </c>
      <c r="K258" s="122"/>
      <c r="L258" s="122">
        <v>0</v>
      </c>
      <c r="M258" s="122">
        <f t="shared" si="112"/>
        <v>0</v>
      </c>
      <c r="N258" s="122">
        <f t="shared" si="113"/>
        <v>0</v>
      </c>
      <c r="O258" s="122"/>
      <c r="P258" s="122">
        <v>0</v>
      </c>
      <c r="Q258" s="122">
        <f t="shared" si="114"/>
        <v>0</v>
      </c>
      <c r="R258" s="147">
        <f t="shared" si="115"/>
        <v>0</v>
      </c>
      <c r="S258" s="145">
        <v>10</v>
      </c>
      <c r="T258" s="144" t="s">
        <v>1176</v>
      </c>
      <c r="U258" s="90">
        <f>SUMIF('Avoided Costs 2009-2017'!$A:$A,Actuals!T258&amp;Actuals!S258,'Avoided Costs 2009-2017'!$E:$E)*J258</f>
        <v>1591.2669386920772</v>
      </c>
      <c r="V258" s="90">
        <f>SUMIF('Avoided Costs 2009-2017'!$A:$A,Actuals!T258&amp;Actuals!S258,'Avoided Costs 2009-2017'!$K:$K)*N258</f>
        <v>0</v>
      </c>
      <c r="W258" s="90">
        <f>SUMIF('Avoided Costs 2009-2017'!$A:$A,Actuals!T258&amp;Actuals!S258,'Avoided Costs 2009-2017'!$M:$M)*R258</f>
        <v>0</v>
      </c>
      <c r="X258" s="90">
        <f t="shared" si="116"/>
        <v>1591.2669386920772</v>
      </c>
      <c r="Y258" s="148">
        <v>2708.68</v>
      </c>
      <c r="Z258" s="149">
        <f t="shared" si="117"/>
        <v>2383.6383999999998</v>
      </c>
      <c r="AA258" s="148"/>
      <c r="AB258" s="145"/>
      <c r="AC258" s="145"/>
      <c r="AD258" s="148">
        <f t="shared" si="118"/>
        <v>2383.6383999999998</v>
      </c>
      <c r="AE258" s="122">
        <f t="shared" si="119"/>
        <v>-792.37146130792257</v>
      </c>
      <c r="AF258" s="167">
        <f t="shared" si="120"/>
        <v>6644.3519999999999</v>
      </c>
    </row>
    <row r="259" spans="1:32" s="150" customFormat="1" x14ac:dyDescent="0.2">
      <c r="A259" s="144" t="s">
        <v>74</v>
      </c>
      <c r="B259" s="144"/>
      <c r="C259" s="144"/>
      <c r="D259" s="145">
        <v>1</v>
      </c>
      <c r="E259" s="122"/>
      <c r="F259" s="146">
        <v>0.12</v>
      </c>
      <c r="G259" s="146"/>
      <c r="H259" s="122">
        <v>1408</v>
      </c>
      <c r="I259" s="122">
        <f t="shared" si="110"/>
        <v>1362.944</v>
      </c>
      <c r="J259" s="147">
        <f t="shared" si="111"/>
        <v>1199.3907199999999</v>
      </c>
      <c r="K259" s="122"/>
      <c r="L259" s="122">
        <v>0</v>
      </c>
      <c r="M259" s="122">
        <f t="shared" si="112"/>
        <v>0</v>
      </c>
      <c r="N259" s="122">
        <f t="shared" si="113"/>
        <v>0</v>
      </c>
      <c r="O259" s="122"/>
      <c r="P259" s="122">
        <v>0</v>
      </c>
      <c r="Q259" s="122">
        <f t="shared" si="114"/>
        <v>0</v>
      </c>
      <c r="R259" s="147">
        <f t="shared" si="115"/>
        <v>0</v>
      </c>
      <c r="S259" s="145">
        <v>10</v>
      </c>
      <c r="T259" s="144" t="s">
        <v>1176</v>
      </c>
      <c r="U259" s="90">
        <f>SUMIF('Avoided Costs 2009-2017'!$A:$A,Actuals!T259&amp;Actuals!S259,'Avoided Costs 2009-2017'!$E:$E)*J259</f>
        <v>2872.4408329210828</v>
      </c>
      <c r="V259" s="90">
        <f>SUMIF('Avoided Costs 2009-2017'!$A:$A,Actuals!T259&amp;Actuals!S259,'Avoided Costs 2009-2017'!$K:$K)*N259</f>
        <v>0</v>
      </c>
      <c r="W259" s="90">
        <f>SUMIF('Avoided Costs 2009-2017'!$A:$A,Actuals!T259&amp;Actuals!S259,'Avoided Costs 2009-2017'!$M:$M)*R259</f>
        <v>0</v>
      </c>
      <c r="X259" s="90">
        <f t="shared" si="116"/>
        <v>2872.4408329210828</v>
      </c>
      <c r="Y259" s="148">
        <v>2718</v>
      </c>
      <c r="Z259" s="149">
        <f t="shared" si="117"/>
        <v>2391.84</v>
      </c>
      <c r="AA259" s="148"/>
      <c r="AB259" s="145"/>
      <c r="AC259" s="145"/>
      <c r="AD259" s="148">
        <f t="shared" si="118"/>
        <v>2391.84</v>
      </c>
      <c r="AE259" s="122">
        <f t="shared" si="119"/>
        <v>480.60083292108266</v>
      </c>
      <c r="AF259" s="167">
        <f t="shared" si="120"/>
        <v>11993.907199999998</v>
      </c>
    </row>
    <row r="260" spans="1:32" s="150" customFormat="1" x14ac:dyDescent="0.2">
      <c r="A260" s="144" t="s">
        <v>75</v>
      </c>
      <c r="B260" s="144"/>
      <c r="C260" s="144"/>
      <c r="D260" s="145">
        <v>1</v>
      </c>
      <c r="E260" s="122"/>
      <c r="F260" s="146">
        <v>0.12</v>
      </c>
      <c r="G260" s="146"/>
      <c r="H260" s="122">
        <v>1688</v>
      </c>
      <c r="I260" s="122">
        <f t="shared" si="110"/>
        <v>1633.9839999999999</v>
      </c>
      <c r="J260" s="147">
        <f t="shared" si="111"/>
        <v>1437.9059199999999</v>
      </c>
      <c r="K260" s="122"/>
      <c r="L260" s="122">
        <v>0</v>
      </c>
      <c r="M260" s="122">
        <f t="shared" si="112"/>
        <v>0</v>
      </c>
      <c r="N260" s="122">
        <f t="shared" si="113"/>
        <v>0</v>
      </c>
      <c r="O260" s="122"/>
      <c r="P260" s="122">
        <v>0</v>
      </c>
      <c r="Q260" s="122">
        <f t="shared" si="114"/>
        <v>0</v>
      </c>
      <c r="R260" s="147">
        <f t="shared" si="115"/>
        <v>0</v>
      </c>
      <c r="S260" s="145">
        <v>10</v>
      </c>
      <c r="T260" s="144" t="s">
        <v>1176</v>
      </c>
      <c r="U260" s="90">
        <f>SUMIF('Avoided Costs 2009-2017'!$A:$A,Actuals!T260&amp;Actuals!S260,'Avoided Costs 2009-2017'!$E:$E)*J260</f>
        <v>3443.6648621951622</v>
      </c>
      <c r="V260" s="90">
        <f>SUMIF('Avoided Costs 2009-2017'!$A:$A,Actuals!T260&amp;Actuals!S260,'Avoided Costs 2009-2017'!$K:$K)*N260</f>
        <v>0</v>
      </c>
      <c r="W260" s="90">
        <f>SUMIF('Avoided Costs 2009-2017'!$A:$A,Actuals!T260&amp;Actuals!S260,'Avoided Costs 2009-2017'!$M:$M)*R260</f>
        <v>0</v>
      </c>
      <c r="X260" s="90">
        <f t="shared" si="116"/>
        <v>3443.6648621951622</v>
      </c>
      <c r="Y260" s="148">
        <v>2709</v>
      </c>
      <c r="Z260" s="149">
        <f t="shared" si="117"/>
        <v>2383.92</v>
      </c>
      <c r="AA260" s="148"/>
      <c r="AB260" s="145"/>
      <c r="AC260" s="145"/>
      <c r="AD260" s="148">
        <f t="shared" si="118"/>
        <v>2383.92</v>
      </c>
      <c r="AE260" s="122">
        <f t="shared" si="119"/>
        <v>1059.7448621951621</v>
      </c>
      <c r="AF260" s="167">
        <f t="shared" si="120"/>
        <v>14379.0592</v>
      </c>
    </row>
    <row r="261" spans="1:32" s="150" customFormat="1" x14ac:dyDescent="0.2">
      <c r="A261" s="144" t="s">
        <v>76</v>
      </c>
      <c r="B261" s="144"/>
      <c r="C261" s="144"/>
      <c r="D261" s="145">
        <v>1</v>
      </c>
      <c r="E261" s="122"/>
      <c r="F261" s="146">
        <v>0.12</v>
      </c>
      <c r="G261" s="146"/>
      <c r="H261" s="122">
        <v>943</v>
      </c>
      <c r="I261" s="122">
        <f t="shared" si="110"/>
        <v>912.82399999999996</v>
      </c>
      <c r="J261" s="147">
        <f t="shared" si="111"/>
        <v>803.28512000000001</v>
      </c>
      <c r="K261" s="122"/>
      <c r="L261" s="122">
        <v>0</v>
      </c>
      <c r="M261" s="122">
        <f t="shared" si="112"/>
        <v>0</v>
      </c>
      <c r="N261" s="122">
        <f t="shared" si="113"/>
        <v>0</v>
      </c>
      <c r="O261" s="122"/>
      <c r="P261" s="122">
        <v>0</v>
      </c>
      <c r="Q261" s="122">
        <f t="shared" si="114"/>
        <v>0</v>
      </c>
      <c r="R261" s="147">
        <f t="shared" si="115"/>
        <v>0</v>
      </c>
      <c r="S261" s="145">
        <v>10</v>
      </c>
      <c r="T261" s="144" t="s">
        <v>1176</v>
      </c>
      <c r="U261" s="90">
        <f>SUMIF('Avoided Costs 2009-2017'!$A:$A,Actuals!T261&amp;Actuals!S261,'Avoided Costs 2009-2017'!$E:$E)*J261</f>
        <v>1923.8009271623448</v>
      </c>
      <c r="V261" s="90">
        <f>SUMIF('Avoided Costs 2009-2017'!$A:$A,Actuals!T261&amp;Actuals!S261,'Avoided Costs 2009-2017'!$K:$K)*N261</f>
        <v>0</v>
      </c>
      <c r="W261" s="90">
        <f>SUMIF('Avoided Costs 2009-2017'!$A:$A,Actuals!T261&amp;Actuals!S261,'Avoided Costs 2009-2017'!$M:$M)*R261</f>
        <v>0</v>
      </c>
      <c r="X261" s="90">
        <f t="shared" si="116"/>
        <v>1923.8009271623448</v>
      </c>
      <c r="Y261" s="148">
        <v>4692</v>
      </c>
      <c r="Z261" s="149">
        <f t="shared" si="117"/>
        <v>4128.96</v>
      </c>
      <c r="AA261" s="148"/>
      <c r="AB261" s="145"/>
      <c r="AC261" s="145"/>
      <c r="AD261" s="148">
        <f t="shared" si="118"/>
        <v>4128.96</v>
      </c>
      <c r="AE261" s="122">
        <f t="shared" si="119"/>
        <v>-2205.159072837655</v>
      </c>
      <c r="AF261" s="167">
        <f t="shared" si="120"/>
        <v>8032.8512000000001</v>
      </c>
    </row>
    <row r="262" spans="1:32" s="150" customFormat="1" x14ac:dyDescent="0.2">
      <c r="A262" s="144" t="s">
        <v>77</v>
      </c>
      <c r="B262" s="144"/>
      <c r="C262" s="144"/>
      <c r="D262" s="145">
        <v>1</v>
      </c>
      <c r="E262" s="122"/>
      <c r="F262" s="146">
        <v>0.12</v>
      </c>
      <c r="G262" s="146"/>
      <c r="H262" s="122">
        <v>1391</v>
      </c>
      <c r="I262" s="122">
        <f t="shared" si="110"/>
        <v>1346.4880000000001</v>
      </c>
      <c r="J262" s="147">
        <f t="shared" si="111"/>
        <v>1184.9094400000001</v>
      </c>
      <c r="K262" s="122"/>
      <c r="L262" s="122">
        <v>0</v>
      </c>
      <c r="M262" s="122">
        <f t="shared" si="112"/>
        <v>0</v>
      </c>
      <c r="N262" s="122">
        <f t="shared" si="113"/>
        <v>0</v>
      </c>
      <c r="O262" s="122"/>
      <c r="P262" s="122">
        <v>0</v>
      </c>
      <c r="Q262" s="122">
        <f t="shared" si="114"/>
        <v>0</v>
      </c>
      <c r="R262" s="147">
        <f t="shared" si="115"/>
        <v>0</v>
      </c>
      <c r="S262" s="145">
        <v>10</v>
      </c>
      <c r="T262" s="144" t="s">
        <v>1176</v>
      </c>
      <c r="U262" s="90">
        <f>SUMIF('Avoided Costs 2009-2017'!$A:$A,Actuals!T262&amp;Actuals!S262,'Avoided Costs 2009-2017'!$E:$E)*J262</f>
        <v>2837.7593740008715</v>
      </c>
      <c r="V262" s="90">
        <f>SUMIF('Avoided Costs 2009-2017'!$A:$A,Actuals!T262&amp;Actuals!S262,'Avoided Costs 2009-2017'!$K:$K)*N262</f>
        <v>0</v>
      </c>
      <c r="W262" s="90">
        <f>SUMIF('Avoided Costs 2009-2017'!$A:$A,Actuals!T262&amp;Actuals!S262,'Avoided Costs 2009-2017'!$M:$M)*R262</f>
        <v>0</v>
      </c>
      <c r="X262" s="90">
        <f t="shared" si="116"/>
        <v>2837.7593740008715</v>
      </c>
      <c r="Y262" s="148">
        <v>1787</v>
      </c>
      <c r="Z262" s="149">
        <f t="shared" si="117"/>
        <v>1572.56</v>
      </c>
      <c r="AA262" s="148"/>
      <c r="AB262" s="145"/>
      <c r="AC262" s="145"/>
      <c r="AD262" s="148">
        <f t="shared" si="118"/>
        <v>1572.56</v>
      </c>
      <c r="AE262" s="122">
        <f t="shared" si="119"/>
        <v>1265.1993740008716</v>
      </c>
      <c r="AF262" s="167">
        <f t="shared" si="120"/>
        <v>11849.094400000002</v>
      </c>
    </row>
    <row r="263" spans="1:32" s="150" customFormat="1" x14ac:dyDescent="0.2">
      <c r="A263" s="144" t="s">
        <v>78</v>
      </c>
      <c r="B263" s="144"/>
      <c r="C263" s="144"/>
      <c r="D263" s="145">
        <v>1</v>
      </c>
      <c r="E263" s="122"/>
      <c r="F263" s="146">
        <v>0.12</v>
      </c>
      <c r="G263" s="146"/>
      <c r="H263" s="122">
        <v>1174</v>
      </c>
      <c r="I263" s="122">
        <f t="shared" si="110"/>
        <v>1136.432</v>
      </c>
      <c r="J263" s="147">
        <f t="shared" si="111"/>
        <v>1000.06016</v>
      </c>
      <c r="K263" s="122"/>
      <c r="L263" s="122">
        <v>0</v>
      </c>
      <c r="M263" s="122">
        <f t="shared" si="112"/>
        <v>0</v>
      </c>
      <c r="N263" s="122">
        <f t="shared" si="113"/>
        <v>0</v>
      </c>
      <c r="O263" s="122"/>
      <c r="P263" s="122">
        <v>0</v>
      </c>
      <c r="Q263" s="122">
        <f t="shared" si="114"/>
        <v>0</v>
      </c>
      <c r="R263" s="147">
        <f t="shared" si="115"/>
        <v>0</v>
      </c>
      <c r="S263" s="145">
        <v>10</v>
      </c>
      <c r="T263" s="144" t="s">
        <v>1176</v>
      </c>
      <c r="U263" s="90">
        <f>SUMIF('Avoided Costs 2009-2017'!$A:$A,Actuals!T263&amp;Actuals!S263,'Avoided Costs 2009-2017'!$E:$E)*J263</f>
        <v>2395.0607513134601</v>
      </c>
      <c r="V263" s="90">
        <f>SUMIF('Avoided Costs 2009-2017'!$A:$A,Actuals!T263&amp;Actuals!S263,'Avoided Costs 2009-2017'!$K:$K)*N263</f>
        <v>0</v>
      </c>
      <c r="W263" s="90">
        <f>SUMIF('Avoided Costs 2009-2017'!$A:$A,Actuals!T263&amp;Actuals!S263,'Avoided Costs 2009-2017'!$M:$M)*R263</f>
        <v>0</v>
      </c>
      <c r="X263" s="90">
        <f t="shared" si="116"/>
        <v>2395.0607513134601</v>
      </c>
      <c r="Y263" s="148">
        <v>5493</v>
      </c>
      <c r="Z263" s="149">
        <f t="shared" si="117"/>
        <v>4833.84</v>
      </c>
      <c r="AA263" s="148"/>
      <c r="AB263" s="145"/>
      <c r="AC263" s="145"/>
      <c r="AD263" s="148">
        <f t="shared" si="118"/>
        <v>4833.84</v>
      </c>
      <c r="AE263" s="122">
        <f t="shared" si="119"/>
        <v>-2438.7792486865401</v>
      </c>
      <c r="AF263" s="167">
        <f t="shared" si="120"/>
        <v>10000.6016</v>
      </c>
    </row>
    <row r="264" spans="1:32" s="150" customFormat="1" x14ac:dyDescent="0.2">
      <c r="A264" s="144" t="s">
        <v>79</v>
      </c>
      <c r="B264" s="144"/>
      <c r="C264" s="144"/>
      <c r="D264" s="145">
        <v>1</v>
      </c>
      <c r="E264" s="122"/>
      <c r="F264" s="146">
        <v>0.12</v>
      </c>
      <c r="G264" s="146"/>
      <c r="H264" s="122">
        <v>20900</v>
      </c>
      <c r="I264" s="122">
        <f t="shared" si="110"/>
        <v>20231.2</v>
      </c>
      <c r="J264" s="147">
        <f t="shared" si="111"/>
        <v>17803.456000000002</v>
      </c>
      <c r="K264" s="122"/>
      <c r="L264" s="122">
        <v>0</v>
      </c>
      <c r="M264" s="122">
        <f t="shared" si="112"/>
        <v>0</v>
      </c>
      <c r="N264" s="122">
        <f t="shared" si="113"/>
        <v>0</v>
      </c>
      <c r="O264" s="122"/>
      <c r="P264" s="122">
        <v>0</v>
      </c>
      <c r="Q264" s="122">
        <f t="shared" si="114"/>
        <v>0</v>
      </c>
      <c r="R264" s="147">
        <f t="shared" si="115"/>
        <v>0</v>
      </c>
      <c r="S264" s="145">
        <v>11</v>
      </c>
      <c r="T264" s="144" t="s">
        <v>213</v>
      </c>
      <c r="U264" s="90">
        <f>SUMIF('Avoided Costs 2009-2017'!$A:$A,Actuals!T264&amp;Actuals!S264,'Avoided Costs 2009-2017'!$E:$E)*J264</f>
        <v>49826.372409096533</v>
      </c>
      <c r="V264" s="90">
        <f>SUMIF('Avoided Costs 2009-2017'!$A:$A,Actuals!T264&amp;Actuals!S264,'Avoided Costs 2009-2017'!$K:$K)*N264</f>
        <v>0</v>
      </c>
      <c r="W264" s="90">
        <f>SUMIF('Avoided Costs 2009-2017'!$A:$A,Actuals!T264&amp;Actuals!S264,'Avoided Costs 2009-2017'!$M:$M)*R264</f>
        <v>0</v>
      </c>
      <c r="X264" s="90">
        <f t="shared" si="116"/>
        <v>49826.372409096533</v>
      </c>
      <c r="Y264" s="148">
        <v>17413</v>
      </c>
      <c r="Z264" s="149">
        <f t="shared" si="117"/>
        <v>15323.44</v>
      </c>
      <c r="AA264" s="148"/>
      <c r="AB264" s="145"/>
      <c r="AC264" s="145"/>
      <c r="AD264" s="148">
        <f t="shared" si="118"/>
        <v>15323.44</v>
      </c>
      <c r="AE264" s="122">
        <f t="shared" si="119"/>
        <v>34502.932409096531</v>
      </c>
      <c r="AF264" s="167">
        <f t="shared" si="120"/>
        <v>195838.01600000003</v>
      </c>
    </row>
    <row r="265" spans="1:32" s="150" customFormat="1" x14ac:dyDescent="0.2">
      <c r="A265" s="144" t="s">
        <v>80</v>
      </c>
      <c r="B265" s="144"/>
      <c r="C265" s="144"/>
      <c r="D265" s="145">
        <v>1</v>
      </c>
      <c r="E265" s="122"/>
      <c r="F265" s="146">
        <v>0.12</v>
      </c>
      <c r="G265" s="146"/>
      <c r="H265" s="122">
        <v>7921</v>
      </c>
      <c r="I265" s="122">
        <f t="shared" si="110"/>
        <v>7667.5279999999993</v>
      </c>
      <c r="J265" s="147">
        <f t="shared" si="111"/>
        <v>6747.4246399999993</v>
      </c>
      <c r="K265" s="122"/>
      <c r="L265" s="122">
        <v>0</v>
      </c>
      <c r="M265" s="122">
        <f t="shared" si="112"/>
        <v>0</v>
      </c>
      <c r="N265" s="122">
        <f t="shared" si="113"/>
        <v>0</v>
      </c>
      <c r="O265" s="122"/>
      <c r="P265" s="122">
        <v>0</v>
      </c>
      <c r="Q265" s="122">
        <f t="shared" si="114"/>
        <v>0</v>
      </c>
      <c r="R265" s="147">
        <f t="shared" si="115"/>
        <v>0</v>
      </c>
      <c r="S265" s="145">
        <v>15</v>
      </c>
      <c r="T265" s="144" t="s">
        <v>213</v>
      </c>
      <c r="U265" s="90">
        <f>SUMIF('Avoided Costs 2009-2017'!$A:$A,Actuals!T265&amp;Actuals!S265,'Avoided Costs 2009-2017'!$E:$E)*J265</f>
        <v>22821.177389965909</v>
      </c>
      <c r="V265" s="90">
        <f>SUMIF('Avoided Costs 2009-2017'!$A:$A,Actuals!T265&amp;Actuals!S265,'Avoided Costs 2009-2017'!$K:$K)*N265</f>
        <v>0</v>
      </c>
      <c r="W265" s="90">
        <f>SUMIF('Avoided Costs 2009-2017'!$A:$A,Actuals!T265&amp;Actuals!S265,'Avoided Costs 2009-2017'!$M:$M)*R265</f>
        <v>0</v>
      </c>
      <c r="X265" s="90">
        <f t="shared" si="116"/>
        <v>22821.177389965909</v>
      </c>
      <c r="Y265" s="148">
        <v>19158</v>
      </c>
      <c r="Z265" s="149">
        <f t="shared" si="117"/>
        <v>16859.04</v>
      </c>
      <c r="AA265" s="148"/>
      <c r="AB265" s="145"/>
      <c r="AC265" s="145"/>
      <c r="AD265" s="148">
        <f t="shared" si="118"/>
        <v>16859.04</v>
      </c>
      <c r="AE265" s="122">
        <f t="shared" si="119"/>
        <v>5962.1373899659084</v>
      </c>
      <c r="AF265" s="167">
        <f t="shared" si="120"/>
        <v>101211.36959999999</v>
      </c>
    </row>
    <row r="266" spans="1:32" s="150" customFormat="1" x14ac:dyDescent="0.2">
      <c r="A266" s="144" t="s">
        <v>81</v>
      </c>
      <c r="B266" s="144"/>
      <c r="C266" s="144"/>
      <c r="D266" s="145">
        <v>1</v>
      </c>
      <c r="E266" s="122"/>
      <c r="F266" s="146">
        <v>0.12</v>
      </c>
      <c r="G266" s="146"/>
      <c r="H266" s="122">
        <v>51995</v>
      </c>
      <c r="I266" s="122">
        <f t="shared" si="110"/>
        <v>50331.159999999996</v>
      </c>
      <c r="J266" s="147">
        <f t="shared" si="111"/>
        <v>44291.4208</v>
      </c>
      <c r="K266" s="122"/>
      <c r="L266" s="122">
        <v>0</v>
      </c>
      <c r="M266" s="122">
        <f t="shared" si="112"/>
        <v>0</v>
      </c>
      <c r="N266" s="122">
        <f t="shared" si="113"/>
        <v>0</v>
      </c>
      <c r="O266" s="122"/>
      <c r="P266" s="122">
        <v>0</v>
      </c>
      <c r="Q266" s="122">
        <f t="shared" si="114"/>
        <v>0</v>
      </c>
      <c r="R266" s="147">
        <f t="shared" si="115"/>
        <v>0</v>
      </c>
      <c r="S266" s="145">
        <v>8</v>
      </c>
      <c r="T266" s="144" t="s">
        <v>1176</v>
      </c>
      <c r="U266" s="90">
        <f>SUMIF('Avoided Costs 2009-2017'!$A:$A,Actuals!T266&amp;Actuals!S266,'Avoided Costs 2009-2017'!$E:$E)*J266</f>
        <v>90744.41703756155</v>
      </c>
      <c r="V266" s="90">
        <f>SUMIF('Avoided Costs 2009-2017'!$A:$A,Actuals!T266&amp;Actuals!S266,'Avoided Costs 2009-2017'!$K:$K)*N266</f>
        <v>0</v>
      </c>
      <c r="W266" s="90">
        <f>SUMIF('Avoided Costs 2009-2017'!$A:$A,Actuals!T266&amp;Actuals!S266,'Avoided Costs 2009-2017'!$M:$M)*R266</f>
        <v>0</v>
      </c>
      <c r="X266" s="90">
        <f t="shared" si="116"/>
        <v>90744.41703756155</v>
      </c>
      <c r="Y266" s="148">
        <v>71338</v>
      </c>
      <c r="Z266" s="149">
        <f t="shared" si="117"/>
        <v>62777.440000000002</v>
      </c>
      <c r="AA266" s="148"/>
      <c r="AB266" s="145"/>
      <c r="AC266" s="145"/>
      <c r="AD266" s="148">
        <f t="shared" si="118"/>
        <v>62777.440000000002</v>
      </c>
      <c r="AE266" s="122">
        <f t="shared" si="119"/>
        <v>27966.977037561548</v>
      </c>
      <c r="AF266" s="167">
        <f t="shared" si="120"/>
        <v>354331.3664</v>
      </c>
    </row>
    <row r="267" spans="1:32" s="150" customFormat="1" x14ac:dyDescent="0.2">
      <c r="A267" s="144" t="s">
        <v>82</v>
      </c>
      <c r="B267" s="144"/>
      <c r="C267" s="144"/>
      <c r="D267" s="145">
        <v>1</v>
      </c>
      <c r="E267" s="122"/>
      <c r="F267" s="146">
        <v>0.12</v>
      </c>
      <c r="G267" s="146"/>
      <c r="H267" s="122">
        <v>6195</v>
      </c>
      <c r="I267" s="122">
        <f t="shared" si="110"/>
        <v>5996.76</v>
      </c>
      <c r="J267" s="147">
        <f t="shared" si="111"/>
        <v>5277.1487999999999</v>
      </c>
      <c r="K267" s="122"/>
      <c r="L267" s="122">
        <v>0</v>
      </c>
      <c r="M267" s="122">
        <f t="shared" si="112"/>
        <v>0</v>
      </c>
      <c r="N267" s="122">
        <f t="shared" si="113"/>
        <v>0</v>
      </c>
      <c r="O267" s="122"/>
      <c r="P267" s="122">
        <v>0</v>
      </c>
      <c r="Q267" s="122">
        <f t="shared" si="114"/>
        <v>0</v>
      </c>
      <c r="R267" s="147">
        <f t="shared" si="115"/>
        <v>0</v>
      </c>
      <c r="S267" s="145">
        <v>8</v>
      </c>
      <c r="T267" s="144" t="s">
        <v>1176</v>
      </c>
      <c r="U267" s="90">
        <f>SUMIF('Avoided Costs 2009-2017'!$A:$A,Actuals!T267&amp;Actuals!S267,'Avoided Costs 2009-2017'!$E:$E)*J267</f>
        <v>10811.840822150089</v>
      </c>
      <c r="V267" s="90">
        <f>SUMIF('Avoided Costs 2009-2017'!$A:$A,Actuals!T267&amp;Actuals!S267,'Avoided Costs 2009-2017'!$K:$K)*N267</f>
        <v>0</v>
      </c>
      <c r="W267" s="90">
        <f>SUMIF('Avoided Costs 2009-2017'!$A:$A,Actuals!T267&amp;Actuals!S267,'Avoided Costs 2009-2017'!$M:$M)*R267</f>
        <v>0</v>
      </c>
      <c r="X267" s="90">
        <f t="shared" si="116"/>
        <v>10811.840822150089</v>
      </c>
      <c r="Y267" s="148">
        <v>4627</v>
      </c>
      <c r="Z267" s="149">
        <f t="shared" si="117"/>
        <v>4071.76</v>
      </c>
      <c r="AA267" s="148"/>
      <c r="AB267" s="145"/>
      <c r="AC267" s="145"/>
      <c r="AD267" s="148">
        <f t="shared" si="118"/>
        <v>4071.76</v>
      </c>
      <c r="AE267" s="122">
        <f t="shared" si="119"/>
        <v>6740.0808221500884</v>
      </c>
      <c r="AF267" s="167">
        <f t="shared" si="120"/>
        <v>42217.190399999999</v>
      </c>
    </row>
    <row r="268" spans="1:32" s="150" customFormat="1" x14ac:dyDescent="0.2">
      <c r="A268" s="144" t="s">
        <v>83</v>
      </c>
      <c r="B268" s="144"/>
      <c r="C268" s="144"/>
      <c r="D268" s="145">
        <v>0</v>
      </c>
      <c r="E268" s="122"/>
      <c r="F268" s="146">
        <v>0.12</v>
      </c>
      <c r="G268" s="146"/>
      <c r="H268" s="122">
        <v>4331</v>
      </c>
      <c r="I268" s="122">
        <f t="shared" si="110"/>
        <v>4192.4079999999994</v>
      </c>
      <c r="J268" s="147">
        <f t="shared" si="111"/>
        <v>3689.3190399999994</v>
      </c>
      <c r="K268" s="122"/>
      <c r="L268" s="122">
        <v>0</v>
      </c>
      <c r="M268" s="122">
        <f t="shared" si="112"/>
        <v>0</v>
      </c>
      <c r="N268" s="122">
        <f t="shared" si="113"/>
        <v>0</v>
      </c>
      <c r="O268" s="122"/>
      <c r="P268" s="122">
        <v>0</v>
      </c>
      <c r="Q268" s="122">
        <f t="shared" si="114"/>
        <v>0</v>
      </c>
      <c r="R268" s="147">
        <f t="shared" si="115"/>
        <v>0</v>
      </c>
      <c r="S268" s="145">
        <v>15</v>
      </c>
      <c r="T268" s="144" t="s">
        <v>213</v>
      </c>
      <c r="U268" s="90">
        <f>SUMIF('Avoided Costs 2009-2017'!$A:$A,Actuals!T268&amp;Actuals!S268,'Avoided Costs 2009-2017'!$E:$E)*J268</f>
        <v>12478.03551015558</v>
      </c>
      <c r="V268" s="90">
        <f>SUMIF('Avoided Costs 2009-2017'!$A:$A,Actuals!T268&amp;Actuals!S268,'Avoided Costs 2009-2017'!$K:$K)*N268</f>
        <v>0</v>
      </c>
      <c r="W268" s="90">
        <f>SUMIF('Avoided Costs 2009-2017'!$A:$A,Actuals!T268&amp;Actuals!S268,'Avoided Costs 2009-2017'!$M:$M)*R268</f>
        <v>0</v>
      </c>
      <c r="X268" s="90">
        <f t="shared" si="116"/>
        <v>12478.03551015558</v>
      </c>
      <c r="Y268" s="148">
        <v>2646</v>
      </c>
      <c r="Z268" s="149">
        <f t="shared" si="117"/>
        <v>2328.48</v>
      </c>
      <c r="AA268" s="148"/>
      <c r="AB268" s="145"/>
      <c r="AC268" s="145"/>
      <c r="AD268" s="148">
        <f t="shared" si="118"/>
        <v>2328.48</v>
      </c>
      <c r="AE268" s="122">
        <f t="shared" si="119"/>
        <v>10149.55551015558</v>
      </c>
      <c r="AF268" s="167">
        <f t="shared" si="120"/>
        <v>55339.785599999988</v>
      </c>
    </row>
    <row r="269" spans="1:32" s="150" customFormat="1" x14ac:dyDescent="0.2">
      <c r="A269" s="144" t="s">
        <v>84</v>
      </c>
      <c r="B269" s="144"/>
      <c r="C269" s="144"/>
      <c r="D269" s="145">
        <v>1</v>
      </c>
      <c r="E269" s="122"/>
      <c r="F269" s="146">
        <v>0.12</v>
      </c>
      <c r="G269" s="146"/>
      <c r="H269" s="122">
        <v>988</v>
      </c>
      <c r="I269" s="122">
        <f t="shared" si="110"/>
        <v>956.38400000000001</v>
      </c>
      <c r="J269" s="147">
        <f t="shared" si="111"/>
        <v>841.61792000000003</v>
      </c>
      <c r="K269" s="122"/>
      <c r="L269" s="122">
        <v>0</v>
      </c>
      <c r="M269" s="122">
        <f t="shared" si="112"/>
        <v>0</v>
      </c>
      <c r="N269" s="122">
        <f t="shared" si="113"/>
        <v>0</v>
      </c>
      <c r="O269" s="122"/>
      <c r="P269" s="122">
        <v>0</v>
      </c>
      <c r="Q269" s="122">
        <f t="shared" si="114"/>
        <v>0</v>
      </c>
      <c r="R269" s="147">
        <f t="shared" si="115"/>
        <v>0</v>
      </c>
      <c r="S269" s="145">
        <v>10</v>
      </c>
      <c r="T269" s="144" t="s">
        <v>1176</v>
      </c>
      <c r="U269" s="90">
        <f>SUMIF('Avoided Costs 2009-2017'!$A:$A,Actuals!T269&amp;Actuals!S269,'Avoided Costs 2009-2017'!$E:$E)*J269</f>
        <v>2015.6047890099646</v>
      </c>
      <c r="V269" s="90">
        <f>SUMIF('Avoided Costs 2009-2017'!$A:$A,Actuals!T269&amp;Actuals!S269,'Avoided Costs 2009-2017'!$K:$K)*N269</f>
        <v>0</v>
      </c>
      <c r="W269" s="90">
        <f>SUMIF('Avoided Costs 2009-2017'!$A:$A,Actuals!T269&amp;Actuals!S269,'Avoided Costs 2009-2017'!$M:$M)*R269</f>
        <v>0</v>
      </c>
      <c r="X269" s="90">
        <f t="shared" si="116"/>
        <v>2015.6047890099646</v>
      </c>
      <c r="Y269" s="148">
        <v>5507</v>
      </c>
      <c r="Z269" s="149">
        <f t="shared" si="117"/>
        <v>4846.16</v>
      </c>
      <c r="AA269" s="148"/>
      <c r="AB269" s="145"/>
      <c r="AC269" s="145"/>
      <c r="AD269" s="148">
        <f t="shared" si="118"/>
        <v>4846.16</v>
      </c>
      <c r="AE269" s="122">
        <f t="shared" si="119"/>
        <v>-2830.5552109900354</v>
      </c>
      <c r="AF269" s="167">
        <f t="shared" si="120"/>
        <v>8416.1792000000005</v>
      </c>
    </row>
    <row r="270" spans="1:32" s="150" customFormat="1" x14ac:dyDescent="0.2">
      <c r="A270" s="144" t="s">
        <v>85</v>
      </c>
      <c r="B270" s="144"/>
      <c r="C270" s="144"/>
      <c r="D270" s="145">
        <v>0</v>
      </c>
      <c r="E270" s="122"/>
      <c r="F270" s="146">
        <v>0.12</v>
      </c>
      <c r="G270" s="146"/>
      <c r="H270" s="122">
        <v>6088</v>
      </c>
      <c r="I270" s="122">
        <f t="shared" si="110"/>
        <v>5893.1840000000002</v>
      </c>
      <c r="J270" s="147">
        <f t="shared" si="111"/>
        <v>5186.0019200000006</v>
      </c>
      <c r="K270" s="122"/>
      <c r="L270" s="122">
        <v>0</v>
      </c>
      <c r="M270" s="122">
        <f t="shared" si="112"/>
        <v>0</v>
      </c>
      <c r="N270" s="122">
        <f t="shared" si="113"/>
        <v>0</v>
      </c>
      <c r="O270" s="122"/>
      <c r="P270" s="122">
        <v>0</v>
      </c>
      <c r="Q270" s="122">
        <f t="shared" si="114"/>
        <v>0</v>
      </c>
      <c r="R270" s="147">
        <f t="shared" si="115"/>
        <v>0</v>
      </c>
      <c r="S270" s="145">
        <v>15</v>
      </c>
      <c r="T270" s="144" t="s">
        <v>213</v>
      </c>
      <c r="U270" s="90">
        <f>SUMIF('Avoided Costs 2009-2017'!$A:$A,Actuals!T270&amp;Actuals!S270,'Avoided Costs 2009-2017'!$E:$E)*J270</f>
        <v>17540.12472542766</v>
      </c>
      <c r="V270" s="90">
        <f>SUMIF('Avoided Costs 2009-2017'!$A:$A,Actuals!T270&amp;Actuals!S270,'Avoided Costs 2009-2017'!$K:$K)*N270</f>
        <v>0</v>
      </c>
      <c r="W270" s="90">
        <f>SUMIF('Avoided Costs 2009-2017'!$A:$A,Actuals!T270&amp;Actuals!S270,'Avoided Costs 2009-2017'!$M:$M)*R270</f>
        <v>0</v>
      </c>
      <c r="X270" s="90">
        <f t="shared" si="116"/>
        <v>17540.12472542766</v>
      </c>
      <c r="Y270" s="148">
        <v>14867</v>
      </c>
      <c r="Z270" s="149">
        <f t="shared" si="117"/>
        <v>13082.960000000001</v>
      </c>
      <c r="AA270" s="148"/>
      <c r="AB270" s="145"/>
      <c r="AC270" s="145"/>
      <c r="AD270" s="148">
        <f t="shared" si="118"/>
        <v>13082.960000000001</v>
      </c>
      <c r="AE270" s="122">
        <f t="shared" si="119"/>
        <v>4457.1647254276595</v>
      </c>
      <c r="AF270" s="167">
        <f t="shared" si="120"/>
        <v>77790.028800000015</v>
      </c>
    </row>
    <row r="271" spans="1:32" s="150" customFormat="1" x14ac:dyDescent="0.2">
      <c r="A271" s="144" t="s">
        <v>86</v>
      </c>
      <c r="B271" s="144"/>
      <c r="C271" s="144"/>
      <c r="D271" s="145">
        <v>0</v>
      </c>
      <c r="E271" s="122"/>
      <c r="F271" s="146">
        <v>0.12</v>
      </c>
      <c r="G271" s="146"/>
      <c r="H271" s="122">
        <v>46365</v>
      </c>
      <c r="I271" s="122">
        <f t="shared" si="110"/>
        <v>44881.32</v>
      </c>
      <c r="J271" s="147">
        <f t="shared" si="111"/>
        <v>39495.561600000001</v>
      </c>
      <c r="K271" s="122"/>
      <c r="L271" s="122">
        <v>0</v>
      </c>
      <c r="M271" s="122">
        <f t="shared" si="112"/>
        <v>0</v>
      </c>
      <c r="N271" s="122">
        <f t="shared" si="113"/>
        <v>0</v>
      </c>
      <c r="O271" s="122"/>
      <c r="P271" s="122">
        <v>0</v>
      </c>
      <c r="Q271" s="122">
        <f t="shared" si="114"/>
        <v>0</v>
      </c>
      <c r="R271" s="147">
        <f t="shared" si="115"/>
        <v>0</v>
      </c>
      <c r="S271" s="145">
        <v>9</v>
      </c>
      <c r="T271" s="144" t="s">
        <v>1176</v>
      </c>
      <c r="U271" s="90">
        <f>SUMIF('Avoided Costs 2009-2017'!$A:$A,Actuals!T271&amp;Actuals!S271,'Avoided Costs 2009-2017'!$E:$E)*J271</f>
        <v>87984.745672507168</v>
      </c>
      <c r="V271" s="90">
        <f>SUMIF('Avoided Costs 2009-2017'!$A:$A,Actuals!T271&amp;Actuals!S271,'Avoided Costs 2009-2017'!$K:$K)*N271</f>
        <v>0</v>
      </c>
      <c r="W271" s="90">
        <f>SUMIF('Avoided Costs 2009-2017'!$A:$A,Actuals!T271&amp;Actuals!S271,'Avoided Costs 2009-2017'!$M:$M)*R271</f>
        <v>0</v>
      </c>
      <c r="X271" s="90">
        <f t="shared" si="116"/>
        <v>87984.745672507168</v>
      </c>
      <c r="Y271" s="148">
        <v>58885</v>
      </c>
      <c r="Z271" s="149">
        <f t="shared" si="117"/>
        <v>51818.8</v>
      </c>
      <c r="AA271" s="148"/>
      <c r="AB271" s="145"/>
      <c r="AC271" s="145"/>
      <c r="AD271" s="148">
        <f t="shared" si="118"/>
        <v>51818.8</v>
      </c>
      <c r="AE271" s="122">
        <f t="shared" si="119"/>
        <v>36165.945672507165</v>
      </c>
      <c r="AF271" s="167">
        <f t="shared" si="120"/>
        <v>355460.05440000002</v>
      </c>
    </row>
    <row r="272" spans="1:32" s="150" customFormat="1" x14ac:dyDescent="0.2">
      <c r="A272" s="144" t="s">
        <v>87</v>
      </c>
      <c r="B272" s="144"/>
      <c r="C272" s="144"/>
      <c r="D272" s="145">
        <v>1</v>
      </c>
      <c r="E272" s="122"/>
      <c r="F272" s="146">
        <v>0.12</v>
      </c>
      <c r="G272" s="146"/>
      <c r="H272" s="122">
        <v>9907</v>
      </c>
      <c r="I272" s="122">
        <f t="shared" si="110"/>
        <v>9589.9760000000006</v>
      </c>
      <c r="J272" s="147">
        <f t="shared" si="111"/>
        <v>8439.1788800000013</v>
      </c>
      <c r="K272" s="122"/>
      <c r="L272" s="122">
        <v>0</v>
      </c>
      <c r="M272" s="122">
        <f t="shared" si="112"/>
        <v>0</v>
      </c>
      <c r="N272" s="122">
        <f t="shared" si="113"/>
        <v>0</v>
      </c>
      <c r="O272" s="122"/>
      <c r="P272" s="122">
        <v>0</v>
      </c>
      <c r="Q272" s="122">
        <f t="shared" si="114"/>
        <v>0</v>
      </c>
      <c r="R272" s="147">
        <f t="shared" si="115"/>
        <v>0</v>
      </c>
      <c r="S272" s="145">
        <v>10</v>
      </c>
      <c r="T272" s="144" t="s">
        <v>1176</v>
      </c>
      <c r="U272" s="90">
        <f>SUMIF('Avoided Costs 2009-2017'!$A:$A,Actuals!T272&amp;Actuals!S272,'Avoided Costs 2009-2017'!$E:$E)*J272</f>
        <v>20211.130207208222</v>
      </c>
      <c r="V272" s="90">
        <f>SUMIF('Avoided Costs 2009-2017'!$A:$A,Actuals!T272&amp;Actuals!S272,'Avoided Costs 2009-2017'!$K:$K)*N272</f>
        <v>0</v>
      </c>
      <c r="W272" s="90">
        <f>SUMIF('Avoided Costs 2009-2017'!$A:$A,Actuals!T272&amp;Actuals!S272,'Avoided Costs 2009-2017'!$M:$M)*R272</f>
        <v>0</v>
      </c>
      <c r="X272" s="90">
        <f t="shared" si="116"/>
        <v>20211.130207208222</v>
      </c>
      <c r="Y272" s="148">
        <v>21423.38</v>
      </c>
      <c r="Z272" s="149">
        <f t="shared" si="117"/>
        <v>18852.574400000001</v>
      </c>
      <c r="AA272" s="148"/>
      <c r="AB272" s="145"/>
      <c r="AC272" s="145"/>
      <c r="AD272" s="148">
        <f t="shared" si="118"/>
        <v>18852.574400000001</v>
      </c>
      <c r="AE272" s="122">
        <f t="shared" si="119"/>
        <v>1358.5558072082204</v>
      </c>
      <c r="AF272" s="167">
        <f t="shared" si="120"/>
        <v>84391.788800000009</v>
      </c>
    </row>
    <row r="273" spans="1:32" s="150" customFormat="1" x14ac:dyDescent="0.2">
      <c r="A273" s="144" t="s">
        <v>88</v>
      </c>
      <c r="B273" s="144"/>
      <c r="C273" s="144"/>
      <c r="D273" s="145">
        <v>1</v>
      </c>
      <c r="E273" s="122"/>
      <c r="F273" s="146">
        <v>0.12</v>
      </c>
      <c r="G273" s="146"/>
      <c r="H273" s="122">
        <v>425</v>
      </c>
      <c r="I273" s="122">
        <f t="shared" si="110"/>
        <v>411.4</v>
      </c>
      <c r="J273" s="147">
        <f t="shared" si="111"/>
        <v>362.03199999999998</v>
      </c>
      <c r="K273" s="122"/>
      <c r="L273" s="122">
        <v>0</v>
      </c>
      <c r="M273" s="122">
        <f t="shared" si="112"/>
        <v>0</v>
      </c>
      <c r="N273" s="122">
        <f t="shared" si="113"/>
        <v>0</v>
      </c>
      <c r="O273" s="122"/>
      <c r="P273" s="122">
        <v>0</v>
      </c>
      <c r="Q273" s="122">
        <f t="shared" si="114"/>
        <v>0</v>
      </c>
      <c r="R273" s="147">
        <f t="shared" si="115"/>
        <v>0</v>
      </c>
      <c r="S273" s="145">
        <v>10</v>
      </c>
      <c r="T273" s="144" t="s">
        <v>1176</v>
      </c>
      <c r="U273" s="90">
        <f>SUMIF('Avoided Costs 2009-2017'!$A:$A,Actuals!T273&amp;Actuals!S273,'Avoided Costs 2009-2017'!$E:$E)*J273</f>
        <v>867.03647300529849</v>
      </c>
      <c r="V273" s="90">
        <f>SUMIF('Avoided Costs 2009-2017'!$A:$A,Actuals!T273&amp;Actuals!S273,'Avoided Costs 2009-2017'!$K:$K)*N273</f>
        <v>0</v>
      </c>
      <c r="W273" s="90">
        <f>SUMIF('Avoided Costs 2009-2017'!$A:$A,Actuals!T273&amp;Actuals!S273,'Avoided Costs 2009-2017'!$M:$M)*R273</f>
        <v>0</v>
      </c>
      <c r="X273" s="90">
        <f t="shared" si="116"/>
        <v>867.03647300529849</v>
      </c>
      <c r="Y273" s="148">
        <v>1809</v>
      </c>
      <c r="Z273" s="149">
        <f t="shared" si="117"/>
        <v>1591.92</v>
      </c>
      <c r="AA273" s="148"/>
      <c r="AB273" s="145"/>
      <c r="AC273" s="145"/>
      <c r="AD273" s="148">
        <f t="shared" si="118"/>
        <v>1591.92</v>
      </c>
      <c r="AE273" s="122">
        <f t="shared" si="119"/>
        <v>-724.88352699470158</v>
      </c>
      <c r="AF273" s="167">
        <f t="shared" si="120"/>
        <v>3620.3199999999997</v>
      </c>
    </row>
    <row r="274" spans="1:32" s="150" customFormat="1" x14ac:dyDescent="0.2">
      <c r="A274" s="144" t="s">
        <v>89</v>
      </c>
      <c r="B274" s="144"/>
      <c r="C274" s="144"/>
      <c r="D274" s="145">
        <v>1</v>
      </c>
      <c r="E274" s="122"/>
      <c r="F274" s="146">
        <v>0.12</v>
      </c>
      <c r="G274" s="146"/>
      <c r="H274" s="122">
        <v>2354</v>
      </c>
      <c r="I274" s="122">
        <f t="shared" si="110"/>
        <v>2278.672</v>
      </c>
      <c r="J274" s="147">
        <f t="shared" si="111"/>
        <v>2005.23136</v>
      </c>
      <c r="K274" s="122"/>
      <c r="L274" s="122">
        <v>0</v>
      </c>
      <c r="M274" s="122">
        <f t="shared" si="112"/>
        <v>0</v>
      </c>
      <c r="N274" s="122">
        <f t="shared" si="113"/>
        <v>0</v>
      </c>
      <c r="O274" s="122"/>
      <c r="P274" s="122">
        <v>0</v>
      </c>
      <c r="Q274" s="122">
        <f t="shared" si="114"/>
        <v>0</v>
      </c>
      <c r="R274" s="147">
        <f t="shared" si="115"/>
        <v>0</v>
      </c>
      <c r="S274" s="145">
        <v>10</v>
      </c>
      <c r="T274" s="144" t="s">
        <v>1176</v>
      </c>
      <c r="U274" s="90">
        <f>SUMIF('Avoided Costs 2009-2017'!$A:$A,Actuals!T274&amp;Actuals!S274,'Avoided Costs 2009-2017'!$E:$E)*J274</f>
        <v>4802.3620175399356</v>
      </c>
      <c r="V274" s="90">
        <f>SUMIF('Avoided Costs 2009-2017'!$A:$A,Actuals!T274&amp;Actuals!S274,'Avoided Costs 2009-2017'!$K:$K)*N274</f>
        <v>0</v>
      </c>
      <c r="W274" s="90">
        <f>SUMIF('Avoided Costs 2009-2017'!$A:$A,Actuals!T274&amp;Actuals!S274,'Avoided Costs 2009-2017'!$M:$M)*R274</f>
        <v>0</v>
      </c>
      <c r="X274" s="90">
        <f t="shared" si="116"/>
        <v>4802.3620175399356</v>
      </c>
      <c r="Y274" s="148">
        <v>4743</v>
      </c>
      <c r="Z274" s="149">
        <f t="shared" si="117"/>
        <v>4173.84</v>
      </c>
      <c r="AA274" s="148"/>
      <c r="AB274" s="145"/>
      <c r="AC274" s="145"/>
      <c r="AD274" s="148">
        <f t="shared" si="118"/>
        <v>4173.84</v>
      </c>
      <c r="AE274" s="122">
        <f t="shared" si="119"/>
        <v>628.5220175399354</v>
      </c>
      <c r="AF274" s="167">
        <f t="shared" si="120"/>
        <v>20052.313600000001</v>
      </c>
    </row>
    <row r="275" spans="1:32" s="150" customFormat="1" x14ac:dyDescent="0.2">
      <c r="A275" s="144" t="s">
        <v>90</v>
      </c>
      <c r="B275" s="144"/>
      <c r="C275" s="144"/>
      <c r="D275" s="145">
        <v>0</v>
      </c>
      <c r="E275" s="122"/>
      <c r="F275" s="146">
        <v>0.12</v>
      </c>
      <c r="G275" s="146"/>
      <c r="H275" s="122">
        <v>23811</v>
      </c>
      <c r="I275" s="122">
        <f t="shared" si="110"/>
        <v>23049.047999999999</v>
      </c>
      <c r="J275" s="147">
        <f t="shared" si="111"/>
        <v>20283.162239999998</v>
      </c>
      <c r="K275" s="122"/>
      <c r="L275" s="122">
        <v>0</v>
      </c>
      <c r="M275" s="122">
        <f t="shared" si="112"/>
        <v>0</v>
      </c>
      <c r="N275" s="122">
        <f t="shared" si="113"/>
        <v>0</v>
      </c>
      <c r="O275" s="122"/>
      <c r="P275" s="122">
        <v>0</v>
      </c>
      <c r="Q275" s="122">
        <f t="shared" si="114"/>
        <v>0</v>
      </c>
      <c r="R275" s="147">
        <f t="shared" si="115"/>
        <v>0</v>
      </c>
      <c r="S275" s="145">
        <v>9</v>
      </c>
      <c r="T275" s="144" t="s">
        <v>1176</v>
      </c>
      <c r="U275" s="90">
        <f>SUMIF('Avoided Costs 2009-2017'!$A:$A,Actuals!T275&amp;Actuals!S275,'Avoided Costs 2009-2017'!$E:$E)*J275</f>
        <v>45185.048618744047</v>
      </c>
      <c r="V275" s="90">
        <f>SUMIF('Avoided Costs 2009-2017'!$A:$A,Actuals!T275&amp;Actuals!S275,'Avoided Costs 2009-2017'!$K:$K)*N275</f>
        <v>0</v>
      </c>
      <c r="W275" s="90">
        <f>SUMIF('Avoided Costs 2009-2017'!$A:$A,Actuals!T275&amp;Actuals!S275,'Avoided Costs 2009-2017'!$M:$M)*R275</f>
        <v>0</v>
      </c>
      <c r="X275" s="90">
        <f t="shared" si="116"/>
        <v>45185.048618744047</v>
      </c>
      <c r="Y275" s="148">
        <v>22992</v>
      </c>
      <c r="Z275" s="149">
        <f t="shared" si="117"/>
        <v>20232.96</v>
      </c>
      <c r="AA275" s="148"/>
      <c r="AB275" s="145"/>
      <c r="AC275" s="145"/>
      <c r="AD275" s="148">
        <f t="shared" si="118"/>
        <v>20232.96</v>
      </c>
      <c r="AE275" s="122">
        <f t="shared" si="119"/>
        <v>24952.088618744048</v>
      </c>
      <c r="AF275" s="167">
        <f t="shared" si="120"/>
        <v>182548.46015999999</v>
      </c>
    </row>
    <row r="276" spans="1:32" s="150" customFormat="1" x14ac:dyDescent="0.2">
      <c r="A276" s="144" t="s">
        <v>91</v>
      </c>
      <c r="B276" s="144"/>
      <c r="C276" s="144"/>
      <c r="D276" s="145">
        <v>0</v>
      </c>
      <c r="E276" s="122"/>
      <c r="F276" s="146">
        <v>0.12</v>
      </c>
      <c r="G276" s="146"/>
      <c r="H276" s="122">
        <v>1626</v>
      </c>
      <c r="I276" s="122">
        <f t="shared" si="110"/>
        <v>1573.9679999999998</v>
      </c>
      <c r="J276" s="147">
        <f t="shared" si="111"/>
        <v>1385.0918399999998</v>
      </c>
      <c r="K276" s="122"/>
      <c r="L276" s="122">
        <v>0</v>
      </c>
      <c r="M276" s="122">
        <f t="shared" si="112"/>
        <v>0</v>
      </c>
      <c r="N276" s="122">
        <f t="shared" si="113"/>
        <v>0</v>
      </c>
      <c r="O276" s="122"/>
      <c r="P276" s="122">
        <v>0</v>
      </c>
      <c r="Q276" s="122">
        <f t="shared" si="114"/>
        <v>0</v>
      </c>
      <c r="R276" s="147">
        <f t="shared" si="115"/>
        <v>0</v>
      </c>
      <c r="S276" s="145">
        <v>15</v>
      </c>
      <c r="T276" s="144" t="s">
        <v>213</v>
      </c>
      <c r="U276" s="90">
        <f>SUMIF('Avoided Costs 2009-2017'!$A:$A,Actuals!T276&amp;Actuals!S276,'Avoided Costs 2009-2017'!$E:$E)*J276</f>
        <v>4684.6653750895803</v>
      </c>
      <c r="V276" s="90">
        <f>SUMIF('Avoided Costs 2009-2017'!$A:$A,Actuals!T276&amp;Actuals!S276,'Avoided Costs 2009-2017'!$K:$K)*N276</f>
        <v>0</v>
      </c>
      <c r="W276" s="90">
        <f>SUMIF('Avoided Costs 2009-2017'!$A:$A,Actuals!T276&amp;Actuals!S276,'Avoided Costs 2009-2017'!$M:$M)*R276</f>
        <v>0</v>
      </c>
      <c r="X276" s="90">
        <f t="shared" si="116"/>
        <v>4684.6653750895803</v>
      </c>
      <c r="Y276" s="148">
        <v>1388</v>
      </c>
      <c r="Z276" s="149">
        <f t="shared" si="117"/>
        <v>1221.44</v>
      </c>
      <c r="AA276" s="148"/>
      <c r="AB276" s="145"/>
      <c r="AC276" s="145"/>
      <c r="AD276" s="148">
        <f t="shared" si="118"/>
        <v>1221.44</v>
      </c>
      <c r="AE276" s="122">
        <f t="shared" si="119"/>
        <v>3463.2253750895802</v>
      </c>
      <c r="AF276" s="167">
        <f t="shared" si="120"/>
        <v>20776.377599999996</v>
      </c>
    </row>
    <row r="277" spans="1:32" s="150" customFormat="1" x14ac:dyDescent="0.2">
      <c r="A277" s="144" t="s">
        <v>92</v>
      </c>
      <c r="B277" s="144"/>
      <c r="C277" s="144"/>
      <c r="D277" s="145">
        <v>1</v>
      </c>
      <c r="E277" s="122"/>
      <c r="F277" s="146">
        <v>0.12</v>
      </c>
      <c r="G277" s="146"/>
      <c r="H277" s="122">
        <v>3970</v>
      </c>
      <c r="I277" s="122">
        <f t="shared" si="110"/>
        <v>3842.96</v>
      </c>
      <c r="J277" s="147">
        <f t="shared" si="111"/>
        <v>3381.8047999999999</v>
      </c>
      <c r="K277" s="122"/>
      <c r="L277" s="122">
        <v>0</v>
      </c>
      <c r="M277" s="122">
        <f t="shared" si="112"/>
        <v>0</v>
      </c>
      <c r="N277" s="122">
        <f t="shared" si="113"/>
        <v>0</v>
      </c>
      <c r="O277" s="122"/>
      <c r="P277" s="122">
        <v>0</v>
      </c>
      <c r="Q277" s="122">
        <f t="shared" si="114"/>
        <v>0</v>
      </c>
      <c r="R277" s="147">
        <f t="shared" si="115"/>
        <v>0</v>
      </c>
      <c r="S277" s="145">
        <v>10</v>
      </c>
      <c r="T277" s="144" t="s">
        <v>1176</v>
      </c>
      <c r="U277" s="90">
        <f>SUMIF('Avoided Costs 2009-2017'!$A:$A,Actuals!T277&amp;Actuals!S277,'Avoided Costs 2009-2017'!$E:$E)*J277</f>
        <v>8099.1407007789057</v>
      </c>
      <c r="V277" s="90">
        <f>SUMIF('Avoided Costs 2009-2017'!$A:$A,Actuals!T277&amp;Actuals!S277,'Avoided Costs 2009-2017'!$K:$K)*N277</f>
        <v>0</v>
      </c>
      <c r="W277" s="90">
        <f>SUMIF('Avoided Costs 2009-2017'!$A:$A,Actuals!T277&amp;Actuals!S277,'Avoided Costs 2009-2017'!$M:$M)*R277</f>
        <v>0</v>
      </c>
      <c r="X277" s="90">
        <f t="shared" si="116"/>
        <v>8099.1407007789057</v>
      </c>
      <c r="Y277" s="148">
        <v>8844</v>
      </c>
      <c r="Z277" s="149">
        <f t="shared" si="117"/>
        <v>7782.72</v>
      </c>
      <c r="AA277" s="148"/>
      <c r="AB277" s="145"/>
      <c r="AC277" s="145"/>
      <c r="AD277" s="148">
        <f t="shared" si="118"/>
        <v>7782.72</v>
      </c>
      <c r="AE277" s="122">
        <f t="shared" si="119"/>
        <v>316.42070077890548</v>
      </c>
      <c r="AF277" s="167">
        <f t="shared" si="120"/>
        <v>33818.047999999995</v>
      </c>
    </row>
    <row r="278" spans="1:32" s="150" customFormat="1" x14ac:dyDescent="0.2">
      <c r="A278" s="144" t="s">
        <v>93</v>
      </c>
      <c r="B278" s="144"/>
      <c r="C278" s="144"/>
      <c r="D278" s="145">
        <v>0</v>
      </c>
      <c r="E278" s="122"/>
      <c r="F278" s="146">
        <v>0.12</v>
      </c>
      <c r="G278" s="146"/>
      <c r="H278" s="122">
        <v>25447</v>
      </c>
      <c r="I278" s="122">
        <f t="shared" si="110"/>
        <v>24632.696</v>
      </c>
      <c r="J278" s="147">
        <f t="shared" si="111"/>
        <v>21676.77248</v>
      </c>
      <c r="K278" s="122"/>
      <c r="L278" s="122">
        <v>0</v>
      </c>
      <c r="M278" s="122">
        <f t="shared" si="112"/>
        <v>0</v>
      </c>
      <c r="N278" s="122">
        <f t="shared" si="113"/>
        <v>0</v>
      </c>
      <c r="O278" s="122"/>
      <c r="P278" s="122">
        <v>0</v>
      </c>
      <c r="Q278" s="122">
        <f t="shared" si="114"/>
        <v>0</v>
      </c>
      <c r="R278" s="147">
        <f t="shared" si="115"/>
        <v>0</v>
      </c>
      <c r="S278" s="145">
        <v>9</v>
      </c>
      <c r="T278" s="144" t="s">
        <v>1176</v>
      </c>
      <c r="U278" s="90">
        <f>SUMIF('Avoided Costs 2009-2017'!$A:$A,Actuals!T278&amp;Actuals!S278,'Avoided Costs 2009-2017'!$E:$E)*J278</f>
        <v>48289.611196555372</v>
      </c>
      <c r="V278" s="90">
        <f>SUMIF('Avoided Costs 2009-2017'!$A:$A,Actuals!T278&amp;Actuals!S278,'Avoided Costs 2009-2017'!$K:$K)*N278</f>
        <v>0</v>
      </c>
      <c r="W278" s="90">
        <f>SUMIF('Avoided Costs 2009-2017'!$A:$A,Actuals!T278&amp;Actuals!S278,'Avoided Costs 2009-2017'!$M:$M)*R278</f>
        <v>0</v>
      </c>
      <c r="X278" s="90">
        <f t="shared" si="116"/>
        <v>48289.611196555372</v>
      </c>
      <c r="Y278" s="148">
        <v>17832</v>
      </c>
      <c r="Z278" s="149">
        <f t="shared" si="117"/>
        <v>15692.16</v>
      </c>
      <c r="AA278" s="148"/>
      <c r="AB278" s="145"/>
      <c r="AC278" s="145"/>
      <c r="AD278" s="148">
        <f t="shared" si="118"/>
        <v>15692.16</v>
      </c>
      <c r="AE278" s="122">
        <f t="shared" si="119"/>
        <v>32597.451196555372</v>
      </c>
      <c r="AF278" s="167">
        <f t="shared" si="120"/>
        <v>195090.95231999998</v>
      </c>
    </row>
    <row r="279" spans="1:32" s="150" customFormat="1" x14ac:dyDescent="0.2">
      <c r="A279" s="144" t="s">
        <v>94</v>
      </c>
      <c r="B279" s="144"/>
      <c r="C279" s="144"/>
      <c r="D279" s="145">
        <v>0</v>
      </c>
      <c r="E279" s="122"/>
      <c r="F279" s="146">
        <v>0.12</v>
      </c>
      <c r="G279" s="146"/>
      <c r="H279" s="122">
        <v>7762</v>
      </c>
      <c r="I279" s="122">
        <f t="shared" si="110"/>
        <v>7513.616</v>
      </c>
      <c r="J279" s="147">
        <f t="shared" si="111"/>
        <v>6611.9820799999998</v>
      </c>
      <c r="K279" s="122"/>
      <c r="L279" s="122">
        <v>0</v>
      </c>
      <c r="M279" s="122">
        <f t="shared" si="112"/>
        <v>0</v>
      </c>
      <c r="N279" s="122">
        <f t="shared" si="113"/>
        <v>0</v>
      </c>
      <c r="O279" s="122"/>
      <c r="P279" s="122">
        <v>0</v>
      </c>
      <c r="Q279" s="122">
        <f t="shared" si="114"/>
        <v>0</v>
      </c>
      <c r="R279" s="147">
        <f t="shared" si="115"/>
        <v>0</v>
      </c>
      <c r="S279" s="145">
        <v>15</v>
      </c>
      <c r="T279" s="144" t="s">
        <v>213</v>
      </c>
      <c r="U279" s="90">
        <f>SUMIF('Avoided Costs 2009-2017'!$A:$A,Actuals!T279&amp;Actuals!S279,'Avoided Costs 2009-2017'!$E:$E)*J279</f>
        <v>22363.082805316932</v>
      </c>
      <c r="V279" s="90">
        <f>SUMIF('Avoided Costs 2009-2017'!$A:$A,Actuals!T279&amp;Actuals!S279,'Avoided Costs 2009-2017'!$K:$K)*N279</f>
        <v>0</v>
      </c>
      <c r="W279" s="90">
        <f>SUMIF('Avoided Costs 2009-2017'!$A:$A,Actuals!T279&amp;Actuals!S279,'Avoided Costs 2009-2017'!$M:$M)*R279</f>
        <v>0</v>
      </c>
      <c r="X279" s="90">
        <f t="shared" si="116"/>
        <v>22363.082805316932</v>
      </c>
      <c r="Y279" s="148">
        <v>6994</v>
      </c>
      <c r="Z279" s="149">
        <f t="shared" si="117"/>
        <v>6154.72</v>
      </c>
      <c r="AA279" s="148"/>
      <c r="AB279" s="145"/>
      <c r="AC279" s="145"/>
      <c r="AD279" s="148">
        <f t="shared" si="118"/>
        <v>6154.72</v>
      </c>
      <c r="AE279" s="122">
        <f t="shared" si="119"/>
        <v>16208.36280531693</v>
      </c>
      <c r="AF279" s="167">
        <f t="shared" si="120"/>
        <v>99179.731199999995</v>
      </c>
    </row>
    <row r="280" spans="1:32" s="150" customFormat="1" x14ac:dyDescent="0.2">
      <c r="A280" s="144" t="s">
        <v>95</v>
      </c>
      <c r="B280" s="144"/>
      <c r="C280" s="144"/>
      <c r="D280" s="145">
        <v>1</v>
      </c>
      <c r="E280" s="122"/>
      <c r="F280" s="146">
        <v>0.12</v>
      </c>
      <c r="G280" s="146"/>
      <c r="H280" s="122">
        <v>2903</v>
      </c>
      <c r="I280" s="122">
        <f t="shared" si="110"/>
        <v>2810.1039999999998</v>
      </c>
      <c r="J280" s="147">
        <f t="shared" si="111"/>
        <v>2472.8915199999997</v>
      </c>
      <c r="K280" s="122"/>
      <c r="L280" s="122">
        <v>0</v>
      </c>
      <c r="M280" s="122">
        <f t="shared" si="112"/>
        <v>0</v>
      </c>
      <c r="N280" s="122">
        <f t="shared" si="113"/>
        <v>0</v>
      </c>
      <c r="O280" s="122"/>
      <c r="P280" s="122">
        <v>0</v>
      </c>
      <c r="Q280" s="122">
        <f t="shared" si="114"/>
        <v>0</v>
      </c>
      <c r="R280" s="147">
        <f t="shared" si="115"/>
        <v>0</v>
      </c>
      <c r="S280" s="145">
        <v>10</v>
      </c>
      <c r="T280" s="144" t="s">
        <v>1176</v>
      </c>
      <c r="U280" s="90">
        <f>SUMIF('Avoided Costs 2009-2017'!$A:$A,Actuals!T280&amp;Actuals!S280,'Avoided Costs 2009-2017'!$E:$E)*J280</f>
        <v>5922.3691320808975</v>
      </c>
      <c r="V280" s="90">
        <f>SUMIF('Avoided Costs 2009-2017'!$A:$A,Actuals!T280&amp;Actuals!S280,'Avoided Costs 2009-2017'!$K:$K)*N280</f>
        <v>0</v>
      </c>
      <c r="W280" s="90">
        <f>SUMIF('Avoided Costs 2009-2017'!$A:$A,Actuals!T280&amp;Actuals!S280,'Avoided Costs 2009-2017'!$M:$M)*R280</f>
        <v>0</v>
      </c>
      <c r="X280" s="90">
        <f t="shared" si="116"/>
        <v>5922.3691320808975</v>
      </c>
      <c r="Y280" s="148">
        <v>6005</v>
      </c>
      <c r="Z280" s="149">
        <f t="shared" si="117"/>
        <v>5284.4</v>
      </c>
      <c r="AA280" s="148"/>
      <c r="AB280" s="145"/>
      <c r="AC280" s="145"/>
      <c r="AD280" s="148">
        <f t="shared" si="118"/>
        <v>5284.4</v>
      </c>
      <c r="AE280" s="122">
        <f t="shared" si="119"/>
        <v>637.96913208089791</v>
      </c>
      <c r="AF280" s="167">
        <f t="shared" si="120"/>
        <v>24728.915199999996</v>
      </c>
    </row>
    <row r="281" spans="1:32" s="150" customFormat="1" x14ac:dyDescent="0.2">
      <c r="A281" s="144" t="s">
        <v>96</v>
      </c>
      <c r="B281" s="144"/>
      <c r="C281" s="144"/>
      <c r="D281" s="145">
        <v>1</v>
      </c>
      <c r="E281" s="122"/>
      <c r="F281" s="146">
        <v>0.12</v>
      </c>
      <c r="G281" s="146"/>
      <c r="H281" s="122">
        <v>2455</v>
      </c>
      <c r="I281" s="122">
        <f t="shared" si="110"/>
        <v>2376.44</v>
      </c>
      <c r="J281" s="147">
        <f t="shared" si="111"/>
        <v>2091.2672000000002</v>
      </c>
      <c r="K281" s="122"/>
      <c r="L281" s="122">
        <v>0</v>
      </c>
      <c r="M281" s="122">
        <f t="shared" si="112"/>
        <v>0</v>
      </c>
      <c r="N281" s="122">
        <f t="shared" si="113"/>
        <v>0</v>
      </c>
      <c r="O281" s="122"/>
      <c r="P281" s="122">
        <v>0</v>
      </c>
      <c r="Q281" s="122">
        <f t="shared" si="114"/>
        <v>0</v>
      </c>
      <c r="R281" s="147">
        <f t="shared" si="115"/>
        <v>0</v>
      </c>
      <c r="S281" s="145">
        <v>10</v>
      </c>
      <c r="T281" s="144" t="s">
        <v>1176</v>
      </c>
      <c r="U281" s="90">
        <f>SUMIF('Avoided Costs 2009-2017'!$A:$A,Actuals!T281&amp;Actuals!S281,'Avoided Costs 2009-2017'!$E:$E)*J281</f>
        <v>5008.410685242372</v>
      </c>
      <c r="V281" s="90">
        <f>SUMIF('Avoided Costs 2009-2017'!$A:$A,Actuals!T281&amp;Actuals!S281,'Avoided Costs 2009-2017'!$K:$K)*N281</f>
        <v>0</v>
      </c>
      <c r="W281" s="90">
        <f>SUMIF('Avoided Costs 2009-2017'!$A:$A,Actuals!T281&amp;Actuals!S281,'Avoided Costs 2009-2017'!$M:$M)*R281</f>
        <v>0</v>
      </c>
      <c r="X281" s="90">
        <f t="shared" si="116"/>
        <v>5008.410685242372</v>
      </c>
      <c r="Y281" s="148">
        <v>9906</v>
      </c>
      <c r="Z281" s="149">
        <f t="shared" si="117"/>
        <v>8717.2800000000007</v>
      </c>
      <c r="AA281" s="148"/>
      <c r="AB281" s="145"/>
      <c r="AC281" s="145"/>
      <c r="AD281" s="148">
        <f t="shared" si="118"/>
        <v>8717.2800000000007</v>
      </c>
      <c r="AE281" s="122">
        <f t="shared" si="119"/>
        <v>-3708.8693147576287</v>
      </c>
      <c r="AF281" s="167">
        <f t="shared" si="120"/>
        <v>20912.672000000002</v>
      </c>
    </row>
    <row r="282" spans="1:32" s="150" customFormat="1" x14ac:dyDescent="0.2">
      <c r="A282" s="144" t="s">
        <v>97</v>
      </c>
      <c r="B282" s="144"/>
      <c r="C282" s="144"/>
      <c r="D282" s="145">
        <v>0</v>
      </c>
      <c r="E282" s="122"/>
      <c r="F282" s="146">
        <v>0.12</v>
      </c>
      <c r="G282" s="146"/>
      <c r="H282" s="122">
        <v>138726</v>
      </c>
      <c r="I282" s="122">
        <f t="shared" si="110"/>
        <v>134286.76799999998</v>
      </c>
      <c r="J282" s="147">
        <f t="shared" si="111"/>
        <v>118172.35583999999</v>
      </c>
      <c r="K282" s="122"/>
      <c r="L282" s="122">
        <v>0</v>
      </c>
      <c r="M282" s="122">
        <f t="shared" si="112"/>
        <v>0</v>
      </c>
      <c r="N282" s="122">
        <f t="shared" si="113"/>
        <v>0</v>
      </c>
      <c r="O282" s="122"/>
      <c r="P282" s="122">
        <v>0</v>
      </c>
      <c r="Q282" s="122">
        <f t="shared" si="114"/>
        <v>0</v>
      </c>
      <c r="R282" s="147">
        <f t="shared" si="115"/>
        <v>0</v>
      </c>
      <c r="S282" s="145">
        <v>15</v>
      </c>
      <c r="T282" s="144" t="s">
        <v>213</v>
      </c>
      <c r="U282" s="90">
        <f>SUMIF('Avoided Costs 2009-2017'!$A:$A,Actuals!T282&amp;Actuals!S282,'Avoided Costs 2009-2017'!$E:$E)*J282</f>
        <v>399683.20345921104</v>
      </c>
      <c r="V282" s="90">
        <f>SUMIF('Avoided Costs 2009-2017'!$A:$A,Actuals!T282&amp;Actuals!S282,'Avoided Costs 2009-2017'!$K:$K)*N282</f>
        <v>0</v>
      </c>
      <c r="W282" s="90">
        <f>SUMIF('Avoided Costs 2009-2017'!$A:$A,Actuals!T282&amp;Actuals!S282,'Avoided Costs 2009-2017'!$M:$M)*R282</f>
        <v>0</v>
      </c>
      <c r="X282" s="90">
        <f t="shared" si="116"/>
        <v>399683.20345921104</v>
      </c>
      <c r="Y282" s="148">
        <v>194007</v>
      </c>
      <c r="Z282" s="149">
        <f t="shared" si="117"/>
        <v>170726.16</v>
      </c>
      <c r="AA282" s="148"/>
      <c r="AB282" s="145"/>
      <c r="AC282" s="145"/>
      <c r="AD282" s="148">
        <f t="shared" si="118"/>
        <v>170726.16</v>
      </c>
      <c r="AE282" s="122">
        <f t="shared" si="119"/>
        <v>228957.04345921104</v>
      </c>
      <c r="AF282" s="167">
        <f t="shared" si="120"/>
        <v>1772585.3375999997</v>
      </c>
    </row>
    <row r="283" spans="1:32" s="150" customFormat="1" x14ac:dyDescent="0.2">
      <c r="A283" s="144" t="s">
        <v>98</v>
      </c>
      <c r="B283" s="144"/>
      <c r="C283" s="144"/>
      <c r="D283" s="145">
        <v>0</v>
      </c>
      <c r="E283" s="122"/>
      <c r="F283" s="146">
        <v>0.12</v>
      </c>
      <c r="G283" s="146"/>
      <c r="H283" s="122">
        <v>18054</v>
      </c>
      <c r="I283" s="122">
        <f t="shared" si="110"/>
        <v>17476.272000000001</v>
      </c>
      <c r="J283" s="147">
        <f t="shared" si="111"/>
        <v>15379.119360000001</v>
      </c>
      <c r="K283" s="122"/>
      <c r="L283" s="122">
        <v>0</v>
      </c>
      <c r="M283" s="122">
        <f t="shared" si="112"/>
        <v>0</v>
      </c>
      <c r="N283" s="122">
        <f t="shared" si="113"/>
        <v>0</v>
      </c>
      <c r="O283" s="122"/>
      <c r="P283" s="122">
        <v>0</v>
      </c>
      <c r="Q283" s="122">
        <f t="shared" si="114"/>
        <v>0</v>
      </c>
      <c r="R283" s="147">
        <f t="shared" si="115"/>
        <v>0</v>
      </c>
      <c r="S283" s="145">
        <v>15</v>
      </c>
      <c r="T283" s="144" t="s">
        <v>213</v>
      </c>
      <c r="U283" s="90">
        <f>SUMIF('Avoided Costs 2009-2017'!$A:$A,Actuals!T283&amp;Actuals!S283,'Avoided Costs 2009-2017'!$E:$E)*J283</f>
        <v>52015.343592784317</v>
      </c>
      <c r="V283" s="90">
        <f>SUMIF('Avoided Costs 2009-2017'!$A:$A,Actuals!T283&amp;Actuals!S283,'Avoided Costs 2009-2017'!$K:$K)*N283</f>
        <v>0</v>
      </c>
      <c r="W283" s="90">
        <f>SUMIF('Avoided Costs 2009-2017'!$A:$A,Actuals!T283&amp;Actuals!S283,'Avoided Costs 2009-2017'!$M:$M)*R283</f>
        <v>0</v>
      </c>
      <c r="X283" s="90">
        <f t="shared" si="116"/>
        <v>52015.343592784317</v>
      </c>
      <c r="Y283" s="148">
        <v>14814</v>
      </c>
      <c r="Z283" s="149">
        <f t="shared" si="117"/>
        <v>13036.32</v>
      </c>
      <c r="AA283" s="148"/>
      <c r="AB283" s="145"/>
      <c r="AC283" s="145"/>
      <c r="AD283" s="148">
        <f t="shared" ref="AD283:AD314" si="121">Z283+AB283</f>
        <v>13036.32</v>
      </c>
      <c r="AE283" s="122">
        <f t="shared" ref="AE283:AE314" si="122">X283-AD283</f>
        <v>38979.023592784317</v>
      </c>
      <c r="AF283" s="167">
        <f t="shared" si="120"/>
        <v>230686.7904</v>
      </c>
    </row>
    <row r="284" spans="1:32" s="150" customFormat="1" x14ac:dyDescent="0.2">
      <c r="A284" s="144" t="s">
        <v>99</v>
      </c>
      <c r="B284" s="144"/>
      <c r="C284" s="144"/>
      <c r="D284" s="145">
        <v>1</v>
      </c>
      <c r="E284" s="122"/>
      <c r="F284" s="146">
        <v>0.12</v>
      </c>
      <c r="G284" s="146"/>
      <c r="H284" s="122">
        <v>12111</v>
      </c>
      <c r="I284" s="122">
        <f t="shared" si="110"/>
        <v>11723.448</v>
      </c>
      <c r="J284" s="147">
        <f t="shared" si="111"/>
        <v>10316.634240000001</v>
      </c>
      <c r="K284" s="122"/>
      <c r="L284" s="122">
        <v>0</v>
      </c>
      <c r="M284" s="122">
        <f t="shared" si="112"/>
        <v>0</v>
      </c>
      <c r="N284" s="122">
        <f t="shared" si="113"/>
        <v>0</v>
      </c>
      <c r="O284" s="122"/>
      <c r="P284" s="122">
        <v>0</v>
      </c>
      <c r="Q284" s="122">
        <f t="shared" si="114"/>
        <v>0</v>
      </c>
      <c r="R284" s="147">
        <f t="shared" si="115"/>
        <v>0</v>
      </c>
      <c r="S284" s="145">
        <v>10</v>
      </c>
      <c r="T284" s="144" t="s">
        <v>1176</v>
      </c>
      <c r="U284" s="90">
        <f>SUMIF('Avoided Costs 2009-2017'!$A:$A,Actuals!T284&amp;Actuals!S284,'Avoided Costs 2009-2017'!$E:$E)*J284</f>
        <v>24707.479351922757</v>
      </c>
      <c r="V284" s="90">
        <f>SUMIF('Avoided Costs 2009-2017'!$A:$A,Actuals!T284&amp;Actuals!S284,'Avoided Costs 2009-2017'!$K:$K)*N284</f>
        <v>0</v>
      </c>
      <c r="W284" s="90">
        <f>SUMIF('Avoided Costs 2009-2017'!$A:$A,Actuals!T284&amp;Actuals!S284,'Avoided Costs 2009-2017'!$M:$M)*R284</f>
        <v>0</v>
      </c>
      <c r="X284" s="90">
        <f t="shared" si="116"/>
        <v>24707.479351922757</v>
      </c>
      <c r="Y284" s="148">
        <v>8334</v>
      </c>
      <c r="Z284" s="149">
        <f t="shared" si="117"/>
        <v>7333.92</v>
      </c>
      <c r="AA284" s="148"/>
      <c r="AB284" s="145"/>
      <c r="AC284" s="145"/>
      <c r="AD284" s="148">
        <f t="shared" si="121"/>
        <v>7333.92</v>
      </c>
      <c r="AE284" s="122">
        <f t="shared" si="122"/>
        <v>17373.559351922755</v>
      </c>
      <c r="AF284" s="167">
        <f t="shared" si="120"/>
        <v>103166.34240000001</v>
      </c>
    </row>
    <row r="285" spans="1:32" s="150" customFormat="1" x14ac:dyDescent="0.2">
      <c r="A285" s="144" t="s">
        <v>100</v>
      </c>
      <c r="B285" s="144"/>
      <c r="C285" s="144"/>
      <c r="D285" s="145">
        <v>0</v>
      </c>
      <c r="E285" s="122"/>
      <c r="F285" s="146">
        <v>0.12</v>
      </c>
      <c r="G285" s="146"/>
      <c r="H285" s="122">
        <v>38938</v>
      </c>
      <c r="I285" s="122">
        <f t="shared" si="110"/>
        <v>37691.983999999997</v>
      </c>
      <c r="J285" s="147">
        <f t="shared" si="111"/>
        <v>33168.945919999998</v>
      </c>
      <c r="K285" s="122"/>
      <c r="L285" s="122">
        <v>0</v>
      </c>
      <c r="M285" s="122">
        <f t="shared" si="112"/>
        <v>0</v>
      </c>
      <c r="N285" s="122">
        <f t="shared" si="113"/>
        <v>0</v>
      </c>
      <c r="O285" s="122"/>
      <c r="P285" s="122">
        <v>0</v>
      </c>
      <c r="Q285" s="122">
        <f t="shared" si="114"/>
        <v>0</v>
      </c>
      <c r="R285" s="147">
        <f t="shared" si="115"/>
        <v>0</v>
      </c>
      <c r="S285" s="145">
        <v>9</v>
      </c>
      <c r="T285" s="144" t="s">
        <v>1176</v>
      </c>
      <c r="U285" s="90">
        <f>SUMIF('Avoided Costs 2009-2017'!$A:$A,Actuals!T285&amp;Actuals!S285,'Avoided Costs 2009-2017'!$E:$E)*J285</f>
        <v>73890.866537174239</v>
      </c>
      <c r="V285" s="90">
        <f>SUMIF('Avoided Costs 2009-2017'!$A:$A,Actuals!T285&amp;Actuals!S285,'Avoided Costs 2009-2017'!$K:$K)*N285</f>
        <v>0</v>
      </c>
      <c r="W285" s="90">
        <f>SUMIF('Avoided Costs 2009-2017'!$A:$A,Actuals!T285&amp;Actuals!S285,'Avoided Costs 2009-2017'!$M:$M)*R285</f>
        <v>0</v>
      </c>
      <c r="X285" s="90">
        <f t="shared" si="116"/>
        <v>73890.866537174239</v>
      </c>
      <c r="Y285" s="148">
        <v>44021</v>
      </c>
      <c r="Z285" s="149">
        <f t="shared" si="117"/>
        <v>38738.480000000003</v>
      </c>
      <c r="AA285" s="148"/>
      <c r="AB285" s="145"/>
      <c r="AC285" s="145"/>
      <c r="AD285" s="148">
        <f t="shared" si="121"/>
        <v>38738.480000000003</v>
      </c>
      <c r="AE285" s="122">
        <f t="shared" si="122"/>
        <v>35152.386537174236</v>
      </c>
      <c r="AF285" s="167">
        <f t="shared" si="120"/>
        <v>298520.51327999996</v>
      </c>
    </row>
    <row r="286" spans="1:32" s="150" customFormat="1" x14ac:dyDescent="0.2">
      <c r="A286" s="144" t="s">
        <v>101</v>
      </c>
      <c r="B286" s="144"/>
      <c r="C286" s="144"/>
      <c r="D286" s="145">
        <v>0</v>
      </c>
      <c r="E286" s="122"/>
      <c r="F286" s="146">
        <v>0.12</v>
      </c>
      <c r="G286" s="146"/>
      <c r="H286" s="122">
        <v>190</v>
      </c>
      <c r="I286" s="122">
        <f t="shared" si="110"/>
        <v>183.92</v>
      </c>
      <c r="J286" s="147">
        <f t="shared" si="111"/>
        <v>161.84959999999998</v>
      </c>
      <c r="K286" s="122"/>
      <c r="L286" s="122">
        <v>0</v>
      </c>
      <c r="M286" s="122">
        <f t="shared" si="112"/>
        <v>0</v>
      </c>
      <c r="N286" s="122">
        <f t="shared" si="113"/>
        <v>0</v>
      </c>
      <c r="O286" s="122"/>
      <c r="P286" s="122">
        <v>0</v>
      </c>
      <c r="Q286" s="122">
        <f t="shared" si="114"/>
        <v>0</v>
      </c>
      <c r="R286" s="147">
        <f t="shared" si="115"/>
        <v>0</v>
      </c>
      <c r="S286" s="145">
        <v>15</v>
      </c>
      <c r="T286" s="144" t="s">
        <v>213</v>
      </c>
      <c r="U286" s="90">
        <f>SUMIF('Avoided Costs 2009-2017'!$A:$A,Actuals!T286&amp;Actuals!S286,'Avoided Costs 2009-2017'!$E:$E)*J286</f>
        <v>547.40862316544917</v>
      </c>
      <c r="V286" s="90">
        <f>SUMIF('Avoided Costs 2009-2017'!$A:$A,Actuals!T286&amp;Actuals!S286,'Avoided Costs 2009-2017'!$K:$K)*N286</f>
        <v>0</v>
      </c>
      <c r="W286" s="90">
        <f>SUMIF('Avoided Costs 2009-2017'!$A:$A,Actuals!T286&amp;Actuals!S286,'Avoided Costs 2009-2017'!$M:$M)*R286</f>
        <v>0</v>
      </c>
      <c r="X286" s="90">
        <f t="shared" si="116"/>
        <v>547.40862316544917</v>
      </c>
      <c r="Y286" s="148">
        <v>944</v>
      </c>
      <c r="Z286" s="149">
        <f t="shared" si="117"/>
        <v>830.72</v>
      </c>
      <c r="AA286" s="148"/>
      <c r="AB286" s="145"/>
      <c r="AC286" s="145"/>
      <c r="AD286" s="148">
        <f t="shared" si="121"/>
        <v>830.72</v>
      </c>
      <c r="AE286" s="122">
        <f t="shared" si="122"/>
        <v>-283.31137683455086</v>
      </c>
      <c r="AF286" s="167">
        <f t="shared" si="120"/>
        <v>2427.7439999999997</v>
      </c>
    </row>
    <row r="287" spans="1:32" s="150" customFormat="1" x14ac:dyDescent="0.2">
      <c r="A287" s="144" t="s">
        <v>102</v>
      </c>
      <c r="B287" s="144"/>
      <c r="C287" s="144"/>
      <c r="D287" s="145">
        <v>1</v>
      </c>
      <c r="E287" s="122"/>
      <c r="F287" s="146">
        <v>0.12</v>
      </c>
      <c r="G287" s="146"/>
      <c r="H287" s="122">
        <v>20958</v>
      </c>
      <c r="I287" s="122">
        <f t="shared" si="110"/>
        <v>20287.344000000001</v>
      </c>
      <c r="J287" s="147">
        <f t="shared" si="111"/>
        <v>17852.862720000001</v>
      </c>
      <c r="K287" s="122"/>
      <c r="L287" s="122">
        <v>0</v>
      </c>
      <c r="M287" s="122">
        <f t="shared" si="112"/>
        <v>0</v>
      </c>
      <c r="N287" s="122">
        <f t="shared" si="113"/>
        <v>0</v>
      </c>
      <c r="O287" s="122"/>
      <c r="P287" s="122">
        <v>0</v>
      </c>
      <c r="Q287" s="122">
        <f t="shared" si="114"/>
        <v>0</v>
      </c>
      <c r="R287" s="147">
        <f t="shared" si="115"/>
        <v>0</v>
      </c>
      <c r="S287" s="145">
        <v>10</v>
      </c>
      <c r="T287" s="144" t="s">
        <v>1176</v>
      </c>
      <c r="U287" s="90">
        <f>SUMIF('Avoided Costs 2009-2017'!$A:$A,Actuals!T287&amp;Actuals!S287,'Avoided Costs 2009-2017'!$E:$E)*J287</f>
        <v>42756.118591164821</v>
      </c>
      <c r="V287" s="90">
        <f>SUMIF('Avoided Costs 2009-2017'!$A:$A,Actuals!T287&amp;Actuals!S287,'Avoided Costs 2009-2017'!$K:$K)*N287</f>
        <v>0</v>
      </c>
      <c r="W287" s="90">
        <f>SUMIF('Avoided Costs 2009-2017'!$A:$A,Actuals!T287&amp;Actuals!S287,'Avoided Costs 2009-2017'!$M:$M)*R287</f>
        <v>0</v>
      </c>
      <c r="X287" s="90">
        <f t="shared" si="116"/>
        <v>42756.118591164821</v>
      </c>
      <c r="Y287" s="148">
        <v>11709</v>
      </c>
      <c r="Z287" s="149">
        <f t="shared" si="117"/>
        <v>10303.92</v>
      </c>
      <c r="AA287" s="148"/>
      <c r="AB287" s="145"/>
      <c r="AC287" s="145"/>
      <c r="AD287" s="148">
        <f t="shared" si="121"/>
        <v>10303.92</v>
      </c>
      <c r="AE287" s="122">
        <f t="shared" si="122"/>
        <v>32452.198591164823</v>
      </c>
      <c r="AF287" s="167">
        <f t="shared" si="120"/>
        <v>178528.62720000002</v>
      </c>
    </row>
    <row r="288" spans="1:32" s="150" customFormat="1" x14ac:dyDescent="0.2">
      <c r="A288" s="144" t="s">
        <v>103</v>
      </c>
      <c r="B288" s="144"/>
      <c r="C288" s="144"/>
      <c r="D288" s="145">
        <v>0</v>
      </c>
      <c r="E288" s="122"/>
      <c r="F288" s="146">
        <v>0.12</v>
      </c>
      <c r="G288" s="146"/>
      <c r="H288" s="122">
        <v>25329</v>
      </c>
      <c r="I288" s="122">
        <f t="shared" si="110"/>
        <v>24518.471999999998</v>
      </c>
      <c r="J288" s="147">
        <f t="shared" si="111"/>
        <v>21576.255359999999</v>
      </c>
      <c r="K288" s="122"/>
      <c r="L288" s="122">
        <v>0</v>
      </c>
      <c r="M288" s="122">
        <f t="shared" si="112"/>
        <v>0</v>
      </c>
      <c r="N288" s="122">
        <f t="shared" si="113"/>
        <v>0</v>
      </c>
      <c r="O288" s="122"/>
      <c r="P288" s="122">
        <v>0</v>
      </c>
      <c r="Q288" s="122">
        <f t="shared" si="114"/>
        <v>0</v>
      </c>
      <c r="R288" s="147">
        <f t="shared" si="115"/>
        <v>0</v>
      </c>
      <c r="S288" s="145">
        <v>9</v>
      </c>
      <c r="T288" s="144" t="s">
        <v>1176</v>
      </c>
      <c r="U288" s="90">
        <f>SUMIF('Avoided Costs 2009-2017'!$A:$A,Actuals!T288&amp;Actuals!S288,'Avoided Costs 2009-2017'!$E:$E)*J288</f>
        <v>48065.687978840375</v>
      </c>
      <c r="V288" s="90">
        <f>SUMIF('Avoided Costs 2009-2017'!$A:$A,Actuals!T288&amp;Actuals!S288,'Avoided Costs 2009-2017'!$K:$K)*N288</f>
        <v>0</v>
      </c>
      <c r="W288" s="90">
        <f>SUMIF('Avoided Costs 2009-2017'!$A:$A,Actuals!T288&amp;Actuals!S288,'Avoided Costs 2009-2017'!$M:$M)*R288</f>
        <v>0</v>
      </c>
      <c r="X288" s="90">
        <f t="shared" si="116"/>
        <v>48065.687978840375</v>
      </c>
      <c r="Y288" s="148">
        <v>31307</v>
      </c>
      <c r="Z288" s="149">
        <f t="shared" si="117"/>
        <v>27550.16</v>
      </c>
      <c r="AA288" s="148"/>
      <c r="AB288" s="145"/>
      <c r="AC288" s="145"/>
      <c r="AD288" s="148">
        <f t="shared" si="121"/>
        <v>27550.16</v>
      </c>
      <c r="AE288" s="122">
        <f t="shared" si="122"/>
        <v>20515.527978840375</v>
      </c>
      <c r="AF288" s="167">
        <f t="shared" si="120"/>
        <v>194186.29824</v>
      </c>
    </row>
    <row r="289" spans="1:32" s="150" customFormat="1" x14ac:dyDescent="0.2">
      <c r="A289" s="144" t="s">
        <v>104</v>
      </c>
      <c r="B289" s="144"/>
      <c r="C289" s="144"/>
      <c r="D289" s="145">
        <v>1</v>
      </c>
      <c r="E289" s="122"/>
      <c r="F289" s="146">
        <v>0.12</v>
      </c>
      <c r="G289" s="146"/>
      <c r="H289" s="122">
        <v>3349</v>
      </c>
      <c r="I289" s="122">
        <f t="shared" si="110"/>
        <v>3241.8319999999999</v>
      </c>
      <c r="J289" s="147">
        <f t="shared" si="111"/>
        <v>2852.8121599999999</v>
      </c>
      <c r="K289" s="122"/>
      <c r="L289" s="122">
        <v>0</v>
      </c>
      <c r="M289" s="122">
        <f t="shared" si="112"/>
        <v>0</v>
      </c>
      <c r="N289" s="122">
        <f t="shared" si="113"/>
        <v>0</v>
      </c>
      <c r="O289" s="122"/>
      <c r="P289" s="122">
        <v>0</v>
      </c>
      <c r="Q289" s="122">
        <f t="shared" si="114"/>
        <v>0</v>
      </c>
      <c r="R289" s="147">
        <f t="shared" si="115"/>
        <v>0</v>
      </c>
      <c r="S289" s="145">
        <v>10</v>
      </c>
      <c r="T289" s="144" t="s">
        <v>1176</v>
      </c>
      <c r="U289" s="90">
        <f>SUMIF('Avoided Costs 2009-2017'!$A:$A,Actuals!T289&amp;Actuals!S289,'Avoided Costs 2009-2017'!$E:$E)*J289</f>
        <v>6832.2474072817522</v>
      </c>
      <c r="V289" s="90">
        <f>SUMIF('Avoided Costs 2009-2017'!$A:$A,Actuals!T289&amp;Actuals!S289,'Avoided Costs 2009-2017'!$K:$K)*N289</f>
        <v>0</v>
      </c>
      <c r="W289" s="90">
        <f>SUMIF('Avoided Costs 2009-2017'!$A:$A,Actuals!T289&amp;Actuals!S289,'Avoided Costs 2009-2017'!$M:$M)*R289</f>
        <v>0</v>
      </c>
      <c r="X289" s="90">
        <f t="shared" si="116"/>
        <v>6832.2474072817522</v>
      </c>
      <c r="Y289" s="148">
        <v>16261</v>
      </c>
      <c r="Z289" s="149">
        <f t="shared" si="117"/>
        <v>14309.68</v>
      </c>
      <c r="AA289" s="148"/>
      <c r="AB289" s="145"/>
      <c r="AC289" s="145"/>
      <c r="AD289" s="148">
        <f t="shared" si="121"/>
        <v>14309.68</v>
      </c>
      <c r="AE289" s="122">
        <f t="shared" si="122"/>
        <v>-7477.4325927182481</v>
      </c>
      <c r="AF289" s="167">
        <f t="shared" si="120"/>
        <v>28528.121599999999</v>
      </c>
    </row>
    <row r="290" spans="1:32" s="150" customFormat="1" x14ac:dyDescent="0.2">
      <c r="A290" s="144" t="s">
        <v>105</v>
      </c>
      <c r="B290" s="144"/>
      <c r="C290" s="144"/>
      <c r="D290" s="145">
        <v>0</v>
      </c>
      <c r="E290" s="122"/>
      <c r="F290" s="146">
        <v>0.12</v>
      </c>
      <c r="G290" s="146"/>
      <c r="H290" s="122">
        <v>30207</v>
      </c>
      <c r="I290" s="122">
        <f t="shared" si="110"/>
        <v>29240.376</v>
      </c>
      <c r="J290" s="147">
        <f t="shared" si="111"/>
        <v>25731.530880000002</v>
      </c>
      <c r="K290" s="122"/>
      <c r="L290" s="122">
        <v>0</v>
      </c>
      <c r="M290" s="122">
        <f t="shared" si="112"/>
        <v>0</v>
      </c>
      <c r="N290" s="122">
        <f t="shared" si="113"/>
        <v>0</v>
      </c>
      <c r="O290" s="122"/>
      <c r="P290" s="122">
        <v>0</v>
      </c>
      <c r="Q290" s="122">
        <f t="shared" si="114"/>
        <v>0</v>
      </c>
      <c r="R290" s="147">
        <f t="shared" si="115"/>
        <v>0</v>
      </c>
      <c r="S290" s="145">
        <v>15</v>
      </c>
      <c r="T290" s="144" t="s">
        <v>213</v>
      </c>
      <c r="U290" s="90">
        <f>SUMIF('Avoided Costs 2009-2017'!$A:$A,Actuals!T290&amp;Actuals!S290,'Avoided Costs 2009-2017'!$E:$E)*J290</f>
        <v>87029.327789256451</v>
      </c>
      <c r="V290" s="90">
        <f>SUMIF('Avoided Costs 2009-2017'!$A:$A,Actuals!T290&amp;Actuals!S290,'Avoided Costs 2009-2017'!$K:$K)*N290</f>
        <v>0</v>
      </c>
      <c r="W290" s="90">
        <f>SUMIF('Avoided Costs 2009-2017'!$A:$A,Actuals!T290&amp;Actuals!S290,'Avoided Costs 2009-2017'!$M:$M)*R290</f>
        <v>0</v>
      </c>
      <c r="X290" s="90">
        <f t="shared" si="116"/>
        <v>87029.327789256451</v>
      </c>
      <c r="Y290" s="148">
        <v>65000</v>
      </c>
      <c r="Z290" s="149">
        <f t="shared" si="117"/>
        <v>57200</v>
      </c>
      <c r="AA290" s="148"/>
      <c r="AB290" s="145"/>
      <c r="AC290" s="145"/>
      <c r="AD290" s="148">
        <f t="shared" si="121"/>
        <v>57200</v>
      </c>
      <c r="AE290" s="122">
        <f t="shared" si="122"/>
        <v>29829.327789256451</v>
      </c>
      <c r="AF290" s="167">
        <f t="shared" si="120"/>
        <v>385972.96320000006</v>
      </c>
    </row>
    <row r="291" spans="1:32" s="150" customFormat="1" x14ac:dyDescent="0.2">
      <c r="A291" s="144" t="s">
        <v>106</v>
      </c>
      <c r="B291" s="144"/>
      <c r="C291" s="144"/>
      <c r="D291" s="145">
        <v>0</v>
      </c>
      <c r="E291" s="122"/>
      <c r="F291" s="146">
        <v>0.12</v>
      </c>
      <c r="G291" s="146"/>
      <c r="H291" s="122">
        <v>43350</v>
      </c>
      <c r="I291" s="122">
        <f t="shared" si="110"/>
        <v>41962.799999999996</v>
      </c>
      <c r="J291" s="147">
        <f t="shared" si="111"/>
        <v>36927.263999999996</v>
      </c>
      <c r="K291" s="122"/>
      <c r="L291" s="122">
        <v>0</v>
      </c>
      <c r="M291" s="122">
        <f t="shared" si="112"/>
        <v>0</v>
      </c>
      <c r="N291" s="122">
        <f t="shared" si="113"/>
        <v>0</v>
      </c>
      <c r="O291" s="122"/>
      <c r="P291" s="122">
        <v>0</v>
      </c>
      <c r="Q291" s="122">
        <f t="shared" si="114"/>
        <v>0</v>
      </c>
      <c r="R291" s="147">
        <f t="shared" si="115"/>
        <v>0</v>
      </c>
      <c r="S291" s="145">
        <v>9</v>
      </c>
      <c r="T291" s="144" t="s">
        <v>1176</v>
      </c>
      <c r="U291" s="90">
        <f>SUMIF('Avoided Costs 2009-2017'!$A:$A,Actuals!T291&amp;Actuals!S291,'Avoided Costs 2009-2017'!$E:$E)*J291</f>
        <v>82263.317694450234</v>
      </c>
      <c r="V291" s="90">
        <f>SUMIF('Avoided Costs 2009-2017'!$A:$A,Actuals!T291&amp;Actuals!S291,'Avoided Costs 2009-2017'!$K:$K)*N291</f>
        <v>0</v>
      </c>
      <c r="W291" s="90">
        <f>SUMIF('Avoided Costs 2009-2017'!$A:$A,Actuals!T291&amp;Actuals!S291,'Avoided Costs 2009-2017'!$M:$M)*R291</f>
        <v>0</v>
      </c>
      <c r="X291" s="90">
        <f t="shared" si="116"/>
        <v>82263.317694450234</v>
      </c>
      <c r="Y291" s="148">
        <v>50139</v>
      </c>
      <c r="Z291" s="149">
        <f t="shared" si="117"/>
        <v>44122.32</v>
      </c>
      <c r="AA291" s="148"/>
      <c r="AB291" s="145"/>
      <c r="AC291" s="145"/>
      <c r="AD291" s="148">
        <f t="shared" si="121"/>
        <v>44122.32</v>
      </c>
      <c r="AE291" s="122">
        <f t="shared" si="122"/>
        <v>38140.997694450234</v>
      </c>
      <c r="AF291" s="167">
        <f t="shared" si="120"/>
        <v>332345.37599999993</v>
      </c>
    </row>
    <row r="292" spans="1:32" s="150" customFormat="1" x14ac:dyDescent="0.2">
      <c r="A292" s="144" t="s">
        <v>107</v>
      </c>
      <c r="B292" s="144"/>
      <c r="C292" s="144"/>
      <c r="D292" s="145">
        <v>1</v>
      </c>
      <c r="E292" s="122"/>
      <c r="F292" s="146">
        <v>0.12</v>
      </c>
      <c r="G292" s="146"/>
      <c r="H292" s="122">
        <v>5521</v>
      </c>
      <c r="I292" s="122">
        <f t="shared" si="110"/>
        <v>5344.3279999999995</v>
      </c>
      <c r="J292" s="147">
        <f t="shared" si="111"/>
        <v>4703.00864</v>
      </c>
      <c r="K292" s="122"/>
      <c r="L292" s="122">
        <v>0</v>
      </c>
      <c r="M292" s="122">
        <f t="shared" si="112"/>
        <v>0</v>
      </c>
      <c r="N292" s="122">
        <f t="shared" si="113"/>
        <v>0</v>
      </c>
      <c r="O292" s="122"/>
      <c r="P292" s="122">
        <v>0</v>
      </c>
      <c r="Q292" s="122">
        <f t="shared" si="114"/>
        <v>0</v>
      </c>
      <c r="R292" s="147">
        <f t="shared" si="115"/>
        <v>0</v>
      </c>
      <c r="S292" s="145">
        <v>10</v>
      </c>
      <c r="T292" s="144" t="s">
        <v>1176</v>
      </c>
      <c r="U292" s="90">
        <f>SUMIF('Avoided Costs 2009-2017'!$A:$A,Actuals!T292&amp;Actuals!S292,'Avoided Costs 2009-2017'!$E:$E)*J292</f>
        <v>11263.313805793538</v>
      </c>
      <c r="V292" s="90">
        <f>SUMIF('Avoided Costs 2009-2017'!$A:$A,Actuals!T292&amp;Actuals!S292,'Avoided Costs 2009-2017'!$K:$K)*N292</f>
        <v>0</v>
      </c>
      <c r="W292" s="90">
        <f>SUMIF('Avoided Costs 2009-2017'!$A:$A,Actuals!T292&amp;Actuals!S292,'Avoided Costs 2009-2017'!$M:$M)*R292</f>
        <v>0</v>
      </c>
      <c r="X292" s="90">
        <f t="shared" si="116"/>
        <v>11263.313805793538</v>
      </c>
      <c r="Y292" s="148">
        <v>9294</v>
      </c>
      <c r="Z292" s="149">
        <f t="shared" si="117"/>
        <v>8178.72</v>
      </c>
      <c r="AA292" s="148"/>
      <c r="AB292" s="145"/>
      <c r="AC292" s="145"/>
      <c r="AD292" s="148">
        <f t="shared" si="121"/>
        <v>8178.72</v>
      </c>
      <c r="AE292" s="122">
        <f t="shared" si="122"/>
        <v>3084.5938057935373</v>
      </c>
      <c r="AF292" s="167">
        <f t="shared" si="120"/>
        <v>47030.0864</v>
      </c>
    </row>
    <row r="293" spans="1:32" s="150" customFormat="1" x14ac:dyDescent="0.2">
      <c r="A293" s="144" t="s">
        <v>108</v>
      </c>
      <c r="B293" s="144"/>
      <c r="C293" s="144"/>
      <c r="D293" s="145">
        <v>1</v>
      </c>
      <c r="E293" s="122"/>
      <c r="F293" s="146">
        <v>0.12</v>
      </c>
      <c r="G293" s="146"/>
      <c r="H293" s="122">
        <v>425</v>
      </c>
      <c r="I293" s="122">
        <f t="shared" si="110"/>
        <v>411.4</v>
      </c>
      <c r="J293" s="147">
        <f t="shared" si="111"/>
        <v>362.03199999999998</v>
      </c>
      <c r="K293" s="122"/>
      <c r="L293" s="122">
        <v>0</v>
      </c>
      <c r="M293" s="122">
        <f t="shared" si="112"/>
        <v>0</v>
      </c>
      <c r="N293" s="122">
        <f t="shared" si="113"/>
        <v>0</v>
      </c>
      <c r="O293" s="122"/>
      <c r="P293" s="122">
        <v>0</v>
      </c>
      <c r="Q293" s="122">
        <f t="shared" si="114"/>
        <v>0</v>
      </c>
      <c r="R293" s="147">
        <f t="shared" si="115"/>
        <v>0</v>
      </c>
      <c r="S293" s="145">
        <v>10</v>
      </c>
      <c r="T293" s="144" t="s">
        <v>1176</v>
      </c>
      <c r="U293" s="90">
        <f>SUMIF('Avoided Costs 2009-2017'!$A:$A,Actuals!T293&amp;Actuals!S293,'Avoided Costs 2009-2017'!$E:$E)*J293</f>
        <v>867.03647300529849</v>
      </c>
      <c r="V293" s="90">
        <f>SUMIF('Avoided Costs 2009-2017'!$A:$A,Actuals!T293&amp;Actuals!S293,'Avoided Costs 2009-2017'!$K:$K)*N293</f>
        <v>0</v>
      </c>
      <c r="W293" s="90">
        <f>SUMIF('Avoided Costs 2009-2017'!$A:$A,Actuals!T293&amp;Actuals!S293,'Avoided Costs 2009-2017'!$M:$M)*R293</f>
        <v>0</v>
      </c>
      <c r="X293" s="90">
        <f t="shared" si="116"/>
        <v>867.03647300529849</v>
      </c>
      <c r="Y293" s="148">
        <v>2569</v>
      </c>
      <c r="Z293" s="149">
        <f t="shared" si="117"/>
        <v>2260.7199999999998</v>
      </c>
      <c r="AA293" s="148"/>
      <c r="AB293" s="145"/>
      <c r="AC293" s="145"/>
      <c r="AD293" s="148">
        <f t="shared" si="121"/>
        <v>2260.7199999999998</v>
      </c>
      <c r="AE293" s="122">
        <f t="shared" si="122"/>
        <v>-1393.6835269947014</v>
      </c>
      <c r="AF293" s="167">
        <f t="shared" si="120"/>
        <v>3620.3199999999997</v>
      </c>
    </row>
    <row r="294" spans="1:32" s="150" customFormat="1" x14ac:dyDescent="0.2">
      <c r="A294" s="144" t="s">
        <v>109</v>
      </c>
      <c r="B294" s="144"/>
      <c r="C294" s="144"/>
      <c r="D294" s="145">
        <v>0</v>
      </c>
      <c r="E294" s="122"/>
      <c r="F294" s="146">
        <v>0.12</v>
      </c>
      <c r="G294" s="146"/>
      <c r="H294" s="122">
        <v>6540</v>
      </c>
      <c r="I294" s="122">
        <f t="shared" si="110"/>
        <v>6330.72</v>
      </c>
      <c r="J294" s="147">
        <f t="shared" si="111"/>
        <v>5571.0336000000007</v>
      </c>
      <c r="K294" s="122"/>
      <c r="L294" s="122">
        <v>0</v>
      </c>
      <c r="M294" s="122">
        <f t="shared" si="112"/>
        <v>0</v>
      </c>
      <c r="N294" s="122">
        <f t="shared" si="113"/>
        <v>0</v>
      </c>
      <c r="O294" s="122"/>
      <c r="P294" s="122">
        <v>0</v>
      </c>
      <c r="Q294" s="122">
        <f t="shared" si="114"/>
        <v>0</v>
      </c>
      <c r="R294" s="147">
        <f t="shared" si="115"/>
        <v>0</v>
      </c>
      <c r="S294" s="145">
        <v>15</v>
      </c>
      <c r="T294" s="144" t="s">
        <v>213</v>
      </c>
      <c r="U294" s="90">
        <f>SUMIF('Avoided Costs 2009-2017'!$A:$A,Actuals!T294&amp;Actuals!S294,'Avoided Costs 2009-2017'!$E:$E)*J294</f>
        <v>18842.381028958098</v>
      </c>
      <c r="V294" s="90">
        <f>SUMIF('Avoided Costs 2009-2017'!$A:$A,Actuals!T294&amp;Actuals!S294,'Avoided Costs 2009-2017'!$K:$K)*N294</f>
        <v>0</v>
      </c>
      <c r="W294" s="90">
        <f>SUMIF('Avoided Costs 2009-2017'!$A:$A,Actuals!T294&amp;Actuals!S294,'Avoided Costs 2009-2017'!$M:$M)*R294</f>
        <v>0</v>
      </c>
      <c r="X294" s="90">
        <f t="shared" si="116"/>
        <v>18842.381028958098</v>
      </c>
      <c r="Y294" s="148">
        <v>16668</v>
      </c>
      <c r="Z294" s="149">
        <f t="shared" si="117"/>
        <v>14667.84</v>
      </c>
      <c r="AA294" s="148"/>
      <c r="AB294" s="145"/>
      <c r="AC294" s="145"/>
      <c r="AD294" s="148">
        <f t="shared" si="121"/>
        <v>14667.84</v>
      </c>
      <c r="AE294" s="122">
        <f t="shared" si="122"/>
        <v>4174.5410289580977</v>
      </c>
      <c r="AF294" s="167">
        <f t="shared" si="120"/>
        <v>83565.504000000015</v>
      </c>
    </row>
    <row r="295" spans="1:32" s="150" customFormat="1" x14ac:dyDescent="0.2">
      <c r="A295" s="144" t="s">
        <v>110</v>
      </c>
      <c r="B295" s="144"/>
      <c r="C295" s="144"/>
      <c r="D295" s="145">
        <v>1</v>
      </c>
      <c r="E295" s="122"/>
      <c r="F295" s="146">
        <v>0.12</v>
      </c>
      <c r="G295" s="146"/>
      <c r="H295" s="122">
        <v>10332</v>
      </c>
      <c r="I295" s="122">
        <f t="shared" si="110"/>
        <v>10001.376</v>
      </c>
      <c r="J295" s="147">
        <f t="shared" si="111"/>
        <v>8801.2108800000005</v>
      </c>
      <c r="K295" s="122"/>
      <c r="L295" s="122">
        <v>0</v>
      </c>
      <c r="M295" s="122">
        <f t="shared" si="112"/>
        <v>0</v>
      </c>
      <c r="N295" s="122">
        <f t="shared" si="113"/>
        <v>0</v>
      </c>
      <c r="O295" s="122"/>
      <c r="P295" s="122">
        <v>0</v>
      </c>
      <c r="Q295" s="122">
        <f t="shared" si="114"/>
        <v>0</v>
      </c>
      <c r="R295" s="147">
        <f t="shared" si="115"/>
        <v>0</v>
      </c>
      <c r="S295" s="145">
        <v>10</v>
      </c>
      <c r="T295" s="144" t="s">
        <v>1176</v>
      </c>
      <c r="U295" s="90">
        <f>SUMIF('Avoided Costs 2009-2017'!$A:$A,Actuals!T295&amp;Actuals!S295,'Avoided Costs 2009-2017'!$E:$E)*J295</f>
        <v>21078.166680213519</v>
      </c>
      <c r="V295" s="90">
        <f>SUMIF('Avoided Costs 2009-2017'!$A:$A,Actuals!T295&amp;Actuals!S295,'Avoided Costs 2009-2017'!$K:$K)*N295</f>
        <v>0</v>
      </c>
      <c r="W295" s="90">
        <f>SUMIF('Avoided Costs 2009-2017'!$A:$A,Actuals!T295&amp;Actuals!S295,'Avoided Costs 2009-2017'!$M:$M)*R295</f>
        <v>0</v>
      </c>
      <c r="X295" s="90">
        <f t="shared" si="116"/>
        <v>21078.166680213519</v>
      </c>
      <c r="Y295" s="148">
        <v>12636</v>
      </c>
      <c r="Z295" s="149">
        <f t="shared" si="117"/>
        <v>11119.68</v>
      </c>
      <c r="AA295" s="148"/>
      <c r="AB295" s="145"/>
      <c r="AC295" s="145"/>
      <c r="AD295" s="148">
        <f t="shared" si="121"/>
        <v>11119.68</v>
      </c>
      <c r="AE295" s="122">
        <f t="shared" si="122"/>
        <v>9958.4866802135184</v>
      </c>
      <c r="AF295" s="167">
        <f t="shared" si="120"/>
        <v>88012.108800000002</v>
      </c>
    </row>
    <row r="296" spans="1:32" s="150" customFormat="1" x14ac:dyDescent="0.2">
      <c r="A296" s="144" t="s">
        <v>111</v>
      </c>
      <c r="B296" s="144"/>
      <c r="C296" s="144"/>
      <c r="D296" s="145">
        <v>1</v>
      </c>
      <c r="E296" s="122"/>
      <c r="F296" s="146">
        <v>0.12</v>
      </c>
      <c r="G296" s="146"/>
      <c r="H296" s="122">
        <v>2507</v>
      </c>
      <c r="I296" s="122">
        <f t="shared" si="110"/>
        <v>2426.7759999999998</v>
      </c>
      <c r="J296" s="147">
        <f t="shared" si="111"/>
        <v>2135.56288</v>
      </c>
      <c r="K296" s="122"/>
      <c r="L296" s="122">
        <v>0</v>
      </c>
      <c r="M296" s="122">
        <f t="shared" si="112"/>
        <v>0</v>
      </c>
      <c r="N296" s="122">
        <f t="shared" si="113"/>
        <v>0</v>
      </c>
      <c r="O296" s="122"/>
      <c r="P296" s="122">
        <v>0</v>
      </c>
      <c r="Q296" s="122">
        <f t="shared" si="114"/>
        <v>0</v>
      </c>
      <c r="R296" s="147">
        <f t="shared" si="115"/>
        <v>0</v>
      </c>
      <c r="S296" s="145">
        <v>10</v>
      </c>
      <c r="T296" s="144" t="s">
        <v>1176</v>
      </c>
      <c r="U296" s="90">
        <f>SUMIF('Avoided Costs 2009-2017'!$A:$A,Actuals!T296&amp;Actuals!S296,'Avoided Costs 2009-2017'!$E:$E)*J296</f>
        <v>5114.4951478218436</v>
      </c>
      <c r="V296" s="90">
        <f>SUMIF('Avoided Costs 2009-2017'!$A:$A,Actuals!T296&amp;Actuals!S296,'Avoided Costs 2009-2017'!$K:$K)*N296</f>
        <v>0</v>
      </c>
      <c r="W296" s="90">
        <f>SUMIF('Avoided Costs 2009-2017'!$A:$A,Actuals!T296&amp;Actuals!S296,'Avoided Costs 2009-2017'!$M:$M)*R296</f>
        <v>0</v>
      </c>
      <c r="X296" s="90">
        <f t="shared" si="116"/>
        <v>5114.4951478218436</v>
      </c>
      <c r="Y296" s="148">
        <v>4538</v>
      </c>
      <c r="Z296" s="149">
        <f t="shared" si="117"/>
        <v>3993.44</v>
      </c>
      <c r="AA296" s="148"/>
      <c r="AB296" s="145"/>
      <c r="AC296" s="145"/>
      <c r="AD296" s="148">
        <f t="shared" si="121"/>
        <v>3993.44</v>
      </c>
      <c r="AE296" s="122">
        <f t="shared" si="122"/>
        <v>1121.0551478218435</v>
      </c>
      <c r="AF296" s="167">
        <f t="shared" si="120"/>
        <v>21355.628799999999</v>
      </c>
    </row>
    <row r="297" spans="1:32" s="150" customFormat="1" x14ac:dyDescent="0.2">
      <c r="A297" s="144" t="s">
        <v>112</v>
      </c>
      <c r="B297" s="144"/>
      <c r="C297" s="144"/>
      <c r="D297" s="145">
        <v>1</v>
      </c>
      <c r="E297" s="122"/>
      <c r="F297" s="146">
        <v>0.12</v>
      </c>
      <c r="G297" s="146"/>
      <c r="H297" s="122">
        <v>4519</v>
      </c>
      <c r="I297" s="122">
        <f t="shared" si="110"/>
        <v>4374.3919999999998</v>
      </c>
      <c r="J297" s="147">
        <f t="shared" si="111"/>
        <v>3849.4649599999998</v>
      </c>
      <c r="K297" s="122"/>
      <c r="L297" s="122">
        <v>0</v>
      </c>
      <c r="M297" s="122">
        <f t="shared" si="112"/>
        <v>0</v>
      </c>
      <c r="N297" s="122">
        <f t="shared" si="113"/>
        <v>0</v>
      </c>
      <c r="O297" s="122"/>
      <c r="P297" s="122">
        <v>0</v>
      </c>
      <c r="Q297" s="122">
        <f t="shared" si="114"/>
        <v>0</v>
      </c>
      <c r="R297" s="147">
        <f t="shared" si="115"/>
        <v>0</v>
      </c>
      <c r="S297" s="145">
        <v>10</v>
      </c>
      <c r="T297" s="144" t="s">
        <v>1176</v>
      </c>
      <c r="U297" s="90">
        <f>SUMIF('Avoided Costs 2009-2017'!$A:$A,Actuals!T297&amp;Actuals!S297,'Avoided Costs 2009-2017'!$E:$E)*J297</f>
        <v>9219.1478153198677</v>
      </c>
      <c r="V297" s="90">
        <f>SUMIF('Avoided Costs 2009-2017'!$A:$A,Actuals!T297&amp;Actuals!S297,'Avoided Costs 2009-2017'!$K:$K)*N297</f>
        <v>0</v>
      </c>
      <c r="W297" s="90">
        <f>SUMIF('Avoided Costs 2009-2017'!$A:$A,Actuals!T297&amp;Actuals!S297,'Avoided Costs 2009-2017'!$M:$M)*R297</f>
        <v>0</v>
      </c>
      <c r="X297" s="90">
        <f t="shared" si="116"/>
        <v>9219.1478153198677</v>
      </c>
      <c r="Y297" s="148">
        <v>8721</v>
      </c>
      <c r="Z297" s="149">
        <f t="shared" si="117"/>
        <v>7674.4800000000005</v>
      </c>
      <c r="AA297" s="148"/>
      <c r="AB297" s="145"/>
      <c r="AC297" s="145"/>
      <c r="AD297" s="148">
        <f t="shared" si="121"/>
        <v>7674.4800000000005</v>
      </c>
      <c r="AE297" s="122">
        <f t="shared" si="122"/>
        <v>1544.6678153198673</v>
      </c>
      <c r="AF297" s="167">
        <f t="shared" si="120"/>
        <v>38494.649599999997</v>
      </c>
    </row>
    <row r="298" spans="1:32" s="150" customFormat="1" x14ac:dyDescent="0.2">
      <c r="A298" s="144" t="s">
        <v>113</v>
      </c>
      <c r="B298" s="144"/>
      <c r="C298" s="144"/>
      <c r="D298" s="145">
        <v>1</v>
      </c>
      <c r="E298" s="122"/>
      <c r="F298" s="146">
        <v>0.12</v>
      </c>
      <c r="G298" s="146"/>
      <c r="H298" s="122">
        <v>4976</v>
      </c>
      <c r="I298" s="122">
        <f t="shared" si="110"/>
        <v>4816.768</v>
      </c>
      <c r="J298" s="147">
        <f t="shared" si="111"/>
        <v>4238.7558399999998</v>
      </c>
      <c r="K298" s="122"/>
      <c r="L298" s="122">
        <v>0</v>
      </c>
      <c r="M298" s="122">
        <f t="shared" si="112"/>
        <v>0</v>
      </c>
      <c r="N298" s="122">
        <f t="shared" si="113"/>
        <v>0</v>
      </c>
      <c r="O298" s="122"/>
      <c r="P298" s="122">
        <v>0</v>
      </c>
      <c r="Q298" s="122">
        <f t="shared" si="114"/>
        <v>0</v>
      </c>
      <c r="R298" s="147">
        <f t="shared" si="115"/>
        <v>0</v>
      </c>
      <c r="S298" s="145">
        <v>10</v>
      </c>
      <c r="T298" s="144" t="s">
        <v>1176</v>
      </c>
      <c r="U298" s="90">
        <f>SUMIF('Avoided Costs 2009-2017'!$A:$A,Actuals!T298&amp;Actuals!S298,'Avoided Costs 2009-2017'!$E:$E)*J298</f>
        <v>10151.467034527919</v>
      </c>
      <c r="V298" s="90">
        <f>SUMIF('Avoided Costs 2009-2017'!$A:$A,Actuals!T298&amp;Actuals!S298,'Avoided Costs 2009-2017'!$K:$K)*N298</f>
        <v>0</v>
      </c>
      <c r="W298" s="90">
        <f>SUMIF('Avoided Costs 2009-2017'!$A:$A,Actuals!T298&amp;Actuals!S298,'Avoided Costs 2009-2017'!$M:$M)*R298</f>
        <v>0</v>
      </c>
      <c r="X298" s="90">
        <f t="shared" si="116"/>
        <v>10151.467034527919</v>
      </c>
      <c r="Y298" s="148">
        <v>7238</v>
      </c>
      <c r="Z298" s="149">
        <f t="shared" si="117"/>
        <v>6369.44</v>
      </c>
      <c r="AA298" s="148"/>
      <c r="AB298" s="145"/>
      <c r="AC298" s="145"/>
      <c r="AD298" s="148">
        <f t="shared" si="121"/>
        <v>6369.44</v>
      </c>
      <c r="AE298" s="122">
        <f t="shared" si="122"/>
        <v>3782.0270345279196</v>
      </c>
      <c r="AF298" s="167">
        <f t="shared" si="120"/>
        <v>42387.558399999994</v>
      </c>
    </row>
    <row r="299" spans="1:32" s="150" customFormat="1" x14ac:dyDescent="0.2">
      <c r="A299" s="144" t="s">
        <v>114</v>
      </c>
      <c r="B299" s="144"/>
      <c r="C299" s="144"/>
      <c r="D299" s="145">
        <v>0</v>
      </c>
      <c r="E299" s="122"/>
      <c r="F299" s="146">
        <v>0.12</v>
      </c>
      <c r="G299" s="146"/>
      <c r="H299" s="122">
        <v>53022</v>
      </c>
      <c r="I299" s="122">
        <f t="shared" si="110"/>
        <v>51325.296000000002</v>
      </c>
      <c r="J299" s="147">
        <f t="shared" si="111"/>
        <v>45166.260480000004</v>
      </c>
      <c r="K299" s="122"/>
      <c r="L299" s="122">
        <v>0</v>
      </c>
      <c r="M299" s="122">
        <f t="shared" si="112"/>
        <v>0</v>
      </c>
      <c r="N299" s="122">
        <f t="shared" si="113"/>
        <v>0</v>
      </c>
      <c r="O299" s="122"/>
      <c r="P299" s="122">
        <v>0</v>
      </c>
      <c r="Q299" s="122">
        <f t="shared" si="114"/>
        <v>0</v>
      </c>
      <c r="R299" s="147">
        <f t="shared" si="115"/>
        <v>0</v>
      </c>
      <c r="S299" s="145">
        <v>9</v>
      </c>
      <c r="T299" s="144" t="s">
        <v>1176</v>
      </c>
      <c r="U299" s="90">
        <f>SUMIF('Avoided Costs 2009-2017'!$A:$A,Actuals!T299&amp;Actuals!S299,'Avoided Costs 2009-2017'!$E:$E)*J299</f>
        <v>100617.43092953037</v>
      </c>
      <c r="V299" s="90">
        <f>SUMIF('Avoided Costs 2009-2017'!$A:$A,Actuals!T299&amp;Actuals!S299,'Avoided Costs 2009-2017'!$K:$K)*N299</f>
        <v>0</v>
      </c>
      <c r="W299" s="90">
        <f>SUMIF('Avoided Costs 2009-2017'!$A:$A,Actuals!T299&amp;Actuals!S299,'Avoided Costs 2009-2017'!$M:$M)*R299</f>
        <v>0</v>
      </c>
      <c r="X299" s="90">
        <f t="shared" si="116"/>
        <v>100617.43092953037</v>
      </c>
      <c r="Y299" s="148">
        <v>59135</v>
      </c>
      <c r="Z299" s="149">
        <f t="shared" si="117"/>
        <v>52038.8</v>
      </c>
      <c r="AA299" s="148"/>
      <c r="AB299" s="145"/>
      <c r="AC299" s="145"/>
      <c r="AD299" s="148">
        <f t="shared" si="121"/>
        <v>52038.8</v>
      </c>
      <c r="AE299" s="122">
        <f t="shared" si="122"/>
        <v>48578.630929530365</v>
      </c>
      <c r="AF299" s="167">
        <f t="shared" si="120"/>
        <v>406496.34432000003</v>
      </c>
    </row>
    <row r="300" spans="1:32" s="150" customFormat="1" x14ac:dyDescent="0.2">
      <c r="A300" s="144" t="s">
        <v>115</v>
      </c>
      <c r="B300" s="144"/>
      <c r="C300" s="144"/>
      <c r="D300" s="145">
        <v>0</v>
      </c>
      <c r="E300" s="122"/>
      <c r="F300" s="146">
        <v>0.12</v>
      </c>
      <c r="G300" s="146"/>
      <c r="H300" s="122">
        <v>2462</v>
      </c>
      <c r="I300" s="122">
        <f t="shared" si="110"/>
        <v>2383.2159999999999</v>
      </c>
      <c r="J300" s="147">
        <f t="shared" si="111"/>
        <v>2097.2300799999998</v>
      </c>
      <c r="K300" s="122"/>
      <c r="L300" s="122">
        <v>0</v>
      </c>
      <c r="M300" s="122">
        <f t="shared" si="112"/>
        <v>0</v>
      </c>
      <c r="N300" s="122">
        <f t="shared" si="113"/>
        <v>0</v>
      </c>
      <c r="O300" s="122"/>
      <c r="P300" s="122">
        <v>0</v>
      </c>
      <c r="Q300" s="122">
        <f t="shared" si="114"/>
        <v>0</v>
      </c>
      <c r="R300" s="147">
        <f t="shared" si="115"/>
        <v>0</v>
      </c>
      <c r="S300" s="145">
        <v>15</v>
      </c>
      <c r="T300" s="144" t="s">
        <v>213</v>
      </c>
      <c r="U300" s="90">
        <f>SUMIF('Avoided Costs 2009-2017'!$A:$A,Actuals!T300&amp;Actuals!S300,'Avoided Costs 2009-2017'!$E:$E)*J300</f>
        <v>7093.2633170175568</v>
      </c>
      <c r="V300" s="90">
        <f>SUMIF('Avoided Costs 2009-2017'!$A:$A,Actuals!T300&amp;Actuals!S300,'Avoided Costs 2009-2017'!$K:$K)*N300</f>
        <v>0</v>
      </c>
      <c r="W300" s="90">
        <f>SUMIF('Avoided Costs 2009-2017'!$A:$A,Actuals!T300&amp;Actuals!S300,'Avoided Costs 2009-2017'!$M:$M)*R300</f>
        <v>0</v>
      </c>
      <c r="X300" s="90">
        <f t="shared" si="116"/>
        <v>7093.2633170175568</v>
      </c>
      <c r="Y300" s="148">
        <v>8680</v>
      </c>
      <c r="Z300" s="149">
        <f t="shared" si="117"/>
        <v>7638.4</v>
      </c>
      <c r="AA300" s="148"/>
      <c r="AB300" s="145"/>
      <c r="AC300" s="145"/>
      <c r="AD300" s="148">
        <f t="shared" si="121"/>
        <v>7638.4</v>
      </c>
      <c r="AE300" s="122">
        <f t="shared" si="122"/>
        <v>-545.13668298244284</v>
      </c>
      <c r="AF300" s="167">
        <f t="shared" si="120"/>
        <v>31458.451199999996</v>
      </c>
    </row>
    <row r="301" spans="1:32" s="150" customFormat="1" x14ac:dyDescent="0.2">
      <c r="A301" s="144" t="s">
        <v>116</v>
      </c>
      <c r="B301" s="144"/>
      <c r="C301" s="144"/>
      <c r="D301" s="145">
        <v>1</v>
      </c>
      <c r="E301" s="122"/>
      <c r="F301" s="146">
        <v>0.12</v>
      </c>
      <c r="G301" s="146"/>
      <c r="H301" s="122">
        <v>10056</v>
      </c>
      <c r="I301" s="122">
        <f t="shared" si="110"/>
        <v>9734.2080000000005</v>
      </c>
      <c r="J301" s="147">
        <f t="shared" si="111"/>
        <v>8566.10304</v>
      </c>
      <c r="K301" s="122"/>
      <c r="L301" s="122">
        <v>0</v>
      </c>
      <c r="M301" s="122">
        <f t="shared" si="112"/>
        <v>0</v>
      </c>
      <c r="N301" s="122">
        <f t="shared" si="113"/>
        <v>0</v>
      </c>
      <c r="O301" s="122"/>
      <c r="P301" s="122">
        <v>0</v>
      </c>
      <c r="Q301" s="122">
        <f t="shared" si="114"/>
        <v>0</v>
      </c>
      <c r="R301" s="147">
        <f t="shared" si="115"/>
        <v>0</v>
      </c>
      <c r="S301" s="145">
        <v>10</v>
      </c>
      <c r="T301" s="144" t="s">
        <v>1176</v>
      </c>
      <c r="U301" s="90">
        <f>SUMIF('Avoided Costs 2009-2017'!$A:$A,Actuals!T301&amp;Actuals!S301,'Avoided Costs 2009-2017'!$E:$E)*J301</f>
        <v>20515.10299421478</v>
      </c>
      <c r="V301" s="90">
        <f>SUMIF('Avoided Costs 2009-2017'!$A:$A,Actuals!T301&amp;Actuals!S301,'Avoided Costs 2009-2017'!$K:$K)*N301</f>
        <v>0</v>
      </c>
      <c r="W301" s="90">
        <f>SUMIF('Avoided Costs 2009-2017'!$A:$A,Actuals!T301&amp;Actuals!S301,'Avoided Costs 2009-2017'!$M:$M)*R301</f>
        <v>0</v>
      </c>
      <c r="X301" s="90">
        <f t="shared" si="116"/>
        <v>20515.10299421478</v>
      </c>
      <c r="Y301" s="148">
        <v>52840</v>
      </c>
      <c r="Z301" s="149">
        <f t="shared" si="117"/>
        <v>46499.199999999997</v>
      </c>
      <c r="AA301" s="148"/>
      <c r="AB301" s="145"/>
      <c r="AC301" s="145"/>
      <c r="AD301" s="148">
        <f t="shared" si="121"/>
        <v>46499.199999999997</v>
      </c>
      <c r="AE301" s="122">
        <f t="shared" si="122"/>
        <v>-25984.097005785217</v>
      </c>
      <c r="AF301" s="167">
        <f t="shared" si="120"/>
        <v>85661.030400000003</v>
      </c>
    </row>
    <row r="302" spans="1:32" s="150" customFormat="1" x14ac:dyDescent="0.2">
      <c r="A302" s="144" t="s">
        <v>117</v>
      </c>
      <c r="B302" s="144"/>
      <c r="C302" s="144"/>
      <c r="D302" s="145">
        <v>0</v>
      </c>
      <c r="E302" s="122"/>
      <c r="F302" s="146">
        <v>0.12</v>
      </c>
      <c r="G302" s="146"/>
      <c r="H302" s="122">
        <v>23850</v>
      </c>
      <c r="I302" s="122">
        <f t="shared" si="110"/>
        <v>23086.799999999999</v>
      </c>
      <c r="J302" s="147">
        <f t="shared" si="111"/>
        <v>20316.383999999998</v>
      </c>
      <c r="K302" s="122"/>
      <c r="L302" s="122">
        <v>0</v>
      </c>
      <c r="M302" s="122">
        <f t="shared" si="112"/>
        <v>0</v>
      </c>
      <c r="N302" s="122">
        <f t="shared" si="113"/>
        <v>0</v>
      </c>
      <c r="O302" s="122"/>
      <c r="P302" s="122">
        <v>0</v>
      </c>
      <c r="Q302" s="122">
        <f t="shared" si="114"/>
        <v>0</v>
      </c>
      <c r="R302" s="147">
        <f t="shared" si="115"/>
        <v>0</v>
      </c>
      <c r="S302" s="145">
        <v>15</v>
      </c>
      <c r="T302" s="144" t="s">
        <v>213</v>
      </c>
      <c r="U302" s="90">
        <f>SUMIF('Avoided Costs 2009-2017'!$A:$A,Actuals!T302&amp;Actuals!S302,'Avoided Costs 2009-2017'!$E:$E)*J302</f>
        <v>68714.187697347166</v>
      </c>
      <c r="V302" s="90">
        <f>SUMIF('Avoided Costs 2009-2017'!$A:$A,Actuals!T302&amp;Actuals!S302,'Avoided Costs 2009-2017'!$K:$K)*N302</f>
        <v>0</v>
      </c>
      <c r="W302" s="90">
        <f>SUMIF('Avoided Costs 2009-2017'!$A:$A,Actuals!T302&amp;Actuals!S302,'Avoided Costs 2009-2017'!$M:$M)*R302</f>
        <v>0</v>
      </c>
      <c r="X302" s="90">
        <f t="shared" si="116"/>
        <v>68714.187697347166</v>
      </c>
      <c r="Y302" s="148">
        <v>65000</v>
      </c>
      <c r="Z302" s="149">
        <f t="shared" si="117"/>
        <v>57200</v>
      </c>
      <c r="AA302" s="148"/>
      <c r="AB302" s="145"/>
      <c r="AC302" s="145"/>
      <c r="AD302" s="148">
        <f t="shared" si="121"/>
        <v>57200</v>
      </c>
      <c r="AE302" s="122">
        <f t="shared" si="122"/>
        <v>11514.187697347166</v>
      </c>
      <c r="AF302" s="167">
        <f t="shared" si="120"/>
        <v>304745.75999999995</v>
      </c>
    </row>
    <row r="303" spans="1:32" s="150" customFormat="1" x14ac:dyDescent="0.2">
      <c r="A303" s="144" t="s">
        <v>1043</v>
      </c>
      <c r="B303" s="144"/>
      <c r="C303" s="144"/>
      <c r="D303" s="145">
        <v>0</v>
      </c>
      <c r="E303" s="122"/>
      <c r="F303" s="146">
        <v>0.12</v>
      </c>
      <c r="G303" s="146"/>
      <c r="H303" s="122">
        <v>17652</v>
      </c>
      <c r="I303" s="122">
        <f t="shared" si="110"/>
        <v>17087.135999999999</v>
      </c>
      <c r="J303" s="147">
        <f t="shared" si="111"/>
        <v>15036.679679999999</v>
      </c>
      <c r="K303" s="122"/>
      <c r="L303" s="122">
        <v>0</v>
      </c>
      <c r="M303" s="122">
        <f t="shared" si="112"/>
        <v>0</v>
      </c>
      <c r="N303" s="122">
        <f t="shared" si="113"/>
        <v>0</v>
      </c>
      <c r="O303" s="122"/>
      <c r="P303" s="122">
        <v>0</v>
      </c>
      <c r="Q303" s="122">
        <f t="shared" si="114"/>
        <v>0</v>
      </c>
      <c r="R303" s="147">
        <f t="shared" si="115"/>
        <v>0</v>
      </c>
      <c r="S303" s="145">
        <v>9</v>
      </c>
      <c r="T303" s="144" t="s">
        <v>1176</v>
      </c>
      <c r="U303" s="90">
        <f>SUMIF('Avoided Costs 2009-2017'!$A:$A,Actuals!T303&amp;Actuals!S303,'Avoided Costs 2009-2017'!$E:$E)*J303</f>
        <v>33497.39524665365</v>
      </c>
      <c r="V303" s="90">
        <f>SUMIF('Avoided Costs 2009-2017'!$A:$A,Actuals!T303&amp;Actuals!S303,'Avoided Costs 2009-2017'!$K:$K)*N303</f>
        <v>0</v>
      </c>
      <c r="W303" s="90">
        <f>SUMIF('Avoided Costs 2009-2017'!$A:$A,Actuals!T303&amp;Actuals!S303,'Avoided Costs 2009-2017'!$M:$M)*R303</f>
        <v>0</v>
      </c>
      <c r="X303" s="90">
        <f t="shared" si="116"/>
        <v>33497.39524665365</v>
      </c>
      <c r="Y303" s="148">
        <v>24000</v>
      </c>
      <c r="Z303" s="149">
        <f t="shared" si="117"/>
        <v>21120</v>
      </c>
      <c r="AA303" s="148"/>
      <c r="AB303" s="145"/>
      <c r="AC303" s="145"/>
      <c r="AD303" s="148">
        <f t="shared" si="121"/>
        <v>21120</v>
      </c>
      <c r="AE303" s="122">
        <f t="shared" si="122"/>
        <v>12377.39524665365</v>
      </c>
      <c r="AF303" s="167">
        <f t="shared" si="120"/>
        <v>135330.11711999998</v>
      </c>
    </row>
    <row r="304" spans="1:32" s="150" customFormat="1" x14ac:dyDescent="0.2">
      <c r="A304" s="144" t="s">
        <v>125</v>
      </c>
      <c r="B304" s="144"/>
      <c r="C304" s="144"/>
      <c r="D304" s="145">
        <v>0</v>
      </c>
      <c r="E304" s="122"/>
      <c r="F304" s="146">
        <v>0.12</v>
      </c>
      <c r="G304" s="146"/>
      <c r="H304" s="122">
        <v>3450</v>
      </c>
      <c r="I304" s="122">
        <f t="shared" si="110"/>
        <v>3339.6</v>
      </c>
      <c r="J304" s="147">
        <f t="shared" si="111"/>
        <v>2938.848</v>
      </c>
      <c r="K304" s="122"/>
      <c r="L304" s="122">
        <v>0</v>
      </c>
      <c r="M304" s="122">
        <f t="shared" si="112"/>
        <v>0</v>
      </c>
      <c r="N304" s="122">
        <f t="shared" si="113"/>
        <v>0</v>
      </c>
      <c r="O304" s="122"/>
      <c r="P304" s="122">
        <v>0</v>
      </c>
      <c r="Q304" s="122">
        <f t="shared" si="114"/>
        <v>0</v>
      </c>
      <c r="R304" s="147">
        <f t="shared" si="115"/>
        <v>0</v>
      </c>
      <c r="S304" s="145">
        <v>15</v>
      </c>
      <c r="T304" s="144" t="s">
        <v>213</v>
      </c>
      <c r="U304" s="90">
        <f>SUMIF('Avoided Costs 2009-2017'!$A:$A,Actuals!T304&amp;Actuals!S304,'Avoided Costs 2009-2017'!$E:$E)*J304</f>
        <v>9939.788157477893</v>
      </c>
      <c r="V304" s="90">
        <f>SUMIF('Avoided Costs 2009-2017'!$A:$A,Actuals!T304&amp;Actuals!S304,'Avoided Costs 2009-2017'!$K:$K)*N304</f>
        <v>0</v>
      </c>
      <c r="W304" s="90">
        <f>SUMIF('Avoided Costs 2009-2017'!$A:$A,Actuals!T304&amp;Actuals!S304,'Avoided Costs 2009-2017'!$M:$M)*R304</f>
        <v>0</v>
      </c>
      <c r="X304" s="90">
        <f t="shared" si="116"/>
        <v>9939.788157477893</v>
      </c>
      <c r="Y304" s="148">
        <v>2400</v>
      </c>
      <c r="Z304" s="149">
        <f t="shared" si="117"/>
        <v>2112</v>
      </c>
      <c r="AA304" s="148"/>
      <c r="AB304" s="145"/>
      <c r="AC304" s="145"/>
      <c r="AD304" s="148">
        <f t="shared" si="121"/>
        <v>2112</v>
      </c>
      <c r="AE304" s="122">
        <f t="shared" si="122"/>
        <v>7827.788157477893</v>
      </c>
      <c r="AF304" s="167">
        <f t="shared" si="120"/>
        <v>44082.720000000001</v>
      </c>
    </row>
    <row r="305" spans="1:32" s="150" customFormat="1" x14ac:dyDescent="0.2">
      <c r="A305" s="144" t="s">
        <v>126</v>
      </c>
      <c r="B305" s="144"/>
      <c r="C305" s="144"/>
      <c r="D305" s="145">
        <v>1</v>
      </c>
      <c r="E305" s="122"/>
      <c r="F305" s="146">
        <v>0.12</v>
      </c>
      <c r="G305" s="146"/>
      <c r="H305" s="122">
        <v>5390</v>
      </c>
      <c r="I305" s="122">
        <f t="shared" si="110"/>
        <v>5217.5199999999995</v>
      </c>
      <c r="J305" s="147">
        <f t="shared" si="111"/>
        <v>4591.4175999999998</v>
      </c>
      <c r="K305" s="122"/>
      <c r="L305" s="122">
        <v>0</v>
      </c>
      <c r="M305" s="122">
        <f t="shared" si="112"/>
        <v>0</v>
      </c>
      <c r="N305" s="122">
        <f t="shared" si="113"/>
        <v>0</v>
      </c>
      <c r="O305" s="122"/>
      <c r="P305" s="122">
        <v>0</v>
      </c>
      <c r="Q305" s="122">
        <f t="shared" si="114"/>
        <v>0</v>
      </c>
      <c r="R305" s="147">
        <f t="shared" si="115"/>
        <v>0</v>
      </c>
      <c r="S305" s="145">
        <v>10</v>
      </c>
      <c r="T305" s="144" t="s">
        <v>1176</v>
      </c>
      <c r="U305" s="90">
        <f>SUMIF('Avoided Costs 2009-2017'!$A:$A,Actuals!T305&amp;Actuals!S305,'Avoided Costs 2009-2017'!$E:$E)*J305</f>
        <v>10996.06256352602</v>
      </c>
      <c r="V305" s="90">
        <f>SUMIF('Avoided Costs 2009-2017'!$A:$A,Actuals!T305&amp;Actuals!S305,'Avoided Costs 2009-2017'!$K:$K)*N305</f>
        <v>0</v>
      </c>
      <c r="W305" s="90">
        <f>SUMIF('Avoided Costs 2009-2017'!$A:$A,Actuals!T305&amp;Actuals!S305,'Avoided Costs 2009-2017'!$M:$M)*R305</f>
        <v>0</v>
      </c>
      <c r="X305" s="90">
        <f t="shared" si="116"/>
        <v>10996.06256352602</v>
      </c>
      <c r="Y305" s="148">
        <v>9110</v>
      </c>
      <c r="Z305" s="149">
        <f t="shared" si="117"/>
        <v>8016.8</v>
      </c>
      <c r="AA305" s="148"/>
      <c r="AB305" s="145"/>
      <c r="AC305" s="145"/>
      <c r="AD305" s="148">
        <f t="shared" si="121"/>
        <v>8016.8</v>
      </c>
      <c r="AE305" s="122">
        <f t="shared" si="122"/>
        <v>2979.2625635260201</v>
      </c>
      <c r="AF305" s="167">
        <f t="shared" si="120"/>
        <v>45914.175999999999</v>
      </c>
    </row>
    <row r="306" spans="1:32" s="150" customFormat="1" x14ac:dyDescent="0.2">
      <c r="A306" s="144" t="s">
        <v>127</v>
      </c>
      <c r="B306" s="144"/>
      <c r="C306" s="144"/>
      <c r="D306" s="145">
        <v>1</v>
      </c>
      <c r="E306" s="122"/>
      <c r="F306" s="146">
        <v>0.12</v>
      </c>
      <c r="G306" s="146"/>
      <c r="H306" s="122">
        <v>1503</v>
      </c>
      <c r="I306" s="122">
        <f t="shared" si="110"/>
        <v>1454.904</v>
      </c>
      <c r="J306" s="147">
        <f t="shared" si="111"/>
        <v>1280.3155200000001</v>
      </c>
      <c r="K306" s="122"/>
      <c r="L306" s="122">
        <v>0</v>
      </c>
      <c r="M306" s="122">
        <f t="shared" si="112"/>
        <v>0</v>
      </c>
      <c r="N306" s="122">
        <f t="shared" si="113"/>
        <v>0</v>
      </c>
      <c r="O306" s="122"/>
      <c r="P306" s="122">
        <v>0</v>
      </c>
      <c r="Q306" s="122">
        <f t="shared" si="114"/>
        <v>0</v>
      </c>
      <c r="R306" s="147">
        <f t="shared" si="115"/>
        <v>0</v>
      </c>
      <c r="S306" s="145">
        <v>10</v>
      </c>
      <c r="T306" s="144" t="s">
        <v>1176</v>
      </c>
      <c r="U306" s="90">
        <f>SUMIF('Avoided Costs 2009-2017'!$A:$A,Actuals!T306&amp;Actuals!S306,'Avoided Costs 2009-2017'!$E:$E)*J306</f>
        <v>3066.2489857105029</v>
      </c>
      <c r="V306" s="90">
        <f>SUMIF('Avoided Costs 2009-2017'!$A:$A,Actuals!T306&amp;Actuals!S306,'Avoided Costs 2009-2017'!$K:$K)*N306</f>
        <v>0</v>
      </c>
      <c r="W306" s="90">
        <f>SUMIF('Avoided Costs 2009-2017'!$A:$A,Actuals!T306&amp;Actuals!S306,'Avoided Costs 2009-2017'!$M:$M)*R306</f>
        <v>0</v>
      </c>
      <c r="X306" s="90">
        <f t="shared" si="116"/>
        <v>3066.2489857105029</v>
      </c>
      <c r="Y306" s="148">
        <v>8986</v>
      </c>
      <c r="Z306" s="149">
        <f t="shared" si="117"/>
        <v>7907.68</v>
      </c>
      <c r="AA306" s="148"/>
      <c r="AB306" s="145"/>
      <c r="AC306" s="145"/>
      <c r="AD306" s="148">
        <f t="shared" si="121"/>
        <v>7907.68</v>
      </c>
      <c r="AE306" s="122">
        <f t="shared" si="122"/>
        <v>-4841.4310142894974</v>
      </c>
      <c r="AF306" s="167">
        <f t="shared" si="120"/>
        <v>12803.155200000001</v>
      </c>
    </row>
    <row r="307" spans="1:32" s="150" customFormat="1" x14ac:dyDescent="0.2">
      <c r="A307" s="144" t="s">
        <v>128</v>
      </c>
      <c r="B307" s="144"/>
      <c r="C307" s="144"/>
      <c r="D307" s="145">
        <v>0</v>
      </c>
      <c r="E307" s="122"/>
      <c r="F307" s="146">
        <v>0.12</v>
      </c>
      <c r="G307" s="146"/>
      <c r="H307" s="122">
        <v>28510</v>
      </c>
      <c r="I307" s="122">
        <f t="shared" si="110"/>
        <v>27597.68</v>
      </c>
      <c r="J307" s="147">
        <f t="shared" si="111"/>
        <v>24285.9584</v>
      </c>
      <c r="K307" s="122"/>
      <c r="L307" s="122">
        <v>0</v>
      </c>
      <c r="M307" s="122">
        <f t="shared" si="112"/>
        <v>0</v>
      </c>
      <c r="N307" s="122">
        <f t="shared" si="113"/>
        <v>0</v>
      </c>
      <c r="O307" s="122"/>
      <c r="P307" s="122">
        <v>0</v>
      </c>
      <c r="Q307" s="122">
        <f t="shared" si="114"/>
        <v>0</v>
      </c>
      <c r="R307" s="147">
        <f t="shared" si="115"/>
        <v>0</v>
      </c>
      <c r="S307" s="145">
        <v>15</v>
      </c>
      <c r="T307" s="144" t="s">
        <v>213</v>
      </c>
      <c r="U307" s="90">
        <f>SUMIF('Avoided Costs 2009-2017'!$A:$A,Actuals!T307&amp;Actuals!S307,'Avoided Costs 2009-2017'!$E:$E)*J307</f>
        <v>82140.104454983986</v>
      </c>
      <c r="V307" s="90">
        <f>SUMIF('Avoided Costs 2009-2017'!$A:$A,Actuals!T307&amp;Actuals!S307,'Avoided Costs 2009-2017'!$K:$K)*N307</f>
        <v>0</v>
      </c>
      <c r="W307" s="90">
        <f>SUMIF('Avoided Costs 2009-2017'!$A:$A,Actuals!T307&amp;Actuals!S307,'Avoided Costs 2009-2017'!$M:$M)*R307</f>
        <v>0</v>
      </c>
      <c r="X307" s="90">
        <f t="shared" si="116"/>
        <v>82140.104454983986</v>
      </c>
      <c r="Y307" s="148">
        <v>118448</v>
      </c>
      <c r="Z307" s="149">
        <f t="shared" si="117"/>
        <v>104234.24000000001</v>
      </c>
      <c r="AA307" s="148"/>
      <c r="AB307" s="145"/>
      <c r="AC307" s="145"/>
      <c r="AD307" s="148">
        <f t="shared" si="121"/>
        <v>104234.24000000001</v>
      </c>
      <c r="AE307" s="122">
        <f t="shared" si="122"/>
        <v>-22094.135545016019</v>
      </c>
      <c r="AF307" s="167">
        <f t="shared" si="120"/>
        <v>364289.37599999999</v>
      </c>
    </row>
    <row r="308" spans="1:32" s="150" customFormat="1" x14ac:dyDescent="0.2">
      <c r="A308" s="144" t="s">
        <v>129</v>
      </c>
      <c r="B308" s="144"/>
      <c r="C308" s="144"/>
      <c r="D308" s="145">
        <v>1</v>
      </c>
      <c r="E308" s="122"/>
      <c r="F308" s="146">
        <v>0.12</v>
      </c>
      <c r="G308" s="146"/>
      <c r="H308" s="122">
        <v>2661</v>
      </c>
      <c r="I308" s="122">
        <f t="shared" si="110"/>
        <v>2575.848</v>
      </c>
      <c r="J308" s="147">
        <f t="shared" si="111"/>
        <v>2266.7462399999999</v>
      </c>
      <c r="K308" s="122"/>
      <c r="L308" s="122">
        <v>0</v>
      </c>
      <c r="M308" s="122">
        <f t="shared" si="112"/>
        <v>0</v>
      </c>
      <c r="N308" s="122">
        <f t="shared" si="113"/>
        <v>0</v>
      </c>
      <c r="O308" s="122"/>
      <c r="P308" s="122">
        <v>0</v>
      </c>
      <c r="Q308" s="122">
        <f t="shared" si="114"/>
        <v>0</v>
      </c>
      <c r="R308" s="147">
        <f t="shared" si="115"/>
        <v>0</v>
      </c>
      <c r="S308" s="145">
        <v>10</v>
      </c>
      <c r="T308" s="144" t="s">
        <v>1176</v>
      </c>
      <c r="U308" s="90">
        <f>SUMIF('Avoided Costs 2009-2017'!$A:$A,Actuals!T308&amp;Actuals!S308,'Avoided Costs 2009-2017'!$E:$E)*J308</f>
        <v>5428.6683639225867</v>
      </c>
      <c r="V308" s="90">
        <f>SUMIF('Avoided Costs 2009-2017'!$A:$A,Actuals!T308&amp;Actuals!S308,'Avoided Costs 2009-2017'!$K:$K)*N308</f>
        <v>0</v>
      </c>
      <c r="W308" s="90">
        <f>SUMIF('Avoided Costs 2009-2017'!$A:$A,Actuals!T308&amp;Actuals!S308,'Avoided Costs 2009-2017'!$M:$M)*R308</f>
        <v>0</v>
      </c>
      <c r="X308" s="90">
        <f t="shared" si="116"/>
        <v>5428.6683639225867</v>
      </c>
      <c r="Y308" s="148">
        <v>8277</v>
      </c>
      <c r="Z308" s="149">
        <f t="shared" si="117"/>
        <v>7283.76</v>
      </c>
      <c r="AA308" s="148"/>
      <c r="AB308" s="145"/>
      <c r="AC308" s="145"/>
      <c r="AD308" s="148">
        <f t="shared" si="121"/>
        <v>7283.76</v>
      </c>
      <c r="AE308" s="122">
        <f t="shared" si="122"/>
        <v>-1855.0916360774136</v>
      </c>
      <c r="AF308" s="167">
        <f t="shared" si="120"/>
        <v>22667.4624</v>
      </c>
    </row>
    <row r="309" spans="1:32" s="150" customFormat="1" x14ac:dyDescent="0.2">
      <c r="A309" s="144" t="s">
        <v>130</v>
      </c>
      <c r="B309" s="144"/>
      <c r="C309" s="144"/>
      <c r="D309" s="145">
        <v>1</v>
      </c>
      <c r="E309" s="122"/>
      <c r="F309" s="146">
        <v>0.12</v>
      </c>
      <c r="G309" s="146"/>
      <c r="H309" s="122">
        <v>9070</v>
      </c>
      <c r="I309" s="122">
        <f t="shared" si="110"/>
        <v>8779.76</v>
      </c>
      <c r="J309" s="147">
        <f t="shared" si="111"/>
        <v>7726.1887999999999</v>
      </c>
      <c r="K309" s="122"/>
      <c r="L309" s="122">
        <v>0</v>
      </c>
      <c r="M309" s="122">
        <f t="shared" si="112"/>
        <v>0</v>
      </c>
      <c r="N309" s="122">
        <f t="shared" si="113"/>
        <v>0</v>
      </c>
      <c r="O309" s="122"/>
      <c r="P309" s="122">
        <v>0</v>
      </c>
      <c r="Q309" s="122">
        <f t="shared" si="114"/>
        <v>0</v>
      </c>
      <c r="R309" s="147">
        <f t="shared" si="115"/>
        <v>0</v>
      </c>
      <c r="S309" s="145">
        <v>10</v>
      </c>
      <c r="T309" s="144" t="s">
        <v>1176</v>
      </c>
      <c r="U309" s="90">
        <f>SUMIF('Avoided Costs 2009-2017'!$A:$A,Actuals!T309&amp;Actuals!S309,'Avoided Costs 2009-2017'!$E:$E)*J309</f>
        <v>18503.578376842488</v>
      </c>
      <c r="V309" s="90">
        <f>SUMIF('Avoided Costs 2009-2017'!$A:$A,Actuals!T309&amp;Actuals!S309,'Avoided Costs 2009-2017'!$K:$K)*N309</f>
        <v>0</v>
      </c>
      <c r="W309" s="90">
        <f>SUMIF('Avoided Costs 2009-2017'!$A:$A,Actuals!T309&amp;Actuals!S309,'Avoided Costs 2009-2017'!$M:$M)*R309</f>
        <v>0</v>
      </c>
      <c r="X309" s="90">
        <f t="shared" si="116"/>
        <v>18503.578376842488</v>
      </c>
      <c r="Y309" s="148">
        <v>30632</v>
      </c>
      <c r="Z309" s="149">
        <f t="shared" si="117"/>
        <v>26956.16</v>
      </c>
      <c r="AA309" s="148"/>
      <c r="AB309" s="145"/>
      <c r="AC309" s="145"/>
      <c r="AD309" s="148">
        <f t="shared" si="121"/>
        <v>26956.16</v>
      </c>
      <c r="AE309" s="122">
        <f t="shared" si="122"/>
        <v>-8452.5816231575118</v>
      </c>
      <c r="AF309" s="167">
        <f t="shared" si="120"/>
        <v>77261.888000000006</v>
      </c>
    </row>
    <row r="310" spans="1:32" s="150" customFormat="1" x14ac:dyDescent="0.2">
      <c r="A310" s="144" t="s">
        <v>131</v>
      </c>
      <c r="B310" s="144"/>
      <c r="C310" s="144"/>
      <c r="D310" s="145">
        <v>1</v>
      </c>
      <c r="E310" s="122"/>
      <c r="F310" s="146">
        <v>0.12</v>
      </c>
      <c r="G310" s="146"/>
      <c r="H310" s="122">
        <v>720</v>
      </c>
      <c r="I310" s="122">
        <f t="shared" si="110"/>
        <v>696.96</v>
      </c>
      <c r="J310" s="147">
        <f t="shared" si="111"/>
        <v>613.32479999999998</v>
      </c>
      <c r="K310" s="122"/>
      <c r="L310" s="122">
        <v>0</v>
      </c>
      <c r="M310" s="122">
        <f t="shared" si="112"/>
        <v>0</v>
      </c>
      <c r="N310" s="122">
        <f t="shared" si="113"/>
        <v>0</v>
      </c>
      <c r="O310" s="122"/>
      <c r="P310" s="122">
        <v>0</v>
      </c>
      <c r="Q310" s="122">
        <f t="shared" si="114"/>
        <v>0</v>
      </c>
      <c r="R310" s="147">
        <f t="shared" si="115"/>
        <v>0</v>
      </c>
      <c r="S310" s="145">
        <v>10</v>
      </c>
      <c r="T310" s="144" t="s">
        <v>1176</v>
      </c>
      <c r="U310" s="90">
        <f>SUMIF('Avoided Costs 2009-2017'!$A:$A,Actuals!T310&amp;Actuals!S310,'Avoided Costs 2009-2017'!$E:$E)*J310</f>
        <v>1468.8617895619175</v>
      </c>
      <c r="V310" s="90">
        <f>SUMIF('Avoided Costs 2009-2017'!$A:$A,Actuals!T310&amp;Actuals!S310,'Avoided Costs 2009-2017'!$K:$K)*N310</f>
        <v>0</v>
      </c>
      <c r="W310" s="90">
        <f>SUMIF('Avoided Costs 2009-2017'!$A:$A,Actuals!T310&amp;Actuals!S310,'Avoided Costs 2009-2017'!$M:$M)*R310</f>
        <v>0</v>
      </c>
      <c r="X310" s="90">
        <f t="shared" si="116"/>
        <v>1468.8617895619175</v>
      </c>
      <c r="Y310" s="148">
        <v>4219</v>
      </c>
      <c r="Z310" s="149">
        <f t="shared" si="117"/>
        <v>3712.72</v>
      </c>
      <c r="AA310" s="148"/>
      <c r="AB310" s="145"/>
      <c r="AC310" s="145"/>
      <c r="AD310" s="148">
        <f t="shared" si="121"/>
        <v>3712.72</v>
      </c>
      <c r="AE310" s="122">
        <f t="shared" si="122"/>
        <v>-2243.8582104380821</v>
      </c>
      <c r="AF310" s="167">
        <f t="shared" si="120"/>
        <v>6133.2479999999996</v>
      </c>
    </row>
    <row r="311" spans="1:32" s="150" customFormat="1" x14ac:dyDescent="0.2">
      <c r="A311" s="144" t="s">
        <v>132</v>
      </c>
      <c r="B311" s="144"/>
      <c r="C311" s="144"/>
      <c r="D311" s="145">
        <v>1</v>
      </c>
      <c r="E311" s="122"/>
      <c r="F311" s="146">
        <v>0.12</v>
      </c>
      <c r="G311" s="146"/>
      <c r="H311" s="122">
        <v>486</v>
      </c>
      <c r="I311" s="122">
        <f t="shared" si="110"/>
        <v>470.44799999999998</v>
      </c>
      <c r="J311" s="147">
        <f t="shared" si="111"/>
        <v>413.99423999999999</v>
      </c>
      <c r="K311" s="122"/>
      <c r="L311" s="122">
        <v>0</v>
      </c>
      <c r="M311" s="122">
        <f t="shared" si="112"/>
        <v>0</v>
      </c>
      <c r="N311" s="122">
        <f t="shared" si="113"/>
        <v>0</v>
      </c>
      <c r="O311" s="122"/>
      <c r="P311" s="122">
        <v>0</v>
      </c>
      <c r="Q311" s="122">
        <f t="shared" si="114"/>
        <v>0</v>
      </c>
      <c r="R311" s="147">
        <f t="shared" si="115"/>
        <v>0</v>
      </c>
      <c r="S311" s="145">
        <v>10</v>
      </c>
      <c r="T311" s="144" t="s">
        <v>1176</v>
      </c>
      <c r="U311" s="90">
        <f>SUMIF('Avoided Costs 2009-2017'!$A:$A,Actuals!T311&amp;Actuals!S311,'Avoided Costs 2009-2017'!$E:$E)*J311</f>
        <v>991.48170795429428</v>
      </c>
      <c r="V311" s="90">
        <f>SUMIF('Avoided Costs 2009-2017'!$A:$A,Actuals!T311&amp;Actuals!S311,'Avoided Costs 2009-2017'!$K:$K)*N311</f>
        <v>0</v>
      </c>
      <c r="W311" s="90">
        <f>SUMIF('Avoided Costs 2009-2017'!$A:$A,Actuals!T311&amp;Actuals!S311,'Avoided Costs 2009-2017'!$M:$M)*R311</f>
        <v>0</v>
      </c>
      <c r="X311" s="90">
        <f t="shared" si="116"/>
        <v>991.48170795429428</v>
      </c>
      <c r="Y311" s="148">
        <v>2341</v>
      </c>
      <c r="Z311" s="149">
        <f t="shared" si="117"/>
        <v>2060.08</v>
      </c>
      <c r="AA311" s="148"/>
      <c r="AB311" s="145"/>
      <c r="AC311" s="145"/>
      <c r="AD311" s="148">
        <f t="shared" si="121"/>
        <v>2060.08</v>
      </c>
      <c r="AE311" s="122">
        <f t="shared" si="122"/>
        <v>-1068.5982920457056</v>
      </c>
      <c r="AF311" s="167">
        <f t="shared" si="120"/>
        <v>4139.9423999999999</v>
      </c>
    </row>
    <row r="312" spans="1:32" s="150" customFormat="1" x14ac:dyDescent="0.2">
      <c r="A312" s="144" t="s">
        <v>133</v>
      </c>
      <c r="B312" s="144"/>
      <c r="C312" s="144"/>
      <c r="D312" s="145">
        <v>1</v>
      </c>
      <c r="E312" s="122"/>
      <c r="F312" s="146">
        <v>0.12</v>
      </c>
      <c r="G312" s="146"/>
      <c r="H312" s="122">
        <v>8280</v>
      </c>
      <c r="I312" s="122">
        <f t="shared" si="110"/>
        <v>8015.04</v>
      </c>
      <c r="J312" s="147">
        <f t="shared" si="111"/>
        <v>7053.2352000000001</v>
      </c>
      <c r="K312" s="122"/>
      <c r="L312" s="122">
        <v>0</v>
      </c>
      <c r="M312" s="122">
        <f t="shared" si="112"/>
        <v>0</v>
      </c>
      <c r="N312" s="122">
        <f t="shared" si="113"/>
        <v>0</v>
      </c>
      <c r="O312" s="122"/>
      <c r="P312" s="122">
        <v>0</v>
      </c>
      <c r="Q312" s="122">
        <f t="shared" si="114"/>
        <v>0</v>
      </c>
      <c r="R312" s="147">
        <f t="shared" si="115"/>
        <v>0</v>
      </c>
      <c r="S312" s="145">
        <v>10</v>
      </c>
      <c r="T312" s="144" t="s">
        <v>1176</v>
      </c>
      <c r="U312" s="90">
        <f>SUMIF('Avoided Costs 2009-2017'!$A:$A,Actuals!T312&amp;Actuals!S312,'Avoided Costs 2009-2017'!$E:$E)*J312</f>
        <v>16891.910579962052</v>
      </c>
      <c r="V312" s="90">
        <f>SUMIF('Avoided Costs 2009-2017'!$A:$A,Actuals!T312&amp;Actuals!S312,'Avoided Costs 2009-2017'!$K:$K)*N312</f>
        <v>0</v>
      </c>
      <c r="W312" s="90">
        <f>SUMIF('Avoided Costs 2009-2017'!$A:$A,Actuals!T312&amp;Actuals!S312,'Avoided Costs 2009-2017'!$M:$M)*R312</f>
        <v>0</v>
      </c>
      <c r="X312" s="90">
        <f t="shared" si="116"/>
        <v>16891.910579962052</v>
      </c>
      <c r="Y312" s="148">
        <v>16903</v>
      </c>
      <c r="Z312" s="149">
        <f t="shared" si="117"/>
        <v>14874.64</v>
      </c>
      <c r="AA312" s="148"/>
      <c r="AB312" s="145"/>
      <c r="AC312" s="145"/>
      <c r="AD312" s="148">
        <f t="shared" si="121"/>
        <v>14874.64</v>
      </c>
      <c r="AE312" s="122">
        <f t="shared" si="122"/>
        <v>2017.2705799620526</v>
      </c>
      <c r="AF312" s="167">
        <f t="shared" si="120"/>
        <v>70532.351999999999</v>
      </c>
    </row>
    <row r="313" spans="1:32" s="150" customFormat="1" x14ac:dyDescent="0.2">
      <c r="A313" s="144" t="s">
        <v>134</v>
      </c>
      <c r="B313" s="144"/>
      <c r="C313" s="144"/>
      <c r="D313" s="145">
        <v>1</v>
      </c>
      <c r="E313" s="122"/>
      <c r="F313" s="146">
        <v>0.12</v>
      </c>
      <c r="G313" s="146"/>
      <c r="H313" s="122">
        <v>587230</v>
      </c>
      <c r="I313" s="122">
        <f>+H313</f>
        <v>587230</v>
      </c>
      <c r="J313" s="147">
        <f t="shared" si="111"/>
        <v>516762.4</v>
      </c>
      <c r="K313" s="122"/>
      <c r="L313" s="122">
        <v>0</v>
      </c>
      <c r="M313" s="122">
        <f t="shared" si="112"/>
        <v>0</v>
      </c>
      <c r="N313" s="122">
        <f t="shared" si="113"/>
        <v>0</v>
      </c>
      <c r="O313" s="122"/>
      <c r="P313" s="122">
        <v>0</v>
      </c>
      <c r="Q313" s="122">
        <f t="shared" si="114"/>
        <v>0</v>
      </c>
      <c r="R313" s="147">
        <f t="shared" si="115"/>
        <v>0</v>
      </c>
      <c r="S313" s="145">
        <v>13</v>
      </c>
      <c r="T313" s="144" t="s">
        <v>213</v>
      </c>
      <c r="U313" s="90">
        <f>SUMIF('Avoided Costs 2009-2017'!$A:$A,Actuals!T313&amp;Actuals!S313,'Avoided Costs 2009-2017'!$E:$E)*J313</f>
        <v>1607212.7880461568</v>
      </c>
      <c r="V313" s="90">
        <f>SUMIF('Avoided Costs 2009-2017'!$A:$A,Actuals!T313&amp;Actuals!S313,'Avoided Costs 2009-2017'!$K:$K)*N313</f>
        <v>0</v>
      </c>
      <c r="W313" s="90">
        <f>SUMIF('Avoided Costs 2009-2017'!$A:$A,Actuals!T313&amp;Actuals!S313,'Avoided Costs 2009-2017'!$M:$M)*R313</f>
        <v>0</v>
      </c>
      <c r="X313" s="90">
        <f t="shared" si="116"/>
        <v>1607212.7880461568</v>
      </c>
      <c r="Y313" s="148">
        <v>31095</v>
      </c>
      <c r="Z313" s="149">
        <f t="shared" si="117"/>
        <v>27363.599999999999</v>
      </c>
      <c r="AA313" s="148"/>
      <c r="AB313" s="145"/>
      <c r="AC313" s="145"/>
      <c r="AD313" s="148">
        <f t="shared" si="121"/>
        <v>27363.599999999999</v>
      </c>
      <c r="AE313" s="122">
        <f t="shared" si="122"/>
        <v>1579849.1880461567</v>
      </c>
      <c r="AF313" s="167">
        <f t="shared" si="120"/>
        <v>6717911.2000000002</v>
      </c>
    </row>
    <row r="314" spans="1:32" s="150" customFormat="1" x14ac:dyDescent="0.2">
      <c r="A314" s="144" t="s">
        <v>135</v>
      </c>
      <c r="B314" s="144"/>
      <c r="C314" s="144"/>
      <c r="D314" s="145">
        <v>1</v>
      </c>
      <c r="E314" s="122"/>
      <c r="F314" s="146">
        <v>0.12</v>
      </c>
      <c r="G314" s="146"/>
      <c r="H314" s="122">
        <v>68012</v>
      </c>
      <c r="I314" s="122">
        <f t="shared" si="110"/>
        <v>65835.615999999995</v>
      </c>
      <c r="J314" s="147">
        <f t="shared" si="111"/>
        <v>57935.342079999995</v>
      </c>
      <c r="K314" s="122"/>
      <c r="L314" s="122">
        <v>0</v>
      </c>
      <c r="M314" s="122">
        <f t="shared" si="112"/>
        <v>0</v>
      </c>
      <c r="N314" s="122">
        <f t="shared" si="113"/>
        <v>0</v>
      </c>
      <c r="O314" s="122"/>
      <c r="P314" s="122">
        <v>0</v>
      </c>
      <c r="Q314" s="122">
        <f t="shared" si="114"/>
        <v>0</v>
      </c>
      <c r="R314" s="147">
        <f t="shared" si="115"/>
        <v>0</v>
      </c>
      <c r="S314" s="145">
        <v>9</v>
      </c>
      <c r="T314" s="144" t="s">
        <v>1176</v>
      </c>
      <c r="U314" s="90">
        <f>SUMIF('Avoided Costs 2009-2017'!$A:$A,Actuals!T314&amp;Actuals!S314,'Avoided Costs 2009-2017'!$E:$E)*J314</f>
        <v>129063.27019688465</v>
      </c>
      <c r="V314" s="90">
        <f>SUMIF('Avoided Costs 2009-2017'!$A:$A,Actuals!T314&amp;Actuals!S314,'Avoided Costs 2009-2017'!$K:$K)*N314</f>
        <v>0</v>
      </c>
      <c r="W314" s="90">
        <f>SUMIF('Avoided Costs 2009-2017'!$A:$A,Actuals!T314&amp;Actuals!S314,'Avoided Costs 2009-2017'!$M:$M)*R314</f>
        <v>0</v>
      </c>
      <c r="X314" s="90">
        <f t="shared" si="116"/>
        <v>129063.27019688465</v>
      </c>
      <c r="Y314" s="148">
        <v>76832</v>
      </c>
      <c r="Z314" s="149">
        <f t="shared" si="117"/>
        <v>67612.160000000003</v>
      </c>
      <c r="AA314" s="148"/>
      <c r="AB314" s="145"/>
      <c r="AC314" s="145"/>
      <c r="AD314" s="148">
        <f t="shared" si="121"/>
        <v>67612.160000000003</v>
      </c>
      <c r="AE314" s="122">
        <f t="shared" si="122"/>
        <v>61451.110196884649</v>
      </c>
      <c r="AF314" s="167">
        <f t="shared" si="120"/>
        <v>521418.07871999993</v>
      </c>
    </row>
    <row r="315" spans="1:32" s="150" customFormat="1" x14ac:dyDescent="0.2">
      <c r="A315" s="144" t="s">
        <v>136</v>
      </c>
      <c r="B315" s="144"/>
      <c r="C315" s="144"/>
      <c r="D315" s="145">
        <v>0</v>
      </c>
      <c r="E315" s="122"/>
      <c r="F315" s="146">
        <v>0.12</v>
      </c>
      <c r="G315" s="146"/>
      <c r="H315" s="122">
        <v>39688</v>
      </c>
      <c r="I315" s="122">
        <f t="shared" ref="I315:I359" si="123">+$H$68*H315</f>
        <v>38417.983999999997</v>
      </c>
      <c r="J315" s="147">
        <f t="shared" ref="J315:J360" si="124">I315*(1-F315)</f>
        <v>33807.825919999996</v>
      </c>
      <c r="K315" s="122"/>
      <c r="L315" s="122">
        <v>0</v>
      </c>
      <c r="M315" s="122">
        <f t="shared" ref="M315:M359" si="125">+$L$68*L315</f>
        <v>0</v>
      </c>
      <c r="N315" s="122">
        <f t="shared" ref="N315:N360" si="126">M315*(1-F315)</f>
        <v>0</v>
      </c>
      <c r="O315" s="122"/>
      <c r="P315" s="122">
        <v>0</v>
      </c>
      <c r="Q315" s="122">
        <f t="shared" ref="Q315:Q360" si="127">+P315*$P$68</f>
        <v>0</v>
      </c>
      <c r="R315" s="147">
        <f t="shared" ref="R315:R360" si="128">Q315*(1-F315)</f>
        <v>0</v>
      </c>
      <c r="S315" s="145">
        <v>15</v>
      </c>
      <c r="T315" s="144" t="s">
        <v>213</v>
      </c>
      <c r="U315" s="90">
        <f>SUMIF('Avoided Costs 2009-2017'!$A:$A,Actuals!T315&amp;Actuals!S315,'Avoided Costs 2009-2017'!$E:$E)*J315</f>
        <v>114345.01808521234</v>
      </c>
      <c r="V315" s="90">
        <f>SUMIF('Avoided Costs 2009-2017'!$A:$A,Actuals!T315&amp;Actuals!S315,'Avoided Costs 2009-2017'!$K:$K)*N315</f>
        <v>0</v>
      </c>
      <c r="W315" s="90">
        <f>SUMIF('Avoided Costs 2009-2017'!$A:$A,Actuals!T315&amp;Actuals!S315,'Avoided Costs 2009-2017'!$M:$M)*R315</f>
        <v>0</v>
      </c>
      <c r="X315" s="90">
        <f t="shared" ref="X315:X360" si="129">SUM(U315:W315)</f>
        <v>114345.01808521234</v>
      </c>
      <c r="Y315" s="148">
        <v>65000</v>
      </c>
      <c r="Z315" s="149">
        <f t="shared" ref="Z315:Z360" si="130">Y315*(1-F315)</f>
        <v>57200</v>
      </c>
      <c r="AA315" s="148"/>
      <c r="AB315" s="145"/>
      <c r="AC315" s="145"/>
      <c r="AD315" s="148">
        <f t="shared" ref="AD315:AD346" si="131">Z315+AB315</f>
        <v>57200</v>
      </c>
      <c r="AE315" s="122">
        <f t="shared" ref="AE315:AE346" si="132">X315-AD315</f>
        <v>57145.018085212345</v>
      </c>
      <c r="AF315" s="167">
        <f t="shared" ref="AF315:AF360" si="133">J315*S315</f>
        <v>507117.38879999996</v>
      </c>
    </row>
    <row r="316" spans="1:32" s="150" customFormat="1" x14ac:dyDescent="0.2">
      <c r="A316" s="144" t="s">
        <v>137</v>
      </c>
      <c r="B316" s="144"/>
      <c r="C316" s="144"/>
      <c r="D316" s="145">
        <v>0</v>
      </c>
      <c r="E316" s="122"/>
      <c r="F316" s="146">
        <v>0.12</v>
      </c>
      <c r="G316" s="146"/>
      <c r="H316" s="122">
        <v>38185</v>
      </c>
      <c r="I316" s="122">
        <f t="shared" si="123"/>
        <v>36963.08</v>
      </c>
      <c r="J316" s="147">
        <f t="shared" si="124"/>
        <v>32527.510400000003</v>
      </c>
      <c r="K316" s="122"/>
      <c r="L316" s="122">
        <v>0</v>
      </c>
      <c r="M316" s="122">
        <f t="shared" si="125"/>
        <v>0</v>
      </c>
      <c r="N316" s="122">
        <f t="shared" si="126"/>
        <v>0</v>
      </c>
      <c r="O316" s="122"/>
      <c r="P316" s="122">
        <v>0</v>
      </c>
      <c r="Q316" s="122">
        <f t="shared" si="127"/>
        <v>0</v>
      </c>
      <c r="R316" s="147">
        <f t="shared" si="128"/>
        <v>0</v>
      </c>
      <c r="S316" s="145">
        <v>9</v>
      </c>
      <c r="T316" s="144" t="s">
        <v>1176</v>
      </c>
      <c r="U316" s="90">
        <f>SUMIF('Avoided Costs 2009-2017'!$A:$A,Actuals!T316&amp;Actuals!S316,'Avoided Costs 2009-2017'!$E:$E)*J316</f>
        <v>72461.932783450582</v>
      </c>
      <c r="V316" s="90">
        <f>SUMIF('Avoided Costs 2009-2017'!$A:$A,Actuals!T316&amp;Actuals!S316,'Avoided Costs 2009-2017'!$K:$K)*N316</f>
        <v>0</v>
      </c>
      <c r="W316" s="90">
        <f>SUMIF('Avoided Costs 2009-2017'!$A:$A,Actuals!T316&amp;Actuals!S316,'Avoided Costs 2009-2017'!$M:$M)*R316</f>
        <v>0</v>
      </c>
      <c r="X316" s="90">
        <f t="shared" si="129"/>
        <v>72461.932783450582</v>
      </c>
      <c r="Y316" s="148">
        <v>53047</v>
      </c>
      <c r="Z316" s="149">
        <f t="shared" si="130"/>
        <v>46681.36</v>
      </c>
      <c r="AA316" s="148"/>
      <c r="AB316" s="145"/>
      <c r="AC316" s="145"/>
      <c r="AD316" s="148">
        <f t="shared" si="131"/>
        <v>46681.36</v>
      </c>
      <c r="AE316" s="122">
        <f t="shared" si="132"/>
        <v>25780.572783450581</v>
      </c>
      <c r="AF316" s="167">
        <f t="shared" si="133"/>
        <v>292747.59360000002</v>
      </c>
    </row>
    <row r="317" spans="1:32" s="150" customFormat="1" x14ac:dyDescent="0.2">
      <c r="A317" s="144" t="s">
        <v>138</v>
      </c>
      <c r="B317" s="144"/>
      <c r="C317" s="144"/>
      <c r="D317" s="145">
        <v>1</v>
      </c>
      <c r="E317" s="122"/>
      <c r="F317" s="146">
        <v>0.12</v>
      </c>
      <c r="G317" s="146"/>
      <c r="H317" s="122">
        <v>5429</v>
      </c>
      <c r="I317" s="122">
        <f t="shared" si="123"/>
        <v>5255.2719999999999</v>
      </c>
      <c r="J317" s="147">
        <f t="shared" si="124"/>
        <v>4624.6393600000001</v>
      </c>
      <c r="K317" s="122"/>
      <c r="L317" s="122">
        <v>0</v>
      </c>
      <c r="M317" s="122">
        <f t="shared" si="125"/>
        <v>0</v>
      </c>
      <c r="N317" s="122">
        <f t="shared" si="126"/>
        <v>0</v>
      </c>
      <c r="O317" s="122"/>
      <c r="P317" s="122">
        <v>0</v>
      </c>
      <c r="Q317" s="122">
        <f t="shared" si="127"/>
        <v>0</v>
      </c>
      <c r="R317" s="147">
        <f t="shared" si="128"/>
        <v>0</v>
      </c>
      <c r="S317" s="145">
        <v>10</v>
      </c>
      <c r="T317" s="144" t="s">
        <v>1176</v>
      </c>
      <c r="U317" s="90">
        <f>SUMIF('Avoided Costs 2009-2017'!$A:$A,Actuals!T317&amp;Actuals!S317,'Avoided Costs 2009-2017'!$E:$E)*J317</f>
        <v>11075.625910460625</v>
      </c>
      <c r="V317" s="90">
        <f>SUMIF('Avoided Costs 2009-2017'!$A:$A,Actuals!T317&amp;Actuals!S317,'Avoided Costs 2009-2017'!$K:$K)*N317</f>
        <v>0</v>
      </c>
      <c r="W317" s="90">
        <f>SUMIF('Avoided Costs 2009-2017'!$A:$A,Actuals!T317&amp;Actuals!S317,'Avoided Costs 2009-2017'!$M:$M)*R317</f>
        <v>0</v>
      </c>
      <c r="X317" s="90">
        <f t="shared" si="129"/>
        <v>11075.625910460625</v>
      </c>
      <c r="Y317" s="148">
        <v>3839</v>
      </c>
      <c r="Z317" s="149">
        <f t="shared" si="130"/>
        <v>3378.32</v>
      </c>
      <c r="AA317" s="148"/>
      <c r="AB317" s="145"/>
      <c r="AC317" s="145"/>
      <c r="AD317" s="148">
        <f t="shared" si="131"/>
        <v>3378.32</v>
      </c>
      <c r="AE317" s="122">
        <f t="shared" si="132"/>
        <v>7697.3059104606255</v>
      </c>
      <c r="AF317" s="167">
        <f t="shared" si="133"/>
        <v>46246.393600000003</v>
      </c>
    </row>
    <row r="318" spans="1:32" s="150" customFormat="1" x14ac:dyDescent="0.2">
      <c r="A318" s="144" t="s">
        <v>139</v>
      </c>
      <c r="B318" s="144"/>
      <c r="C318" s="144"/>
      <c r="D318" s="145">
        <v>0</v>
      </c>
      <c r="E318" s="122"/>
      <c r="F318" s="146">
        <v>0.12</v>
      </c>
      <c r="G318" s="146"/>
      <c r="H318" s="122">
        <v>0</v>
      </c>
      <c r="I318" s="122">
        <f t="shared" si="123"/>
        <v>0</v>
      </c>
      <c r="J318" s="147">
        <f t="shared" si="124"/>
        <v>0</v>
      </c>
      <c r="K318" s="122"/>
      <c r="L318" s="122">
        <v>0</v>
      </c>
      <c r="M318" s="122">
        <f t="shared" si="125"/>
        <v>0</v>
      </c>
      <c r="N318" s="122">
        <f t="shared" si="126"/>
        <v>0</v>
      </c>
      <c r="O318" s="122"/>
      <c r="P318" s="122">
        <v>0</v>
      </c>
      <c r="Q318" s="122">
        <f t="shared" si="127"/>
        <v>0</v>
      </c>
      <c r="R318" s="147">
        <f t="shared" si="128"/>
        <v>0</v>
      </c>
      <c r="S318" s="145">
        <v>1</v>
      </c>
      <c r="T318" s="144" t="s">
        <v>213</v>
      </c>
      <c r="U318" s="90">
        <f>SUMIF('Avoided Costs 2009-2017'!$A:$A,Actuals!T318&amp;Actuals!S318,'Avoided Costs 2009-2017'!$E:$E)*J318</f>
        <v>0</v>
      </c>
      <c r="V318" s="90">
        <f>SUMIF('Avoided Costs 2009-2017'!$A:$A,Actuals!T318&amp;Actuals!S318,'Avoided Costs 2009-2017'!$K:$K)*N318</f>
        <v>0</v>
      </c>
      <c r="W318" s="90">
        <f>SUMIF('Avoided Costs 2009-2017'!$A:$A,Actuals!T318&amp;Actuals!S318,'Avoided Costs 2009-2017'!$M:$M)*R318</f>
        <v>0</v>
      </c>
      <c r="X318" s="90">
        <f t="shared" si="129"/>
        <v>0</v>
      </c>
      <c r="Y318" s="148">
        <v>0</v>
      </c>
      <c r="Z318" s="149">
        <f t="shared" si="130"/>
        <v>0</v>
      </c>
      <c r="AA318" s="148"/>
      <c r="AB318" s="145"/>
      <c r="AC318" s="145"/>
      <c r="AD318" s="148">
        <f t="shared" si="131"/>
        <v>0</v>
      </c>
      <c r="AE318" s="122">
        <f t="shared" si="132"/>
        <v>0</v>
      </c>
      <c r="AF318" s="167">
        <f t="shared" si="133"/>
        <v>0</v>
      </c>
    </row>
    <row r="319" spans="1:32" s="150" customFormat="1" x14ac:dyDescent="0.2">
      <c r="A319" s="144" t="s">
        <v>140</v>
      </c>
      <c r="B319" s="144"/>
      <c r="C319" s="144"/>
      <c r="D319" s="145">
        <v>0</v>
      </c>
      <c r="E319" s="122"/>
      <c r="F319" s="146">
        <v>0.12</v>
      </c>
      <c r="G319" s="146"/>
      <c r="H319" s="122">
        <v>0</v>
      </c>
      <c r="I319" s="122">
        <f t="shared" si="123"/>
        <v>0</v>
      </c>
      <c r="J319" s="147">
        <f t="shared" si="124"/>
        <v>0</v>
      </c>
      <c r="K319" s="122"/>
      <c r="L319" s="122">
        <v>0</v>
      </c>
      <c r="M319" s="122">
        <f t="shared" si="125"/>
        <v>0</v>
      </c>
      <c r="N319" s="122">
        <f t="shared" si="126"/>
        <v>0</v>
      </c>
      <c r="O319" s="122"/>
      <c r="P319" s="122">
        <v>0</v>
      </c>
      <c r="Q319" s="122">
        <f t="shared" si="127"/>
        <v>0</v>
      </c>
      <c r="R319" s="147">
        <f t="shared" si="128"/>
        <v>0</v>
      </c>
      <c r="S319" s="145">
        <v>1</v>
      </c>
      <c r="T319" s="144" t="s">
        <v>1176</v>
      </c>
      <c r="U319" s="90">
        <f>SUMIF('Avoided Costs 2009-2017'!$A:$A,Actuals!T319&amp;Actuals!S319,'Avoided Costs 2009-2017'!$E:$E)*J319</f>
        <v>0</v>
      </c>
      <c r="V319" s="90">
        <f>SUMIF('Avoided Costs 2009-2017'!$A:$A,Actuals!T319&amp;Actuals!S319,'Avoided Costs 2009-2017'!$K:$K)*N319</f>
        <v>0</v>
      </c>
      <c r="W319" s="90">
        <f>SUMIF('Avoided Costs 2009-2017'!$A:$A,Actuals!T319&amp;Actuals!S319,'Avoided Costs 2009-2017'!$M:$M)*R319</f>
        <v>0</v>
      </c>
      <c r="X319" s="90">
        <f t="shared" si="129"/>
        <v>0</v>
      </c>
      <c r="Y319" s="148">
        <v>0</v>
      </c>
      <c r="Z319" s="149">
        <f t="shared" si="130"/>
        <v>0</v>
      </c>
      <c r="AA319" s="148"/>
      <c r="AB319" s="145"/>
      <c r="AC319" s="145"/>
      <c r="AD319" s="148">
        <f t="shared" si="131"/>
        <v>0</v>
      </c>
      <c r="AE319" s="122">
        <f t="shared" si="132"/>
        <v>0</v>
      </c>
      <c r="AF319" s="167">
        <f t="shared" si="133"/>
        <v>0</v>
      </c>
    </row>
    <row r="320" spans="1:32" s="150" customFormat="1" x14ac:dyDescent="0.2">
      <c r="A320" s="144" t="s">
        <v>141</v>
      </c>
      <c r="B320" s="144"/>
      <c r="C320" s="144"/>
      <c r="D320" s="145">
        <v>1</v>
      </c>
      <c r="E320" s="122"/>
      <c r="F320" s="146">
        <v>0.12</v>
      </c>
      <c r="G320" s="146"/>
      <c r="H320" s="122">
        <v>6326</v>
      </c>
      <c r="I320" s="122">
        <f t="shared" si="123"/>
        <v>6123.5680000000002</v>
      </c>
      <c r="J320" s="147">
        <f t="shared" si="124"/>
        <v>5388.7398400000002</v>
      </c>
      <c r="K320" s="122"/>
      <c r="L320" s="122">
        <v>0</v>
      </c>
      <c r="M320" s="122">
        <f t="shared" si="125"/>
        <v>0</v>
      </c>
      <c r="N320" s="122">
        <f t="shared" si="126"/>
        <v>0</v>
      </c>
      <c r="O320" s="122"/>
      <c r="P320" s="122">
        <v>0</v>
      </c>
      <c r="Q320" s="122">
        <f t="shared" si="127"/>
        <v>0</v>
      </c>
      <c r="R320" s="147">
        <f t="shared" si="128"/>
        <v>0</v>
      </c>
      <c r="S320" s="145">
        <v>25</v>
      </c>
      <c r="T320" s="144" t="s">
        <v>213</v>
      </c>
      <c r="U320" s="90">
        <f>SUMIF('Avoided Costs 2009-2017'!$A:$A,Actuals!T320&amp;Actuals!S320,'Avoided Costs 2009-2017'!$E:$E)*J320</f>
        <v>23199.990771154593</v>
      </c>
      <c r="V320" s="90">
        <f>SUMIF('Avoided Costs 2009-2017'!$A:$A,Actuals!T320&amp;Actuals!S320,'Avoided Costs 2009-2017'!$K:$K)*N320</f>
        <v>0</v>
      </c>
      <c r="W320" s="90">
        <f>SUMIF('Avoided Costs 2009-2017'!$A:$A,Actuals!T320&amp;Actuals!S320,'Avoided Costs 2009-2017'!$M:$M)*R320</f>
        <v>0</v>
      </c>
      <c r="X320" s="90">
        <f t="shared" si="129"/>
        <v>23199.990771154593</v>
      </c>
      <c r="Y320" s="148">
        <v>25000</v>
      </c>
      <c r="Z320" s="149">
        <f t="shared" si="130"/>
        <v>22000</v>
      </c>
      <c r="AA320" s="148"/>
      <c r="AB320" s="145"/>
      <c r="AC320" s="145"/>
      <c r="AD320" s="148">
        <f t="shared" si="131"/>
        <v>22000</v>
      </c>
      <c r="AE320" s="122">
        <f t="shared" si="132"/>
        <v>1199.9907711545929</v>
      </c>
      <c r="AF320" s="167">
        <f t="shared" si="133"/>
        <v>134718.49600000001</v>
      </c>
    </row>
    <row r="321" spans="1:32" s="150" customFormat="1" x14ac:dyDescent="0.2">
      <c r="A321" s="144" t="s">
        <v>142</v>
      </c>
      <c r="B321" s="144"/>
      <c r="C321" s="144"/>
      <c r="D321" s="145">
        <v>1</v>
      </c>
      <c r="E321" s="122"/>
      <c r="F321" s="146">
        <v>0.12</v>
      </c>
      <c r="G321" s="146"/>
      <c r="H321" s="122">
        <v>2463</v>
      </c>
      <c r="I321" s="122">
        <f t="shared" si="123"/>
        <v>2384.1839999999997</v>
      </c>
      <c r="J321" s="147">
        <f t="shared" si="124"/>
        <v>2098.0819199999996</v>
      </c>
      <c r="K321" s="122"/>
      <c r="L321" s="122">
        <v>0</v>
      </c>
      <c r="M321" s="122">
        <f t="shared" si="125"/>
        <v>0</v>
      </c>
      <c r="N321" s="122">
        <f t="shared" si="126"/>
        <v>0</v>
      </c>
      <c r="O321" s="122"/>
      <c r="P321" s="122">
        <v>0</v>
      </c>
      <c r="Q321" s="122">
        <f t="shared" si="127"/>
        <v>0</v>
      </c>
      <c r="R321" s="147">
        <f t="shared" si="128"/>
        <v>0</v>
      </c>
      <c r="S321" s="145">
        <v>13</v>
      </c>
      <c r="T321" s="144" t="s">
        <v>213</v>
      </c>
      <c r="U321" s="90">
        <f>SUMIF('Avoided Costs 2009-2017'!$A:$A,Actuals!T321&amp;Actuals!S321,'Avoided Costs 2009-2017'!$E:$E)*J321</f>
        <v>6525.3665750302898</v>
      </c>
      <c r="V321" s="90">
        <f>SUMIF('Avoided Costs 2009-2017'!$A:$A,Actuals!T321&amp;Actuals!S321,'Avoided Costs 2009-2017'!$K:$K)*N321</f>
        <v>0</v>
      </c>
      <c r="W321" s="90">
        <f>SUMIF('Avoided Costs 2009-2017'!$A:$A,Actuals!T321&amp;Actuals!S321,'Avoided Costs 2009-2017'!$M:$M)*R321</f>
        <v>0</v>
      </c>
      <c r="X321" s="90">
        <f t="shared" si="129"/>
        <v>6525.3665750302898</v>
      </c>
      <c r="Y321" s="148">
        <v>2722</v>
      </c>
      <c r="Z321" s="149">
        <f t="shared" si="130"/>
        <v>2395.36</v>
      </c>
      <c r="AA321" s="148"/>
      <c r="AB321" s="145"/>
      <c r="AC321" s="145"/>
      <c r="AD321" s="148">
        <f t="shared" si="131"/>
        <v>2395.36</v>
      </c>
      <c r="AE321" s="122">
        <f t="shared" si="132"/>
        <v>4130.0065750302892</v>
      </c>
      <c r="AF321" s="167">
        <f t="shared" si="133"/>
        <v>27275.064959999996</v>
      </c>
    </row>
    <row r="322" spans="1:32" s="150" customFormat="1" x14ac:dyDescent="0.2">
      <c r="A322" s="144" t="s">
        <v>143</v>
      </c>
      <c r="B322" s="144"/>
      <c r="C322" s="144"/>
      <c r="D322" s="145">
        <v>1</v>
      </c>
      <c r="E322" s="122"/>
      <c r="F322" s="146">
        <v>0.12</v>
      </c>
      <c r="G322" s="146"/>
      <c r="H322" s="122">
        <v>80793</v>
      </c>
      <c r="I322" s="122">
        <f t="shared" si="123"/>
        <v>78207.623999999996</v>
      </c>
      <c r="J322" s="147">
        <f t="shared" si="124"/>
        <v>68822.70912</v>
      </c>
      <c r="K322" s="122"/>
      <c r="L322" s="122">
        <v>0</v>
      </c>
      <c r="M322" s="122">
        <f t="shared" si="125"/>
        <v>0</v>
      </c>
      <c r="N322" s="122">
        <f t="shared" si="126"/>
        <v>0</v>
      </c>
      <c r="O322" s="122"/>
      <c r="P322" s="122">
        <v>0</v>
      </c>
      <c r="Q322" s="122">
        <f t="shared" si="127"/>
        <v>0</v>
      </c>
      <c r="R322" s="147">
        <f t="shared" si="128"/>
        <v>0</v>
      </c>
      <c r="S322" s="145">
        <v>13</v>
      </c>
      <c r="T322" s="144" t="s">
        <v>213</v>
      </c>
      <c r="U322" s="90">
        <f>SUMIF('Avoided Costs 2009-2017'!$A:$A,Actuals!T322&amp;Actuals!S322,'Avoided Costs 2009-2017'!$E:$E)*J322</f>
        <v>214049.50941795466</v>
      </c>
      <c r="V322" s="90">
        <f>SUMIF('Avoided Costs 2009-2017'!$A:$A,Actuals!T322&amp;Actuals!S322,'Avoided Costs 2009-2017'!$K:$K)*N322</f>
        <v>0</v>
      </c>
      <c r="W322" s="90">
        <f>SUMIF('Avoided Costs 2009-2017'!$A:$A,Actuals!T322&amp;Actuals!S322,'Avoided Costs 2009-2017'!$M:$M)*R322</f>
        <v>0</v>
      </c>
      <c r="X322" s="90">
        <f t="shared" si="129"/>
        <v>214049.50941795466</v>
      </c>
      <c r="Y322" s="148">
        <v>5112</v>
      </c>
      <c r="Z322" s="149">
        <f t="shared" si="130"/>
        <v>4498.5600000000004</v>
      </c>
      <c r="AA322" s="148"/>
      <c r="AB322" s="145"/>
      <c r="AC322" s="145"/>
      <c r="AD322" s="148">
        <f t="shared" si="131"/>
        <v>4498.5600000000004</v>
      </c>
      <c r="AE322" s="122">
        <f t="shared" si="132"/>
        <v>209550.94941795466</v>
      </c>
      <c r="AF322" s="167">
        <f t="shared" si="133"/>
        <v>894695.21855999995</v>
      </c>
    </row>
    <row r="323" spans="1:32" s="150" customFormat="1" x14ac:dyDescent="0.2">
      <c r="A323" s="144" t="s">
        <v>144</v>
      </c>
      <c r="B323" s="144"/>
      <c r="C323" s="144"/>
      <c r="D323" s="145">
        <v>1</v>
      </c>
      <c r="E323" s="122"/>
      <c r="F323" s="146">
        <v>0.12</v>
      </c>
      <c r="G323" s="146"/>
      <c r="H323" s="122">
        <v>4926</v>
      </c>
      <c r="I323" s="122">
        <f t="shared" si="123"/>
        <v>4768.3679999999995</v>
      </c>
      <c r="J323" s="147">
        <f t="shared" si="124"/>
        <v>4196.1638399999993</v>
      </c>
      <c r="K323" s="122"/>
      <c r="L323" s="122">
        <v>0</v>
      </c>
      <c r="M323" s="122">
        <f t="shared" si="125"/>
        <v>0</v>
      </c>
      <c r="N323" s="122">
        <f t="shared" si="126"/>
        <v>0</v>
      </c>
      <c r="O323" s="122"/>
      <c r="P323" s="122">
        <v>0</v>
      </c>
      <c r="Q323" s="122">
        <f t="shared" si="127"/>
        <v>0</v>
      </c>
      <c r="R323" s="147">
        <f t="shared" si="128"/>
        <v>0</v>
      </c>
      <c r="S323" s="145">
        <v>13</v>
      </c>
      <c r="T323" s="144" t="s">
        <v>213</v>
      </c>
      <c r="U323" s="90">
        <f>SUMIF('Avoided Costs 2009-2017'!$A:$A,Actuals!T323&amp;Actuals!S323,'Avoided Costs 2009-2017'!$E:$E)*J323</f>
        <v>13050.73315006058</v>
      </c>
      <c r="V323" s="90">
        <f>SUMIF('Avoided Costs 2009-2017'!$A:$A,Actuals!T323&amp;Actuals!S323,'Avoided Costs 2009-2017'!$K:$K)*N323</f>
        <v>0</v>
      </c>
      <c r="W323" s="90">
        <f>SUMIF('Avoided Costs 2009-2017'!$A:$A,Actuals!T323&amp;Actuals!S323,'Avoided Costs 2009-2017'!$M:$M)*R323</f>
        <v>0</v>
      </c>
      <c r="X323" s="90">
        <f t="shared" si="129"/>
        <v>13050.73315006058</v>
      </c>
      <c r="Y323" s="148">
        <v>470</v>
      </c>
      <c r="Z323" s="149">
        <f t="shared" si="130"/>
        <v>413.6</v>
      </c>
      <c r="AA323" s="148"/>
      <c r="AB323" s="145"/>
      <c r="AC323" s="145"/>
      <c r="AD323" s="148">
        <f t="shared" si="131"/>
        <v>413.6</v>
      </c>
      <c r="AE323" s="122">
        <f t="shared" si="132"/>
        <v>12637.133150060579</v>
      </c>
      <c r="AF323" s="167">
        <f t="shared" si="133"/>
        <v>54550.129919999992</v>
      </c>
    </row>
    <row r="324" spans="1:32" s="150" customFormat="1" x14ac:dyDescent="0.2">
      <c r="A324" s="144" t="s">
        <v>145</v>
      </c>
      <c r="B324" s="144"/>
      <c r="C324" s="144"/>
      <c r="D324" s="145">
        <v>1</v>
      </c>
      <c r="E324" s="122"/>
      <c r="F324" s="146">
        <v>0.12</v>
      </c>
      <c r="G324" s="146"/>
      <c r="H324" s="122">
        <v>80811</v>
      </c>
      <c r="I324" s="122">
        <f t="shared" si="123"/>
        <v>78225.047999999995</v>
      </c>
      <c r="J324" s="147">
        <f t="shared" si="124"/>
        <v>68838.042239999995</v>
      </c>
      <c r="K324" s="122"/>
      <c r="L324" s="122">
        <v>-23770</v>
      </c>
      <c r="M324" s="122">
        <f t="shared" si="125"/>
        <v>-21369.23</v>
      </c>
      <c r="N324" s="122">
        <f t="shared" si="126"/>
        <v>-18804.922399999999</v>
      </c>
      <c r="O324" s="122"/>
      <c r="P324" s="122">
        <v>0</v>
      </c>
      <c r="Q324" s="122">
        <f t="shared" si="127"/>
        <v>0</v>
      </c>
      <c r="R324" s="147">
        <f t="shared" si="128"/>
        <v>0</v>
      </c>
      <c r="S324" s="145">
        <v>15</v>
      </c>
      <c r="T324" s="144" t="s">
        <v>213</v>
      </c>
      <c r="U324" s="90">
        <f>SUMIF('Avoided Costs 2009-2017'!$A:$A,Actuals!T324&amp;Actuals!S324,'Avoided Costs 2009-2017'!$E:$E)*J324</f>
        <v>232824.41182433217</v>
      </c>
      <c r="V324" s="90">
        <f>SUMIF('Avoided Costs 2009-2017'!$A:$A,Actuals!T324&amp;Actuals!S324,'Avoided Costs 2009-2017'!$K:$K)*N324</f>
        <v>-14038.479648341432</v>
      </c>
      <c r="W324" s="90">
        <f>SUMIF('Avoided Costs 2009-2017'!$A:$A,Actuals!T324&amp;Actuals!S324,'Avoided Costs 2009-2017'!$M:$M)*R324</f>
        <v>0</v>
      </c>
      <c r="X324" s="90">
        <f t="shared" si="129"/>
        <v>218785.93217599075</v>
      </c>
      <c r="Y324" s="148">
        <v>57600</v>
      </c>
      <c r="Z324" s="149">
        <f t="shared" si="130"/>
        <v>50688</v>
      </c>
      <c r="AA324" s="148"/>
      <c r="AB324" s="145"/>
      <c r="AC324" s="145"/>
      <c r="AD324" s="148">
        <f t="shared" si="131"/>
        <v>50688</v>
      </c>
      <c r="AE324" s="122">
        <f t="shared" si="132"/>
        <v>168097.93217599075</v>
      </c>
      <c r="AF324" s="167">
        <f t="shared" si="133"/>
        <v>1032570.6335999999</v>
      </c>
    </row>
    <row r="325" spans="1:32" s="150" customFormat="1" x14ac:dyDescent="0.2">
      <c r="A325" s="144" t="s">
        <v>146</v>
      </c>
      <c r="B325" s="144"/>
      <c r="C325" s="144"/>
      <c r="D325" s="145">
        <v>1</v>
      </c>
      <c r="E325" s="122"/>
      <c r="F325" s="146">
        <v>0.12</v>
      </c>
      <c r="G325" s="146"/>
      <c r="H325" s="122">
        <v>467098</v>
      </c>
      <c r="I325" s="122">
        <f t="shared" si="123"/>
        <v>452150.864</v>
      </c>
      <c r="J325" s="147">
        <f t="shared" si="124"/>
        <v>397892.76032</v>
      </c>
      <c r="K325" s="122"/>
      <c r="L325" s="122">
        <v>0</v>
      </c>
      <c r="M325" s="122">
        <f t="shared" si="125"/>
        <v>0</v>
      </c>
      <c r="N325" s="122">
        <f t="shared" si="126"/>
        <v>0</v>
      </c>
      <c r="O325" s="122"/>
      <c r="P325" s="122">
        <v>0</v>
      </c>
      <c r="Q325" s="122">
        <f t="shared" si="127"/>
        <v>0</v>
      </c>
      <c r="R325" s="147">
        <f t="shared" si="128"/>
        <v>0</v>
      </c>
      <c r="S325" s="145">
        <v>25</v>
      </c>
      <c r="T325" s="144" t="s">
        <v>213</v>
      </c>
      <c r="U325" s="90">
        <f>SUMIF('Avoided Costs 2009-2017'!$A:$A,Actuals!T325&amp;Actuals!S325,'Avoided Costs 2009-2017'!$E:$E)*J325</f>
        <v>1713036.5616858627</v>
      </c>
      <c r="V325" s="90">
        <f>SUMIF('Avoided Costs 2009-2017'!$A:$A,Actuals!T325&amp;Actuals!S325,'Avoided Costs 2009-2017'!$K:$K)*N325</f>
        <v>0</v>
      </c>
      <c r="W325" s="90">
        <f>SUMIF('Avoided Costs 2009-2017'!$A:$A,Actuals!T325&amp;Actuals!S325,'Avoided Costs 2009-2017'!$M:$M)*R325</f>
        <v>0</v>
      </c>
      <c r="X325" s="90">
        <f t="shared" si="129"/>
        <v>1713036.5616858627</v>
      </c>
      <c r="Y325" s="148">
        <v>998223</v>
      </c>
      <c r="Z325" s="149">
        <f t="shared" si="130"/>
        <v>878436.24</v>
      </c>
      <c r="AA325" s="148"/>
      <c r="AB325" s="145"/>
      <c r="AC325" s="145"/>
      <c r="AD325" s="148">
        <f t="shared" si="131"/>
        <v>878436.24</v>
      </c>
      <c r="AE325" s="122">
        <f t="shared" si="132"/>
        <v>834600.32168586273</v>
      </c>
      <c r="AF325" s="167">
        <f t="shared" si="133"/>
        <v>9947319.0079999994</v>
      </c>
    </row>
    <row r="326" spans="1:32" s="150" customFormat="1" x14ac:dyDescent="0.2">
      <c r="A326" s="144" t="s">
        <v>147</v>
      </c>
      <c r="B326" s="144"/>
      <c r="C326" s="144"/>
      <c r="D326" s="145">
        <v>1</v>
      </c>
      <c r="E326" s="122"/>
      <c r="F326" s="146">
        <v>0.12</v>
      </c>
      <c r="G326" s="146"/>
      <c r="H326" s="122">
        <v>96675</v>
      </c>
      <c r="I326" s="122">
        <f t="shared" si="123"/>
        <v>93581.4</v>
      </c>
      <c r="J326" s="147">
        <f t="shared" si="124"/>
        <v>82351.631999999998</v>
      </c>
      <c r="K326" s="122"/>
      <c r="L326" s="122">
        <v>0</v>
      </c>
      <c r="M326" s="122">
        <f t="shared" si="125"/>
        <v>0</v>
      </c>
      <c r="N326" s="122">
        <f t="shared" si="126"/>
        <v>0</v>
      </c>
      <c r="O326" s="122"/>
      <c r="P326" s="122">
        <v>0</v>
      </c>
      <c r="Q326" s="122">
        <f t="shared" si="127"/>
        <v>0</v>
      </c>
      <c r="R326" s="147">
        <f t="shared" si="128"/>
        <v>0</v>
      </c>
      <c r="S326" s="145">
        <v>15</v>
      </c>
      <c r="T326" s="144" t="s">
        <v>213</v>
      </c>
      <c r="U326" s="90">
        <f>SUMIF('Avoided Costs 2009-2017'!$A:$A,Actuals!T326&amp;Actuals!S326,'Avoided Costs 2009-2017'!$E:$E)*J326</f>
        <v>278530.15076063055</v>
      </c>
      <c r="V326" s="90">
        <f>SUMIF('Avoided Costs 2009-2017'!$A:$A,Actuals!T326&amp;Actuals!S326,'Avoided Costs 2009-2017'!$K:$K)*N326</f>
        <v>0</v>
      </c>
      <c r="W326" s="90">
        <f>SUMIF('Avoided Costs 2009-2017'!$A:$A,Actuals!T326&amp;Actuals!S326,'Avoided Costs 2009-2017'!$M:$M)*R326</f>
        <v>0</v>
      </c>
      <c r="X326" s="90">
        <f t="shared" si="129"/>
        <v>278530.15076063055</v>
      </c>
      <c r="Y326" s="148">
        <v>102800</v>
      </c>
      <c r="Z326" s="149">
        <f t="shared" si="130"/>
        <v>90464</v>
      </c>
      <c r="AA326" s="148"/>
      <c r="AB326" s="145"/>
      <c r="AC326" s="145"/>
      <c r="AD326" s="148">
        <f t="shared" si="131"/>
        <v>90464</v>
      </c>
      <c r="AE326" s="122">
        <f t="shared" si="132"/>
        <v>188066.15076063055</v>
      </c>
      <c r="AF326" s="167">
        <f t="shared" si="133"/>
        <v>1235274.48</v>
      </c>
    </row>
    <row r="327" spans="1:32" s="150" customFormat="1" x14ac:dyDescent="0.2">
      <c r="A327" s="144" t="s">
        <v>148</v>
      </c>
      <c r="B327" s="144"/>
      <c r="C327" s="144"/>
      <c r="D327" s="145">
        <v>1</v>
      </c>
      <c r="E327" s="122"/>
      <c r="F327" s="146">
        <v>0.12</v>
      </c>
      <c r="G327" s="146"/>
      <c r="H327" s="122">
        <v>2893</v>
      </c>
      <c r="I327" s="122">
        <f t="shared" si="123"/>
        <v>2800.424</v>
      </c>
      <c r="J327" s="147">
        <f t="shared" si="124"/>
        <v>2464.3731200000002</v>
      </c>
      <c r="K327" s="122"/>
      <c r="L327" s="122">
        <v>0</v>
      </c>
      <c r="M327" s="122">
        <f t="shared" si="125"/>
        <v>0</v>
      </c>
      <c r="N327" s="122">
        <f t="shared" si="126"/>
        <v>0</v>
      </c>
      <c r="O327" s="122"/>
      <c r="P327" s="122">
        <v>0</v>
      </c>
      <c r="Q327" s="122">
        <f t="shared" si="127"/>
        <v>0</v>
      </c>
      <c r="R327" s="147">
        <f t="shared" si="128"/>
        <v>0</v>
      </c>
      <c r="S327" s="145">
        <v>25</v>
      </c>
      <c r="T327" s="144" t="s">
        <v>1176</v>
      </c>
      <c r="U327" s="90">
        <f>SUMIF('Avoided Costs 2009-2017'!$A:$A,Actuals!T327&amp;Actuals!S327,'Avoided Costs 2009-2017'!$E:$E)*J327</f>
        <v>9654.9218654038305</v>
      </c>
      <c r="V327" s="90">
        <f>SUMIF('Avoided Costs 2009-2017'!$A:$A,Actuals!T327&amp;Actuals!S327,'Avoided Costs 2009-2017'!$K:$K)*N327</f>
        <v>0</v>
      </c>
      <c r="W327" s="90">
        <f>SUMIF('Avoided Costs 2009-2017'!$A:$A,Actuals!T327&amp;Actuals!S327,'Avoided Costs 2009-2017'!$M:$M)*R327</f>
        <v>0</v>
      </c>
      <c r="X327" s="90">
        <f t="shared" si="129"/>
        <v>9654.9218654038305</v>
      </c>
      <c r="Y327" s="148">
        <v>4259</v>
      </c>
      <c r="Z327" s="149">
        <f t="shared" si="130"/>
        <v>3747.92</v>
      </c>
      <c r="AA327" s="148"/>
      <c r="AB327" s="145"/>
      <c r="AC327" s="145"/>
      <c r="AD327" s="148">
        <f t="shared" si="131"/>
        <v>3747.92</v>
      </c>
      <c r="AE327" s="122">
        <f t="shared" si="132"/>
        <v>5907.0018654038304</v>
      </c>
      <c r="AF327" s="167">
        <f t="shared" si="133"/>
        <v>61609.328000000009</v>
      </c>
    </row>
    <row r="328" spans="1:32" s="150" customFormat="1" x14ac:dyDescent="0.2">
      <c r="A328" s="144" t="s">
        <v>149</v>
      </c>
      <c r="B328" s="144"/>
      <c r="C328" s="144"/>
      <c r="D328" s="145">
        <v>1</v>
      </c>
      <c r="E328" s="122"/>
      <c r="F328" s="146">
        <v>0.12</v>
      </c>
      <c r="G328" s="146"/>
      <c r="H328" s="122">
        <v>8453</v>
      </c>
      <c r="I328" s="122">
        <f t="shared" si="123"/>
        <v>8182.5039999999999</v>
      </c>
      <c r="J328" s="147">
        <f t="shared" si="124"/>
        <v>7200.6035199999997</v>
      </c>
      <c r="K328" s="122"/>
      <c r="L328" s="122">
        <v>13124</v>
      </c>
      <c r="M328" s="122">
        <f t="shared" si="125"/>
        <v>11798.476000000001</v>
      </c>
      <c r="N328" s="122">
        <f t="shared" si="126"/>
        <v>10382.658880000001</v>
      </c>
      <c r="O328" s="122"/>
      <c r="P328" s="122">
        <v>249</v>
      </c>
      <c r="Q328" s="122">
        <f t="shared" si="127"/>
        <v>371.50799999999998</v>
      </c>
      <c r="R328" s="147">
        <f t="shared" si="128"/>
        <v>326.92703999999998</v>
      </c>
      <c r="S328" s="145">
        <v>15</v>
      </c>
      <c r="T328" s="144" t="s">
        <v>213</v>
      </c>
      <c r="U328" s="90">
        <f>SUMIF('Avoided Costs 2009-2017'!$A:$A,Actuals!T328&amp;Actuals!S328,'Avoided Costs 2009-2017'!$E:$E)*J328</f>
        <v>24353.921534829169</v>
      </c>
      <c r="V328" s="90">
        <f>SUMIF('Avoided Costs 2009-2017'!$A:$A,Actuals!T328&amp;Actuals!S328,'Avoided Costs 2009-2017'!$K:$K)*N328</f>
        <v>7750.9889316294903</v>
      </c>
      <c r="W328" s="90">
        <f>SUMIF('Avoided Costs 2009-2017'!$A:$A,Actuals!T328&amp;Actuals!S328,'Avoided Costs 2009-2017'!$M:$M)*R328</f>
        <v>4247.1775354352994</v>
      </c>
      <c r="X328" s="90">
        <f t="shared" si="129"/>
        <v>36352.088001893957</v>
      </c>
      <c r="Y328" s="148">
        <v>32973</v>
      </c>
      <c r="Z328" s="149">
        <f t="shared" si="130"/>
        <v>29016.240000000002</v>
      </c>
      <c r="AA328" s="148"/>
      <c r="AB328" s="145"/>
      <c r="AC328" s="145"/>
      <c r="AD328" s="148">
        <f t="shared" si="131"/>
        <v>29016.240000000002</v>
      </c>
      <c r="AE328" s="122">
        <f t="shared" si="132"/>
        <v>7335.8480018939554</v>
      </c>
      <c r="AF328" s="167">
        <f t="shared" si="133"/>
        <v>108009.05279999999</v>
      </c>
    </row>
    <row r="329" spans="1:32" s="150" customFormat="1" x14ac:dyDescent="0.2">
      <c r="A329" s="144" t="s">
        <v>150</v>
      </c>
      <c r="B329" s="144"/>
      <c r="C329" s="144"/>
      <c r="D329" s="145">
        <v>1</v>
      </c>
      <c r="E329" s="122"/>
      <c r="F329" s="146">
        <v>0.12</v>
      </c>
      <c r="G329" s="146"/>
      <c r="H329" s="122">
        <v>2422</v>
      </c>
      <c r="I329" s="122">
        <f t="shared" si="123"/>
        <v>2344.4960000000001</v>
      </c>
      <c r="J329" s="147">
        <f t="shared" si="124"/>
        <v>2063.1564800000001</v>
      </c>
      <c r="K329" s="122"/>
      <c r="L329" s="122">
        <v>0</v>
      </c>
      <c r="M329" s="122">
        <f t="shared" si="125"/>
        <v>0</v>
      </c>
      <c r="N329" s="122">
        <f t="shared" si="126"/>
        <v>0</v>
      </c>
      <c r="O329" s="122"/>
      <c r="P329" s="122">
        <v>0</v>
      </c>
      <c r="Q329" s="122">
        <f t="shared" si="127"/>
        <v>0</v>
      </c>
      <c r="R329" s="147">
        <f t="shared" si="128"/>
        <v>0</v>
      </c>
      <c r="S329" s="145">
        <v>15</v>
      </c>
      <c r="T329" s="144" t="s">
        <v>213</v>
      </c>
      <c r="U329" s="90">
        <f>SUMIF('Avoided Costs 2009-2017'!$A:$A,Actuals!T329&amp;Actuals!S329,'Avoided Costs 2009-2017'!$E:$E)*J329</f>
        <v>6978.0193963511474</v>
      </c>
      <c r="V329" s="90">
        <f>SUMIF('Avoided Costs 2009-2017'!$A:$A,Actuals!T329&amp;Actuals!S329,'Avoided Costs 2009-2017'!$K:$K)*N329</f>
        <v>0</v>
      </c>
      <c r="W329" s="90">
        <f>SUMIF('Avoided Costs 2009-2017'!$A:$A,Actuals!T329&amp;Actuals!S329,'Avoided Costs 2009-2017'!$M:$M)*R329</f>
        <v>0</v>
      </c>
      <c r="X329" s="90">
        <f t="shared" si="129"/>
        <v>6978.0193963511474</v>
      </c>
      <c r="Y329" s="148">
        <v>7947</v>
      </c>
      <c r="Z329" s="149">
        <f t="shared" si="130"/>
        <v>6993.36</v>
      </c>
      <c r="AA329" s="148"/>
      <c r="AB329" s="145"/>
      <c r="AC329" s="145"/>
      <c r="AD329" s="148">
        <f t="shared" si="131"/>
        <v>6993.36</v>
      </c>
      <c r="AE329" s="122">
        <f t="shared" si="132"/>
        <v>-15.340603648852266</v>
      </c>
      <c r="AF329" s="167">
        <f t="shared" si="133"/>
        <v>30947.3472</v>
      </c>
    </row>
    <row r="330" spans="1:32" s="150" customFormat="1" x14ac:dyDescent="0.2">
      <c r="A330" s="144" t="s">
        <v>151</v>
      </c>
      <c r="B330" s="144"/>
      <c r="C330" s="144"/>
      <c r="D330" s="145">
        <v>1</v>
      </c>
      <c r="E330" s="122"/>
      <c r="F330" s="146">
        <v>0.12</v>
      </c>
      <c r="G330" s="146"/>
      <c r="H330" s="122">
        <v>3064</v>
      </c>
      <c r="I330" s="122">
        <f t="shared" si="123"/>
        <v>2965.9519999999998</v>
      </c>
      <c r="J330" s="147">
        <f t="shared" si="124"/>
        <v>2610.0377599999997</v>
      </c>
      <c r="K330" s="122"/>
      <c r="L330" s="122">
        <v>0</v>
      </c>
      <c r="M330" s="122">
        <f t="shared" si="125"/>
        <v>0</v>
      </c>
      <c r="N330" s="122">
        <f t="shared" si="126"/>
        <v>0</v>
      </c>
      <c r="O330" s="122"/>
      <c r="P330" s="122">
        <v>0</v>
      </c>
      <c r="Q330" s="122">
        <f t="shared" si="127"/>
        <v>0</v>
      </c>
      <c r="R330" s="147">
        <f t="shared" si="128"/>
        <v>0</v>
      </c>
      <c r="S330" s="145">
        <v>25</v>
      </c>
      <c r="T330" s="144" t="s">
        <v>213</v>
      </c>
      <c r="U330" s="90">
        <f>SUMIF('Avoided Costs 2009-2017'!$A:$A,Actuals!T330&amp;Actuals!S330,'Avoided Costs 2009-2017'!$E:$E)*J330</f>
        <v>11236.922498074242</v>
      </c>
      <c r="V330" s="90">
        <f>SUMIF('Avoided Costs 2009-2017'!$A:$A,Actuals!T330&amp;Actuals!S330,'Avoided Costs 2009-2017'!$K:$K)*N330</f>
        <v>0</v>
      </c>
      <c r="W330" s="90">
        <f>SUMIF('Avoided Costs 2009-2017'!$A:$A,Actuals!T330&amp;Actuals!S330,'Avoided Costs 2009-2017'!$M:$M)*R330</f>
        <v>0</v>
      </c>
      <c r="X330" s="90">
        <f t="shared" si="129"/>
        <v>11236.922498074242</v>
      </c>
      <c r="Y330" s="148">
        <v>4282</v>
      </c>
      <c r="Z330" s="149">
        <f t="shared" si="130"/>
        <v>3768.16</v>
      </c>
      <c r="AA330" s="148"/>
      <c r="AB330" s="145"/>
      <c r="AC330" s="145"/>
      <c r="AD330" s="148">
        <f t="shared" si="131"/>
        <v>3768.16</v>
      </c>
      <c r="AE330" s="122">
        <f t="shared" si="132"/>
        <v>7468.7624980742421</v>
      </c>
      <c r="AF330" s="167">
        <f t="shared" si="133"/>
        <v>65250.943999999996</v>
      </c>
    </row>
    <row r="331" spans="1:32" s="150" customFormat="1" x14ac:dyDescent="0.2">
      <c r="A331" s="144" t="s">
        <v>152</v>
      </c>
      <c r="B331" s="144"/>
      <c r="C331" s="144"/>
      <c r="D331" s="145">
        <v>1</v>
      </c>
      <c r="E331" s="122"/>
      <c r="F331" s="146">
        <v>0.12</v>
      </c>
      <c r="G331" s="146"/>
      <c r="H331" s="122">
        <v>7542</v>
      </c>
      <c r="I331" s="122">
        <f t="shared" si="123"/>
        <v>7300.6559999999999</v>
      </c>
      <c r="J331" s="147">
        <f t="shared" si="124"/>
        <v>6424.5772800000004</v>
      </c>
      <c r="K331" s="122"/>
      <c r="L331" s="122">
        <v>0</v>
      </c>
      <c r="M331" s="122">
        <f t="shared" si="125"/>
        <v>0</v>
      </c>
      <c r="N331" s="122">
        <f t="shared" si="126"/>
        <v>0</v>
      </c>
      <c r="O331" s="122"/>
      <c r="P331" s="122">
        <v>0</v>
      </c>
      <c r="Q331" s="122">
        <f t="shared" si="127"/>
        <v>0</v>
      </c>
      <c r="R331" s="147">
        <f t="shared" si="128"/>
        <v>0</v>
      </c>
      <c r="S331" s="145">
        <v>30</v>
      </c>
      <c r="T331" s="144" t="s">
        <v>1176</v>
      </c>
      <c r="U331" s="90">
        <f>SUMIF('Avoided Costs 2009-2017'!$A:$A,Actuals!T331&amp;Actuals!S331,'Avoided Costs 2009-2017'!$E:$E)*J331</f>
        <v>26766.606512533705</v>
      </c>
      <c r="V331" s="90">
        <f>SUMIF('Avoided Costs 2009-2017'!$A:$A,Actuals!T331&amp;Actuals!S331,'Avoided Costs 2009-2017'!$K:$K)*N331</f>
        <v>0</v>
      </c>
      <c r="W331" s="90">
        <f>SUMIF('Avoided Costs 2009-2017'!$A:$A,Actuals!T331&amp;Actuals!S331,'Avoided Costs 2009-2017'!$M:$M)*R331</f>
        <v>0</v>
      </c>
      <c r="X331" s="90">
        <f t="shared" si="129"/>
        <v>26766.606512533705</v>
      </c>
      <c r="Y331" s="148">
        <v>12247</v>
      </c>
      <c r="Z331" s="149">
        <f t="shared" si="130"/>
        <v>10777.36</v>
      </c>
      <c r="AA331" s="148"/>
      <c r="AB331" s="145"/>
      <c r="AC331" s="145"/>
      <c r="AD331" s="148">
        <f t="shared" si="131"/>
        <v>10777.36</v>
      </c>
      <c r="AE331" s="122">
        <f t="shared" si="132"/>
        <v>15989.246512533704</v>
      </c>
      <c r="AF331" s="167">
        <f t="shared" si="133"/>
        <v>192737.31840000002</v>
      </c>
    </row>
    <row r="332" spans="1:32" s="150" customFormat="1" x14ac:dyDescent="0.2">
      <c r="A332" s="144" t="s">
        <v>153</v>
      </c>
      <c r="B332" s="144"/>
      <c r="C332" s="144"/>
      <c r="D332" s="145">
        <v>1</v>
      </c>
      <c r="E332" s="122"/>
      <c r="F332" s="146">
        <v>0.12</v>
      </c>
      <c r="G332" s="146"/>
      <c r="H332" s="122">
        <v>20661</v>
      </c>
      <c r="I332" s="122">
        <f t="shared" si="123"/>
        <v>19999.847999999998</v>
      </c>
      <c r="J332" s="147">
        <f t="shared" si="124"/>
        <v>17599.866239999999</v>
      </c>
      <c r="K332" s="122"/>
      <c r="L332" s="122">
        <v>0</v>
      </c>
      <c r="M332" s="122">
        <f t="shared" si="125"/>
        <v>0</v>
      </c>
      <c r="N332" s="122">
        <f t="shared" si="126"/>
        <v>0</v>
      </c>
      <c r="O332" s="122"/>
      <c r="P332" s="122">
        <v>0</v>
      </c>
      <c r="Q332" s="122">
        <f t="shared" si="127"/>
        <v>0</v>
      </c>
      <c r="R332" s="147">
        <f t="shared" si="128"/>
        <v>0</v>
      </c>
      <c r="S332" s="145">
        <v>30</v>
      </c>
      <c r="T332" s="144" t="s">
        <v>1176</v>
      </c>
      <c r="U332" s="90">
        <f>SUMIF('Avoided Costs 2009-2017'!$A:$A,Actuals!T332&amp;Actuals!S332,'Avoided Costs 2009-2017'!$E:$E)*J332</f>
        <v>73326.021898098494</v>
      </c>
      <c r="V332" s="90">
        <f>SUMIF('Avoided Costs 2009-2017'!$A:$A,Actuals!T332&amp;Actuals!S332,'Avoided Costs 2009-2017'!$K:$K)*N332</f>
        <v>0</v>
      </c>
      <c r="W332" s="90">
        <f>SUMIF('Avoided Costs 2009-2017'!$A:$A,Actuals!T332&amp;Actuals!S332,'Avoided Costs 2009-2017'!$M:$M)*R332</f>
        <v>0</v>
      </c>
      <c r="X332" s="90">
        <f t="shared" si="129"/>
        <v>73326.021898098494</v>
      </c>
      <c r="Y332" s="148">
        <v>33554</v>
      </c>
      <c r="Z332" s="149">
        <f t="shared" si="130"/>
        <v>29527.52</v>
      </c>
      <c r="AA332" s="148"/>
      <c r="AB332" s="145"/>
      <c r="AC332" s="145"/>
      <c r="AD332" s="148">
        <f t="shared" si="131"/>
        <v>29527.52</v>
      </c>
      <c r="AE332" s="122">
        <f t="shared" si="132"/>
        <v>43798.50189809849</v>
      </c>
      <c r="AF332" s="167">
        <f t="shared" si="133"/>
        <v>527995.98719999997</v>
      </c>
    </row>
    <row r="333" spans="1:32" s="150" customFormat="1" x14ac:dyDescent="0.2">
      <c r="A333" s="144" t="s">
        <v>154</v>
      </c>
      <c r="B333" s="144"/>
      <c r="C333" s="144"/>
      <c r="D333" s="145">
        <v>1</v>
      </c>
      <c r="E333" s="122"/>
      <c r="F333" s="146">
        <v>0.12</v>
      </c>
      <c r="G333" s="146"/>
      <c r="H333" s="122">
        <v>8244</v>
      </c>
      <c r="I333" s="122">
        <f t="shared" si="123"/>
        <v>7980.192</v>
      </c>
      <c r="J333" s="147">
        <f t="shared" si="124"/>
        <v>7022.5689599999996</v>
      </c>
      <c r="K333" s="122"/>
      <c r="L333" s="122">
        <v>0</v>
      </c>
      <c r="M333" s="122">
        <f t="shared" si="125"/>
        <v>0</v>
      </c>
      <c r="N333" s="122">
        <f t="shared" si="126"/>
        <v>0</v>
      </c>
      <c r="O333" s="122"/>
      <c r="P333" s="122">
        <v>0</v>
      </c>
      <c r="Q333" s="122">
        <f t="shared" si="127"/>
        <v>0</v>
      </c>
      <c r="R333" s="147">
        <f t="shared" si="128"/>
        <v>0</v>
      </c>
      <c r="S333" s="145">
        <v>30</v>
      </c>
      <c r="T333" s="144" t="s">
        <v>1176</v>
      </c>
      <c r="U333" s="90">
        <f>SUMIF('Avoided Costs 2009-2017'!$A:$A,Actuals!T333&amp;Actuals!S333,'Avoided Costs 2009-2017'!$E:$E)*J333</f>
        <v>29258.009028020129</v>
      </c>
      <c r="V333" s="90">
        <f>SUMIF('Avoided Costs 2009-2017'!$A:$A,Actuals!T333&amp;Actuals!S333,'Avoided Costs 2009-2017'!$K:$K)*N333</f>
        <v>0</v>
      </c>
      <c r="W333" s="90">
        <f>SUMIF('Avoided Costs 2009-2017'!$A:$A,Actuals!T333&amp;Actuals!S333,'Avoided Costs 2009-2017'!$M:$M)*R333</f>
        <v>0</v>
      </c>
      <c r="X333" s="90">
        <f t="shared" si="129"/>
        <v>29258.009028020129</v>
      </c>
      <c r="Y333" s="148">
        <v>11900</v>
      </c>
      <c r="Z333" s="149">
        <f t="shared" si="130"/>
        <v>10472</v>
      </c>
      <c r="AA333" s="148"/>
      <c r="AB333" s="145"/>
      <c r="AC333" s="145"/>
      <c r="AD333" s="148">
        <f t="shared" si="131"/>
        <v>10472</v>
      </c>
      <c r="AE333" s="122">
        <f t="shared" si="132"/>
        <v>18786.009028020129</v>
      </c>
      <c r="AF333" s="167">
        <f t="shared" si="133"/>
        <v>210677.06879999998</v>
      </c>
    </row>
    <row r="334" spans="1:32" s="150" customFormat="1" x14ac:dyDescent="0.2">
      <c r="A334" s="144" t="s">
        <v>155</v>
      </c>
      <c r="B334" s="144"/>
      <c r="C334" s="144"/>
      <c r="D334" s="145">
        <v>1</v>
      </c>
      <c r="E334" s="122"/>
      <c r="F334" s="146">
        <v>0.12</v>
      </c>
      <c r="G334" s="146"/>
      <c r="H334" s="122">
        <v>16062</v>
      </c>
      <c r="I334" s="122">
        <f t="shared" si="123"/>
        <v>15548.016</v>
      </c>
      <c r="J334" s="147">
        <f t="shared" si="124"/>
        <v>13682.254080000001</v>
      </c>
      <c r="K334" s="122"/>
      <c r="L334" s="122">
        <v>0</v>
      </c>
      <c r="M334" s="122">
        <f t="shared" si="125"/>
        <v>0</v>
      </c>
      <c r="N334" s="122">
        <f t="shared" si="126"/>
        <v>0</v>
      </c>
      <c r="O334" s="122"/>
      <c r="P334" s="122">
        <v>0</v>
      </c>
      <c r="Q334" s="122">
        <f t="shared" si="127"/>
        <v>0</v>
      </c>
      <c r="R334" s="147">
        <f t="shared" si="128"/>
        <v>0</v>
      </c>
      <c r="S334" s="145">
        <v>30</v>
      </c>
      <c r="T334" s="144" t="s">
        <v>1176</v>
      </c>
      <c r="U334" s="90">
        <f>SUMIF('Avoided Costs 2009-2017'!$A:$A,Actuals!T334&amp;Actuals!S334,'Avoided Costs 2009-2017'!$E:$E)*J334</f>
        <v>57004.14131587329</v>
      </c>
      <c r="V334" s="90">
        <f>SUMIF('Avoided Costs 2009-2017'!$A:$A,Actuals!T334&amp;Actuals!S334,'Avoided Costs 2009-2017'!$K:$K)*N334</f>
        <v>0</v>
      </c>
      <c r="W334" s="90">
        <f>SUMIF('Avoided Costs 2009-2017'!$A:$A,Actuals!T334&amp;Actuals!S334,'Avoided Costs 2009-2017'!$M:$M)*R334</f>
        <v>0</v>
      </c>
      <c r="X334" s="90">
        <f t="shared" si="129"/>
        <v>57004.14131587329</v>
      </c>
      <c r="Y334" s="148">
        <v>26085</v>
      </c>
      <c r="Z334" s="149">
        <f t="shared" si="130"/>
        <v>22954.799999999999</v>
      </c>
      <c r="AA334" s="148"/>
      <c r="AB334" s="145"/>
      <c r="AC334" s="145"/>
      <c r="AD334" s="148">
        <f t="shared" si="131"/>
        <v>22954.799999999999</v>
      </c>
      <c r="AE334" s="122">
        <f t="shared" si="132"/>
        <v>34049.341315873287</v>
      </c>
      <c r="AF334" s="167">
        <f t="shared" si="133"/>
        <v>410467.62239999999</v>
      </c>
    </row>
    <row r="335" spans="1:32" s="150" customFormat="1" x14ac:dyDescent="0.2">
      <c r="A335" s="144" t="s">
        <v>156</v>
      </c>
      <c r="B335" s="144"/>
      <c r="C335" s="144"/>
      <c r="D335" s="145">
        <v>1</v>
      </c>
      <c r="E335" s="122"/>
      <c r="F335" s="146">
        <v>0.12</v>
      </c>
      <c r="G335" s="146"/>
      <c r="H335" s="122">
        <v>5028</v>
      </c>
      <c r="I335" s="122">
        <f t="shared" si="123"/>
        <v>4867.1040000000003</v>
      </c>
      <c r="J335" s="147">
        <f t="shared" si="124"/>
        <v>4283.05152</v>
      </c>
      <c r="K335" s="122"/>
      <c r="L335" s="122">
        <v>0</v>
      </c>
      <c r="M335" s="122">
        <f t="shared" si="125"/>
        <v>0</v>
      </c>
      <c r="N335" s="122">
        <f t="shared" si="126"/>
        <v>0</v>
      </c>
      <c r="O335" s="122"/>
      <c r="P335" s="122">
        <v>0</v>
      </c>
      <c r="Q335" s="122">
        <f t="shared" si="127"/>
        <v>0</v>
      </c>
      <c r="R335" s="147">
        <f t="shared" si="128"/>
        <v>0</v>
      </c>
      <c r="S335" s="145">
        <v>30</v>
      </c>
      <c r="T335" s="144" t="s">
        <v>1176</v>
      </c>
      <c r="U335" s="90">
        <f>SUMIF('Avoided Costs 2009-2017'!$A:$A,Actuals!T335&amp;Actuals!S335,'Avoided Costs 2009-2017'!$E:$E)*J335</f>
        <v>17844.404341689133</v>
      </c>
      <c r="V335" s="90">
        <f>SUMIF('Avoided Costs 2009-2017'!$A:$A,Actuals!T335&amp;Actuals!S335,'Avoided Costs 2009-2017'!$K:$K)*N335</f>
        <v>0</v>
      </c>
      <c r="W335" s="90">
        <f>SUMIF('Avoided Costs 2009-2017'!$A:$A,Actuals!T335&amp;Actuals!S335,'Avoided Costs 2009-2017'!$M:$M)*R335</f>
        <v>0</v>
      </c>
      <c r="X335" s="90">
        <f t="shared" si="129"/>
        <v>17844.404341689133</v>
      </c>
      <c r="Y335" s="148">
        <v>12114</v>
      </c>
      <c r="Z335" s="149">
        <f t="shared" si="130"/>
        <v>10660.32</v>
      </c>
      <c r="AA335" s="148"/>
      <c r="AB335" s="145"/>
      <c r="AC335" s="145"/>
      <c r="AD335" s="148">
        <f t="shared" si="131"/>
        <v>10660.32</v>
      </c>
      <c r="AE335" s="122">
        <f t="shared" si="132"/>
        <v>7184.084341689133</v>
      </c>
      <c r="AF335" s="167">
        <f t="shared" si="133"/>
        <v>128491.5456</v>
      </c>
    </row>
    <row r="336" spans="1:32" s="150" customFormat="1" x14ac:dyDescent="0.2">
      <c r="A336" s="144" t="s">
        <v>157</v>
      </c>
      <c r="B336" s="144"/>
      <c r="C336" s="144"/>
      <c r="D336" s="145">
        <v>1</v>
      </c>
      <c r="E336" s="122"/>
      <c r="F336" s="146">
        <v>0.12</v>
      </c>
      <c r="G336" s="146"/>
      <c r="H336" s="122">
        <v>39503</v>
      </c>
      <c r="I336" s="122">
        <f t="shared" si="123"/>
        <v>38238.904000000002</v>
      </c>
      <c r="J336" s="147">
        <f t="shared" si="124"/>
        <v>33650.235520000002</v>
      </c>
      <c r="K336" s="122"/>
      <c r="L336" s="122">
        <v>0</v>
      </c>
      <c r="M336" s="122">
        <f t="shared" si="125"/>
        <v>0</v>
      </c>
      <c r="N336" s="122">
        <f t="shared" si="126"/>
        <v>0</v>
      </c>
      <c r="O336" s="122"/>
      <c r="P336" s="122">
        <v>0</v>
      </c>
      <c r="Q336" s="122">
        <f t="shared" si="127"/>
        <v>0</v>
      </c>
      <c r="R336" s="147">
        <f t="shared" si="128"/>
        <v>0</v>
      </c>
      <c r="S336" s="145">
        <v>30</v>
      </c>
      <c r="T336" s="144" t="s">
        <v>1176</v>
      </c>
      <c r="U336" s="90">
        <f>SUMIF('Avoided Costs 2009-2017'!$A:$A,Actuals!T336&amp;Actuals!S336,'Avoided Costs 2009-2017'!$E:$E)*J336</f>
        <v>140196.40109581265</v>
      </c>
      <c r="V336" s="90">
        <f>SUMIF('Avoided Costs 2009-2017'!$A:$A,Actuals!T336&amp;Actuals!S336,'Avoided Costs 2009-2017'!$K:$K)*N336</f>
        <v>0</v>
      </c>
      <c r="W336" s="90">
        <f>SUMIF('Avoided Costs 2009-2017'!$A:$A,Actuals!T336&amp;Actuals!S336,'Avoided Costs 2009-2017'!$M:$M)*R336</f>
        <v>0</v>
      </c>
      <c r="X336" s="90">
        <f t="shared" si="129"/>
        <v>140196.40109581265</v>
      </c>
      <c r="Y336" s="148">
        <v>64152</v>
      </c>
      <c r="Z336" s="149">
        <f t="shared" si="130"/>
        <v>56453.760000000002</v>
      </c>
      <c r="AA336" s="148"/>
      <c r="AB336" s="145"/>
      <c r="AC336" s="145"/>
      <c r="AD336" s="148">
        <f t="shared" si="131"/>
        <v>56453.760000000002</v>
      </c>
      <c r="AE336" s="122">
        <f t="shared" si="132"/>
        <v>83742.641095812636</v>
      </c>
      <c r="AF336" s="167">
        <f t="shared" si="133"/>
        <v>1009507.0656000001</v>
      </c>
    </row>
    <row r="337" spans="1:32" s="150" customFormat="1" x14ac:dyDescent="0.2">
      <c r="A337" s="144" t="s">
        <v>158</v>
      </c>
      <c r="B337" s="144"/>
      <c r="C337" s="144"/>
      <c r="D337" s="145">
        <v>1</v>
      </c>
      <c r="E337" s="122"/>
      <c r="F337" s="146">
        <v>0.12</v>
      </c>
      <c r="G337" s="146"/>
      <c r="H337" s="122">
        <v>4489</v>
      </c>
      <c r="I337" s="122">
        <f t="shared" si="123"/>
        <v>4345.3519999999999</v>
      </c>
      <c r="J337" s="147">
        <f t="shared" si="124"/>
        <v>3823.90976</v>
      </c>
      <c r="K337" s="122"/>
      <c r="L337" s="122">
        <v>0</v>
      </c>
      <c r="M337" s="122">
        <f t="shared" si="125"/>
        <v>0</v>
      </c>
      <c r="N337" s="122">
        <f t="shared" si="126"/>
        <v>0</v>
      </c>
      <c r="O337" s="122"/>
      <c r="P337" s="122">
        <v>0</v>
      </c>
      <c r="Q337" s="122">
        <f t="shared" si="127"/>
        <v>0</v>
      </c>
      <c r="R337" s="147">
        <f t="shared" si="128"/>
        <v>0</v>
      </c>
      <c r="S337" s="145">
        <v>30</v>
      </c>
      <c r="T337" s="144" t="s">
        <v>1176</v>
      </c>
      <c r="U337" s="90">
        <f>SUMIF('Avoided Costs 2009-2017'!$A:$A,Actuals!T337&amp;Actuals!S337,'Avoided Costs 2009-2017'!$E:$E)*J337</f>
        <v>15931.489874670351</v>
      </c>
      <c r="V337" s="90">
        <f>SUMIF('Avoided Costs 2009-2017'!$A:$A,Actuals!T337&amp;Actuals!S337,'Avoided Costs 2009-2017'!$K:$K)*N337</f>
        <v>0</v>
      </c>
      <c r="W337" s="90">
        <f>SUMIF('Avoided Costs 2009-2017'!$A:$A,Actuals!T337&amp;Actuals!S337,'Avoided Costs 2009-2017'!$M:$M)*R337</f>
        <v>0</v>
      </c>
      <c r="X337" s="90">
        <f t="shared" si="129"/>
        <v>15931.489874670351</v>
      </c>
      <c r="Y337" s="148">
        <v>12114</v>
      </c>
      <c r="Z337" s="149">
        <f t="shared" si="130"/>
        <v>10660.32</v>
      </c>
      <c r="AA337" s="148"/>
      <c r="AB337" s="145"/>
      <c r="AC337" s="145"/>
      <c r="AD337" s="148">
        <f t="shared" si="131"/>
        <v>10660.32</v>
      </c>
      <c r="AE337" s="122">
        <f t="shared" si="132"/>
        <v>5271.1698746703514</v>
      </c>
      <c r="AF337" s="167">
        <f t="shared" si="133"/>
        <v>114717.2928</v>
      </c>
    </row>
    <row r="338" spans="1:32" s="150" customFormat="1" x14ac:dyDescent="0.2">
      <c r="A338" s="144" t="s">
        <v>159</v>
      </c>
      <c r="B338" s="144"/>
      <c r="C338" s="144"/>
      <c r="D338" s="145">
        <v>1</v>
      </c>
      <c r="E338" s="122"/>
      <c r="F338" s="146">
        <v>0.12</v>
      </c>
      <c r="G338" s="146"/>
      <c r="H338" s="122">
        <v>10654</v>
      </c>
      <c r="I338" s="122">
        <f t="shared" si="123"/>
        <v>10313.072</v>
      </c>
      <c r="J338" s="147">
        <f t="shared" si="124"/>
        <v>9075.5033600000006</v>
      </c>
      <c r="K338" s="122"/>
      <c r="L338" s="122">
        <v>0</v>
      </c>
      <c r="M338" s="122">
        <f t="shared" si="125"/>
        <v>0</v>
      </c>
      <c r="N338" s="122">
        <f t="shared" si="126"/>
        <v>0</v>
      </c>
      <c r="O338" s="122"/>
      <c r="P338" s="122">
        <v>0</v>
      </c>
      <c r="Q338" s="122">
        <f t="shared" si="127"/>
        <v>0</v>
      </c>
      <c r="R338" s="147">
        <f t="shared" si="128"/>
        <v>0</v>
      </c>
      <c r="S338" s="145">
        <v>30</v>
      </c>
      <c r="T338" s="144" t="s">
        <v>1176</v>
      </c>
      <c r="U338" s="90">
        <f>SUMIF('Avoided Costs 2009-2017'!$A:$A,Actuals!T338&amp;Actuals!S338,'Avoided Costs 2009-2017'!$E:$E)*J338</f>
        <v>37811.114529903745</v>
      </c>
      <c r="V338" s="90">
        <f>SUMIF('Avoided Costs 2009-2017'!$A:$A,Actuals!T338&amp;Actuals!S338,'Avoided Costs 2009-2017'!$K:$K)*N338</f>
        <v>0</v>
      </c>
      <c r="W338" s="90">
        <f>SUMIF('Avoided Costs 2009-2017'!$A:$A,Actuals!T338&amp;Actuals!S338,'Avoided Costs 2009-2017'!$M:$M)*R338</f>
        <v>0</v>
      </c>
      <c r="X338" s="90">
        <f t="shared" si="129"/>
        <v>37811.114529903745</v>
      </c>
      <c r="Y338" s="148">
        <v>17302</v>
      </c>
      <c r="Z338" s="149">
        <f t="shared" si="130"/>
        <v>15225.76</v>
      </c>
      <c r="AA338" s="148"/>
      <c r="AB338" s="145"/>
      <c r="AC338" s="145"/>
      <c r="AD338" s="148">
        <f t="shared" si="131"/>
        <v>15225.76</v>
      </c>
      <c r="AE338" s="122">
        <f t="shared" si="132"/>
        <v>22585.354529903743</v>
      </c>
      <c r="AF338" s="167">
        <f t="shared" si="133"/>
        <v>272265.10080000001</v>
      </c>
    </row>
    <row r="339" spans="1:32" s="150" customFormat="1" x14ac:dyDescent="0.2">
      <c r="A339" s="144" t="s">
        <v>160</v>
      </c>
      <c r="B339" s="144"/>
      <c r="C339" s="144"/>
      <c r="D339" s="145">
        <v>1</v>
      </c>
      <c r="E339" s="122"/>
      <c r="F339" s="146">
        <v>0.12</v>
      </c>
      <c r="G339" s="146"/>
      <c r="H339" s="122">
        <v>3448</v>
      </c>
      <c r="I339" s="122">
        <f t="shared" si="123"/>
        <v>3337.6639999999998</v>
      </c>
      <c r="J339" s="147">
        <f t="shared" si="124"/>
        <v>2937.1443199999999</v>
      </c>
      <c r="K339" s="122"/>
      <c r="L339" s="122">
        <v>0</v>
      </c>
      <c r="M339" s="122">
        <f t="shared" si="125"/>
        <v>0</v>
      </c>
      <c r="N339" s="122">
        <f t="shared" si="126"/>
        <v>0</v>
      </c>
      <c r="O339" s="122"/>
      <c r="P339" s="122">
        <v>0</v>
      </c>
      <c r="Q339" s="122">
        <f t="shared" si="127"/>
        <v>0</v>
      </c>
      <c r="R339" s="147">
        <f t="shared" si="128"/>
        <v>0</v>
      </c>
      <c r="S339" s="145">
        <v>30</v>
      </c>
      <c r="T339" s="144" t="s">
        <v>1176</v>
      </c>
      <c r="U339" s="90">
        <f>SUMIF('Avoided Costs 2009-2017'!$A:$A,Actuals!T339&amp;Actuals!S339,'Avoided Costs 2009-2017'!$E:$E)*J339</f>
        <v>12236.974178628507</v>
      </c>
      <c r="V339" s="90">
        <f>SUMIF('Avoided Costs 2009-2017'!$A:$A,Actuals!T339&amp;Actuals!S339,'Avoided Costs 2009-2017'!$K:$K)*N339</f>
        <v>0</v>
      </c>
      <c r="W339" s="90">
        <f>SUMIF('Avoided Costs 2009-2017'!$A:$A,Actuals!T339&amp;Actuals!S339,'Avoided Costs 2009-2017'!$M:$M)*R339</f>
        <v>0</v>
      </c>
      <c r="X339" s="90">
        <f t="shared" si="129"/>
        <v>12236.974178628507</v>
      </c>
      <c r="Y339" s="148">
        <v>12114</v>
      </c>
      <c r="Z339" s="149">
        <f t="shared" si="130"/>
        <v>10660.32</v>
      </c>
      <c r="AA339" s="148"/>
      <c r="AB339" s="145"/>
      <c r="AC339" s="145"/>
      <c r="AD339" s="148">
        <f t="shared" si="131"/>
        <v>10660.32</v>
      </c>
      <c r="AE339" s="122">
        <f t="shared" si="132"/>
        <v>1576.654178628507</v>
      </c>
      <c r="AF339" s="167">
        <f t="shared" si="133"/>
        <v>88114.329599999997</v>
      </c>
    </row>
    <row r="340" spans="1:32" s="150" customFormat="1" x14ac:dyDescent="0.2">
      <c r="A340" s="144" t="s">
        <v>161</v>
      </c>
      <c r="B340" s="144"/>
      <c r="C340" s="144"/>
      <c r="D340" s="145">
        <v>1</v>
      </c>
      <c r="E340" s="122"/>
      <c r="F340" s="146">
        <v>0.12</v>
      </c>
      <c r="G340" s="146"/>
      <c r="H340" s="122">
        <v>8245</v>
      </c>
      <c r="I340" s="122">
        <f t="shared" si="123"/>
        <v>7981.16</v>
      </c>
      <c r="J340" s="147">
        <f t="shared" si="124"/>
        <v>7023.4207999999999</v>
      </c>
      <c r="K340" s="122"/>
      <c r="L340" s="122">
        <v>0</v>
      </c>
      <c r="M340" s="122">
        <f t="shared" si="125"/>
        <v>0</v>
      </c>
      <c r="N340" s="122">
        <f t="shared" si="126"/>
        <v>0</v>
      </c>
      <c r="O340" s="122"/>
      <c r="P340" s="122">
        <v>0</v>
      </c>
      <c r="Q340" s="122">
        <f t="shared" si="127"/>
        <v>0</v>
      </c>
      <c r="R340" s="147">
        <f t="shared" si="128"/>
        <v>0</v>
      </c>
      <c r="S340" s="145">
        <v>30</v>
      </c>
      <c r="T340" s="144" t="s">
        <v>1176</v>
      </c>
      <c r="U340" s="90">
        <f>SUMIF('Avoided Costs 2009-2017'!$A:$A,Actuals!T340&amp;Actuals!S340,'Avoided Costs 2009-2017'!$E:$E)*J340</f>
        <v>29261.55803445245</v>
      </c>
      <c r="V340" s="90">
        <f>SUMIF('Avoided Costs 2009-2017'!$A:$A,Actuals!T340&amp;Actuals!S340,'Avoided Costs 2009-2017'!$K:$K)*N340</f>
        <v>0</v>
      </c>
      <c r="W340" s="90">
        <f>SUMIF('Avoided Costs 2009-2017'!$A:$A,Actuals!T340&amp;Actuals!S340,'Avoided Costs 2009-2017'!$M:$M)*R340</f>
        <v>0</v>
      </c>
      <c r="X340" s="90">
        <f t="shared" si="129"/>
        <v>29261.55803445245</v>
      </c>
      <c r="Y340" s="148">
        <v>13390</v>
      </c>
      <c r="Z340" s="149">
        <f t="shared" si="130"/>
        <v>11783.2</v>
      </c>
      <c r="AA340" s="148"/>
      <c r="AB340" s="145"/>
      <c r="AC340" s="145"/>
      <c r="AD340" s="148">
        <f t="shared" si="131"/>
        <v>11783.2</v>
      </c>
      <c r="AE340" s="122">
        <f t="shared" si="132"/>
        <v>17478.358034452449</v>
      </c>
      <c r="AF340" s="167">
        <f t="shared" si="133"/>
        <v>210702.62400000001</v>
      </c>
    </row>
    <row r="341" spans="1:32" s="150" customFormat="1" x14ac:dyDescent="0.2">
      <c r="A341" s="144" t="s">
        <v>162</v>
      </c>
      <c r="B341" s="144"/>
      <c r="C341" s="144"/>
      <c r="D341" s="145">
        <v>1</v>
      </c>
      <c r="E341" s="122"/>
      <c r="F341" s="146">
        <v>0.12</v>
      </c>
      <c r="G341" s="146"/>
      <c r="H341" s="122">
        <v>16098</v>
      </c>
      <c r="I341" s="122">
        <f t="shared" si="123"/>
        <v>15582.864</v>
      </c>
      <c r="J341" s="147">
        <f t="shared" si="124"/>
        <v>13712.920319999999</v>
      </c>
      <c r="K341" s="122"/>
      <c r="L341" s="122">
        <v>0</v>
      </c>
      <c r="M341" s="122">
        <f t="shared" si="125"/>
        <v>0</v>
      </c>
      <c r="N341" s="122">
        <f t="shared" si="126"/>
        <v>0</v>
      </c>
      <c r="O341" s="122"/>
      <c r="P341" s="122">
        <v>0</v>
      </c>
      <c r="Q341" s="122">
        <f t="shared" si="127"/>
        <v>0</v>
      </c>
      <c r="R341" s="147">
        <f t="shared" si="128"/>
        <v>0</v>
      </c>
      <c r="S341" s="145">
        <v>30</v>
      </c>
      <c r="T341" s="144" t="s">
        <v>1176</v>
      </c>
      <c r="U341" s="90">
        <f>SUMIF('Avoided Costs 2009-2017'!$A:$A,Actuals!T341&amp;Actuals!S341,'Avoided Costs 2009-2017'!$E:$E)*J341</f>
        <v>57131.905547436691</v>
      </c>
      <c r="V341" s="90">
        <f>SUMIF('Avoided Costs 2009-2017'!$A:$A,Actuals!T341&amp;Actuals!S341,'Avoided Costs 2009-2017'!$K:$K)*N341</f>
        <v>0</v>
      </c>
      <c r="W341" s="90">
        <f>SUMIF('Avoided Costs 2009-2017'!$A:$A,Actuals!T341&amp;Actuals!S341,'Avoided Costs 2009-2017'!$M:$M)*R341</f>
        <v>0</v>
      </c>
      <c r="X341" s="90">
        <f t="shared" si="129"/>
        <v>57131.905547436691</v>
      </c>
      <c r="Y341" s="148">
        <v>26143</v>
      </c>
      <c r="Z341" s="149">
        <f t="shared" si="130"/>
        <v>23005.84</v>
      </c>
      <c r="AA341" s="148"/>
      <c r="AB341" s="145"/>
      <c r="AC341" s="145"/>
      <c r="AD341" s="148">
        <f t="shared" si="131"/>
        <v>23005.84</v>
      </c>
      <c r="AE341" s="122">
        <f t="shared" si="132"/>
        <v>34126.065547436694</v>
      </c>
      <c r="AF341" s="167">
        <f t="shared" si="133"/>
        <v>411387.60959999997</v>
      </c>
    </row>
    <row r="342" spans="1:32" s="150" customFormat="1" x14ac:dyDescent="0.2">
      <c r="A342" s="144" t="s">
        <v>163</v>
      </c>
      <c r="B342" s="144"/>
      <c r="C342" s="144"/>
      <c r="D342" s="145">
        <v>1</v>
      </c>
      <c r="E342" s="122"/>
      <c r="F342" s="146">
        <v>0.12</v>
      </c>
      <c r="G342" s="146"/>
      <c r="H342" s="122">
        <v>8379</v>
      </c>
      <c r="I342" s="122">
        <f t="shared" si="123"/>
        <v>8110.8719999999994</v>
      </c>
      <c r="J342" s="147">
        <f t="shared" si="124"/>
        <v>7137.5673599999991</v>
      </c>
      <c r="K342" s="122"/>
      <c r="L342" s="122">
        <v>0</v>
      </c>
      <c r="M342" s="122">
        <f t="shared" si="125"/>
        <v>0</v>
      </c>
      <c r="N342" s="122">
        <f t="shared" si="126"/>
        <v>0</v>
      </c>
      <c r="O342" s="122"/>
      <c r="P342" s="122">
        <v>0</v>
      </c>
      <c r="Q342" s="122">
        <f t="shared" si="127"/>
        <v>0</v>
      </c>
      <c r="R342" s="147">
        <f t="shared" si="128"/>
        <v>0</v>
      </c>
      <c r="S342" s="145">
        <v>30</v>
      </c>
      <c r="T342" s="144" t="s">
        <v>1176</v>
      </c>
      <c r="U342" s="90">
        <f>SUMIF('Avoided Costs 2009-2017'!$A:$A,Actuals!T342&amp;Actuals!S342,'Avoided Costs 2009-2017'!$E:$E)*J342</f>
        <v>29737.124896382902</v>
      </c>
      <c r="V342" s="90">
        <f>SUMIF('Avoided Costs 2009-2017'!$A:$A,Actuals!T342&amp;Actuals!S342,'Avoided Costs 2009-2017'!$K:$K)*N342</f>
        <v>0</v>
      </c>
      <c r="W342" s="90">
        <f>SUMIF('Avoided Costs 2009-2017'!$A:$A,Actuals!T342&amp;Actuals!S342,'Avoided Costs 2009-2017'!$M:$M)*R342</f>
        <v>0</v>
      </c>
      <c r="X342" s="90">
        <f t="shared" si="129"/>
        <v>29737.124896382902</v>
      </c>
      <c r="Y342" s="148">
        <v>13608</v>
      </c>
      <c r="Z342" s="149">
        <f t="shared" si="130"/>
        <v>11975.04</v>
      </c>
      <c r="AA342" s="148"/>
      <c r="AB342" s="145"/>
      <c r="AC342" s="145"/>
      <c r="AD342" s="148">
        <f t="shared" si="131"/>
        <v>11975.04</v>
      </c>
      <c r="AE342" s="122">
        <f t="shared" si="132"/>
        <v>17762.084896382901</v>
      </c>
      <c r="AF342" s="167">
        <f t="shared" si="133"/>
        <v>214127.02079999997</v>
      </c>
    </row>
    <row r="343" spans="1:32" s="150" customFormat="1" x14ac:dyDescent="0.2">
      <c r="A343" s="144" t="s">
        <v>164</v>
      </c>
      <c r="B343" s="144"/>
      <c r="C343" s="144"/>
      <c r="D343" s="145">
        <v>1</v>
      </c>
      <c r="E343" s="122"/>
      <c r="F343" s="146">
        <v>0.12</v>
      </c>
      <c r="G343" s="146"/>
      <c r="H343" s="122">
        <v>6344</v>
      </c>
      <c r="I343" s="122">
        <f t="shared" si="123"/>
        <v>6140.9920000000002</v>
      </c>
      <c r="J343" s="147">
        <f t="shared" si="124"/>
        <v>5404.0729600000004</v>
      </c>
      <c r="K343" s="122"/>
      <c r="L343" s="122">
        <v>0</v>
      </c>
      <c r="M343" s="122">
        <f t="shared" si="125"/>
        <v>0</v>
      </c>
      <c r="N343" s="122">
        <f t="shared" si="126"/>
        <v>0</v>
      </c>
      <c r="O343" s="122"/>
      <c r="P343" s="122">
        <v>0</v>
      </c>
      <c r="Q343" s="122">
        <f t="shared" si="127"/>
        <v>0</v>
      </c>
      <c r="R343" s="147">
        <f t="shared" si="128"/>
        <v>0</v>
      </c>
      <c r="S343" s="145">
        <v>30</v>
      </c>
      <c r="T343" s="144" t="s">
        <v>1176</v>
      </c>
      <c r="U343" s="90">
        <f>SUMIF('Avoided Costs 2009-2017'!$A:$A,Actuals!T343&amp;Actuals!S343,'Avoided Costs 2009-2017'!$E:$E)*J343</f>
        <v>22514.896806618115</v>
      </c>
      <c r="V343" s="90">
        <f>SUMIF('Avoided Costs 2009-2017'!$A:$A,Actuals!T343&amp;Actuals!S343,'Avoided Costs 2009-2017'!$K:$K)*N343</f>
        <v>0</v>
      </c>
      <c r="W343" s="90">
        <f>SUMIF('Avoided Costs 2009-2017'!$A:$A,Actuals!T343&amp;Actuals!S343,'Avoided Costs 2009-2017'!$M:$M)*R343</f>
        <v>0</v>
      </c>
      <c r="X343" s="90">
        <f t="shared" si="129"/>
        <v>22514.896806618115</v>
      </c>
      <c r="Y343" s="148">
        <v>12114</v>
      </c>
      <c r="Z343" s="149">
        <f t="shared" si="130"/>
        <v>10660.32</v>
      </c>
      <c r="AA343" s="148"/>
      <c r="AB343" s="145"/>
      <c r="AC343" s="145"/>
      <c r="AD343" s="148">
        <f t="shared" si="131"/>
        <v>10660.32</v>
      </c>
      <c r="AE343" s="122">
        <f t="shared" si="132"/>
        <v>11854.576806618115</v>
      </c>
      <c r="AF343" s="167">
        <f t="shared" si="133"/>
        <v>162122.1888</v>
      </c>
    </row>
    <row r="344" spans="1:32" s="150" customFormat="1" x14ac:dyDescent="0.2">
      <c r="A344" s="144" t="s">
        <v>165</v>
      </c>
      <c r="B344" s="144"/>
      <c r="C344" s="144"/>
      <c r="D344" s="145">
        <v>1</v>
      </c>
      <c r="E344" s="122"/>
      <c r="F344" s="146">
        <v>0.12</v>
      </c>
      <c r="G344" s="146"/>
      <c r="H344" s="122">
        <v>7963</v>
      </c>
      <c r="I344" s="122">
        <f t="shared" si="123"/>
        <v>7708.1840000000002</v>
      </c>
      <c r="J344" s="147">
        <f t="shared" si="124"/>
        <v>6783.2019200000004</v>
      </c>
      <c r="K344" s="122"/>
      <c r="L344" s="122">
        <v>0</v>
      </c>
      <c r="M344" s="122">
        <f t="shared" si="125"/>
        <v>0</v>
      </c>
      <c r="N344" s="122">
        <f t="shared" si="126"/>
        <v>0</v>
      </c>
      <c r="O344" s="122"/>
      <c r="P344" s="122">
        <v>0</v>
      </c>
      <c r="Q344" s="122">
        <f t="shared" si="127"/>
        <v>0</v>
      </c>
      <c r="R344" s="147">
        <f t="shared" si="128"/>
        <v>0</v>
      </c>
      <c r="S344" s="145">
        <v>30</v>
      </c>
      <c r="T344" s="144" t="s">
        <v>1176</v>
      </c>
      <c r="U344" s="90">
        <f>SUMIF('Avoided Costs 2009-2017'!$A:$A,Actuals!T344&amp;Actuals!S344,'Avoided Costs 2009-2017'!$E:$E)*J344</f>
        <v>28260.738220539097</v>
      </c>
      <c r="V344" s="90">
        <f>SUMIF('Avoided Costs 2009-2017'!$A:$A,Actuals!T344&amp;Actuals!S344,'Avoided Costs 2009-2017'!$K:$K)*N344</f>
        <v>0</v>
      </c>
      <c r="W344" s="90">
        <f>SUMIF('Avoided Costs 2009-2017'!$A:$A,Actuals!T344&amp;Actuals!S344,'Avoided Costs 2009-2017'!$M:$M)*R344</f>
        <v>0</v>
      </c>
      <c r="X344" s="90">
        <f t="shared" si="129"/>
        <v>28260.738220539097</v>
      </c>
      <c r="Y344" s="148">
        <v>12932</v>
      </c>
      <c r="Z344" s="149">
        <f t="shared" si="130"/>
        <v>11380.16</v>
      </c>
      <c r="AA344" s="148"/>
      <c r="AB344" s="145"/>
      <c r="AC344" s="145"/>
      <c r="AD344" s="148">
        <f t="shared" si="131"/>
        <v>11380.16</v>
      </c>
      <c r="AE344" s="122">
        <f t="shared" si="132"/>
        <v>16880.578220539097</v>
      </c>
      <c r="AF344" s="167">
        <f t="shared" si="133"/>
        <v>203496.0576</v>
      </c>
    </row>
    <row r="345" spans="1:32" s="150" customFormat="1" x14ac:dyDescent="0.2">
      <c r="A345" s="144" t="s">
        <v>166</v>
      </c>
      <c r="B345" s="144"/>
      <c r="C345" s="144"/>
      <c r="D345" s="145">
        <v>1</v>
      </c>
      <c r="E345" s="122"/>
      <c r="F345" s="146">
        <v>0.12</v>
      </c>
      <c r="G345" s="146"/>
      <c r="H345" s="122">
        <v>7853</v>
      </c>
      <c r="I345" s="122">
        <f t="shared" si="123"/>
        <v>7601.7039999999997</v>
      </c>
      <c r="J345" s="147">
        <f t="shared" si="124"/>
        <v>6689.4995199999994</v>
      </c>
      <c r="K345" s="122"/>
      <c r="L345" s="122">
        <v>0</v>
      </c>
      <c r="M345" s="122">
        <f t="shared" si="125"/>
        <v>0</v>
      </c>
      <c r="N345" s="122">
        <f t="shared" si="126"/>
        <v>0</v>
      </c>
      <c r="O345" s="122"/>
      <c r="P345" s="122">
        <v>0</v>
      </c>
      <c r="Q345" s="122">
        <f t="shared" si="127"/>
        <v>0</v>
      </c>
      <c r="R345" s="147">
        <f t="shared" si="128"/>
        <v>0</v>
      </c>
      <c r="S345" s="145">
        <v>30</v>
      </c>
      <c r="T345" s="144" t="s">
        <v>1176</v>
      </c>
      <c r="U345" s="90">
        <f>SUMIF('Avoided Costs 2009-2017'!$A:$A,Actuals!T345&amp;Actuals!S345,'Avoided Costs 2009-2017'!$E:$E)*J345</f>
        <v>27870.347512984241</v>
      </c>
      <c r="V345" s="90">
        <f>SUMIF('Avoided Costs 2009-2017'!$A:$A,Actuals!T345&amp;Actuals!S345,'Avoided Costs 2009-2017'!$K:$K)*N345</f>
        <v>0</v>
      </c>
      <c r="W345" s="90">
        <f>SUMIF('Avoided Costs 2009-2017'!$A:$A,Actuals!T345&amp;Actuals!S345,'Avoided Costs 2009-2017'!$M:$M)*R345</f>
        <v>0</v>
      </c>
      <c r="X345" s="90">
        <f t="shared" si="129"/>
        <v>27870.347512984241</v>
      </c>
      <c r="Y345" s="148">
        <v>12753</v>
      </c>
      <c r="Z345" s="149">
        <f t="shared" si="130"/>
        <v>11222.64</v>
      </c>
      <c r="AA345" s="148"/>
      <c r="AB345" s="145"/>
      <c r="AC345" s="145"/>
      <c r="AD345" s="148">
        <f t="shared" si="131"/>
        <v>11222.64</v>
      </c>
      <c r="AE345" s="122">
        <f t="shared" si="132"/>
        <v>16647.707512984241</v>
      </c>
      <c r="AF345" s="167">
        <f t="shared" si="133"/>
        <v>200684.98559999999</v>
      </c>
    </row>
    <row r="346" spans="1:32" s="150" customFormat="1" x14ac:dyDescent="0.2">
      <c r="A346" s="144" t="s">
        <v>167</v>
      </c>
      <c r="B346" s="144"/>
      <c r="C346" s="144"/>
      <c r="D346" s="145">
        <v>1</v>
      </c>
      <c r="E346" s="122"/>
      <c r="F346" s="146">
        <v>0.12</v>
      </c>
      <c r="G346" s="146"/>
      <c r="H346" s="122">
        <v>9098</v>
      </c>
      <c r="I346" s="122">
        <f t="shared" si="123"/>
        <v>8806.8639999999996</v>
      </c>
      <c r="J346" s="147">
        <f t="shared" si="124"/>
        <v>7750.0403200000001</v>
      </c>
      <c r="K346" s="122"/>
      <c r="L346" s="122">
        <v>0</v>
      </c>
      <c r="M346" s="122">
        <f t="shared" si="125"/>
        <v>0</v>
      </c>
      <c r="N346" s="122">
        <f t="shared" si="126"/>
        <v>0</v>
      </c>
      <c r="O346" s="122"/>
      <c r="P346" s="122">
        <v>0</v>
      </c>
      <c r="Q346" s="122">
        <f t="shared" si="127"/>
        <v>0</v>
      </c>
      <c r="R346" s="147">
        <f t="shared" si="128"/>
        <v>0</v>
      </c>
      <c r="S346" s="145">
        <v>30</v>
      </c>
      <c r="T346" s="144" t="s">
        <v>1176</v>
      </c>
      <c r="U346" s="90">
        <f>SUMIF('Avoided Costs 2009-2017'!$A:$A,Actuals!T346&amp;Actuals!S346,'Avoided Costs 2009-2017'!$E:$E)*J346</f>
        <v>32288.860521218725</v>
      </c>
      <c r="V346" s="90">
        <f>SUMIF('Avoided Costs 2009-2017'!$A:$A,Actuals!T346&amp;Actuals!S346,'Avoided Costs 2009-2017'!$K:$K)*N346</f>
        <v>0</v>
      </c>
      <c r="W346" s="90">
        <f>SUMIF('Avoided Costs 2009-2017'!$A:$A,Actuals!T346&amp;Actuals!S346,'Avoided Costs 2009-2017'!$M:$M)*R346</f>
        <v>0</v>
      </c>
      <c r="X346" s="90">
        <f t="shared" si="129"/>
        <v>32288.860521218725</v>
      </c>
      <c r="Y346" s="148">
        <v>56307</v>
      </c>
      <c r="Z346" s="149">
        <f t="shared" si="130"/>
        <v>49550.16</v>
      </c>
      <c r="AA346" s="148"/>
      <c r="AB346" s="145"/>
      <c r="AC346" s="145"/>
      <c r="AD346" s="148">
        <f t="shared" si="131"/>
        <v>49550.16</v>
      </c>
      <c r="AE346" s="122">
        <f t="shared" si="132"/>
        <v>-17261.299478781279</v>
      </c>
      <c r="AF346" s="167">
        <f t="shared" si="133"/>
        <v>232501.2096</v>
      </c>
    </row>
    <row r="347" spans="1:32" s="150" customFormat="1" x14ac:dyDescent="0.2">
      <c r="A347" s="144" t="s">
        <v>168</v>
      </c>
      <c r="B347" s="144"/>
      <c r="C347" s="144"/>
      <c r="D347" s="145">
        <v>1</v>
      </c>
      <c r="E347" s="122"/>
      <c r="F347" s="146">
        <v>0.12</v>
      </c>
      <c r="G347" s="146"/>
      <c r="H347" s="122">
        <v>6523</v>
      </c>
      <c r="I347" s="122">
        <f t="shared" si="123"/>
        <v>6314.2640000000001</v>
      </c>
      <c r="J347" s="147">
        <f t="shared" si="124"/>
        <v>5556.5523199999998</v>
      </c>
      <c r="K347" s="122"/>
      <c r="L347" s="122">
        <v>61422</v>
      </c>
      <c r="M347" s="122">
        <f t="shared" si="125"/>
        <v>55218.378000000004</v>
      </c>
      <c r="N347" s="122">
        <f t="shared" si="126"/>
        <v>48592.172640000004</v>
      </c>
      <c r="O347" s="122"/>
      <c r="P347" s="122">
        <v>291</v>
      </c>
      <c r="Q347" s="122">
        <f t="shared" si="127"/>
        <v>434.17200000000003</v>
      </c>
      <c r="R347" s="147">
        <f t="shared" si="128"/>
        <v>382.07136000000003</v>
      </c>
      <c r="S347" s="145">
        <v>15</v>
      </c>
      <c r="T347" s="144" t="s">
        <v>1176</v>
      </c>
      <c r="U347" s="90">
        <f>SUMIF('Avoided Costs 2009-2017'!$A:$A,Actuals!T347&amp;Actuals!S347,'Avoided Costs 2009-2017'!$E:$E)*J347</f>
        <v>17116.892161448639</v>
      </c>
      <c r="V347" s="90">
        <f>SUMIF('Avoided Costs 2009-2017'!$A:$A,Actuals!T347&amp;Actuals!S347,'Avoided Costs 2009-2017'!$K:$K)*N347</f>
        <v>36275.620402205619</v>
      </c>
      <c r="W347" s="90">
        <f>SUMIF('Avoided Costs 2009-2017'!$A:$A,Actuals!T347&amp;Actuals!S347,'Avoided Costs 2009-2017'!$M:$M)*R347</f>
        <v>4963.5689269545073</v>
      </c>
      <c r="X347" s="90">
        <f t="shared" si="129"/>
        <v>58356.081490608762</v>
      </c>
      <c r="Y347" s="148">
        <v>43424</v>
      </c>
      <c r="Z347" s="149">
        <f t="shared" si="130"/>
        <v>38213.120000000003</v>
      </c>
      <c r="AA347" s="148"/>
      <c r="AB347" s="145"/>
      <c r="AC347" s="145"/>
      <c r="AD347" s="148">
        <f t="shared" ref="AD347:AD361" si="134">Z347+AB347</f>
        <v>38213.120000000003</v>
      </c>
      <c r="AE347" s="122">
        <f t="shared" ref="AE347:AE361" si="135">X347-AD347</f>
        <v>20142.961490608759</v>
      </c>
      <c r="AF347" s="167">
        <f t="shared" si="133"/>
        <v>83348.284799999994</v>
      </c>
    </row>
    <row r="348" spans="1:32" s="150" customFormat="1" x14ac:dyDescent="0.2">
      <c r="A348" s="144" t="s">
        <v>169</v>
      </c>
      <c r="B348" s="144"/>
      <c r="C348" s="144"/>
      <c r="D348" s="145">
        <v>1</v>
      </c>
      <c r="E348" s="122"/>
      <c r="F348" s="146">
        <v>0.12</v>
      </c>
      <c r="G348" s="146"/>
      <c r="H348" s="122">
        <v>5890</v>
      </c>
      <c r="I348" s="122">
        <f t="shared" si="123"/>
        <v>5701.5199999999995</v>
      </c>
      <c r="J348" s="147">
        <f t="shared" si="124"/>
        <v>5017.3375999999998</v>
      </c>
      <c r="K348" s="122"/>
      <c r="L348" s="122">
        <v>0</v>
      </c>
      <c r="M348" s="122">
        <f t="shared" si="125"/>
        <v>0</v>
      </c>
      <c r="N348" s="122">
        <f t="shared" si="126"/>
        <v>0</v>
      </c>
      <c r="O348" s="122"/>
      <c r="P348" s="122">
        <v>0</v>
      </c>
      <c r="Q348" s="122">
        <f t="shared" si="127"/>
        <v>0</v>
      </c>
      <c r="R348" s="147">
        <f t="shared" si="128"/>
        <v>0</v>
      </c>
      <c r="S348" s="145">
        <v>30</v>
      </c>
      <c r="T348" s="144" t="s">
        <v>1176</v>
      </c>
      <c r="U348" s="90">
        <f>SUMIF('Avoided Costs 2009-2017'!$A:$A,Actuals!T348&amp;Actuals!S348,'Avoided Costs 2009-2017'!$E:$E)*J348</f>
        <v>20903.647886346262</v>
      </c>
      <c r="V348" s="90">
        <f>SUMIF('Avoided Costs 2009-2017'!$A:$A,Actuals!T348&amp;Actuals!S348,'Avoided Costs 2009-2017'!$K:$K)*N348</f>
        <v>0</v>
      </c>
      <c r="W348" s="90">
        <f>SUMIF('Avoided Costs 2009-2017'!$A:$A,Actuals!T348&amp;Actuals!S348,'Avoided Costs 2009-2017'!$M:$M)*R348</f>
        <v>0</v>
      </c>
      <c r="X348" s="90">
        <f t="shared" si="129"/>
        <v>20903.647886346262</v>
      </c>
      <c r="Y348" s="148">
        <v>12114</v>
      </c>
      <c r="Z348" s="149">
        <f t="shared" si="130"/>
        <v>10660.32</v>
      </c>
      <c r="AA348" s="148"/>
      <c r="AB348" s="145"/>
      <c r="AC348" s="145"/>
      <c r="AD348" s="148">
        <f t="shared" si="134"/>
        <v>10660.32</v>
      </c>
      <c r="AE348" s="122">
        <f t="shared" si="135"/>
        <v>10243.327886346262</v>
      </c>
      <c r="AF348" s="167">
        <f t="shared" si="133"/>
        <v>150520.128</v>
      </c>
    </row>
    <row r="349" spans="1:32" s="150" customFormat="1" x14ac:dyDescent="0.2">
      <c r="A349" s="144" t="s">
        <v>170</v>
      </c>
      <c r="B349" s="144"/>
      <c r="C349" s="144"/>
      <c r="D349" s="145">
        <v>1</v>
      </c>
      <c r="E349" s="122"/>
      <c r="F349" s="146">
        <v>0.12</v>
      </c>
      <c r="G349" s="146"/>
      <c r="H349" s="122">
        <v>4477</v>
      </c>
      <c r="I349" s="122">
        <f t="shared" si="123"/>
        <v>4333.7359999999999</v>
      </c>
      <c r="J349" s="147">
        <f t="shared" si="124"/>
        <v>3813.68768</v>
      </c>
      <c r="K349" s="122"/>
      <c r="L349" s="122">
        <v>0</v>
      </c>
      <c r="M349" s="122">
        <f t="shared" si="125"/>
        <v>0</v>
      </c>
      <c r="N349" s="122">
        <f t="shared" si="126"/>
        <v>0</v>
      </c>
      <c r="O349" s="122"/>
      <c r="P349" s="122">
        <v>0</v>
      </c>
      <c r="Q349" s="122">
        <f t="shared" si="127"/>
        <v>0</v>
      </c>
      <c r="R349" s="147">
        <f t="shared" si="128"/>
        <v>0</v>
      </c>
      <c r="S349" s="145">
        <v>30</v>
      </c>
      <c r="T349" s="144" t="s">
        <v>1176</v>
      </c>
      <c r="U349" s="90">
        <f>SUMIF('Avoided Costs 2009-2017'!$A:$A,Actuals!T349&amp;Actuals!S349,'Avoided Costs 2009-2017'!$E:$E)*J349</f>
        <v>15888.901797482549</v>
      </c>
      <c r="V349" s="90">
        <f>SUMIF('Avoided Costs 2009-2017'!$A:$A,Actuals!T349&amp;Actuals!S349,'Avoided Costs 2009-2017'!$K:$K)*N349</f>
        <v>0</v>
      </c>
      <c r="W349" s="90">
        <f>SUMIF('Avoided Costs 2009-2017'!$A:$A,Actuals!T349&amp;Actuals!S349,'Avoided Costs 2009-2017'!$M:$M)*R349</f>
        <v>0</v>
      </c>
      <c r="X349" s="90">
        <f t="shared" si="129"/>
        <v>15888.901797482549</v>
      </c>
      <c r="Y349" s="148">
        <v>12114</v>
      </c>
      <c r="Z349" s="149">
        <f t="shared" si="130"/>
        <v>10660.32</v>
      </c>
      <c r="AA349" s="148"/>
      <c r="AB349" s="145"/>
      <c r="AC349" s="145"/>
      <c r="AD349" s="148">
        <f t="shared" si="134"/>
        <v>10660.32</v>
      </c>
      <c r="AE349" s="122">
        <f t="shared" si="135"/>
        <v>5228.5817974825495</v>
      </c>
      <c r="AF349" s="167">
        <f t="shared" si="133"/>
        <v>114410.63039999999</v>
      </c>
    </row>
    <row r="350" spans="1:32" s="150" customFormat="1" x14ac:dyDescent="0.2">
      <c r="A350" s="144" t="s">
        <v>171</v>
      </c>
      <c r="B350" s="144"/>
      <c r="C350" s="144"/>
      <c r="D350" s="145">
        <v>1</v>
      </c>
      <c r="E350" s="122"/>
      <c r="F350" s="146">
        <v>0.12</v>
      </c>
      <c r="G350" s="146"/>
      <c r="H350" s="122">
        <v>32342</v>
      </c>
      <c r="I350" s="122">
        <f t="shared" si="123"/>
        <v>31307.056</v>
      </c>
      <c r="J350" s="147">
        <f t="shared" si="124"/>
        <v>27550.209279999999</v>
      </c>
      <c r="K350" s="122"/>
      <c r="L350" s="122">
        <v>0</v>
      </c>
      <c r="M350" s="122">
        <f t="shared" si="125"/>
        <v>0</v>
      </c>
      <c r="N350" s="122">
        <f t="shared" si="126"/>
        <v>0</v>
      </c>
      <c r="O350" s="122"/>
      <c r="P350" s="122">
        <v>0</v>
      </c>
      <c r="Q350" s="122">
        <f t="shared" si="127"/>
        <v>0</v>
      </c>
      <c r="R350" s="147">
        <f t="shared" si="128"/>
        <v>0</v>
      </c>
      <c r="S350" s="145">
        <v>30</v>
      </c>
      <c r="T350" s="144" t="s">
        <v>1176</v>
      </c>
      <c r="U350" s="90">
        <f>SUMIF('Avoided Costs 2009-2017'!$A:$A,Actuals!T350&amp;Actuals!S350,'Avoided Costs 2009-2017'!$E:$E)*J350</f>
        <v>114781.96603399164</v>
      </c>
      <c r="V350" s="90">
        <f>SUMIF('Avoided Costs 2009-2017'!$A:$A,Actuals!T350&amp;Actuals!S350,'Avoided Costs 2009-2017'!$K:$K)*N350</f>
        <v>0</v>
      </c>
      <c r="W350" s="90">
        <f>SUMIF('Avoided Costs 2009-2017'!$A:$A,Actuals!T350&amp;Actuals!S350,'Avoided Costs 2009-2017'!$M:$M)*R350</f>
        <v>0</v>
      </c>
      <c r="X350" s="90">
        <f t="shared" si="129"/>
        <v>114781.96603399164</v>
      </c>
      <c r="Y350" s="148">
        <v>52523</v>
      </c>
      <c r="Z350" s="149">
        <f t="shared" si="130"/>
        <v>46220.24</v>
      </c>
      <c r="AA350" s="148"/>
      <c r="AB350" s="145"/>
      <c r="AC350" s="145"/>
      <c r="AD350" s="148">
        <f t="shared" si="134"/>
        <v>46220.24</v>
      </c>
      <c r="AE350" s="122">
        <f t="shared" si="135"/>
        <v>68561.726033991639</v>
      </c>
      <c r="AF350" s="167">
        <f t="shared" si="133"/>
        <v>826506.27839999995</v>
      </c>
    </row>
    <row r="351" spans="1:32" s="150" customFormat="1" x14ac:dyDescent="0.2">
      <c r="A351" s="144" t="s">
        <v>172</v>
      </c>
      <c r="B351" s="144"/>
      <c r="C351" s="144"/>
      <c r="D351" s="145">
        <v>1</v>
      </c>
      <c r="E351" s="122"/>
      <c r="F351" s="146">
        <v>0.12</v>
      </c>
      <c r="G351" s="146"/>
      <c r="H351" s="122">
        <v>8245</v>
      </c>
      <c r="I351" s="122">
        <f t="shared" si="123"/>
        <v>7981.16</v>
      </c>
      <c r="J351" s="147">
        <f t="shared" si="124"/>
        <v>7023.4207999999999</v>
      </c>
      <c r="K351" s="122"/>
      <c r="L351" s="122">
        <v>0</v>
      </c>
      <c r="M351" s="122">
        <f t="shared" si="125"/>
        <v>0</v>
      </c>
      <c r="N351" s="122">
        <f t="shared" si="126"/>
        <v>0</v>
      </c>
      <c r="O351" s="122"/>
      <c r="P351" s="122">
        <v>0</v>
      </c>
      <c r="Q351" s="122">
        <f t="shared" si="127"/>
        <v>0</v>
      </c>
      <c r="R351" s="147">
        <f t="shared" si="128"/>
        <v>0</v>
      </c>
      <c r="S351" s="145">
        <v>30</v>
      </c>
      <c r="T351" s="144" t="s">
        <v>1176</v>
      </c>
      <c r="U351" s="90">
        <f>SUMIF('Avoided Costs 2009-2017'!$A:$A,Actuals!T351&amp;Actuals!S351,'Avoided Costs 2009-2017'!$E:$E)*J351</f>
        <v>29261.55803445245</v>
      </c>
      <c r="V351" s="90">
        <f>SUMIF('Avoided Costs 2009-2017'!$A:$A,Actuals!T351&amp;Actuals!S351,'Avoided Costs 2009-2017'!$K:$K)*N351</f>
        <v>0</v>
      </c>
      <c r="W351" s="90">
        <f>SUMIF('Avoided Costs 2009-2017'!$A:$A,Actuals!T351&amp;Actuals!S351,'Avoided Costs 2009-2017'!$M:$M)*R351</f>
        <v>0</v>
      </c>
      <c r="X351" s="90">
        <f t="shared" si="129"/>
        <v>29261.55803445245</v>
      </c>
      <c r="Y351" s="148">
        <v>13390</v>
      </c>
      <c r="Z351" s="149">
        <f t="shared" si="130"/>
        <v>11783.2</v>
      </c>
      <c r="AA351" s="148"/>
      <c r="AB351" s="145"/>
      <c r="AC351" s="145"/>
      <c r="AD351" s="148">
        <f t="shared" si="134"/>
        <v>11783.2</v>
      </c>
      <c r="AE351" s="122">
        <f t="shared" si="135"/>
        <v>17478.358034452449</v>
      </c>
      <c r="AF351" s="167">
        <f t="shared" si="133"/>
        <v>210702.62400000001</v>
      </c>
    </row>
    <row r="352" spans="1:32" s="150" customFormat="1" x14ac:dyDescent="0.2">
      <c r="A352" s="144" t="s">
        <v>173</v>
      </c>
      <c r="B352" s="144"/>
      <c r="C352" s="144"/>
      <c r="D352" s="145">
        <v>1</v>
      </c>
      <c r="E352" s="122"/>
      <c r="F352" s="146">
        <v>0.12</v>
      </c>
      <c r="G352" s="146"/>
      <c r="H352" s="122">
        <v>6356</v>
      </c>
      <c r="I352" s="122">
        <f t="shared" si="123"/>
        <v>6152.6080000000002</v>
      </c>
      <c r="J352" s="147">
        <f t="shared" si="124"/>
        <v>5414.29504</v>
      </c>
      <c r="K352" s="122"/>
      <c r="L352" s="122">
        <v>0</v>
      </c>
      <c r="M352" s="122">
        <f t="shared" si="125"/>
        <v>0</v>
      </c>
      <c r="N352" s="122">
        <f t="shared" si="126"/>
        <v>0</v>
      </c>
      <c r="O352" s="122"/>
      <c r="P352" s="122">
        <v>0</v>
      </c>
      <c r="Q352" s="122">
        <f t="shared" si="127"/>
        <v>0</v>
      </c>
      <c r="R352" s="147">
        <f t="shared" si="128"/>
        <v>0</v>
      </c>
      <c r="S352" s="145">
        <v>30</v>
      </c>
      <c r="T352" s="144" t="s">
        <v>1176</v>
      </c>
      <c r="U352" s="90">
        <f>SUMIF('Avoided Costs 2009-2017'!$A:$A,Actuals!T352&amp;Actuals!S352,'Avoided Costs 2009-2017'!$E:$E)*J352</f>
        <v>22557.484883805915</v>
      </c>
      <c r="V352" s="90">
        <f>SUMIF('Avoided Costs 2009-2017'!$A:$A,Actuals!T352&amp;Actuals!S352,'Avoided Costs 2009-2017'!$K:$K)*N352</f>
        <v>0</v>
      </c>
      <c r="W352" s="90">
        <f>SUMIF('Avoided Costs 2009-2017'!$A:$A,Actuals!T352&amp;Actuals!S352,'Avoided Costs 2009-2017'!$M:$M)*R352</f>
        <v>0</v>
      </c>
      <c r="X352" s="90">
        <f t="shared" si="129"/>
        <v>22557.484883805915</v>
      </c>
      <c r="Y352" s="148">
        <v>12114</v>
      </c>
      <c r="Z352" s="149">
        <f t="shared" si="130"/>
        <v>10660.32</v>
      </c>
      <c r="AA352" s="148"/>
      <c r="AB352" s="145"/>
      <c r="AC352" s="145"/>
      <c r="AD352" s="148">
        <f t="shared" si="134"/>
        <v>10660.32</v>
      </c>
      <c r="AE352" s="122">
        <f t="shared" si="135"/>
        <v>11897.164883805915</v>
      </c>
      <c r="AF352" s="167">
        <f t="shared" si="133"/>
        <v>162428.8512</v>
      </c>
    </row>
    <row r="353" spans="1:32" s="150" customFormat="1" x14ac:dyDescent="0.2">
      <c r="A353" s="144" t="s">
        <v>174</v>
      </c>
      <c r="B353" s="144"/>
      <c r="C353" s="144"/>
      <c r="D353" s="145">
        <v>1</v>
      </c>
      <c r="E353" s="122"/>
      <c r="F353" s="146">
        <v>0.12</v>
      </c>
      <c r="G353" s="146"/>
      <c r="H353" s="122">
        <v>7956</v>
      </c>
      <c r="I353" s="122">
        <f t="shared" si="123"/>
        <v>7701.4079999999994</v>
      </c>
      <c r="J353" s="147">
        <f t="shared" si="124"/>
        <v>6777.2390399999995</v>
      </c>
      <c r="K353" s="122"/>
      <c r="L353" s="122">
        <v>0</v>
      </c>
      <c r="M353" s="122">
        <f t="shared" si="125"/>
        <v>0</v>
      </c>
      <c r="N353" s="122">
        <f t="shared" si="126"/>
        <v>0</v>
      </c>
      <c r="O353" s="122"/>
      <c r="P353" s="122">
        <v>0</v>
      </c>
      <c r="Q353" s="122">
        <f t="shared" si="127"/>
        <v>0</v>
      </c>
      <c r="R353" s="147">
        <f t="shared" si="128"/>
        <v>0</v>
      </c>
      <c r="S353" s="145">
        <v>30</v>
      </c>
      <c r="T353" s="144" t="s">
        <v>1176</v>
      </c>
      <c r="U353" s="90">
        <f>SUMIF('Avoided Costs 2009-2017'!$A:$A,Actuals!T353&amp;Actuals!S353,'Avoided Costs 2009-2017'!$E:$E)*J353</f>
        <v>28235.895175512876</v>
      </c>
      <c r="V353" s="90">
        <f>SUMIF('Avoided Costs 2009-2017'!$A:$A,Actuals!T353&amp;Actuals!S353,'Avoided Costs 2009-2017'!$K:$K)*N353</f>
        <v>0</v>
      </c>
      <c r="W353" s="90">
        <f>SUMIF('Avoided Costs 2009-2017'!$A:$A,Actuals!T353&amp;Actuals!S353,'Avoided Costs 2009-2017'!$M:$M)*R353</f>
        <v>0</v>
      </c>
      <c r="X353" s="90">
        <f t="shared" si="129"/>
        <v>28235.895175512876</v>
      </c>
      <c r="Y353" s="148">
        <v>12920</v>
      </c>
      <c r="Z353" s="149">
        <f t="shared" si="130"/>
        <v>11369.6</v>
      </c>
      <c r="AA353" s="148"/>
      <c r="AB353" s="145"/>
      <c r="AC353" s="145"/>
      <c r="AD353" s="148">
        <f t="shared" si="134"/>
        <v>11369.6</v>
      </c>
      <c r="AE353" s="122">
        <f t="shared" si="135"/>
        <v>16866.295175512874</v>
      </c>
      <c r="AF353" s="167">
        <f t="shared" si="133"/>
        <v>203317.17119999998</v>
      </c>
    </row>
    <row r="354" spans="1:32" s="150" customFormat="1" x14ac:dyDescent="0.2">
      <c r="A354" s="144" t="s">
        <v>175</v>
      </c>
      <c r="B354" s="144"/>
      <c r="C354" s="144"/>
      <c r="D354" s="145">
        <v>0</v>
      </c>
      <c r="E354" s="122"/>
      <c r="F354" s="146">
        <v>0.12</v>
      </c>
      <c r="G354" s="146"/>
      <c r="H354" s="122">
        <v>0</v>
      </c>
      <c r="I354" s="122">
        <f t="shared" si="123"/>
        <v>0</v>
      </c>
      <c r="J354" s="147">
        <f t="shared" si="124"/>
        <v>0</v>
      </c>
      <c r="K354" s="122"/>
      <c r="L354" s="122">
        <v>0</v>
      </c>
      <c r="M354" s="122">
        <f t="shared" si="125"/>
        <v>0</v>
      </c>
      <c r="N354" s="122">
        <f t="shared" si="126"/>
        <v>0</v>
      </c>
      <c r="O354" s="122"/>
      <c r="P354" s="122">
        <v>0</v>
      </c>
      <c r="Q354" s="122">
        <f t="shared" si="127"/>
        <v>0</v>
      </c>
      <c r="R354" s="147">
        <f t="shared" si="128"/>
        <v>0</v>
      </c>
      <c r="S354" s="145">
        <v>1</v>
      </c>
      <c r="T354" s="144" t="s">
        <v>1176</v>
      </c>
      <c r="U354" s="90">
        <f>SUMIF('Avoided Costs 2009-2017'!$A:$A,Actuals!T354&amp;Actuals!S354,'Avoided Costs 2009-2017'!$E:$E)*J354</f>
        <v>0</v>
      </c>
      <c r="V354" s="90">
        <f>SUMIF('Avoided Costs 2009-2017'!$A:$A,Actuals!T354&amp;Actuals!S354,'Avoided Costs 2009-2017'!$K:$K)*N354</f>
        <v>0</v>
      </c>
      <c r="W354" s="90">
        <f>SUMIF('Avoided Costs 2009-2017'!$A:$A,Actuals!T354&amp;Actuals!S354,'Avoided Costs 2009-2017'!$M:$M)*R354</f>
        <v>0</v>
      </c>
      <c r="X354" s="90">
        <f t="shared" si="129"/>
        <v>0</v>
      </c>
      <c r="Y354" s="148">
        <v>0</v>
      </c>
      <c r="Z354" s="149">
        <f t="shared" si="130"/>
        <v>0</v>
      </c>
      <c r="AA354" s="148"/>
      <c r="AB354" s="145"/>
      <c r="AC354" s="145"/>
      <c r="AD354" s="148">
        <f t="shared" si="134"/>
        <v>0</v>
      </c>
      <c r="AE354" s="122">
        <f t="shared" si="135"/>
        <v>0</v>
      </c>
      <c r="AF354" s="167">
        <f t="shared" si="133"/>
        <v>0</v>
      </c>
    </row>
    <row r="355" spans="1:32" s="150" customFormat="1" x14ac:dyDescent="0.2">
      <c r="A355" s="144" t="s">
        <v>176</v>
      </c>
      <c r="B355" s="144"/>
      <c r="C355" s="144"/>
      <c r="D355" s="145">
        <v>0</v>
      </c>
      <c r="E355" s="122"/>
      <c r="F355" s="146">
        <v>0.12</v>
      </c>
      <c r="G355" s="146"/>
      <c r="H355" s="122">
        <v>507244</v>
      </c>
      <c r="I355" s="122">
        <f>+H355</f>
        <v>507244</v>
      </c>
      <c r="J355" s="147">
        <f t="shared" si="124"/>
        <v>446374.72000000003</v>
      </c>
      <c r="K355" s="122"/>
      <c r="L355" s="122">
        <v>1779770</v>
      </c>
      <c r="M355" s="122">
        <f>+L355</f>
        <v>1779770</v>
      </c>
      <c r="N355" s="122">
        <f t="shared" si="126"/>
        <v>1566197.6</v>
      </c>
      <c r="O355" s="122"/>
      <c r="P355" s="122">
        <v>0</v>
      </c>
      <c r="Q355" s="122">
        <f t="shared" si="127"/>
        <v>0</v>
      </c>
      <c r="R355" s="147">
        <f t="shared" si="128"/>
        <v>0</v>
      </c>
      <c r="S355" s="145">
        <v>15</v>
      </c>
      <c r="T355" s="144" t="s">
        <v>213</v>
      </c>
      <c r="U355" s="90">
        <f>SUMIF('Avoided Costs 2009-2017'!$A:$A,Actuals!T355&amp;Actuals!S355,'Avoided Costs 2009-2017'!$E:$E)*J355</f>
        <v>1509731.0768210916</v>
      </c>
      <c r="V355" s="90">
        <f>SUMIF('Avoided Costs 2009-2017'!$A:$A,Actuals!T355&amp;Actuals!S355,'Avoided Costs 2009-2017'!$K:$K)*N355</f>
        <v>1169216.903170055</v>
      </c>
      <c r="W355" s="90">
        <f>SUMIF('Avoided Costs 2009-2017'!$A:$A,Actuals!T355&amp;Actuals!S355,'Avoided Costs 2009-2017'!$M:$M)*R355</f>
        <v>0</v>
      </c>
      <c r="X355" s="90">
        <f t="shared" si="129"/>
        <v>2678947.9799911464</v>
      </c>
      <c r="Y355" s="148">
        <v>25700</v>
      </c>
      <c r="Z355" s="149">
        <f t="shared" si="130"/>
        <v>22616</v>
      </c>
      <c r="AA355" s="148"/>
      <c r="AB355" s="145"/>
      <c r="AC355" s="145"/>
      <c r="AD355" s="148">
        <f t="shared" si="134"/>
        <v>22616</v>
      </c>
      <c r="AE355" s="122">
        <f t="shared" si="135"/>
        <v>2656331.9799911464</v>
      </c>
      <c r="AF355" s="167">
        <f t="shared" si="133"/>
        <v>6695620.8000000007</v>
      </c>
    </row>
    <row r="356" spans="1:32" s="150" customFormat="1" x14ac:dyDescent="0.2">
      <c r="A356" s="144" t="s">
        <v>177</v>
      </c>
      <c r="B356" s="144"/>
      <c r="C356" s="144"/>
      <c r="D356" s="145">
        <v>0</v>
      </c>
      <c r="E356" s="122"/>
      <c r="F356" s="146">
        <v>0.12</v>
      </c>
      <c r="G356" s="146"/>
      <c r="H356" s="122">
        <v>50208</v>
      </c>
      <c r="I356" s="122">
        <f>+H356</f>
        <v>50208</v>
      </c>
      <c r="J356" s="147">
        <f t="shared" si="124"/>
        <v>44183.040000000001</v>
      </c>
      <c r="K356" s="122"/>
      <c r="L356" s="122">
        <v>0</v>
      </c>
      <c r="M356" s="122">
        <f t="shared" si="125"/>
        <v>0</v>
      </c>
      <c r="N356" s="122">
        <f t="shared" si="126"/>
        <v>0</v>
      </c>
      <c r="O356" s="122"/>
      <c r="P356" s="122">
        <v>0</v>
      </c>
      <c r="Q356" s="122">
        <f t="shared" si="127"/>
        <v>0</v>
      </c>
      <c r="R356" s="147">
        <f t="shared" si="128"/>
        <v>0</v>
      </c>
      <c r="S356" s="145">
        <v>13</v>
      </c>
      <c r="T356" s="144" t="s">
        <v>213</v>
      </c>
      <c r="U356" s="90">
        <f>SUMIF('Avoided Costs 2009-2017'!$A:$A,Actuals!T356&amp;Actuals!S356,'Avoided Costs 2009-2017'!$E:$E)*J356</f>
        <v>137416.24178298356</v>
      </c>
      <c r="V356" s="90">
        <f>SUMIF('Avoided Costs 2009-2017'!$A:$A,Actuals!T356&amp;Actuals!S356,'Avoided Costs 2009-2017'!$K:$K)*N356</f>
        <v>0</v>
      </c>
      <c r="W356" s="90">
        <f>SUMIF('Avoided Costs 2009-2017'!$A:$A,Actuals!T356&amp;Actuals!S356,'Avoided Costs 2009-2017'!$M:$M)*R356</f>
        <v>0</v>
      </c>
      <c r="X356" s="90">
        <f t="shared" si="129"/>
        <v>137416.24178298356</v>
      </c>
      <c r="Y356" s="148">
        <v>26325</v>
      </c>
      <c r="Z356" s="149">
        <f t="shared" si="130"/>
        <v>23166</v>
      </c>
      <c r="AA356" s="148"/>
      <c r="AB356" s="145"/>
      <c r="AC356" s="145"/>
      <c r="AD356" s="148">
        <f t="shared" si="134"/>
        <v>23166</v>
      </c>
      <c r="AE356" s="122">
        <f t="shared" si="135"/>
        <v>114250.24178298356</v>
      </c>
      <c r="AF356" s="167">
        <f t="shared" si="133"/>
        <v>574379.52000000002</v>
      </c>
    </row>
    <row r="357" spans="1:32" s="150" customFormat="1" x14ac:dyDescent="0.2">
      <c r="A357" s="144" t="s">
        <v>178</v>
      </c>
      <c r="B357" s="144"/>
      <c r="C357" s="144"/>
      <c r="D357" s="145">
        <v>1</v>
      </c>
      <c r="E357" s="122"/>
      <c r="F357" s="146">
        <v>0.12</v>
      </c>
      <c r="G357" s="146"/>
      <c r="H357" s="122">
        <v>17697</v>
      </c>
      <c r="I357" s="122">
        <f>+H357</f>
        <v>17697</v>
      </c>
      <c r="J357" s="147">
        <f t="shared" si="124"/>
        <v>15573.36</v>
      </c>
      <c r="K357" s="122"/>
      <c r="L357" s="122">
        <v>0</v>
      </c>
      <c r="M357" s="122">
        <f t="shared" si="125"/>
        <v>0</v>
      </c>
      <c r="N357" s="122">
        <f t="shared" si="126"/>
        <v>0</v>
      </c>
      <c r="O357" s="122"/>
      <c r="P357" s="122">
        <v>0</v>
      </c>
      <c r="Q357" s="122">
        <f t="shared" si="127"/>
        <v>0</v>
      </c>
      <c r="R357" s="147">
        <f t="shared" si="128"/>
        <v>0</v>
      </c>
      <c r="S357" s="145">
        <v>25</v>
      </c>
      <c r="T357" s="144" t="s">
        <v>213</v>
      </c>
      <c r="U357" s="90">
        <f>SUMIF('Avoided Costs 2009-2017'!$A:$A,Actuals!T357&amp;Actuals!S357,'Avoided Costs 2009-2017'!$E:$E)*J357</f>
        <v>67047.550819574928</v>
      </c>
      <c r="V357" s="90">
        <f>SUMIF('Avoided Costs 2009-2017'!$A:$A,Actuals!T357&amp;Actuals!S357,'Avoided Costs 2009-2017'!$K:$K)*N357</f>
        <v>0</v>
      </c>
      <c r="W357" s="90">
        <f>SUMIF('Avoided Costs 2009-2017'!$A:$A,Actuals!T357&amp;Actuals!S357,'Avoided Costs 2009-2017'!$M:$M)*R357</f>
        <v>0</v>
      </c>
      <c r="X357" s="90">
        <f t="shared" si="129"/>
        <v>67047.550819574928</v>
      </c>
      <c r="Y357" s="148">
        <v>1252763</v>
      </c>
      <c r="Z357" s="149">
        <f t="shared" si="130"/>
        <v>1102431.44</v>
      </c>
      <c r="AA357" s="148"/>
      <c r="AB357" s="145"/>
      <c r="AC357" s="145"/>
      <c r="AD357" s="148">
        <f t="shared" si="134"/>
        <v>1102431.44</v>
      </c>
      <c r="AE357" s="122">
        <f t="shared" si="135"/>
        <v>-1035383.889180425</v>
      </c>
      <c r="AF357" s="167">
        <f t="shared" si="133"/>
        <v>389334</v>
      </c>
    </row>
    <row r="358" spans="1:32" s="150" customFormat="1" x14ac:dyDescent="0.2">
      <c r="A358" s="144" t="s">
        <v>179</v>
      </c>
      <c r="B358" s="144"/>
      <c r="C358" s="144"/>
      <c r="D358" s="145">
        <v>1</v>
      </c>
      <c r="E358" s="122"/>
      <c r="F358" s="146">
        <v>0.12</v>
      </c>
      <c r="G358" s="146"/>
      <c r="H358" s="122">
        <v>9064</v>
      </c>
      <c r="I358" s="122">
        <f t="shared" si="123"/>
        <v>8773.9519999999993</v>
      </c>
      <c r="J358" s="147">
        <f t="shared" si="124"/>
        <v>7721.0777599999992</v>
      </c>
      <c r="K358" s="122"/>
      <c r="L358" s="122">
        <v>0</v>
      </c>
      <c r="M358" s="122">
        <f t="shared" si="125"/>
        <v>0</v>
      </c>
      <c r="N358" s="122">
        <f t="shared" si="126"/>
        <v>0</v>
      </c>
      <c r="O358" s="122"/>
      <c r="P358" s="122">
        <v>0</v>
      </c>
      <c r="Q358" s="122">
        <f t="shared" si="127"/>
        <v>0</v>
      </c>
      <c r="R358" s="147">
        <f t="shared" si="128"/>
        <v>0</v>
      </c>
      <c r="S358" s="145">
        <v>15</v>
      </c>
      <c r="T358" s="144" t="s">
        <v>213</v>
      </c>
      <c r="U358" s="90">
        <f>SUMIF('Avoided Costs 2009-2017'!$A:$A,Actuals!T358&amp;Actuals!S358,'Avoided Costs 2009-2017'!$E:$E)*J358</f>
        <v>26114.272423008584</v>
      </c>
      <c r="V358" s="90">
        <f>SUMIF('Avoided Costs 2009-2017'!$A:$A,Actuals!T358&amp;Actuals!S358,'Avoided Costs 2009-2017'!$K:$K)*N358</f>
        <v>0</v>
      </c>
      <c r="W358" s="90">
        <f>SUMIF('Avoided Costs 2009-2017'!$A:$A,Actuals!T358&amp;Actuals!S358,'Avoided Costs 2009-2017'!$M:$M)*R358</f>
        <v>0</v>
      </c>
      <c r="X358" s="90">
        <f t="shared" si="129"/>
        <v>26114.272423008584</v>
      </c>
      <c r="Y358" s="148">
        <v>8980</v>
      </c>
      <c r="Z358" s="149">
        <f t="shared" si="130"/>
        <v>7902.4</v>
      </c>
      <c r="AA358" s="148"/>
      <c r="AB358" s="145"/>
      <c r="AC358" s="145"/>
      <c r="AD358" s="148">
        <f t="shared" si="134"/>
        <v>7902.4</v>
      </c>
      <c r="AE358" s="122">
        <f t="shared" si="135"/>
        <v>18211.872423008586</v>
      </c>
      <c r="AF358" s="167">
        <f t="shared" si="133"/>
        <v>115816.16639999999</v>
      </c>
    </row>
    <row r="359" spans="1:32" s="150" customFormat="1" x14ac:dyDescent="0.2">
      <c r="A359" s="144" t="s">
        <v>180</v>
      </c>
      <c r="B359" s="144"/>
      <c r="C359" s="144"/>
      <c r="D359" s="145">
        <v>1</v>
      </c>
      <c r="E359" s="122"/>
      <c r="F359" s="146">
        <v>0.12</v>
      </c>
      <c r="G359" s="146"/>
      <c r="H359" s="122">
        <v>9795</v>
      </c>
      <c r="I359" s="122">
        <f t="shared" si="123"/>
        <v>9481.56</v>
      </c>
      <c r="J359" s="147">
        <f t="shared" si="124"/>
        <v>8343.7727999999988</v>
      </c>
      <c r="K359" s="122"/>
      <c r="L359" s="122">
        <v>0</v>
      </c>
      <c r="M359" s="122">
        <f t="shared" si="125"/>
        <v>0</v>
      </c>
      <c r="N359" s="122">
        <f t="shared" si="126"/>
        <v>0</v>
      </c>
      <c r="O359" s="122"/>
      <c r="P359" s="122">
        <v>0</v>
      </c>
      <c r="Q359" s="122">
        <f t="shared" si="127"/>
        <v>0</v>
      </c>
      <c r="R359" s="147">
        <f t="shared" si="128"/>
        <v>0</v>
      </c>
      <c r="S359" s="145">
        <v>11</v>
      </c>
      <c r="T359" s="144" t="s">
        <v>213</v>
      </c>
      <c r="U359" s="90">
        <f>SUMIF('Avoided Costs 2009-2017'!$A:$A,Actuals!T359&amp;Actuals!S359,'Avoided Costs 2009-2017'!$E:$E)*J359</f>
        <v>23351.64199746892</v>
      </c>
      <c r="V359" s="90">
        <f>SUMIF('Avoided Costs 2009-2017'!$A:$A,Actuals!T359&amp;Actuals!S359,'Avoided Costs 2009-2017'!$K:$K)*N359</f>
        <v>0</v>
      </c>
      <c r="W359" s="90">
        <f>SUMIF('Avoided Costs 2009-2017'!$A:$A,Actuals!T359&amp;Actuals!S359,'Avoided Costs 2009-2017'!$M:$M)*R359</f>
        <v>0</v>
      </c>
      <c r="X359" s="90">
        <f t="shared" si="129"/>
        <v>23351.64199746892</v>
      </c>
      <c r="Y359" s="148">
        <v>6829</v>
      </c>
      <c r="Z359" s="149">
        <f t="shared" si="130"/>
        <v>6009.52</v>
      </c>
      <c r="AA359" s="148"/>
      <c r="AB359" s="145"/>
      <c r="AC359" s="145"/>
      <c r="AD359" s="148">
        <f t="shared" si="134"/>
        <v>6009.52</v>
      </c>
      <c r="AE359" s="122">
        <f t="shared" si="135"/>
        <v>17342.121997468919</v>
      </c>
      <c r="AF359" s="167">
        <f t="shared" si="133"/>
        <v>91781.50079999998</v>
      </c>
    </row>
    <row r="360" spans="1:32" s="150" customFormat="1" x14ac:dyDescent="0.2">
      <c r="A360" s="144" t="s">
        <v>181</v>
      </c>
      <c r="B360" s="144"/>
      <c r="C360" s="144"/>
      <c r="D360" s="145">
        <v>1</v>
      </c>
      <c r="E360" s="122"/>
      <c r="F360" s="146">
        <v>0.05</v>
      </c>
      <c r="G360" s="146"/>
      <c r="H360" s="122">
        <v>11486</v>
      </c>
      <c r="I360" s="122">
        <f>+H360</f>
        <v>11486</v>
      </c>
      <c r="J360" s="147">
        <f t="shared" si="124"/>
        <v>10911.699999999999</v>
      </c>
      <c r="K360" s="122"/>
      <c r="L360" s="122">
        <v>30901</v>
      </c>
      <c r="M360" s="122">
        <f>+L360</f>
        <v>30901</v>
      </c>
      <c r="N360" s="122">
        <f t="shared" si="126"/>
        <v>29355.949999999997</v>
      </c>
      <c r="O360" s="122"/>
      <c r="P360" s="122">
        <v>0</v>
      </c>
      <c r="Q360" s="122">
        <f t="shared" si="127"/>
        <v>0</v>
      </c>
      <c r="R360" s="147">
        <f t="shared" si="128"/>
        <v>0</v>
      </c>
      <c r="S360" s="145">
        <v>15</v>
      </c>
      <c r="T360" s="144" t="s">
        <v>213</v>
      </c>
      <c r="U360" s="90">
        <f>SUMIF('Avoided Costs 2009-2017'!$A:$A,Actuals!T360&amp;Actuals!S360,'Avoided Costs 2009-2017'!$E:$E)*J360</f>
        <v>36905.612824464391</v>
      </c>
      <c r="V360" s="90">
        <f>SUMIF('Avoided Costs 2009-2017'!$A:$A,Actuals!T360&amp;Actuals!S360,'Avoided Costs 2009-2017'!$K:$K)*N360</f>
        <v>21915.161246968433</v>
      </c>
      <c r="W360" s="90">
        <f>SUMIF('Avoided Costs 2009-2017'!$A:$A,Actuals!T360&amp;Actuals!S360,'Avoided Costs 2009-2017'!$M:$M)*R360</f>
        <v>0</v>
      </c>
      <c r="X360" s="90">
        <f t="shared" si="129"/>
        <v>58820.774071432825</v>
      </c>
      <c r="Y360" s="148">
        <v>15000</v>
      </c>
      <c r="Z360" s="149">
        <f t="shared" si="130"/>
        <v>14250</v>
      </c>
      <c r="AA360" s="148"/>
      <c r="AB360" s="145"/>
      <c r="AC360" s="145"/>
      <c r="AD360" s="148">
        <f t="shared" si="134"/>
        <v>14250</v>
      </c>
      <c r="AE360" s="122">
        <f t="shared" si="135"/>
        <v>44570.774071432825</v>
      </c>
      <c r="AF360" s="167">
        <f t="shared" si="133"/>
        <v>163675.49999999997</v>
      </c>
    </row>
    <row r="361" spans="1:32" s="4" customFormat="1" x14ac:dyDescent="0.2">
      <c r="A361" s="152" t="s">
        <v>200</v>
      </c>
      <c r="B361" s="152" t="s">
        <v>1014</v>
      </c>
      <c r="C361" s="152"/>
      <c r="D361" s="153">
        <f>SUM(D251:D360)</f>
        <v>81</v>
      </c>
      <c r="E361" s="147"/>
      <c r="F361" s="154"/>
      <c r="G361" s="155"/>
      <c r="H361" s="237">
        <f>SUM(H251:H360)</f>
        <v>3668689</v>
      </c>
      <c r="I361" s="237">
        <f>SUM(I251:I360)</f>
        <v>3588854.6320000002</v>
      </c>
      <c r="J361" s="237">
        <f>SUM(J251:J360)</f>
        <v>3158996.0961600007</v>
      </c>
      <c r="K361" s="147"/>
      <c r="L361" s="237">
        <f>SUM(L251:L360)</f>
        <v>3179153</v>
      </c>
      <c r="M361" s="237">
        <f>SUM(M251:M360)</f>
        <v>3040936.318</v>
      </c>
      <c r="N361" s="237">
        <f>SUM(N251:N360)</f>
        <v>2678187.0298400004</v>
      </c>
      <c r="O361" s="156"/>
      <c r="P361" s="237">
        <f>SUM(P251:P360)</f>
        <v>540</v>
      </c>
      <c r="Q361" s="237">
        <f>SUM(Q251:Q360)</f>
        <v>805.68000000000006</v>
      </c>
      <c r="R361" s="237">
        <f>SUM(R251:R360)</f>
        <v>708.99839999999995</v>
      </c>
      <c r="S361" s="153"/>
      <c r="T361" s="152"/>
      <c r="U361" s="238">
        <f>SUM(U251:U360)</f>
        <v>10464712.461406756</v>
      </c>
      <c r="V361" s="238">
        <f>SUM(V251:V360)</f>
        <v>1999836.3885580841</v>
      </c>
      <c r="W361" s="238">
        <f>SUM(W251:W360)</f>
        <v>9210.7464623898068</v>
      </c>
      <c r="X361" s="238">
        <f>SUM(X251:X360)</f>
        <v>12473759.596427226</v>
      </c>
      <c r="Y361" s="157"/>
      <c r="Z361" s="238">
        <f>SUM(Z251:Z360)</f>
        <v>5814339.4512000009</v>
      </c>
      <c r="AA361" s="148">
        <v>339088.85</v>
      </c>
      <c r="AB361" s="148">
        <v>17478.87</v>
      </c>
      <c r="AC361" s="149">
        <f>AB361+AA361</f>
        <v>356567.72</v>
      </c>
      <c r="AD361" s="149">
        <f t="shared" si="134"/>
        <v>5831818.3212000011</v>
      </c>
      <c r="AE361" s="158">
        <f t="shared" si="135"/>
        <v>6641941.2752272254</v>
      </c>
      <c r="AF361" s="168">
        <f>SUM(AF251:AF360)</f>
        <v>50322509.626719989</v>
      </c>
    </row>
    <row r="362" spans="1:32" x14ac:dyDescent="0.2">
      <c r="A362" s="134"/>
      <c r="J362" s="26"/>
      <c r="K362" s="51"/>
      <c r="L362" s="51"/>
      <c r="O362" s="92"/>
      <c r="P362" s="36"/>
      <c r="R362" s="26"/>
      <c r="S362" s="26"/>
      <c r="Z362" s="53"/>
      <c r="AA362" s="63"/>
      <c r="AC362" s="53"/>
      <c r="AD362" s="53"/>
      <c r="AE362" s="53"/>
      <c r="AF362" s="166"/>
    </row>
    <row r="363" spans="1:32" x14ac:dyDescent="0.2">
      <c r="A363" s="134" t="s">
        <v>1148</v>
      </c>
      <c r="B363" s="30" t="s">
        <v>1193</v>
      </c>
      <c r="J363" s="26"/>
      <c r="K363" s="51"/>
      <c r="L363" s="51"/>
      <c r="O363" s="92"/>
      <c r="P363" s="36"/>
      <c r="R363" s="26"/>
      <c r="S363" s="26"/>
      <c r="Z363" s="53"/>
      <c r="AA363" s="63"/>
      <c r="AC363" s="53"/>
      <c r="AD363" s="53"/>
      <c r="AE363" s="53"/>
      <c r="AF363" s="166"/>
    </row>
    <row r="364" spans="1:32" s="150" customFormat="1" x14ac:dyDescent="0.2">
      <c r="A364" s="144" t="s">
        <v>32</v>
      </c>
      <c r="B364" s="144"/>
      <c r="C364" s="144"/>
      <c r="D364" s="145">
        <v>1</v>
      </c>
      <c r="E364" s="122"/>
      <c r="F364" s="146">
        <v>0.12</v>
      </c>
      <c r="G364" s="146"/>
      <c r="H364" s="122">
        <v>10830</v>
      </c>
      <c r="I364" s="122">
        <f>+H364</f>
        <v>10830</v>
      </c>
      <c r="J364" s="147">
        <f t="shared" ref="J364:J427" si="136">I364*(1-F364)</f>
        <v>9530.4</v>
      </c>
      <c r="K364" s="122"/>
      <c r="L364" s="122">
        <v>0</v>
      </c>
      <c r="M364" s="122">
        <f t="shared" ref="M364:M427" si="137">+$L$68*L364</f>
        <v>0</v>
      </c>
      <c r="N364" s="122">
        <f t="shared" ref="N364:N427" si="138">M364*(1-F364)</f>
        <v>0</v>
      </c>
      <c r="O364" s="122"/>
      <c r="P364" s="122">
        <v>0</v>
      </c>
      <c r="Q364" s="122">
        <f t="shared" ref="Q364:Q427" si="139">+P364*$P$68</f>
        <v>0</v>
      </c>
      <c r="R364" s="147">
        <f t="shared" ref="R364:R427" si="140">Q364*(1-F364)</f>
        <v>0</v>
      </c>
      <c r="S364" s="145">
        <v>25</v>
      </c>
      <c r="T364" s="144" t="s">
        <v>213</v>
      </c>
      <c r="U364" s="90">
        <f>SUMIF('Avoided Costs 2009-2017'!$A:$A,Actuals!T364&amp;Actuals!S364,'Avoided Costs 2009-2017'!$E:$E)*J364</f>
        <v>41030.964308978721</v>
      </c>
      <c r="V364" s="90">
        <f>SUMIF('Avoided Costs 2009-2017'!$A:$A,Actuals!T364&amp;Actuals!S364,'Avoided Costs 2009-2017'!$K:$K)*N364</f>
        <v>0</v>
      </c>
      <c r="W364" s="90">
        <f>SUMIF('Avoided Costs 2009-2017'!$A:$A,Actuals!T364&amp;Actuals!S364,'Avoided Costs 2009-2017'!$M:$M)*R364</f>
        <v>0</v>
      </c>
      <c r="X364" s="90">
        <f t="shared" ref="X364:X427" si="141">SUM(U364:W364)</f>
        <v>41030.964308978721</v>
      </c>
      <c r="Y364" s="148">
        <v>8646</v>
      </c>
      <c r="Z364" s="149">
        <f t="shared" ref="Z364:Z427" si="142">Y364*(1-F364)</f>
        <v>7608.4800000000005</v>
      </c>
      <c r="AA364" s="148"/>
      <c r="AB364" s="145"/>
      <c r="AC364" s="145"/>
      <c r="AD364" s="148">
        <f t="shared" ref="AD364:AD395" si="143">Z364+AB364</f>
        <v>7608.4800000000005</v>
      </c>
      <c r="AE364" s="122">
        <f t="shared" ref="AE364:AE395" si="144">X364-AD364</f>
        <v>33422.484308978717</v>
      </c>
      <c r="AF364" s="167">
        <f t="shared" ref="AF364:AF427" si="145">J364*S364</f>
        <v>238260</v>
      </c>
    </row>
    <row r="365" spans="1:32" s="150" customFormat="1" x14ac:dyDescent="0.2">
      <c r="A365" s="144" t="s">
        <v>33</v>
      </c>
      <c r="B365" s="144"/>
      <c r="C365" s="144"/>
      <c r="D365" s="145">
        <v>1</v>
      </c>
      <c r="E365" s="122"/>
      <c r="F365" s="146">
        <v>0.12</v>
      </c>
      <c r="G365" s="146"/>
      <c r="H365" s="122">
        <v>10830</v>
      </c>
      <c r="I365" s="122">
        <f t="shared" ref="I365:I366" si="146">+H365</f>
        <v>10830</v>
      </c>
      <c r="J365" s="147">
        <f t="shared" si="136"/>
        <v>9530.4</v>
      </c>
      <c r="K365" s="122"/>
      <c r="L365" s="122">
        <v>0</v>
      </c>
      <c r="M365" s="122">
        <f t="shared" si="137"/>
        <v>0</v>
      </c>
      <c r="N365" s="122">
        <f t="shared" si="138"/>
        <v>0</v>
      </c>
      <c r="O365" s="122"/>
      <c r="P365" s="122">
        <v>0</v>
      </c>
      <c r="Q365" s="122">
        <f t="shared" si="139"/>
        <v>0</v>
      </c>
      <c r="R365" s="147">
        <f t="shared" si="140"/>
        <v>0</v>
      </c>
      <c r="S365" s="145">
        <v>25</v>
      </c>
      <c r="T365" s="144" t="s">
        <v>213</v>
      </c>
      <c r="U365" s="90">
        <f>SUMIF('Avoided Costs 2009-2017'!$A:$A,Actuals!T365&amp;Actuals!S365,'Avoided Costs 2009-2017'!$E:$E)*J365</f>
        <v>41030.964308978721</v>
      </c>
      <c r="V365" s="90">
        <f>SUMIF('Avoided Costs 2009-2017'!$A:$A,Actuals!T365&amp;Actuals!S365,'Avoided Costs 2009-2017'!$K:$K)*N365</f>
        <v>0</v>
      </c>
      <c r="W365" s="90">
        <f>SUMIF('Avoided Costs 2009-2017'!$A:$A,Actuals!T365&amp;Actuals!S365,'Avoided Costs 2009-2017'!$M:$M)*R365</f>
        <v>0</v>
      </c>
      <c r="X365" s="90">
        <f t="shared" si="141"/>
        <v>41030.964308978721</v>
      </c>
      <c r="Y365" s="148">
        <v>8646</v>
      </c>
      <c r="Z365" s="149">
        <f t="shared" si="142"/>
        <v>7608.4800000000005</v>
      </c>
      <c r="AA365" s="148"/>
      <c r="AB365" s="145"/>
      <c r="AC365" s="145"/>
      <c r="AD365" s="148">
        <f t="shared" si="143"/>
        <v>7608.4800000000005</v>
      </c>
      <c r="AE365" s="122">
        <f t="shared" si="144"/>
        <v>33422.484308978717</v>
      </c>
      <c r="AF365" s="167">
        <f t="shared" si="145"/>
        <v>238260</v>
      </c>
    </row>
    <row r="366" spans="1:32" s="150" customFormat="1" x14ac:dyDescent="0.2">
      <c r="A366" s="144" t="s">
        <v>34</v>
      </c>
      <c r="B366" s="144"/>
      <c r="C366" s="144"/>
      <c r="D366" s="145">
        <v>1</v>
      </c>
      <c r="E366" s="122"/>
      <c r="F366" s="146">
        <v>0.12</v>
      </c>
      <c r="G366" s="146"/>
      <c r="H366" s="122">
        <v>43859</v>
      </c>
      <c r="I366" s="122">
        <f t="shared" si="146"/>
        <v>43859</v>
      </c>
      <c r="J366" s="147">
        <f t="shared" si="136"/>
        <v>38595.919999999998</v>
      </c>
      <c r="K366" s="122"/>
      <c r="L366" s="122">
        <v>0</v>
      </c>
      <c r="M366" s="122">
        <f t="shared" si="137"/>
        <v>0</v>
      </c>
      <c r="N366" s="122">
        <f t="shared" si="138"/>
        <v>0</v>
      </c>
      <c r="O366" s="122"/>
      <c r="P366" s="122">
        <v>0</v>
      </c>
      <c r="Q366" s="122">
        <f t="shared" si="139"/>
        <v>0</v>
      </c>
      <c r="R366" s="147">
        <f t="shared" si="140"/>
        <v>0</v>
      </c>
      <c r="S366" s="145">
        <v>25</v>
      </c>
      <c r="T366" s="144" t="s">
        <v>213</v>
      </c>
      <c r="U366" s="90">
        <f>SUMIF('Avoided Costs 2009-2017'!$A:$A,Actuals!T366&amp;Actuals!S366,'Avoided Costs 2009-2017'!$E:$E)*J366</f>
        <v>166165.93385295453</v>
      </c>
      <c r="V366" s="90">
        <f>SUMIF('Avoided Costs 2009-2017'!$A:$A,Actuals!T366&amp;Actuals!S366,'Avoided Costs 2009-2017'!$K:$K)*N366</f>
        <v>0</v>
      </c>
      <c r="W366" s="90">
        <f>SUMIF('Avoided Costs 2009-2017'!$A:$A,Actuals!T366&amp;Actuals!S366,'Avoided Costs 2009-2017'!$M:$M)*R366</f>
        <v>0</v>
      </c>
      <c r="X366" s="90">
        <f t="shared" si="141"/>
        <v>166165.93385295453</v>
      </c>
      <c r="Y366" s="148">
        <v>14470</v>
      </c>
      <c r="Z366" s="149">
        <f t="shared" si="142"/>
        <v>12733.6</v>
      </c>
      <c r="AA366" s="148"/>
      <c r="AB366" s="145"/>
      <c r="AC366" s="145"/>
      <c r="AD366" s="148">
        <f t="shared" si="143"/>
        <v>12733.6</v>
      </c>
      <c r="AE366" s="122">
        <f t="shared" si="144"/>
        <v>153432.33385295453</v>
      </c>
      <c r="AF366" s="167">
        <f t="shared" si="145"/>
        <v>964898</v>
      </c>
    </row>
    <row r="367" spans="1:32" s="150" customFormat="1" x14ac:dyDescent="0.2">
      <c r="A367" s="144" t="s">
        <v>35</v>
      </c>
      <c r="B367" s="144"/>
      <c r="C367" s="144"/>
      <c r="D367" s="145">
        <v>0</v>
      </c>
      <c r="E367" s="122"/>
      <c r="F367" s="146">
        <v>0.12</v>
      </c>
      <c r="G367" s="146"/>
      <c r="H367" s="122">
        <v>0</v>
      </c>
      <c r="I367" s="122">
        <f t="shared" ref="I367:I424" si="147">+$H$68*H367</f>
        <v>0</v>
      </c>
      <c r="J367" s="147">
        <f t="shared" si="136"/>
        <v>0</v>
      </c>
      <c r="K367" s="122"/>
      <c r="L367" s="122">
        <v>0</v>
      </c>
      <c r="M367" s="122">
        <f t="shared" si="137"/>
        <v>0</v>
      </c>
      <c r="N367" s="122">
        <f t="shared" si="138"/>
        <v>0</v>
      </c>
      <c r="O367" s="122"/>
      <c r="P367" s="122">
        <v>0</v>
      </c>
      <c r="Q367" s="122">
        <f t="shared" si="139"/>
        <v>0</v>
      </c>
      <c r="R367" s="147">
        <f t="shared" si="140"/>
        <v>0</v>
      </c>
      <c r="S367" s="145">
        <v>1</v>
      </c>
      <c r="T367" s="144" t="s">
        <v>213</v>
      </c>
      <c r="U367" s="90">
        <f>SUMIF('Avoided Costs 2009-2017'!$A:$A,Actuals!T367&amp;Actuals!S367,'Avoided Costs 2009-2017'!$E:$E)*J367</f>
        <v>0</v>
      </c>
      <c r="V367" s="90">
        <f>SUMIF('Avoided Costs 2009-2017'!$A:$A,Actuals!T367&amp;Actuals!S367,'Avoided Costs 2009-2017'!$K:$K)*N367</f>
        <v>0</v>
      </c>
      <c r="W367" s="90">
        <f>SUMIF('Avoided Costs 2009-2017'!$A:$A,Actuals!T367&amp;Actuals!S367,'Avoided Costs 2009-2017'!$M:$M)*R367</f>
        <v>0</v>
      </c>
      <c r="X367" s="90">
        <f t="shared" si="141"/>
        <v>0</v>
      </c>
      <c r="Y367" s="148">
        <v>0</v>
      </c>
      <c r="Z367" s="149">
        <f t="shared" si="142"/>
        <v>0</v>
      </c>
      <c r="AA367" s="148"/>
      <c r="AB367" s="145"/>
      <c r="AC367" s="145"/>
      <c r="AD367" s="148">
        <f t="shared" si="143"/>
        <v>0</v>
      </c>
      <c r="AE367" s="122">
        <f t="shared" si="144"/>
        <v>0</v>
      </c>
      <c r="AF367" s="167">
        <f t="shared" si="145"/>
        <v>0</v>
      </c>
    </row>
    <row r="368" spans="1:32" s="150" customFormat="1" x14ac:dyDescent="0.2">
      <c r="A368" s="144" t="s">
        <v>36</v>
      </c>
      <c r="B368" s="144"/>
      <c r="C368" s="144"/>
      <c r="D368" s="145">
        <v>1</v>
      </c>
      <c r="E368" s="122"/>
      <c r="F368" s="146">
        <v>0.12</v>
      </c>
      <c r="G368" s="146"/>
      <c r="H368" s="122">
        <v>43859</v>
      </c>
      <c r="I368" s="122">
        <f t="shared" ref="I368:I371" si="148">+H368</f>
        <v>43859</v>
      </c>
      <c r="J368" s="147">
        <f t="shared" si="136"/>
        <v>38595.919999999998</v>
      </c>
      <c r="K368" s="122"/>
      <c r="L368" s="122">
        <v>0</v>
      </c>
      <c r="M368" s="122">
        <f t="shared" si="137"/>
        <v>0</v>
      </c>
      <c r="N368" s="122">
        <f t="shared" si="138"/>
        <v>0</v>
      </c>
      <c r="O368" s="122"/>
      <c r="P368" s="122">
        <v>0</v>
      </c>
      <c r="Q368" s="122">
        <f t="shared" si="139"/>
        <v>0</v>
      </c>
      <c r="R368" s="147">
        <f t="shared" si="140"/>
        <v>0</v>
      </c>
      <c r="S368" s="145">
        <v>25</v>
      </c>
      <c r="T368" s="144" t="s">
        <v>213</v>
      </c>
      <c r="U368" s="90">
        <f>SUMIF('Avoided Costs 2009-2017'!$A:$A,Actuals!T368&amp;Actuals!S368,'Avoided Costs 2009-2017'!$E:$E)*J368</f>
        <v>166165.93385295453</v>
      </c>
      <c r="V368" s="90">
        <f>SUMIF('Avoided Costs 2009-2017'!$A:$A,Actuals!T368&amp;Actuals!S368,'Avoided Costs 2009-2017'!$K:$K)*N368</f>
        <v>0</v>
      </c>
      <c r="W368" s="90">
        <f>SUMIF('Avoided Costs 2009-2017'!$A:$A,Actuals!T368&amp;Actuals!S368,'Avoided Costs 2009-2017'!$M:$M)*R368</f>
        <v>0</v>
      </c>
      <c r="X368" s="90">
        <f t="shared" si="141"/>
        <v>166165.93385295453</v>
      </c>
      <c r="Y368" s="148">
        <v>14470</v>
      </c>
      <c r="Z368" s="149">
        <f t="shared" si="142"/>
        <v>12733.6</v>
      </c>
      <c r="AA368" s="148"/>
      <c r="AB368" s="145"/>
      <c r="AC368" s="145"/>
      <c r="AD368" s="148">
        <f t="shared" si="143"/>
        <v>12733.6</v>
      </c>
      <c r="AE368" s="122">
        <f t="shared" si="144"/>
        <v>153432.33385295453</v>
      </c>
      <c r="AF368" s="167">
        <f t="shared" si="145"/>
        <v>964898</v>
      </c>
    </row>
    <row r="369" spans="1:32" s="150" customFormat="1" x14ac:dyDescent="0.2">
      <c r="A369" s="144" t="s">
        <v>37</v>
      </c>
      <c r="B369" s="144"/>
      <c r="C369" s="144"/>
      <c r="D369" s="145">
        <v>1</v>
      </c>
      <c r="E369" s="122"/>
      <c r="F369" s="146">
        <v>0.12</v>
      </c>
      <c r="G369" s="146"/>
      <c r="H369" s="122">
        <v>10830</v>
      </c>
      <c r="I369" s="122">
        <f t="shared" si="148"/>
        <v>10830</v>
      </c>
      <c r="J369" s="147">
        <f t="shared" si="136"/>
        <v>9530.4</v>
      </c>
      <c r="K369" s="122"/>
      <c r="L369" s="122">
        <v>0</v>
      </c>
      <c r="M369" s="122">
        <f t="shared" si="137"/>
        <v>0</v>
      </c>
      <c r="N369" s="122">
        <f t="shared" si="138"/>
        <v>0</v>
      </c>
      <c r="O369" s="122"/>
      <c r="P369" s="122">
        <v>0</v>
      </c>
      <c r="Q369" s="122">
        <f t="shared" si="139"/>
        <v>0</v>
      </c>
      <c r="R369" s="147">
        <f t="shared" si="140"/>
        <v>0</v>
      </c>
      <c r="S369" s="145">
        <v>25</v>
      </c>
      <c r="T369" s="144" t="s">
        <v>213</v>
      </c>
      <c r="U369" s="90">
        <f>SUMIF('Avoided Costs 2009-2017'!$A:$A,Actuals!T369&amp;Actuals!S369,'Avoided Costs 2009-2017'!$E:$E)*J369</f>
        <v>41030.964308978721</v>
      </c>
      <c r="V369" s="90">
        <f>SUMIF('Avoided Costs 2009-2017'!$A:$A,Actuals!T369&amp;Actuals!S369,'Avoided Costs 2009-2017'!$K:$K)*N369</f>
        <v>0</v>
      </c>
      <c r="W369" s="90">
        <f>SUMIF('Avoided Costs 2009-2017'!$A:$A,Actuals!T369&amp;Actuals!S369,'Avoided Costs 2009-2017'!$M:$M)*R369</f>
        <v>0</v>
      </c>
      <c r="X369" s="90">
        <f t="shared" si="141"/>
        <v>41030.964308978721</v>
      </c>
      <c r="Y369" s="148">
        <v>8646</v>
      </c>
      <c r="Z369" s="149">
        <f t="shared" si="142"/>
        <v>7608.4800000000005</v>
      </c>
      <c r="AA369" s="148"/>
      <c r="AB369" s="145"/>
      <c r="AC369" s="145"/>
      <c r="AD369" s="148">
        <f t="shared" si="143"/>
        <v>7608.4800000000005</v>
      </c>
      <c r="AE369" s="122">
        <f t="shared" si="144"/>
        <v>33422.484308978717</v>
      </c>
      <c r="AF369" s="167">
        <f t="shared" si="145"/>
        <v>238260</v>
      </c>
    </row>
    <row r="370" spans="1:32" s="150" customFormat="1" x14ac:dyDescent="0.2">
      <c r="A370" s="144" t="s">
        <v>38</v>
      </c>
      <c r="B370" s="144"/>
      <c r="C370" s="144"/>
      <c r="D370" s="145">
        <v>1</v>
      </c>
      <c r="E370" s="122"/>
      <c r="F370" s="146">
        <v>0.12</v>
      </c>
      <c r="G370" s="146"/>
      <c r="H370" s="122">
        <v>10830</v>
      </c>
      <c r="I370" s="122">
        <f t="shared" si="148"/>
        <v>10830</v>
      </c>
      <c r="J370" s="147">
        <f t="shared" si="136"/>
        <v>9530.4</v>
      </c>
      <c r="K370" s="122"/>
      <c r="L370" s="122">
        <v>0</v>
      </c>
      <c r="M370" s="122">
        <f t="shared" si="137"/>
        <v>0</v>
      </c>
      <c r="N370" s="122">
        <f t="shared" si="138"/>
        <v>0</v>
      </c>
      <c r="O370" s="122"/>
      <c r="P370" s="122">
        <v>0</v>
      </c>
      <c r="Q370" s="122">
        <f t="shared" si="139"/>
        <v>0</v>
      </c>
      <c r="R370" s="147">
        <f t="shared" si="140"/>
        <v>0</v>
      </c>
      <c r="S370" s="145">
        <v>25</v>
      </c>
      <c r="T370" s="144" t="s">
        <v>213</v>
      </c>
      <c r="U370" s="90">
        <f>SUMIF('Avoided Costs 2009-2017'!$A:$A,Actuals!T370&amp;Actuals!S370,'Avoided Costs 2009-2017'!$E:$E)*J370</f>
        <v>41030.964308978721</v>
      </c>
      <c r="V370" s="90">
        <f>SUMIF('Avoided Costs 2009-2017'!$A:$A,Actuals!T370&amp;Actuals!S370,'Avoided Costs 2009-2017'!$K:$K)*N370</f>
        <v>0</v>
      </c>
      <c r="W370" s="90">
        <f>SUMIF('Avoided Costs 2009-2017'!$A:$A,Actuals!T370&amp;Actuals!S370,'Avoided Costs 2009-2017'!$M:$M)*R370</f>
        <v>0</v>
      </c>
      <c r="X370" s="90">
        <f t="shared" si="141"/>
        <v>41030.964308978721</v>
      </c>
      <c r="Y370" s="148">
        <v>8646</v>
      </c>
      <c r="Z370" s="149">
        <f t="shared" si="142"/>
        <v>7608.4800000000005</v>
      </c>
      <c r="AA370" s="148"/>
      <c r="AB370" s="145"/>
      <c r="AC370" s="145"/>
      <c r="AD370" s="148">
        <f t="shared" si="143"/>
        <v>7608.4800000000005</v>
      </c>
      <c r="AE370" s="122">
        <f t="shared" si="144"/>
        <v>33422.484308978717</v>
      </c>
      <c r="AF370" s="167">
        <f t="shared" si="145"/>
        <v>238260</v>
      </c>
    </row>
    <row r="371" spans="1:32" s="150" customFormat="1" x14ac:dyDescent="0.2">
      <c r="A371" s="144" t="s">
        <v>39</v>
      </c>
      <c r="B371" s="144"/>
      <c r="C371" s="144"/>
      <c r="D371" s="145">
        <v>1</v>
      </c>
      <c r="E371" s="122"/>
      <c r="F371" s="146">
        <v>0.12</v>
      </c>
      <c r="G371" s="146"/>
      <c r="H371" s="122">
        <v>10830</v>
      </c>
      <c r="I371" s="122">
        <f t="shared" si="148"/>
        <v>10830</v>
      </c>
      <c r="J371" s="147">
        <f t="shared" si="136"/>
        <v>9530.4</v>
      </c>
      <c r="K371" s="122"/>
      <c r="L371" s="122">
        <v>0</v>
      </c>
      <c r="M371" s="122">
        <f t="shared" si="137"/>
        <v>0</v>
      </c>
      <c r="N371" s="122">
        <f t="shared" si="138"/>
        <v>0</v>
      </c>
      <c r="O371" s="122"/>
      <c r="P371" s="122">
        <v>0</v>
      </c>
      <c r="Q371" s="122">
        <f t="shared" si="139"/>
        <v>0</v>
      </c>
      <c r="R371" s="147">
        <f t="shared" si="140"/>
        <v>0</v>
      </c>
      <c r="S371" s="145">
        <v>25</v>
      </c>
      <c r="T371" s="144" t="s">
        <v>213</v>
      </c>
      <c r="U371" s="90">
        <f>SUMIF('Avoided Costs 2009-2017'!$A:$A,Actuals!T371&amp;Actuals!S371,'Avoided Costs 2009-2017'!$E:$E)*J371</f>
        <v>41030.964308978721</v>
      </c>
      <c r="V371" s="90">
        <f>SUMIF('Avoided Costs 2009-2017'!$A:$A,Actuals!T371&amp;Actuals!S371,'Avoided Costs 2009-2017'!$K:$K)*N371</f>
        <v>0</v>
      </c>
      <c r="W371" s="90">
        <f>SUMIF('Avoided Costs 2009-2017'!$A:$A,Actuals!T371&amp;Actuals!S371,'Avoided Costs 2009-2017'!$M:$M)*R371</f>
        <v>0</v>
      </c>
      <c r="X371" s="90">
        <f t="shared" si="141"/>
        <v>41030.964308978721</v>
      </c>
      <c r="Y371" s="148">
        <v>8646</v>
      </c>
      <c r="Z371" s="149">
        <f t="shared" si="142"/>
        <v>7608.4800000000005</v>
      </c>
      <c r="AA371" s="148"/>
      <c r="AB371" s="145"/>
      <c r="AC371" s="145"/>
      <c r="AD371" s="148">
        <f t="shared" si="143"/>
        <v>7608.4800000000005</v>
      </c>
      <c r="AE371" s="122">
        <f t="shared" si="144"/>
        <v>33422.484308978717</v>
      </c>
      <c r="AF371" s="167">
        <f t="shared" si="145"/>
        <v>238260</v>
      </c>
    </row>
    <row r="372" spans="1:32" s="150" customFormat="1" x14ac:dyDescent="0.2">
      <c r="A372" s="144" t="s">
        <v>40</v>
      </c>
      <c r="B372" s="144"/>
      <c r="C372" s="144"/>
      <c r="D372" s="145">
        <v>0</v>
      </c>
      <c r="E372" s="122"/>
      <c r="F372" s="146">
        <v>0.12</v>
      </c>
      <c r="G372" s="146"/>
      <c r="H372" s="122">
        <v>0</v>
      </c>
      <c r="I372" s="122">
        <f t="shared" si="147"/>
        <v>0</v>
      </c>
      <c r="J372" s="147">
        <f t="shared" si="136"/>
        <v>0</v>
      </c>
      <c r="K372" s="122"/>
      <c r="L372" s="122">
        <v>0</v>
      </c>
      <c r="M372" s="122">
        <f t="shared" si="137"/>
        <v>0</v>
      </c>
      <c r="N372" s="122">
        <f t="shared" si="138"/>
        <v>0</v>
      </c>
      <c r="O372" s="122"/>
      <c r="P372" s="122">
        <v>0</v>
      </c>
      <c r="Q372" s="122">
        <f t="shared" si="139"/>
        <v>0</v>
      </c>
      <c r="R372" s="147">
        <f t="shared" si="140"/>
        <v>0</v>
      </c>
      <c r="S372" s="145">
        <v>1</v>
      </c>
      <c r="T372" s="144" t="s">
        <v>213</v>
      </c>
      <c r="U372" s="90">
        <f>SUMIF('Avoided Costs 2009-2017'!$A:$A,Actuals!T372&amp;Actuals!S372,'Avoided Costs 2009-2017'!$E:$E)*J372</f>
        <v>0</v>
      </c>
      <c r="V372" s="90">
        <f>SUMIF('Avoided Costs 2009-2017'!$A:$A,Actuals!T372&amp;Actuals!S372,'Avoided Costs 2009-2017'!$K:$K)*N372</f>
        <v>0</v>
      </c>
      <c r="W372" s="90">
        <f>SUMIF('Avoided Costs 2009-2017'!$A:$A,Actuals!T372&amp;Actuals!S372,'Avoided Costs 2009-2017'!$M:$M)*R372</f>
        <v>0</v>
      </c>
      <c r="X372" s="90">
        <f t="shared" si="141"/>
        <v>0</v>
      </c>
      <c r="Y372" s="148">
        <v>0</v>
      </c>
      <c r="Z372" s="149">
        <f t="shared" si="142"/>
        <v>0</v>
      </c>
      <c r="AA372" s="148"/>
      <c r="AB372" s="145"/>
      <c r="AC372" s="145"/>
      <c r="AD372" s="148">
        <f t="shared" si="143"/>
        <v>0</v>
      </c>
      <c r="AE372" s="122">
        <f t="shared" si="144"/>
        <v>0</v>
      </c>
      <c r="AF372" s="167">
        <f t="shared" si="145"/>
        <v>0</v>
      </c>
    </row>
    <row r="373" spans="1:32" s="150" customFormat="1" x14ac:dyDescent="0.2">
      <c r="A373" s="144" t="s">
        <v>41</v>
      </c>
      <c r="B373" s="144"/>
      <c r="C373" s="144"/>
      <c r="D373" s="145">
        <v>1</v>
      </c>
      <c r="E373" s="122"/>
      <c r="F373" s="146">
        <v>0.12</v>
      </c>
      <c r="G373" s="146"/>
      <c r="H373" s="122">
        <v>10830</v>
      </c>
      <c r="I373" s="122">
        <f t="shared" ref="I373:I381" si="149">+H373</f>
        <v>10830</v>
      </c>
      <c r="J373" s="147">
        <f t="shared" si="136"/>
        <v>9530.4</v>
      </c>
      <c r="K373" s="122"/>
      <c r="L373" s="122">
        <v>0</v>
      </c>
      <c r="M373" s="122">
        <f t="shared" si="137"/>
        <v>0</v>
      </c>
      <c r="N373" s="122">
        <f t="shared" si="138"/>
        <v>0</v>
      </c>
      <c r="O373" s="122"/>
      <c r="P373" s="122">
        <v>0</v>
      </c>
      <c r="Q373" s="122">
        <f t="shared" si="139"/>
        <v>0</v>
      </c>
      <c r="R373" s="147">
        <f t="shared" si="140"/>
        <v>0</v>
      </c>
      <c r="S373" s="145">
        <v>25</v>
      </c>
      <c r="T373" s="144" t="s">
        <v>213</v>
      </c>
      <c r="U373" s="90">
        <f>SUMIF('Avoided Costs 2009-2017'!$A:$A,Actuals!T373&amp;Actuals!S373,'Avoided Costs 2009-2017'!$E:$E)*J373</f>
        <v>41030.964308978721</v>
      </c>
      <c r="V373" s="90">
        <f>SUMIF('Avoided Costs 2009-2017'!$A:$A,Actuals!T373&amp;Actuals!S373,'Avoided Costs 2009-2017'!$K:$K)*N373</f>
        <v>0</v>
      </c>
      <c r="W373" s="90">
        <f>SUMIF('Avoided Costs 2009-2017'!$A:$A,Actuals!T373&amp;Actuals!S373,'Avoided Costs 2009-2017'!$M:$M)*R373</f>
        <v>0</v>
      </c>
      <c r="X373" s="90">
        <f t="shared" si="141"/>
        <v>41030.964308978721</v>
      </c>
      <c r="Y373" s="148">
        <v>8646</v>
      </c>
      <c r="Z373" s="149">
        <f t="shared" si="142"/>
        <v>7608.4800000000005</v>
      </c>
      <c r="AA373" s="148"/>
      <c r="AB373" s="145"/>
      <c r="AC373" s="145"/>
      <c r="AD373" s="148">
        <f t="shared" si="143"/>
        <v>7608.4800000000005</v>
      </c>
      <c r="AE373" s="122">
        <f t="shared" si="144"/>
        <v>33422.484308978717</v>
      </c>
      <c r="AF373" s="167">
        <f t="shared" si="145"/>
        <v>238260</v>
      </c>
    </row>
    <row r="374" spans="1:32" s="150" customFormat="1" x14ac:dyDescent="0.2">
      <c r="A374" s="144" t="s">
        <v>42</v>
      </c>
      <c r="B374" s="144"/>
      <c r="C374" s="144"/>
      <c r="D374" s="145">
        <v>1</v>
      </c>
      <c r="E374" s="122"/>
      <c r="F374" s="146">
        <v>0.12</v>
      </c>
      <c r="G374" s="146"/>
      <c r="H374" s="122">
        <v>10830</v>
      </c>
      <c r="I374" s="122">
        <f t="shared" si="149"/>
        <v>10830</v>
      </c>
      <c r="J374" s="147">
        <f t="shared" si="136"/>
        <v>9530.4</v>
      </c>
      <c r="K374" s="122"/>
      <c r="L374" s="122">
        <v>0</v>
      </c>
      <c r="M374" s="122">
        <f t="shared" si="137"/>
        <v>0</v>
      </c>
      <c r="N374" s="122">
        <f t="shared" si="138"/>
        <v>0</v>
      </c>
      <c r="O374" s="122"/>
      <c r="P374" s="122">
        <v>0</v>
      </c>
      <c r="Q374" s="122">
        <f t="shared" si="139"/>
        <v>0</v>
      </c>
      <c r="R374" s="147">
        <f t="shared" si="140"/>
        <v>0</v>
      </c>
      <c r="S374" s="145">
        <v>25</v>
      </c>
      <c r="T374" s="144" t="s">
        <v>213</v>
      </c>
      <c r="U374" s="90">
        <f>SUMIF('Avoided Costs 2009-2017'!$A:$A,Actuals!T374&amp;Actuals!S374,'Avoided Costs 2009-2017'!$E:$E)*J374</f>
        <v>41030.964308978721</v>
      </c>
      <c r="V374" s="90">
        <f>SUMIF('Avoided Costs 2009-2017'!$A:$A,Actuals!T374&amp;Actuals!S374,'Avoided Costs 2009-2017'!$K:$K)*N374</f>
        <v>0</v>
      </c>
      <c r="W374" s="90">
        <f>SUMIF('Avoided Costs 2009-2017'!$A:$A,Actuals!T374&amp;Actuals!S374,'Avoided Costs 2009-2017'!$M:$M)*R374</f>
        <v>0</v>
      </c>
      <c r="X374" s="90">
        <f t="shared" si="141"/>
        <v>41030.964308978721</v>
      </c>
      <c r="Y374" s="148">
        <v>8646</v>
      </c>
      <c r="Z374" s="149">
        <f t="shared" si="142"/>
        <v>7608.4800000000005</v>
      </c>
      <c r="AA374" s="148"/>
      <c r="AB374" s="145"/>
      <c r="AC374" s="145"/>
      <c r="AD374" s="148">
        <f t="shared" si="143"/>
        <v>7608.4800000000005</v>
      </c>
      <c r="AE374" s="122">
        <f t="shared" si="144"/>
        <v>33422.484308978717</v>
      </c>
      <c r="AF374" s="167">
        <f t="shared" si="145"/>
        <v>238260</v>
      </c>
    </row>
    <row r="375" spans="1:32" s="150" customFormat="1" x14ac:dyDescent="0.2">
      <c r="A375" s="144" t="s">
        <v>43</v>
      </c>
      <c r="B375" s="144"/>
      <c r="C375" s="144"/>
      <c r="D375" s="145">
        <v>1</v>
      </c>
      <c r="E375" s="122"/>
      <c r="F375" s="146">
        <v>0.12</v>
      </c>
      <c r="G375" s="146"/>
      <c r="H375" s="122">
        <v>43859</v>
      </c>
      <c r="I375" s="122">
        <f t="shared" si="149"/>
        <v>43859</v>
      </c>
      <c r="J375" s="147">
        <f t="shared" si="136"/>
        <v>38595.919999999998</v>
      </c>
      <c r="K375" s="122"/>
      <c r="L375" s="122">
        <v>0</v>
      </c>
      <c r="M375" s="122">
        <f t="shared" si="137"/>
        <v>0</v>
      </c>
      <c r="N375" s="122">
        <f t="shared" si="138"/>
        <v>0</v>
      </c>
      <c r="O375" s="122"/>
      <c r="P375" s="122">
        <v>0</v>
      </c>
      <c r="Q375" s="122">
        <f t="shared" si="139"/>
        <v>0</v>
      </c>
      <c r="R375" s="147">
        <f t="shared" si="140"/>
        <v>0</v>
      </c>
      <c r="S375" s="145">
        <v>25</v>
      </c>
      <c r="T375" s="144" t="s">
        <v>213</v>
      </c>
      <c r="U375" s="90">
        <f>SUMIF('Avoided Costs 2009-2017'!$A:$A,Actuals!T375&amp;Actuals!S375,'Avoided Costs 2009-2017'!$E:$E)*J375</f>
        <v>166165.93385295453</v>
      </c>
      <c r="V375" s="90">
        <f>SUMIF('Avoided Costs 2009-2017'!$A:$A,Actuals!T375&amp;Actuals!S375,'Avoided Costs 2009-2017'!$K:$K)*N375</f>
        <v>0</v>
      </c>
      <c r="W375" s="90">
        <f>SUMIF('Avoided Costs 2009-2017'!$A:$A,Actuals!T375&amp;Actuals!S375,'Avoided Costs 2009-2017'!$M:$M)*R375</f>
        <v>0</v>
      </c>
      <c r="X375" s="90">
        <f t="shared" si="141"/>
        <v>166165.93385295453</v>
      </c>
      <c r="Y375" s="148">
        <v>14470</v>
      </c>
      <c r="Z375" s="149">
        <f t="shared" si="142"/>
        <v>12733.6</v>
      </c>
      <c r="AA375" s="148"/>
      <c r="AB375" s="145"/>
      <c r="AC375" s="145"/>
      <c r="AD375" s="148">
        <f t="shared" si="143"/>
        <v>12733.6</v>
      </c>
      <c r="AE375" s="122">
        <f t="shared" si="144"/>
        <v>153432.33385295453</v>
      </c>
      <c r="AF375" s="167">
        <f t="shared" si="145"/>
        <v>964898</v>
      </c>
    </row>
    <row r="376" spans="1:32" s="150" customFormat="1" x14ac:dyDescent="0.2">
      <c r="A376" s="144" t="s">
        <v>44</v>
      </c>
      <c r="B376" s="144"/>
      <c r="C376" s="144"/>
      <c r="D376" s="145">
        <v>1</v>
      </c>
      <c r="E376" s="122"/>
      <c r="F376" s="146">
        <v>0.12</v>
      </c>
      <c r="G376" s="146"/>
      <c r="H376" s="122">
        <v>10830</v>
      </c>
      <c r="I376" s="122">
        <f t="shared" si="149"/>
        <v>10830</v>
      </c>
      <c r="J376" s="147">
        <f t="shared" si="136"/>
        <v>9530.4</v>
      </c>
      <c r="K376" s="122"/>
      <c r="L376" s="122">
        <v>0</v>
      </c>
      <c r="M376" s="122">
        <f t="shared" si="137"/>
        <v>0</v>
      </c>
      <c r="N376" s="122">
        <f t="shared" si="138"/>
        <v>0</v>
      </c>
      <c r="O376" s="122"/>
      <c r="P376" s="122">
        <v>0</v>
      </c>
      <c r="Q376" s="122">
        <f t="shared" si="139"/>
        <v>0</v>
      </c>
      <c r="R376" s="147">
        <f t="shared" si="140"/>
        <v>0</v>
      </c>
      <c r="S376" s="145">
        <v>25</v>
      </c>
      <c r="T376" s="144" t="s">
        <v>213</v>
      </c>
      <c r="U376" s="90">
        <f>SUMIF('Avoided Costs 2009-2017'!$A:$A,Actuals!T376&amp;Actuals!S376,'Avoided Costs 2009-2017'!$E:$E)*J376</f>
        <v>41030.964308978721</v>
      </c>
      <c r="V376" s="90">
        <f>SUMIF('Avoided Costs 2009-2017'!$A:$A,Actuals!T376&amp;Actuals!S376,'Avoided Costs 2009-2017'!$K:$K)*N376</f>
        <v>0</v>
      </c>
      <c r="W376" s="90">
        <f>SUMIF('Avoided Costs 2009-2017'!$A:$A,Actuals!T376&amp;Actuals!S376,'Avoided Costs 2009-2017'!$M:$M)*R376</f>
        <v>0</v>
      </c>
      <c r="X376" s="90">
        <f t="shared" si="141"/>
        <v>41030.964308978721</v>
      </c>
      <c r="Y376" s="148">
        <v>8646</v>
      </c>
      <c r="Z376" s="149">
        <f t="shared" si="142"/>
        <v>7608.4800000000005</v>
      </c>
      <c r="AA376" s="148"/>
      <c r="AB376" s="145"/>
      <c r="AC376" s="145"/>
      <c r="AD376" s="148">
        <f t="shared" si="143"/>
        <v>7608.4800000000005</v>
      </c>
      <c r="AE376" s="122">
        <f t="shared" si="144"/>
        <v>33422.484308978717</v>
      </c>
      <c r="AF376" s="167">
        <f t="shared" si="145"/>
        <v>238260</v>
      </c>
    </row>
    <row r="377" spans="1:32" s="150" customFormat="1" x14ac:dyDescent="0.2">
      <c r="A377" s="144" t="s">
        <v>45</v>
      </c>
      <c r="B377" s="144"/>
      <c r="C377" s="144"/>
      <c r="D377" s="145">
        <v>1</v>
      </c>
      <c r="E377" s="122"/>
      <c r="F377" s="146">
        <v>0.12</v>
      </c>
      <c r="G377" s="146"/>
      <c r="H377" s="122">
        <v>10830</v>
      </c>
      <c r="I377" s="122">
        <f t="shared" si="149"/>
        <v>10830</v>
      </c>
      <c r="J377" s="147">
        <f t="shared" si="136"/>
        <v>9530.4</v>
      </c>
      <c r="K377" s="122"/>
      <c r="L377" s="122">
        <v>0</v>
      </c>
      <c r="M377" s="122">
        <f t="shared" si="137"/>
        <v>0</v>
      </c>
      <c r="N377" s="122">
        <f t="shared" si="138"/>
        <v>0</v>
      </c>
      <c r="O377" s="122"/>
      <c r="P377" s="122">
        <v>0</v>
      </c>
      <c r="Q377" s="122">
        <f t="shared" si="139"/>
        <v>0</v>
      </c>
      <c r="R377" s="147">
        <f t="shared" si="140"/>
        <v>0</v>
      </c>
      <c r="S377" s="145">
        <v>25</v>
      </c>
      <c r="T377" s="144" t="s">
        <v>213</v>
      </c>
      <c r="U377" s="90">
        <f>SUMIF('Avoided Costs 2009-2017'!$A:$A,Actuals!T377&amp;Actuals!S377,'Avoided Costs 2009-2017'!$E:$E)*J377</f>
        <v>41030.964308978721</v>
      </c>
      <c r="V377" s="90">
        <f>SUMIF('Avoided Costs 2009-2017'!$A:$A,Actuals!T377&amp;Actuals!S377,'Avoided Costs 2009-2017'!$K:$K)*N377</f>
        <v>0</v>
      </c>
      <c r="W377" s="90">
        <f>SUMIF('Avoided Costs 2009-2017'!$A:$A,Actuals!T377&amp;Actuals!S377,'Avoided Costs 2009-2017'!$M:$M)*R377</f>
        <v>0</v>
      </c>
      <c r="X377" s="90">
        <f t="shared" si="141"/>
        <v>41030.964308978721</v>
      </c>
      <c r="Y377" s="148">
        <v>8646</v>
      </c>
      <c r="Z377" s="149">
        <f t="shared" si="142"/>
        <v>7608.4800000000005</v>
      </c>
      <c r="AA377" s="148"/>
      <c r="AB377" s="145"/>
      <c r="AC377" s="145"/>
      <c r="AD377" s="148">
        <f t="shared" si="143"/>
        <v>7608.4800000000005</v>
      </c>
      <c r="AE377" s="122">
        <f t="shared" si="144"/>
        <v>33422.484308978717</v>
      </c>
      <c r="AF377" s="167">
        <f t="shared" si="145"/>
        <v>238260</v>
      </c>
    </row>
    <row r="378" spans="1:32" s="150" customFormat="1" x14ac:dyDescent="0.2">
      <c r="A378" s="144" t="s">
        <v>46</v>
      </c>
      <c r="B378" s="144"/>
      <c r="C378" s="144"/>
      <c r="D378" s="145">
        <v>1</v>
      </c>
      <c r="E378" s="122"/>
      <c r="F378" s="146">
        <v>0.12</v>
      </c>
      <c r="G378" s="146"/>
      <c r="H378" s="122">
        <v>10830</v>
      </c>
      <c r="I378" s="122">
        <f t="shared" si="149"/>
        <v>10830</v>
      </c>
      <c r="J378" s="147">
        <f t="shared" si="136"/>
        <v>9530.4</v>
      </c>
      <c r="K378" s="122"/>
      <c r="L378" s="122">
        <v>0</v>
      </c>
      <c r="M378" s="122">
        <f t="shared" si="137"/>
        <v>0</v>
      </c>
      <c r="N378" s="122">
        <f t="shared" si="138"/>
        <v>0</v>
      </c>
      <c r="O378" s="122"/>
      <c r="P378" s="122">
        <v>0</v>
      </c>
      <c r="Q378" s="122">
        <f t="shared" si="139"/>
        <v>0</v>
      </c>
      <c r="R378" s="147">
        <f t="shared" si="140"/>
        <v>0</v>
      </c>
      <c r="S378" s="145">
        <v>25</v>
      </c>
      <c r="T378" s="144" t="s">
        <v>213</v>
      </c>
      <c r="U378" s="90">
        <f>SUMIF('Avoided Costs 2009-2017'!$A:$A,Actuals!T378&amp;Actuals!S378,'Avoided Costs 2009-2017'!$E:$E)*J378</f>
        <v>41030.964308978721</v>
      </c>
      <c r="V378" s="90">
        <f>SUMIF('Avoided Costs 2009-2017'!$A:$A,Actuals!T378&amp;Actuals!S378,'Avoided Costs 2009-2017'!$K:$K)*N378</f>
        <v>0</v>
      </c>
      <c r="W378" s="90">
        <f>SUMIF('Avoided Costs 2009-2017'!$A:$A,Actuals!T378&amp;Actuals!S378,'Avoided Costs 2009-2017'!$M:$M)*R378</f>
        <v>0</v>
      </c>
      <c r="X378" s="90">
        <f t="shared" si="141"/>
        <v>41030.964308978721</v>
      </c>
      <c r="Y378" s="148">
        <v>8646</v>
      </c>
      <c r="Z378" s="149">
        <f t="shared" si="142"/>
        <v>7608.4800000000005</v>
      </c>
      <c r="AA378" s="148"/>
      <c r="AB378" s="145"/>
      <c r="AC378" s="145"/>
      <c r="AD378" s="148">
        <f t="shared" si="143"/>
        <v>7608.4800000000005</v>
      </c>
      <c r="AE378" s="122">
        <f t="shared" si="144"/>
        <v>33422.484308978717</v>
      </c>
      <c r="AF378" s="167">
        <f t="shared" si="145"/>
        <v>238260</v>
      </c>
    </row>
    <row r="379" spans="1:32" s="150" customFormat="1" x14ac:dyDescent="0.2">
      <c r="A379" s="144" t="s">
        <v>47</v>
      </c>
      <c r="B379" s="144"/>
      <c r="C379" s="144"/>
      <c r="D379" s="145">
        <v>1</v>
      </c>
      <c r="E379" s="122"/>
      <c r="F379" s="146">
        <v>0.12</v>
      </c>
      <c r="G379" s="146"/>
      <c r="H379" s="122">
        <v>10830</v>
      </c>
      <c r="I379" s="122">
        <f t="shared" si="149"/>
        <v>10830</v>
      </c>
      <c r="J379" s="147">
        <f t="shared" si="136"/>
        <v>9530.4</v>
      </c>
      <c r="K379" s="122"/>
      <c r="L379" s="122">
        <v>0</v>
      </c>
      <c r="M379" s="122">
        <f t="shared" si="137"/>
        <v>0</v>
      </c>
      <c r="N379" s="122">
        <f t="shared" si="138"/>
        <v>0</v>
      </c>
      <c r="O379" s="122"/>
      <c r="P379" s="122">
        <v>0</v>
      </c>
      <c r="Q379" s="122">
        <f t="shared" si="139"/>
        <v>0</v>
      </c>
      <c r="R379" s="147">
        <f t="shared" si="140"/>
        <v>0</v>
      </c>
      <c r="S379" s="145">
        <v>25</v>
      </c>
      <c r="T379" s="144" t="s">
        <v>213</v>
      </c>
      <c r="U379" s="90">
        <f>SUMIF('Avoided Costs 2009-2017'!$A:$A,Actuals!T379&amp;Actuals!S379,'Avoided Costs 2009-2017'!$E:$E)*J379</f>
        <v>41030.964308978721</v>
      </c>
      <c r="V379" s="90">
        <f>SUMIF('Avoided Costs 2009-2017'!$A:$A,Actuals!T379&amp;Actuals!S379,'Avoided Costs 2009-2017'!$K:$K)*N379</f>
        <v>0</v>
      </c>
      <c r="W379" s="90">
        <f>SUMIF('Avoided Costs 2009-2017'!$A:$A,Actuals!T379&amp;Actuals!S379,'Avoided Costs 2009-2017'!$M:$M)*R379</f>
        <v>0</v>
      </c>
      <c r="X379" s="90">
        <f t="shared" si="141"/>
        <v>41030.964308978721</v>
      </c>
      <c r="Y379" s="148">
        <v>8646</v>
      </c>
      <c r="Z379" s="149">
        <f t="shared" si="142"/>
        <v>7608.4800000000005</v>
      </c>
      <c r="AA379" s="148"/>
      <c r="AB379" s="145"/>
      <c r="AC379" s="145"/>
      <c r="AD379" s="148">
        <f t="shared" si="143"/>
        <v>7608.4800000000005</v>
      </c>
      <c r="AE379" s="122">
        <f t="shared" si="144"/>
        <v>33422.484308978717</v>
      </c>
      <c r="AF379" s="167">
        <f t="shared" si="145"/>
        <v>238260</v>
      </c>
    </row>
    <row r="380" spans="1:32" s="150" customFormat="1" x14ac:dyDescent="0.2">
      <c r="A380" s="144" t="s">
        <v>48</v>
      </c>
      <c r="B380" s="144"/>
      <c r="C380" s="144"/>
      <c r="D380" s="145">
        <v>1</v>
      </c>
      <c r="E380" s="122"/>
      <c r="F380" s="146">
        <v>0.12</v>
      </c>
      <c r="G380" s="146"/>
      <c r="H380" s="122">
        <v>43859</v>
      </c>
      <c r="I380" s="122">
        <f t="shared" si="149"/>
        <v>43859</v>
      </c>
      <c r="J380" s="147">
        <f t="shared" si="136"/>
        <v>38595.919999999998</v>
      </c>
      <c r="K380" s="122"/>
      <c r="L380" s="122">
        <v>0</v>
      </c>
      <c r="M380" s="122">
        <f t="shared" si="137"/>
        <v>0</v>
      </c>
      <c r="N380" s="122">
        <f t="shared" si="138"/>
        <v>0</v>
      </c>
      <c r="O380" s="122"/>
      <c r="P380" s="122">
        <v>0</v>
      </c>
      <c r="Q380" s="122">
        <f t="shared" si="139"/>
        <v>0</v>
      </c>
      <c r="R380" s="147">
        <f t="shared" si="140"/>
        <v>0</v>
      </c>
      <c r="S380" s="145">
        <v>25</v>
      </c>
      <c r="T380" s="144" t="s">
        <v>213</v>
      </c>
      <c r="U380" s="90">
        <f>SUMIF('Avoided Costs 2009-2017'!$A:$A,Actuals!T380&amp;Actuals!S380,'Avoided Costs 2009-2017'!$E:$E)*J380</f>
        <v>166165.93385295453</v>
      </c>
      <c r="V380" s="90">
        <f>SUMIF('Avoided Costs 2009-2017'!$A:$A,Actuals!T380&amp;Actuals!S380,'Avoided Costs 2009-2017'!$K:$K)*N380</f>
        <v>0</v>
      </c>
      <c r="W380" s="90">
        <f>SUMIF('Avoided Costs 2009-2017'!$A:$A,Actuals!T380&amp;Actuals!S380,'Avoided Costs 2009-2017'!$M:$M)*R380</f>
        <v>0</v>
      </c>
      <c r="X380" s="90">
        <f t="shared" si="141"/>
        <v>166165.93385295453</v>
      </c>
      <c r="Y380" s="148">
        <v>14470</v>
      </c>
      <c r="Z380" s="149">
        <f t="shared" si="142"/>
        <v>12733.6</v>
      </c>
      <c r="AA380" s="148"/>
      <c r="AB380" s="145"/>
      <c r="AC380" s="145"/>
      <c r="AD380" s="148">
        <f t="shared" si="143"/>
        <v>12733.6</v>
      </c>
      <c r="AE380" s="122">
        <f t="shared" si="144"/>
        <v>153432.33385295453</v>
      </c>
      <c r="AF380" s="167">
        <f t="shared" si="145"/>
        <v>964898</v>
      </c>
    </row>
    <row r="381" spans="1:32" s="150" customFormat="1" x14ac:dyDescent="0.2">
      <c r="A381" s="144" t="s">
        <v>49</v>
      </c>
      <c r="B381" s="144"/>
      <c r="C381" s="144"/>
      <c r="D381" s="145">
        <v>1</v>
      </c>
      <c r="E381" s="122"/>
      <c r="F381" s="146">
        <v>0.12</v>
      </c>
      <c r="G381" s="146"/>
      <c r="H381" s="122">
        <v>43859</v>
      </c>
      <c r="I381" s="122">
        <f t="shared" si="149"/>
        <v>43859</v>
      </c>
      <c r="J381" s="147">
        <f t="shared" si="136"/>
        <v>38595.919999999998</v>
      </c>
      <c r="K381" s="122"/>
      <c r="L381" s="122">
        <v>0</v>
      </c>
      <c r="M381" s="122">
        <f t="shared" si="137"/>
        <v>0</v>
      </c>
      <c r="N381" s="122">
        <f t="shared" si="138"/>
        <v>0</v>
      </c>
      <c r="O381" s="122"/>
      <c r="P381" s="122">
        <v>0</v>
      </c>
      <c r="Q381" s="122">
        <f t="shared" si="139"/>
        <v>0</v>
      </c>
      <c r="R381" s="147">
        <f t="shared" si="140"/>
        <v>0</v>
      </c>
      <c r="S381" s="145">
        <v>25</v>
      </c>
      <c r="T381" s="144" t="s">
        <v>213</v>
      </c>
      <c r="U381" s="90">
        <f>SUMIF('Avoided Costs 2009-2017'!$A:$A,Actuals!T381&amp;Actuals!S381,'Avoided Costs 2009-2017'!$E:$E)*J381</f>
        <v>166165.93385295453</v>
      </c>
      <c r="V381" s="90">
        <f>SUMIF('Avoided Costs 2009-2017'!$A:$A,Actuals!T381&amp;Actuals!S381,'Avoided Costs 2009-2017'!$K:$K)*N381</f>
        <v>0</v>
      </c>
      <c r="W381" s="90">
        <f>SUMIF('Avoided Costs 2009-2017'!$A:$A,Actuals!T381&amp;Actuals!S381,'Avoided Costs 2009-2017'!$M:$M)*R381</f>
        <v>0</v>
      </c>
      <c r="X381" s="90">
        <f t="shared" si="141"/>
        <v>166165.93385295453</v>
      </c>
      <c r="Y381" s="148">
        <v>14470</v>
      </c>
      <c r="Z381" s="149">
        <f t="shared" si="142"/>
        <v>12733.6</v>
      </c>
      <c r="AA381" s="148"/>
      <c r="AB381" s="145"/>
      <c r="AC381" s="145"/>
      <c r="AD381" s="148">
        <f t="shared" si="143"/>
        <v>12733.6</v>
      </c>
      <c r="AE381" s="122">
        <f t="shared" si="144"/>
        <v>153432.33385295453</v>
      </c>
      <c r="AF381" s="167">
        <f t="shared" si="145"/>
        <v>964898</v>
      </c>
    </row>
    <row r="382" spans="1:32" s="150" customFormat="1" x14ac:dyDescent="0.2">
      <c r="A382" s="144" t="s">
        <v>50</v>
      </c>
      <c r="B382" s="144"/>
      <c r="C382" s="144"/>
      <c r="D382" s="145">
        <v>1</v>
      </c>
      <c r="E382" s="122"/>
      <c r="F382" s="146">
        <v>0.12</v>
      </c>
      <c r="G382" s="146"/>
      <c r="H382" s="122">
        <v>3598</v>
      </c>
      <c r="I382" s="122">
        <f t="shared" si="147"/>
        <v>3482.864</v>
      </c>
      <c r="J382" s="147">
        <f t="shared" si="136"/>
        <v>3064.9203200000002</v>
      </c>
      <c r="K382" s="122"/>
      <c r="L382" s="122">
        <v>0</v>
      </c>
      <c r="M382" s="122">
        <f t="shared" si="137"/>
        <v>0</v>
      </c>
      <c r="N382" s="122">
        <f t="shared" si="138"/>
        <v>0</v>
      </c>
      <c r="O382" s="122"/>
      <c r="P382" s="122">
        <v>0</v>
      </c>
      <c r="Q382" s="122">
        <f t="shared" si="139"/>
        <v>0</v>
      </c>
      <c r="R382" s="147">
        <f t="shared" si="140"/>
        <v>0</v>
      </c>
      <c r="S382" s="145">
        <v>15</v>
      </c>
      <c r="T382" s="144" t="s">
        <v>213</v>
      </c>
      <c r="U382" s="90">
        <f>SUMIF('Avoided Costs 2009-2017'!$A:$A,Actuals!T382&amp;Actuals!S382,'Avoided Costs 2009-2017'!$E:$E)*J382</f>
        <v>10366.190663943613</v>
      </c>
      <c r="V382" s="90">
        <f>SUMIF('Avoided Costs 2009-2017'!$A:$A,Actuals!T382&amp;Actuals!S382,'Avoided Costs 2009-2017'!$K:$K)*N382</f>
        <v>0</v>
      </c>
      <c r="W382" s="90">
        <f>SUMIF('Avoided Costs 2009-2017'!$A:$A,Actuals!T382&amp;Actuals!S382,'Avoided Costs 2009-2017'!$M:$M)*R382</f>
        <v>0</v>
      </c>
      <c r="X382" s="90">
        <f t="shared" si="141"/>
        <v>10366.190663943613</v>
      </c>
      <c r="Y382" s="148">
        <v>4750</v>
      </c>
      <c r="Z382" s="149">
        <f t="shared" si="142"/>
        <v>4180</v>
      </c>
      <c r="AA382" s="148"/>
      <c r="AB382" s="145"/>
      <c r="AC382" s="145"/>
      <c r="AD382" s="148">
        <f t="shared" si="143"/>
        <v>4180</v>
      </c>
      <c r="AE382" s="122">
        <f t="shared" si="144"/>
        <v>6186.1906639436129</v>
      </c>
      <c r="AF382" s="167">
        <f t="shared" si="145"/>
        <v>45973.804800000005</v>
      </c>
    </row>
    <row r="383" spans="1:32" s="150" customFormat="1" x14ac:dyDescent="0.2">
      <c r="A383" s="144" t="s">
        <v>51</v>
      </c>
      <c r="B383" s="144"/>
      <c r="C383" s="144"/>
      <c r="D383" s="145">
        <v>1</v>
      </c>
      <c r="E383" s="122"/>
      <c r="F383" s="146">
        <v>0.12</v>
      </c>
      <c r="G383" s="146"/>
      <c r="H383" s="122">
        <v>3793</v>
      </c>
      <c r="I383" s="122">
        <f t="shared" si="147"/>
        <v>3671.6239999999998</v>
      </c>
      <c r="J383" s="147">
        <f t="shared" si="136"/>
        <v>3231.0291199999997</v>
      </c>
      <c r="K383" s="122"/>
      <c r="L383" s="122">
        <v>0</v>
      </c>
      <c r="M383" s="122">
        <f t="shared" si="137"/>
        <v>0</v>
      </c>
      <c r="N383" s="122">
        <f t="shared" si="138"/>
        <v>0</v>
      </c>
      <c r="O383" s="122"/>
      <c r="P383" s="122">
        <v>0</v>
      </c>
      <c r="Q383" s="122">
        <f t="shared" si="139"/>
        <v>0</v>
      </c>
      <c r="R383" s="147">
        <f t="shared" si="140"/>
        <v>0</v>
      </c>
      <c r="S383" s="145">
        <v>15</v>
      </c>
      <c r="T383" s="144" t="s">
        <v>213</v>
      </c>
      <c r="U383" s="90">
        <f>SUMIF('Avoided Costs 2009-2017'!$A:$A,Actuals!T383&amp;Actuals!S383,'Avoided Costs 2009-2017'!$E:$E)*J383</f>
        <v>10928.004777192362</v>
      </c>
      <c r="V383" s="90">
        <f>SUMIF('Avoided Costs 2009-2017'!$A:$A,Actuals!T383&amp;Actuals!S383,'Avoided Costs 2009-2017'!$K:$K)*N383</f>
        <v>0</v>
      </c>
      <c r="W383" s="90">
        <f>SUMIF('Avoided Costs 2009-2017'!$A:$A,Actuals!T383&amp;Actuals!S383,'Avoided Costs 2009-2017'!$M:$M)*R383</f>
        <v>0</v>
      </c>
      <c r="X383" s="90">
        <f t="shared" si="141"/>
        <v>10928.004777192362</v>
      </c>
      <c r="Y383" s="148">
        <v>3890</v>
      </c>
      <c r="Z383" s="149">
        <f t="shared" si="142"/>
        <v>3423.2</v>
      </c>
      <c r="AA383" s="148"/>
      <c r="AB383" s="145"/>
      <c r="AC383" s="145"/>
      <c r="AD383" s="148">
        <f t="shared" si="143"/>
        <v>3423.2</v>
      </c>
      <c r="AE383" s="122">
        <f t="shared" si="144"/>
        <v>7504.8047771923621</v>
      </c>
      <c r="AF383" s="167">
        <f t="shared" si="145"/>
        <v>48465.436799999996</v>
      </c>
    </row>
    <row r="384" spans="1:32" s="150" customFormat="1" x14ac:dyDescent="0.2">
      <c r="A384" s="144" t="s">
        <v>52</v>
      </c>
      <c r="B384" s="144"/>
      <c r="C384" s="144"/>
      <c r="D384" s="145">
        <v>1</v>
      </c>
      <c r="E384" s="122"/>
      <c r="F384" s="146">
        <v>0.12</v>
      </c>
      <c r="G384" s="146"/>
      <c r="H384" s="122">
        <v>23720</v>
      </c>
      <c r="I384" s="122">
        <f t="shared" si="147"/>
        <v>22960.959999999999</v>
      </c>
      <c r="J384" s="147">
        <f t="shared" si="136"/>
        <v>20205.644799999998</v>
      </c>
      <c r="K384" s="122"/>
      <c r="L384" s="122">
        <v>0</v>
      </c>
      <c r="M384" s="122">
        <f t="shared" si="137"/>
        <v>0</v>
      </c>
      <c r="N384" s="122">
        <f t="shared" si="138"/>
        <v>0</v>
      </c>
      <c r="O384" s="122"/>
      <c r="P384" s="122">
        <v>0</v>
      </c>
      <c r="Q384" s="122">
        <f t="shared" si="139"/>
        <v>0</v>
      </c>
      <c r="R384" s="147">
        <f t="shared" si="140"/>
        <v>0</v>
      </c>
      <c r="S384" s="145">
        <v>5</v>
      </c>
      <c r="T384" s="144" t="s">
        <v>213</v>
      </c>
      <c r="U384" s="90">
        <f>SUMIF('Avoided Costs 2009-2017'!$A:$A,Actuals!T384&amp;Actuals!S384,'Avoided Costs 2009-2017'!$E:$E)*J384</f>
        <v>30340.298237057475</v>
      </c>
      <c r="V384" s="90">
        <f>SUMIF('Avoided Costs 2009-2017'!$A:$A,Actuals!T384&amp;Actuals!S384,'Avoided Costs 2009-2017'!$K:$K)*N384</f>
        <v>0</v>
      </c>
      <c r="W384" s="90">
        <f>SUMIF('Avoided Costs 2009-2017'!$A:$A,Actuals!T384&amp;Actuals!S384,'Avoided Costs 2009-2017'!$M:$M)*R384</f>
        <v>0</v>
      </c>
      <c r="X384" s="90">
        <f t="shared" si="141"/>
        <v>30340.298237057475</v>
      </c>
      <c r="Y384" s="148">
        <v>900</v>
      </c>
      <c r="Z384" s="149">
        <f t="shared" si="142"/>
        <v>792</v>
      </c>
      <c r="AA384" s="148"/>
      <c r="AB384" s="145"/>
      <c r="AC384" s="145"/>
      <c r="AD384" s="148">
        <f t="shared" si="143"/>
        <v>792</v>
      </c>
      <c r="AE384" s="122">
        <f t="shared" si="144"/>
        <v>29548.298237057475</v>
      </c>
      <c r="AF384" s="167">
        <f t="shared" si="145"/>
        <v>101028.22399999999</v>
      </c>
    </row>
    <row r="385" spans="1:32" s="150" customFormat="1" x14ac:dyDescent="0.2">
      <c r="A385" s="144" t="s">
        <v>53</v>
      </c>
      <c r="B385" s="144"/>
      <c r="C385" s="144"/>
      <c r="D385" s="145">
        <v>1</v>
      </c>
      <c r="E385" s="122"/>
      <c r="F385" s="146">
        <v>0.12</v>
      </c>
      <c r="G385" s="146"/>
      <c r="H385" s="122">
        <v>5323</v>
      </c>
      <c r="I385" s="122">
        <f t="shared" si="147"/>
        <v>5152.6639999999998</v>
      </c>
      <c r="J385" s="147">
        <f t="shared" si="136"/>
        <v>4534.3443200000002</v>
      </c>
      <c r="K385" s="122"/>
      <c r="L385" s="122">
        <v>0</v>
      </c>
      <c r="M385" s="122">
        <f t="shared" si="137"/>
        <v>0</v>
      </c>
      <c r="N385" s="122">
        <f t="shared" si="138"/>
        <v>0</v>
      </c>
      <c r="O385" s="122"/>
      <c r="P385" s="122">
        <v>0</v>
      </c>
      <c r="Q385" s="122">
        <f t="shared" si="139"/>
        <v>0</v>
      </c>
      <c r="R385" s="147">
        <f t="shared" si="140"/>
        <v>0</v>
      </c>
      <c r="S385" s="145">
        <v>5</v>
      </c>
      <c r="T385" s="144" t="s">
        <v>213</v>
      </c>
      <c r="U385" s="90">
        <f>SUMIF('Avoided Costs 2009-2017'!$A:$A,Actuals!T385&amp;Actuals!S385,'Avoided Costs 2009-2017'!$E:$E)*J385</f>
        <v>6808.6596760479324</v>
      </c>
      <c r="V385" s="90">
        <f>SUMIF('Avoided Costs 2009-2017'!$A:$A,Actuals!T385&amp;Actuals!S385,'Avoided Costs 2009-2017'!$K:$K)*N385</f>
        <v>0</v>
      </c>
      <c r="W385" s="90">
        <f>SUMIF('Avoided Costs 2009-2017'!$A:$A,Actuals!T385&amp;Actuals!S385,'Avoided Costs 2009-2017'!$M:$M)*R385</f>
        <v>0</v>
      </c>
      <c r="X385" s="90">
        <f t="shared" si="141"/>
        <v>6808.6596760479324</v>
      </c>
      <c r="Y385" s="148">
        <v>600</v>
      </c>
      <c r="Z385" s="149">
        <f t="shared" si="142"/>
        <v>528</v>
      </c>
      <c r="AA385" s="148"/>
      <c r="AB385" s="145"/>
      <c r="AC385" s="145"/>
      <c r="AD385" s="148">
        <f t="shared" si="143"/>
        <v>528</v>
      </c>
      <c r="AE385" s="122">
        <f t="shared" si="144"/>
        <v>6280.6596760479324</v>
      </c>
      <c r="AF385" s="167">
        <f t="shared" si="145"/>
        <v>22671.721600000001</v>
      </c>
    </row>
    <row r="386" spans="1:32" s="150" customFormat="1" x14ac:dyDescent="0.2">
      <c r="A386" s="144" t="s">
        <v>1037</v>
      </c>
      <c r="B386" s="144"/>
      <c r="C386" s="144"/>
      <c r="D386" s="145">
        <v>1</v>
      </c>
      <c r="E386" s="122"/>
      <c r="F386" s="146">
        <v>0.12</v>
      </c>
      <c r="G386" s="146"/>
      <c r="H386" s="122">
        <v>4070</v>
      </c>
      <c r="I386" s="122">
        <f t="shared" si="147"/>
        <v>3939.7599999999998</v>
      </c>
      <c r="J386" s="147">
        <f t="shared" si="136"/>
        <v>3466.9887999999996</v>
      </c>
      <c r="K386" s="122"/>
      <c r="L386" s="122">
        <v>0</v>
      </c>
      <c r="M386" s="122">
        <f t="shared" si="137"/>
        <v>0</v>
      </c>
      <c r="N386" s="122">
        <f t="shared" si="138"/>
        <v>0</v>
      </c>
      <c r="O386" s="122"/>
      <c r="P386" s="122">
        <v>0</v>
      </c>
      <c r="Q386" s="122">
        <f t="shared" si="139"/>
        <v>0</v>
      </c>
      <c r="R386" s="147">
        <f t="shared" si="140"/>
        <v>0</v>
      </c>
      <c r="S386" s="145">
        <v>5</v>
      </c>
      <c r="T386" s="144" t="s">
        <v>213</v>
      </c>
      <c r="U386" s="90">
        <f>SUMIF('Avoided Costs 2009-2017'!$A:$A,Actuals!T386&amp;Actuals!S386,'Avoided Costs 2009-2017'!$E:$E)*J386</f>
        <v>5205.9449335929139</v>
      </c>
      <c r="V386" s="90">
        <f>SUMIF('Avoided Costs 2009-2017'!$A:$A,Actuals!T386&amp;Actuals!S386,'Avoided Costs 2009-2017'!$K:$K)*N386</f>
        <v>0</v>
      </c>
      <c r="W386" s="90">
        <f>SUMIF('Avoided Costs 2009-2017'!$A:$A,Actuals!T386&amp;Actuals!S386,'Avoided Costs 2009-2017'!$M:$M)*R386</f>
        <v>0</v>
      </c>
      <c r="X386" s="90">
        <f t="shared" si="141"/>
        <v>5205.9449335929139</v>
      </c>
      <c r="Y386" s="148">
        <v>600</v>
      </c>
      <c r="Z386" s="149">
        <f t="shared" si="142"/>
        <v>528</v>
      </c>
      <c r="AA386" s="148"/>
      <c r="AB386" s="145"/>
      <c r="AC386" s="145"/>
      <c r="AD386" s="148">
        <f t="shared" si="143"/>
        <v>528</v>
      </c>
      <c r="AE386" s="122">
        <f t="shared" si="144"/>
        <v>4677.9449335929139</v>
      </c>
      <c r="AF386" s="167">
        <f t="shared" si="145"/>
        <v>17334.944</v>
      </c>
    </row>
    <row r="387" spans="1:32" s="150" customFormat="1" x14ac:dyDescent="0.2">
      <c r="A387" s="144" t="s">
        <v>1038</v>
      </c>
      <c r="B387" s="144"/>
      <c r="C387" s="144"/>
      <c r="D387" s="145">
        <v>1</v>
      </c>
      <c r="E387" s="122"/>
      <c r="F387" s="146">
        <v>0.12</v>
      </c>
      <c r="G387" s="146"/>
      <c r="H387" s="122">
        <v>43859</v>
      </c>
      <c r="I387" s="122">
        <f>+H387</f>
        <v>43859</v>
      </c>
      <c r="J387" s="147">
        <f t="shared" si="136"/>
        <v>38595.919999999998</v>
      </c>
      <c r="K387" s="122"/>
      <c r="L387" s="122">
        <v>0</v>
      </c>
      <c r="M387" s="122">
        <f t="shared" si="137"/>
        <v>0</v>
      </c>
      <c r="N387" s="122">
        <f t="shared" si="138"/>
        <v>0</v>
      </c>
      <c r="O387" s="122"/>
      <c r="P387" s="122">
        <v>0</v>
      </c>
      <c r="Q387" s="122">
        <f t="shared" si="139"/>
        <v>0</v>
      </c>
      <c r="R387" s="147">
        <f t="shared" si="140"/>
        <v>0</v>
      </c>
      <c r="S387" s="145">
        <v>25</v>
      </c>
      <c r="T387" s="144" t="s">
        <v>213</v>
      </c>
      <c r="U387" s="90">
        <f>SUMIF('Avoided Costs 2009-2017'!$A:$A,Actuals!T387&amp;Actuals!S387,'Avoided Costs 2009-2017'!$E:$E)*J387</f>
        <v>166165.93385295453</v>
      </c>
      <c r="V387" s="90">
        <f>SUMIF('Avoided Costs 2009-2017'!$A:$A,Actuals!T387&amp;Actuals!S387,'Avoided Costs 2009-2017'!$K:$K)*N387</f>
        <v>0</v>
      </c>
      <c r="W387" s="90">
        <f>SUMIF('Avoided Costs 2009-2017'!$A:$A,Actuals!T387&amp;Actuals!S387,'Avoided Costs 2009-2017'!$M:$M)*R387</f>
        <v>0</v>
      </c>
      <c r="X387" s="90">
        <f t="shared" si="141"/>
        <v>166165.93385295453</v>
      </c>
      <c r="Y387" s="148">
        <v>14470</v>
      </c>
      <c r="Z387" s="149">
        <f t="shared" si="142"/>
        <v>12733.6</v>
      </c>
      <c r="AA387" s="148"/>
      <c r="AB387" s="145"/>
      <c r="AC387" s="145"/>
      <c r="AD387" s="148">
        <f t="shared" si="143"/>
        <v>12733.6</v>
      </c>
      <c r="AE387" s="122">
        <f t="shared" si="144"/>
        <v>153432.33385295453</v>
      </c>
      <c r="AF387" s="167">
        <f t="shared" si="145"/>
        <v>964898</v>
      </c>
    </row>
    <row r="388" spans="1:32" s="150" customFormat="1" x14ac:dyDescent="0.2">
      <c r="A388" s="144" t="s">
        <v>1039</v>
      </c>
      <c r="B388" s="144"/>
      <c r="C388" s="144"/>
      <c r="D388" s="145">
        <v>1</v>
      </c>
      <c r="E388" s="122"/>
      <c r="F388" s="146">
        <v>0.12</v>
      </c>
      <c r="G388" s="146"/>
      <c r="H388" s="122">
        <v>5144</v>
      </c>
      <c r="I388" s="122">
        <f t="shared" si="147"/>
        <v>4979.3919999999998</v>
      </c>
      <c r="J388" s="147">
        <f t="shared" si="136"/>
        <v>4381.8649599999999</v>
      </c>
      <c r="K388" s="122"/>
      <c r="L388" s="122">
        <v>0</v>
      </c>
      <c r="M388" s="122">
        <f t="shared" si="137"/>
        <v>0</v>
      </c>
      <c r="N388" s="122">
        <f t="shared" si="138"/>
        <v>0</v>
      </c>
      <c r="O388" s="122"/>
      <c r="P388" s="122">
        <v>0</v>
      </c>
      <c r="Q388" s="122">
        <f t="shared" si="139"/>
        <v>0</v>
      </c>
      <c r="R388" s="147">
        <f t="shared" si="140"/>
        <v>0</v>
      </c>
      <c r="S388" s="145">
        <v>15</v>
      </c>
      <c r="T388" s="144" t="s">
        <v>213</v>
      </c>
      <c r="U388" s="90">
        <f>SUMIF('Avoided Costs 2009-2017'!$A:$A,Actuals!T388&amp;Actuals!S388,'Avoided Costs 2009-2017'!$E:$E)*J388</f>
        <v>14820.368197700373</v>
      </c>
      <c r="V388" s="90">
        <f>SUMIF('Avoided Costs 2009-2017'!$A:$A,Actuals!T388&amp;Actuals!S388,'Avoided Costs 2009-2017'!$K:$K)*N388</f>
        <v>0</v>
      </c>
      <c r="W388" s="90">
        <f>SUMIF('Avoided Costs 2009-2017'!$A:$A,Actuals!T388&amp;Actuals!S388,'Avoided Costs 2009-2017'!$M:$M)*R388</f>
        <v>0</v>
      </c>
      <c r="X388" s="90">
        <f t="shared" si="141"/>
        <v>14820.368197700373</v>
      </c>
      <c r="Y388" s="148">
        <v>11400</v>
      </c>
      <c r="Z388" s="149">
        <f t="shared" si="142"/>
        <v>10032</v>
      </c>
      <c r="AA388" s="148"/>
      <c r="AB388" s="145"/>
      <c r="AC388" s="145"/>
      <c r="AD388" s="148">
        <f t="shared" si="143"/>
        <v>10032</v>
      </c>
      <c r="AE388" s="122">
        <f t="shared" si="144"/>
        <v>4788.3681977003725</v>
      </c>
      <c r="AF388" s="167">
        <f t="shared" si="145"/>
        <v>65727.974399999992</v>
      </c>
    </row>
    <row r="389" spans="1:32" s="150" customFormat="1" x14ac:dyDescent="0.2">
      <c r="A389" s="144" t="s">
        <v>1040</v>
      </c>
      <c r="B389" s="144"/>
      <c r="C389" s="144"/>
      <c r="D389" s="145">
        <v>1</v>
      </c>
      <c r="E389" s="122"/>
      <c r="F389" s="146">
        <v>0.12</v>
      </c>
      <c r="G389" s="146"/>
      <c r="H389" s="122">
        <v>5211</v>
      </c>
      <c r="I389" s="122">
        <f t="shared" si="147"/>
        <v>5044.2479999999996</v>
      </c>
      <c r="J389" s="147">
        <f t="shared" si="136"/>
        <v>4438.9382399999995</v>
      </c>
      <c r="K389" s="122"/>
      <c r="L389" s="122">
        <v>0</v>
      </c>
      <c r="M389" s="122">
        <f t="shared" si="137"/>
        <v>0</v>
      </c>
      <c r="N389" s="122">
        <f t="shared" si="138"/>
        <v>0</v>
      </c>
      <c r="O389" s="122"/>
      <c r="P389" s="122">
        <v>0</v>
      </c>
      <c r="Q389" s="122">
        <f t="shared" si="139"/>
        <v>0</v>
      </c>
      <c r="R389" s="147">
        <f t="shared" si="140"/>
        <v>0</v>
      </c>
      <c r="S389" s="145">
        <v>5</v>
      </c>
      <c r="T389" s="144" t="s">
        <v>213</v>
      </c>
      <c r="U389" s="90">
        <f>SUMIF('Avoided Costs 2009-2017'!$A:$A,Actuals!T389&amp;Actuals!S389,'Avoided Costs 2009-2017'!$E:$E)*J389</f>
        <v>6665.4002577279298</v>
      </c>
      <c r="V389" s="90">
        <f>SUMIF('Avoided Costs 2009-2017'!$A:$A,Actuals!T389&amp;Actuals!S389,'Avoided Costs 2009-2017'!$K:$K)*N389</f>
        <v>0</v>
      </c>
      <c r="W389" s="90">
        <f>SUMIF('Avoided Costs 2009-2017'!$A:$A,Actuals!T389&amp;Actuals!S389,'Avoided Costs 2009-2017'!$M:$M)*R389</f>
        <v>0</v>
      </c>
      <c r="X389" s="90">
        <f t="shared" si="141"/>
        <v>6665.4002577279298</v>
      </c>
      <c r="Y389" s="148">
        <v>500</v>
      </c>
      <c r="Z389" s="149">
        <f t="shared" si="142"/>
        <v>440</v>
      </c>
      <c r="AA389" s="148"/>
      <c r="AB389" s="145"/>
      <c r="AC389" s="145"/>
      <c r="AD389" s="148">
        <f t="shared" si="143"/>
        <v>440</v>
      </c>
      <c r="AE389" s="122">
        <f t="shared" si="144"/>
        <v>6225.4002577279298</v>
      </c>
      <c r="AF389" s="167">
        <f t="shared" si="145"/>
        <v>22194.691199999997</v>
      </c>
    </row>
    <row r="390" spans="1:32" s="150" customFormat="1" x14ac:dyDescent="0.2">
      <c r="A390" s="144" t="s">
        <v>1041</v>
      </c>
      <c r="B390" s="144"/>
      <c r="C390" s="144"/>
      <c r="D390" s="145">
        <v>1</v>
      </c>
      <c r="E390" s="122"/>
      <c r="F390" s="146">
        <v>0.12</v>
      </c>
      <c r="G390" s="146"/>
      <c r="H390" s="122">
        <v>6477</v>
      </c>
      <c r="I390" s="122">
        <f t="shared" si="147"/>
        <v>6269.7359999999999</v>
      </c>
      <c r="J390" s="147">
        <f t="shared" si="136"/>
        <v>5517.3676800000003</v>
      </c>
      <c r="K390" s="122"/>
      <c r="L390" s="122">
        <v>0</v>
      </c>
      <c r="M390" s="122">
        <f t="shared" si="137"/>
        <v>0</v>
      </c>
      <c r="N390" s="122">
        <f t="shared" si="138"/>
        <v>0</v>
      </c>
      <c r="O390" s="122"/>
      <c r="P390" s="122">
        <v>0</v>
      </c>
      <c r="Q390" s="122">
        <f t="shared" si="139"/>
        <v>0</v>
      </c>
      <c r="R390" s="147">
        <f t="shared" si="140"/>
        <v>0</v>
      </c>
      <c r="S390" s="145">
        <v>15</v>
      </c>
      <c r="T390" s="144" t="s">
        <v>213</v>
      </c>
      <c r="U390" s="90">
        <f>SUMIF('Avoided Costs 2009-2017'!$A:$A,Actuals!T390&amp;Actuals!S390,'Avoided Costs 2009-2017'!$E:$E)*J390</f>
        <v>18660.871853908498</v>
      </c>
      <c r="V390" s="90">
        <f>SUMIF('Avoided Costs 2009-2017'!$A:$A,Actuals!T390&amp;Actuals!S390,'Avoided Costs 2009-2017'!$K:$K)*N390</f>
        <v>0</v>
      </c>
      <c r="W390" s="90">
        <f>SUMIF('Avoided Costs 2009-2017'!$A:$A,Actuals!T390&amp;Actuals!S390,'Avoided Costs 2009-2017'!$M:$M)*R390</f>
        <v>0</v>
      </c>
      <c r="X390" s="90">
        <f t="shared" si="141"/>
        <v>18660.871853908498</v>
      </c>
      <c r="Y390" s="148">
        <v>4750</v>
      </c>
      <c r="Z390" s="149">
        <f t="shared" si="142"/>
        <v>4180</v>
      </c>
      <c r="AA390" s="148"/>
      <c r="AB390" s="145"/>
      <c r="AC390" s="145"/>
      <c r="AD390" s="148">
        <f t="shared" si="143"/>
        <v>4180</v>
      </c>
      <c r="AE390" s="122">
        <f t="shared" si="144"/>
        <v>14480.871853908498</v>
      </c>
      <c r="AF390" s="167">
        <f t="shared" si="145"/>
        <v>82760.515200000009</v>
      </c>
    </row>
    <row r="391" spans="1:32" s="150" customFormat="1" x14ac:dyDescent="0.2">
      <c r="A391" s="144" t="s">
        <v>1042</v>
      </c>
      <c r="B391" s="144"/>
      <c r="C391" s="144"/>
      <c r="D391" s="145">
        <v>1</v>
      </c>
      <c r="E391" s="122"/>
      <c r="F391" s="146">
        <v>0.12</v>
      </c>
      <c r="G391" s="146"/>
      <c r="H391" s="122">
        <v>5953</v>
      </c>
      <c r="I391" s="122">
        <f t="shared" si="147"/>
        <v>5762.5039999999999</v>
      </c>
      <c r="J391" s="147">
        <f t="shared" si="136"/>
        <v>5071.0035200000002</v>
      </c>
      <c r="K391" s="122"/>
      <c r="L391" s="122">
        <v>0</v>
      </c>
      <c r="M391" s="122">
        <f t="shared" si="137"/>
        <v>0</v>
      </c>
      <c r="N391" s="122">
        <f t="shared" si="138"/>
        <v>0</v>
      </c>
      <c r="O391" s="122"/>
      <c r="P391" s="122">
        <v>0</v>
      </c>
      <c r="Q391" s="122">
        <f t="shared" si="139"/>
        <v>0</v>
      </c>
      <c r="R391" s="147">
        <f t="shared" si="140"/>
        <v>0</v>
      </c>
      <c r="S391" s="145">
        <v>5</v>
      </c>
      <c r="T391" s="144" t="s">
        <v>213</v>
      </c>
      <c r="U391" s="90">
        <f>SUMIF('Avoided Costs 2009-2017'!$A:$A,Actuals!T391&amp;Actuals!S391,'Avoided Costs 2009-2017'!$E:$E)*J391</f>
        <v>7614.4939040979416</v>
      </c>
      <c r="V391" s="90">
        <f>SUMIF('Avoided Costs 2009-2017'!$A:$A,Actuals!T391&amp;Actuals!S391,'Avoided Costs 2009-2017'!$K:$K)*N391</f>
        <v>0</v>
      </c>
      <c r="W391" s="90">
        <f>SUMIF('Avoided Costs 2009-2017'!$A:$A,Actuals!T391&amp;Actuals!S391,'Avoided Costs 2009-2017'!$M:$M)*R391</f>
        <v>0</v>
      </c>
      <c r="X391" s="90">
        <f t="shared" si="141"/>
        <v>7614.4939040979416</v>
      </c>
      <c r="Y391" s="148">
        <v>0</v>
      </c>
      <c r="Z391" s="149">
        <f t="shared" si="142"/>
        <v>0</v>
      </c>
      <c r="AA391" s="148"/>
      <c r="AB391" s="145"/>
      <c r="AC391" s="145"/>
      <c r="AD391" s="148">
        <f t="shared" si="143"/>
        <v>0</v>
      </c>
      <c r="AE391" s="122">
        <f t="shared" si="144"/>
        <v>7614.4939040979416</v>
      </c>
      <c r="AF391" s="167">
        <f t="shared" si="145"/>
        <v>25355.017599999999</v>
      </c>
    </row>
    <row r="392" spans="1:32" s="150" customFormat="1" x14ac:dyDescent="0.2">
      <c r="A392" s="144" t="s">
        <v>54</v>
      </c>
      <c r="B392" s="144"/>
      <c r="C392" s="144"/>
      <c r="D392" s="145">
        <v>1</v>
      </c>
      <c r="E392" s="122"/>
      <c r="F392" s="146">
        <v>0.12</v>
      </c>
      <c r="G392" s="146"/>
      <c r="H392" s="122">
        <v>29691</v>
      </c>
      <c r="I392" s="122">
        <f t="shared" si="147"/>
        <v>28740.887999999999</v>
      </c>
      <c r="J392" s="147">
        <f t="shared" si="136"/>
        <v>25291.98144</v>
      </c>
      <c r="K392" s="122"/>
      <c r="L392" s="122">
        <v>0</v>
      </c>
      <c r="M392" s="122">
        <f t="shared" si="137"/>
        <v>0</v>
      </c>
      <c r="N392" s="122">
        <f t="shared" si="138"/>
        <v>0</v>
      </c>
      <c r="O392" s="122"/>
      <c r="P392" s="122">
        <v>0</v>
      </c>
      <c r="Q392" s="122">
        <f t="shared" si="139"/>
        <v>0</v>
      </c>
      <c r="R392" s="147">
        <f t="shared" si="140"/>
        <v>0</v>
      </c>
      <c r="S392" s="145">
        <v>15</v>
      </c>
      <c r="T392" s="144" t="s">
        <v>213</v>
      </c>
      <c r="U392" s="90">
        <f>SUMIF('Avoided Costs 2009-2017'!$A:$A,Actuals!T392&amp;Actuals!S392,'Avoided Costs 2009-2017'!$E:$E)*J392</f>
        <v>85542.681212659751</v>
      </c>
      <c r="V392" s="90">
        <f>SUMIF('Avoided Costs 2009-2017'!$A:$A,Actuals!T392&amp;Actuals!S392,'Avoided Costs 2009-2017'!$K:$K)*N392</f>
        <v>0</v>
      </c>
      <c r="W392" s="90">
        <f>SUMIF('Avoided Costs 2009-2017'!$A:$A,Actuals!T392&amp;Actuals!S392,'Avoided Costs 2009-2017'!$M:$M)*R392</f>
        <v>0</v>
      </c>
      <c r="X392" s="90">
        <f t="shared" si="141"/>
        <v>85542.681212659751</v>
      </c>
      <c r="Y392" s="148">
        <v>500</v>
      </c>
      <c r="Z392" s="149">
        <f t="shared" si="142"/>
        <v>440</v>
      </c>
      <c r="AA392" s="148"/>
      <c r="AB392" s="145"/>
      <c r="AC392" s="145"/>
      <c r="AD392" s="148">
        <f t="shared" si="143"/>
        <v>440</v>
      </c>
      <c r="AE392" s="122">
        <f t="shared" si="144"/>
        <v>85102.681212659751</v>
      </c>
      <c r="AF392" s="167">
        <f t="shared" si="145"/>
        <v>379379.72159999999</v>
      </c>
    </row>
    <row r="393" spans="1:32" s="150" customFormat="1" x14ac:dyDescent="0.2">
      <c r="A393" s="144" t="s">
        <v>55</v>
      </c>
      <c r="B393" s="144"/>
      <c r="C393" s="144"/>
      <c r="D393" s="145">
        <v>1</v>
      </c>
      <c r="E393" s="122"/>
      <c r="F393" s="146">
        <v>0.12</v>
      </c>
      <c r="G393" s="146"/>
      <c r="H393" s="122">
        <v>135323</v>
      </c>
      <c r="I393" s="122">
        <f t="shared" si="147"/>
        <v>130992.66399999999</v>
      </c>
      <c r="J393" s="147">
        <f t="shared" si="136"/>
        <v>115273.54431999999</v>
      </c>
      <c r="K393" s="122"/>
      <c r="L393" s="122">
        <v>0</v>
      </c>
      <c r="M393" s="122">
        <f t="shared" si="137"/>
        <v>0</v>
      </c>
      <c r="N393" s="122">
        <f t="shared" si="138"/>
        <v>0</v>
      </c>
      <c r="O393" s="122"/>
      <c r="P393" s="122">
        <v>0</v>
      </c>
      <c r="Q393" s="122">
        <f t="shared" si="139"/>
        <v>0</v>
      </c>
      <c r="R393" s="147">
        <f t="shared" si="140"/>
        <v>0</v>
      </c>
      <c r="S393" s="145">
        <v>5</v>
      </c>
      <c r="T393" s="144" t="s">
        <v>213</v>
      </c>
      <c r="U393" s="90">
        <f>SUMIF('Avoided Costs 2009-2017'!$A:$A,Actuals!T393&amp;Actuals!S393,'Avoided Costs 2009-2017'!$E:$E)*J393</f>
        <v>173091.9130831926</v>
      </c>
      <c r="V393" s="90">
        <f>SUMIF('Avoided Costs 2009-2017'!$A:$A,Actuals!T393&amp;Actuals!S393,'Avoided Costs 2009-2017'!$K:$K)*N393</f>
        <v>0</v>
      </c>
      <c r="W393" s="90">
        <f>SUMIF('Avoided Costs 2009-2017'!$A:$A,Actuals!T393&amp;Actuals!S393,'Avoided Costs 2009-2017'!$M:$M)*R393</f>
        <v>0</v>
      </c>
      <c r="X393" s="90">
        <f t="shared" si="141"/>
        <v>173091.9130831926</v>
      </c>
      <c r="Y393" s="148">
        <v>6000</v>
      </c>
      <c r="Z393" s="149">
        <f t="shared" si="142"/>
        <v>5280</v>
      </c>
      <c r="AA393" s="148"/>
      <c r="AB393" s="145"/>
      <c r="AC393" s="145"/>
      <c r="AD393" s="148">
        <f t="shared" si="143"/>
        <v>5280</v>
      </c>
      <c r="AE393" s="122">
        <f t="shared" si="144"/>
        <v>167811.9130831926</v>
      </c>
      <c r="AF393" s="167">
        <f t="shared" si="145"/>
        <v>576367.72159999993</v>
      </c>
    </row>
    <row r="394" spans="1:32" s="150" customFormat="1" x14ac:dyDescent="0.2">
      <c r="A394" s="144" t="s">
        <v>56</v>
      </c>
      <c r="B394" s="144"/>
      <c r="C394" s="144"/>
      <c r="D394" s="145">
        <v>1</v>
      </c>
      <c r="E394" s="122"/>
      <c r="F394" s="146">
        <v>0.12</v>
      </c>
      <c r="G394" s="146"/>
      <c r="H394" s="122">
        <v>73236</v>
      </c>
      <c r="I394" s="122">
        <f t="shared" si="147"/>
        <v>70892.448000000004</v>
      </c>
      <c r="J394" s="147">
        <f t="shared" si="136"/>
        <v>62385.354240000001</v>
      </c>
      <c r="K394" s="122"/>
      <c r="L394" s="122">
        <v>0</v>
      </c>
      <c r="M394" s="122">
        <f t="shared" si="137"/>
        <v>0</v>
      </c>
      <c r="N394" s="122">
        <f t="shared" si="138"/>
        <v>0</v>
      </c>
      <c r="O394" s="122"/>
      <c r="P394" s="122">
        <v>0</v>
      </c>
      <c r="Q394" s="122">
        <f t="shared" si="139"/>
        <v>0</v>
      </c>
      <c r="R394" s="147">
        <f t="shared" si="140"/>
        <v>0</v>
      </c>
      <c r="S394" s="145">
        <v>5</v>
      </c>
      <c r="T394" s="144" t="s">
        <v>213</v>
      </c>
      <c r="U394" s="90">
        <f>SUMIF('Avoided Costs 2009-2017'!$A:$A,Actuals!T394&amp;Actuals!S394,'Avoided Costs 2009-2017'!$E:$E)*J394</f>
        <v>93676.310357889612</v>
      </c>
      <c r="V394" s="90">
        <f>SUMIF('Avoided Costs 2009-2017'!$A:$A,Actuals!T394&amp;Actuals!S394,'Avoided Costs 2009-2017'!$K:$K)*N394</f>
        <v>0</v>
      </c>
      <c r="W394" s="90">
        <f>SUMIF('Avoided Costs 2009-2017'!$A:$A,Actuals!T394&amp;Actuals!S394,'Avoided Costs 2009-2017'!$M:$M)*R394</f>
        <v>0</v>
      </c>
      <c r="X394" s="90">
        <f t="shared" si="141"/>
        <v>93676.310357889612</v>
      </c>
      <c r="Y394" s="148">
        <v>3750</v>
      </c>
      <c r="Z394" s="149">
        <f t="shared" si="142"/>
        <v>3300</v>
      </c>
      <c r="AA394" s="148"/>
      <c r="AB394" s="145"/>
      <c r="AC394" s="145"/>
      <c r="AD394" s="148">
        <f t="shared" si="143"/>
        <v>3300</v>
      </c>
      <c r="AE394" s="122">
        <f t="shared" si="144"/>
        <v>90376.310357889612</v>
      </c>
      <c r="AF394" s="167">
        <f t="shared" si="145"/>
        <v>311926.77120000002</v>
      </c>
    </row>
    <row r="395" spans="1:32" s="150" customFormat="1" x14ac:dyDescent="0.2">
      <c r="A395" s="144" t="s">
        <v>57</v>
      </c>
      <c r="B395" s="144"/>
      <c r="C395" s="144"/>
      <c r="D395" s="145">
        <v>1</v>
      </c>
      <c r="E395" s="122"/>
      <c r="F395" s="146">
        <v>0.12</v>
      </c>
      <c r="G395" s="146"/>
      <c r="H395" s="122">
        <v>5002</v>
      </c>
      <c r="I395" s="122">
        <f t="shared" si="147"/>
        <v>4841.9359999999997</v>
      </c>
      <c r="J395" s="147">
        <f t="shared" si="136"/>
        <v>4260.9036799999994</v>
      </c>
      <c r="K395" s="122"/>
      <c r="L395" s="122">
        <v>0</v>
      </c>
      <c r="M395" s="122">
        <f t="shared" si="137"/>
        <v>0</v>
      </c>
      <c r="N395" s="122">
        <f t="shared" si="138"/>
        <v>0</v>
      </c>
      <c r="O395" s="122"/>
      <c r="P395" s="122">
        <v>0</v>
      </c>
      <c r="Q395" s="122">
        <f t="shared" si="139"/>
        <v>0</v>
      </c>
      <c r="R395" s="147">
        <f t="shared" si="140"/>
        <v>0</v>
      </c>
      <c r="S395" s="145">
        <v>5</v>
      </c>
      <c r="T395" s="144" t="s">
        <v>213</v>
      </c>
      <c r="U395" s="90">
        <f>SUMIF('Avoided Costs 2009-2017'!$A:$A,Actuals!T395&amp;Actuals!S395,'Avoided Costs 2009-2017'!$E:$E)*J395</f>
        <v>6398.0679503272131</v>
      </c>
      <c r="V395" s="90">
        <f>SUMIF('Avoided Costs 2009-2017'!$A:$A,Actuals!T395&amp;Actuals!S395,'Avoided Costs 2009-2017'!$K:$K)*N395</f>
        <v>0</v>
      </c>
      <c r="W395" s="90">
        <f>SUMIF('Avoided Costs 2009-2017'!$A:$A,Actuals!T395&amp;Actuals!S395,'Avoided Costs 2009-2017'!$M:$M)*R395</f>
        <v>0</v>
      </c>
      <c r="X395" s="90">
        <f t="shared" si="141"/>
        <v>6398.0679503272131</v>
      </c>
      <c r="Y395" s="148">
        <v>500</v>
      </c>
      <c r="Z395" s="149">
        <f t="shared" si="142"/>
        <v>440</v>
      </c>
      <c r="AA395" s="148"/>
      <c r="AB395" s="145"/>
      <c r="AC395" s="145"/>
      <c r="AD395" s="148">
        <f t="shared" si="143"/>
        <v>440</v>
      </c>
      <c r="AE395" s="122">
        <f t="shared" si="144"/>
        <v>5958.0679503272131</v>
      </c>
      <c r="AF395" s="167">
        <f t="shared" si="145"/>
        <v>21304.518399999997</v>
      </c>
    </row>
    <row r="396" spans="1:32" s="150" customFormat="1" x14ac:dyDescent="0.2">
      <c r="A396" s="144" t="s">
        <v>58</v>
      </c>
      <c r="B396" s="144"/>
      <c r="C396" s="144"/>
      <c r="D396" s="145">
        <v>1</v>
      </c>
      <c r="E396" s="122"/>
      <c r="F396" s="146">
        <v>0.12</v>
      </c>
      <c r="G396" s="146"/>
      <c r="H396" s="122">
        <v>8213</v>
      </c>
      <c r="I396" s="122">
        <f t="shared" si="147"/>
        <v>7950.1840000000002</v>
      </c>
      <c r="J396" s="147">
        <f t="shared" si="136"/>
        <v>6996.1619200000005</v>
      </c>
      <c r="K396" s="122"/>
      <c r="L396" s="122">
        <v>0</v>
      </c>
      <c r="M396" s="122">
        <f t="shared" si="137"/>
        <v>0</v>
      </c>
      <c r="N396" s="122">
        <f t="shared" si="138"/>
        <v>0</v>
      </c>
      <c r="O396" s="122"/>
      <c r="P396" s="122">
        <v>0</v>
      </c>
      <c r="Q396" s="122">
        <f t="shared" si="139"/>
        <v>0</v>
      </c>
      <c r="R396" s="147">
        <f t="shared" si="140"/>
        <v>0</v>
      </c>
      <c r="S396" s="145">
        <v>5</v>
      </c>
      <c r="T396" s="144" t="s">
        <v>213</v>
      </c>
      <c r="U396" s="90">
        <f>SUMIF('Avoided Costs 2009-2017'!$A:$A,Actuals!T396&amp;Actuals!S396,'Avoided Costs 2009-2017'!$E:$E)*J396</f>
        <v>10505.264309483688</v>
      </c>
      <c r="V396" s="90">
        <f>SUMIF('Avoided Costs 2009-2017'!$A:$A,Actuals!T396&amp;Actuals!S396,'Avoided Costs 2009-2017'!$K:$K)*N396</f>
        <v>0</v>
      </c>
      <c r="W396" s="90">
        <f>SUMIF('Avoided Costs 2009-2017'!$A:$A,Actuals!T396&amp;Actuals!S396,'Avoided Costs 2009-2017'!$M:$M)*R396</f>
        <v>0</v>
      </c>
      <c r="X396" s="90">
        <f t="shared" si="141"/>
        <v>10505.264309483688</v>
      </c>
      <c r="Y396" s="148">
        <v>500</v>
      </c>
      <c r="Z396" s="149">
        <f t="shared" si="142"/>
        <v>440</v>
      </c>
      <c r="AA396" s="148"/>
      <c r="AB396" s="145"/>
      <c r="AC396" s="145"/>
      <c r="AD396" s="148">
        <f t="shared" ref="AD396:AD427" si="150">Z396+AB396</f>
        <v>440</v>
      </c>
      <c r="AE396" s="122">
        <f t="shared" ref="AE396:AE427" si="151">X396-AD396</f>
        <v>10065.264309483688</v>
      </c>
      <c r="AF396" s="167">
        <f t="shared" si="145"/>
        <v>34980.809600000001</v>
      </c>
    </row>
    <row r="397" spans="1:32" s="150" customFormat="1" x14ac:dyDescent="0.2">
      <c r="A397" s="144" t="s">
        <v>1015</v>
      </c>
      <c r="B397" s="144"/>
      <c r="C397" s="144"/>
      <c r="D397" s="145">
        <v>1</v>
      </c>
      <c r="E397" s="122"/>
      <c r="F397" s="146">
        <v>0.12</v>
      </c>
      <c r="G397" s="146"/>
      <c r="H397" s="122">
        <v>16288</v>
      </c>
      <c r="I397" s="122">
        <f t="shared" si="147"/>
        <v>15766.784</v>
      </c>
      <c r="J397" s="147">
        <f t="shared" si="136"/>
        <v>13874.769920000001</v>
      </c>
      <c r="K397" s="122"/>
      <c r="L397" s="122">
        <v>0</v>
      </c>
      <c r="M397" s="122">
        <f t="shared" si="137"/>
        <v>0</v>
      </c>
      <c r="N397" s="122">
        <f t="shared" si="138"/>
        <v>0</v>
      </c>
      <c r="O397" s="122"/>
      <c r="P397" s="122">
        <v>0</v>
      </c>
      <c r="Q397" s="122">
        <f t="shared" si="139"/>
        <v>0</v>
      </c>
      <c r="R397" s="147">
        <f t="shared" si="140"/>
        <v>0</v>
      </c>
      <c r="S397" s="145">
        <v>5</v>
      </c>
      <c r="T397" s="144" t="s">
        <v>213</v>
      </c>
      <c r="U397" s="90">
        <f>SUMIF('Avoided Costs 2009-2017'!$A:$A,Actuals!T397&amp;Actuals!S397,'Avoided Costs 2009-2017'!$E:$E)*J397</f>
        <v>20834.012549965944</v>
      </c>
      <c r="V397" s="90">
        <f>SUMIF('Avoided Costs 2009-2017'!$A:$A,Actuals!T397&amp;Actuals!S397,'Avoided Costs 2009-2017'!$K:$K)*N397</f>
        <v>0</v>
      </c>
      <c r="W397" s="90">
        <f>SUMIF('Avoided Costs 2009-2017'!$A:$A,Actuals!T397&amp;Actuals!S397,'Avoided Costs 2009-2017'!$M:$M)*R397</f>
        <v>0</v>
      </c>
      <c r="X397" s="90">
        <f t="shared" si="141"/>
        <v>20834.012549965944</v>
      </c>
      <c r="Y397" s="148">
        <v>500</v>
      </c>
      <c r="Z397" s="149">
        <f t="shared" si="142"/>
        <v>440</v>
      </c>
      <c r="AA397" s="148"/>
      <c r="AB397" s="145"/>
      <c r="AC397" s="145"/>
      <c r="AD397" s="148">
        <f t="shared" si="150"/>
        <v>440</v>
      </c>
      <c r="AE397" s="122">
        <f t="shared" si="151"/>
        <v>20394.012549965944</v>
      </c>
      <c r="AF397" s="167">
        <f t="shared" si="145"/>
        <v>69373.849600000001</v>
      </c>
    </row>
    <row r="398" spans="1:32" s="150" customFormat="1" x14ac:dyDescent="0.2">
      <c r="A398" s="144" t="s">
        <v>1016</v>
      </c>
      <c r="B398" s="144"/>
      <c r="C398" s="144"/>
      <c r="D398" s="145">
        <v>1</v>
      </c>
      <c r="E398" s="122"/>
      <c r="F398" s="146">
        <v>0.12</v>
      </c>
      <c r="G398" s="146"/>
      <c r="H398" s="122">
        <v>2498</v>
      </c>
      <c r="I398" s="122">
        <f t="shared" si="147"/>
        <v>2418.0639999999999</v>
      </c>
      <c r="J398" s="147">
        <f t="shared" si="136"/>
        <v>2127.8963199999998</v>
      </c>
      <c r="K398" s="122"/>
      <c r="L398" s="122">
        <v>0</v>
      </c>
      <c r="M398" s="122">
        <f t="shared" si="137"/>
        <v>0</v>
      </c>
      <c r="N398" s="122">
        <f t="shared" si="138"/>
        <v>0</v>
      </c>
      <c r="O398" s="122"/>
      <c r="P398" s="122">
        <v>0</v>
      </c>
      <c r="Q398" s="122">
        <f t="shared" si="139"/>
        <v>0</v>
      </c>
      <c r="R398" s="147">
        <f t="shared" si="140"/>
        <v>0</v>
      </c>
      <c r="S398" s="145">
        <v>5</v>
      </c>
      <c r="T398" s="144" t="s">
        <v>213</v>
      </c>
      <c r="U398" s="90">
        <f>SUMIF('Avoided Costs 2009-2017'!$A:$A,Actuals!T398&amp;Actuals!S398,'Avoided Costs 2009-2017'!$E:$E)*J398</f>
        <v>3195.1966693157492</v>
      </c>
      <c r="V398" s="90">
        <f>SUMIF('Avoided Costs 2009-2017'!$A:$A,Actuals!T398&amp;Actuals!S398,'Avoided Costs 2009-2017'!$K:$K)*N398</f>
        <v>0</v>
      </c>
      <c r="W398" s="90">
        <f>SUMIF('Avoided Costs 2009-2017'!$A:$A,Actuals!T398&amp;Actuals!S398,'Avoided Costs 2009-2017'!$M:$M)*R398</f>
        <v>0</v>
      </c>
      <c r="X398" s="90">
        <f t="shared" si="141"/>
        <v>3195.1966693157492</v>
      </c>
      <c r="Y398" s="148">
        <v>500</v>
      </c>
      <c r="Z398" s="149">
        <f t="shared" si="142"/>
        <v>440</v>
      </c>
      <c r="AA398" s="148"/>
      <c r="AB398" s="145"/>
      <c r="AC398" s="145"/>
      <c r="AD398" s="148">
        <f t="shared" si="150"/>
        <v>440</v>
      </c>
      <c r="AE398" s="122">
        <f t="shared" si="151"/>
        <v>2755.1966693157492</v>
      </c>
      <c r="AF398" s="167">
        <f t="shared" si="145"/>
        <v>10639.481599999999</v>
      </c>
    </row>
    <row r="399" spans="1:32" s="150" customFormat="1" x14ac:dyDescent="0.2">
      <c r="A399" s="144" t="s">
        <v>1017</v>
      </c>
      <c r="B399" s="144"/>
      <c r="C399" s="144"/>
      <c r="D399" s="145">
        <v>1</v>
      </c>
      <c r="E399" s="122"/>
      <c r="F399" s="146">
        <v>0.12</v>
      </c>
      <c r="G399" s="146"/>
      <c r="H399" s="122">
        <v>1748</v>
      </c>
      <c r="I399" s="122">
        <f t="shared" si="147"/>
        <v>1692.0639999999999</v>
      </c>
      <c r="J399" s="147">
        <f t="shared" si="136"/>
        <v>1489.01632</v>
      </c>
      <c r="K399" s="122"/>
      <c r="L399" s="122">
        <v>0</v>
      </c>
      <c r="M399" s="122">
        <f t="shared" si="137"/>
        <v>0</v>
      </c>
      <c r="N399" s="122">
        <f t="shared" si="138"/>
        <v>0</v>
      </c>
      <c r="O399" s="122"/>
      <c r="P399" s="122">
        <v>0</v>
      </c>
      <c r="Q399" s="122">
        <f t="shared" si="139"/>
        <v>0</v>
      </c>
      <c r="R399" s="147">
        <f t="shared" si="140"/>
        <v>0</v>
      </c>
      <c r="S399" s="145">
        <v>5</v>
      </c>
      <c r="T399" s="144" t="s">
        <v>213</v>
      </c>
      <c r="U399" s="90">
        <f>SUMIF('Avoided Costs 2009-2017'!$A:$A,Actuals!T399&amp;Actuals!S399,'Avoided Costs 2009-2017'!$E:$E)*J399</f>
        <v>2235.8702073514532</v>
      </c>
      <c r="V399" s="90">
        <f>SUMIF('Avoided Costs 2009-2017'!$A:$A,Actuals!T399&amp;Actuals!S399,'Avoided Costs 2009-2017'!$K:$K)*N399</f>
        <v>0</v>
      </c>
      <c r="W399" s="90">
        <f>SUMIF('Avoided Costs 2009-2017'!$A:$A,Actuals!T399&amp;Actuals!S399,'Avoided Costs 2009-2017'!$M:$M)*R399</f>
        <v>0</v>
      </c>
      <c r="X399" s="90">
        <f t="shared" si="141"/>
        <v>2235.8702073514532</v>
      </c>
      <c r="Y399" s="148">
        <v>500</v>
      </c>
      <c r="Z399" s="149">
        <f t="shared" si="142"/>
        <v>440</v>
      </c>
      <c r="AA399" s="148"/>
      <c r="AB399" s="145"/>
      <c r="AC399" s="145"/>
      <c r="AD399" s="148">
        <f t="shared" si="150"/>
        <v>440</v>
      </c>
      <c r="AE399" s="122">
        <f t="shared" si="151"/>
        <v>1795.8702073514532</v>
      </c>
      <c r="AF399" s="167">
        <f t="shared" si="145"/>
        <v>7445.0815999999995</v>
      </c>
    </row>
    <row r="400" spans="1:32" s="150" customFormat="1" x14ac:dyDescent="0.2">
      <c r="A400" s="144" t="s">
        <v>1018</v>
      </c>
      <c r="B400" s="144"/>
      <c r="C400" s="144"/>
      <c r="D400" s="145">
        <v>1</v>
      </c>
      <c r="E400" s="122"/>
      <c r="F400" s="146">
        <v>0.12</v>
      </c>
      <c r="G400" s="146"/>
      <c r="H400" s="122">
        <v>14563</v>
      </c>
      <c r="I400" s="122">
        <f t="shared" si="147"/>
        <v>14096.984</v>
      </c>
      <c r="J400" s="147">
        <f t="shared" si="136"/>
        <v>12405.34592</v>
      </c>
      <c r="K400" s="122"/>
      <c r="L400" s="122">
        <v>0</v>
      </c>
      <c r="M400" s="122">
        <f t="shared" si="137"/>
        <v>0</v>
      </c>
      <c r="N400" s="122">
        <f t="shared" si="138"/>
        <v>0</v>
      </c>
      <c r="O400" s="122"/>
      <c r="P400" s="122">
        <v>0</v>
      </c>
      <c r="Q400" s="122">
        <f t="shared" si="139"/>
        <v>0</v>
      </c>
      <c r="R400" s="147">
        <f t="shared" si="140"/>
        <v>0</v>
      </c>
      <c r="S400" s="145">
        <v>5</v>
      </c>
      <c r="T400" s="144" t="s">
        <v>213</v>
      </c>
      <c r="U400" s="90">
        <f>SUMIF('Avoided Costs 2009-2017'!$A:$A,Actuals!T400&amp;Actuals!S400,'Avoided Costs 2009-2017'!$E:$E)*J400</f>
        <v>18627.561687448062</v>
      </c>
      <c r="V400" s="90">
        <f>SUMIF('Avoided Costs 2009-2017'!$A:$A,Actuals!T400&amp;Actuals!S400,'Avoided Costs 2009-2017'!$K:$K)*N400</f>
        <v>0</v>
      </c>
      <c r="W400" s="90">
        <f>SUMIF('Avoided Costs 2009-2017'!$A:$A,Actuals!T400&amp;Actuals!S400,'Avoided Costs 2009-2017'!$M:$M)*R400</f>
        <v>0</v>
      </c>
      <c r="X400" s="90">
        <f t="shared" si="141"/>
        <v>18627.561687448062</v>
      </c>
      <c r="Y400" s="148">
        <v>500</v>
      </c>
      <c r="Z400" s="149">
        <f t="shared" si="142"/>
        <v>440</v>
      </c>
      <c r="AA400" s="148"/>
      <c r="AB400" s="145"/>
      <c r="AC400" s="145"/>
      <c r="AD400" s="148">
        <f t="shared" si="150"/>
        <v>440</v>
      </c>
      <c r="AE400" s="122">
        <f t="shared" si="151"/>
        <v>18187.561687448062</v>
      </c>
      <c r="AF400" s="167">
        <f t="shared" si="145"/>
        <v>62026.729599999999</v>
      </c>
    </row>
    <row r="401" spans="1:32" s="150" customFormat="1" x14ac:dyDescent="0.2">
      <c r="A401" s="144" t="s">
        <v>1019</v>
      </c>
      <c r="B401" s="144"/>
      <c r="C401" s="144"/>
      <c r="D401" s="145">
        <v>1</v>
      </c>
      <c r="E401" s="122"/>
      <c r="F401" s="146">
        <v>0.12</v>
      </c>
      <c r="G401" s="146"/>
      <c r="H401" s="122">
        <v>7834</v>
      </c>
      <c r="I401" s="122">
        <f t="shared" si="147"/>
        <v>7583.3119999999999</v>
      </c>
      <c r="J401" s="147">
        <f t="shared" si="136"/>
        <v>6673.3145599999998</v>
      </c>
      <c r="K401" s="122"/>
      <c r="L401" s="122">
        <v>0</v>
      </c>
      <c r="M401" s="122">
        <f t="shared" si="137"/>
        <v>0</v>
      </c>
      <c r="N401" s="122">
        <f t="shared" si="138"/>
        <v>0</v>
      </c>
      <c r="O401" s="122"/>
      <c r="P401" s="122">
        <v>0</v>
      </c>
      <c r="Q401" s="122">
        <f t="shared" si="139"/>
        <v>0</v>
      </c>
      <c r="R401" s="147">
        <f t="shared" si="140"/>
        <v>0</v>
      </c>
      <c r="S401" s="145">
        <v>5</v>
      </c>
      <c r="T401" s="144" t="s">
        <v>213</v>
      </c>
      <c r="U401" s="90">
        <f>SUMIF('Avoided Costs 2009-2017'!$A:$A,Actuals!T401&amp;Actuals!S401,'Avoided Costs 2009-2017'!$E:$E)*J401</f>
        <v>10020.484670704396</v>
      </c>
      <c r="V401" s="90">
        <f>SUMIF('Avoided Costs 2009-2017'!$A:$A,Actuals!T401&amp;Actuals!S401,'Avoided Costs 2009-2017'!$K:$K)*N401</f>
        <v>0</v>
      </c>
      <c r="W401" s="90">
        <f>SUMIF('Avoided Costs 2009-2017'!$A:$A,Actuals!T401&amp;Actuals!S401,'Avoided Costs 2009-2017'!$M:$M)*R401</f>
        <v>0</v>
      </c>
      <c r="X401" s="90">
        <f t="shared" si="141"/>
        <v>10020.484670704396</v>
      </c>
      <c r="Y401" s="148">
        <v>500</v>
      </c>
      <c r="Z401" s="149">
        <f t="shared" si="142"/>
        <v>440</v>
      </c>
      <c r="AA401" s="148"/>
      <c r="AB401" s="145"/>
      <c r="AC401" s="145"/>
      <c r="AD401" s="148">
        <f t="shared" si="150"/>
        <v>440</v>
      </c>
      <c r="AE401" s="122">
        <f t="shared" si="151"/>
        <v>9580.4846707043962</v>
      </c>
      <c r="AF401" s="167">
        <f t="shared" si="145"/>
        <v>33366.572800000002</v>
      </c>
    </row>
    <row r="402" spans="1:32" s="150" customFormat="1" x14ac:dyDescent="0.2">
      <c r="A402" s="144" t="s">
        <v>1020</v>
      </c>
      <c r="B402" s="144"/>
      <c r="C402" s="144"/>
      <c r="D402" s="145">
        <v>1</v>
      </c>
      <c r="E402" s="122"/>
      <c r="F402" s="146">
        <v>0.12</v>
      </c>
      <c r="G402" s="146"/>
      <c r="H402" s="122">
        <v>8420</v>
      </c>
      <c r="I402" s="122">
        <f t="shared" si="147"/>
        <v>8150.5599999999995</v>
      </c>
      <c r="J402" s="147">
        <f t="shared" si="136"/>
        <v>7172.4928</v>
      </c>
      <c r="K402" s="122"/>
      <c r="L402" s="122">
        <v>0</v>
      </c>
      <c r="M402" s="122">
        <f t="shared" si="137"/>
        <v>0</v>
      </c>
      <c r="N402" s="122">
        <f t="shared" si="138"/>
        <v>0</v>
      </c>
      <c r="O402" s="122"/>
      <c r="P402" s="122">
        <v>0</v>
      </c>
      <c r="Q402" s="122">
        <f t="shared" si="139"/>
        <v>0</v>
      </c>
      <c r="R402" s="147">
        <f t="shared" si="140"/>
        <v>0</v>
      </c>
      <c r="S402" s="145">
        <v>5</v>
      </c>
      <c r="T402" s="144" t="s">
        <v>213</v>
      </c>
      <c r="U402" s="90">
        <f>SUMIF('Avoided Costs 2009-2017'!$A:$A,Actuals!T402&amp;Actuals!S402,'Avoided Costs 2009-2017'!$E:$E)*J402</f>
        <v>10770.038412985834</v>
      </c>
      <c r="V402" s="90">
        <f>SUMIF('Avoided Costs 2009-2017'!$A:$A,Actuals!T402&amp;Actuals!S402,'Avoided Costs 2009-2017'!$K:$K)*N402</f>
        <v>0</v>
      </c>
      <c r="W402" s="90">
        <f>SUMIF('Avoided Costs 2009-2017'!$A:$A,Actuals!T402&amp;Actuals!S402,'Avoided Costs 2009-2017'!$M:$M)*R402</f>
        <v>0</v>
      </c>
      <c r="X402" s="90">
        <f t="shared" si="141"/>
        <v>10770.038412985834</v>
      </c>
      <c r="Y402" s="148">
        <v>500</v>
      </c>
      <c r="Z402" s="149">
        <f t="shared" si="142"/>
        <v>440</v>
      </c>
      <c r="AA402" s="148"/>
      <c r="AB402" s="145"/>
      <c r="AC402" s="145"/>
      <c r="AD402" s="148">
        <f t="shared" si="150"/>
        <v>440</v>
      </c>
      <c r="AE402" s="122">
        <f t="shared" si="151"/>
        <v>10330.038412985834</v>
      </c>
      <c r="AF402" s="167">
        <f t="shared" si="145"/>
        <v>35862.464</v>
      </c>
    </row>
    <row r="403" spans="1:32" s="150" customFormat="1" x14ac:dyDescent="0.2">
      <c r="A403" s="144" t="s">
        <v>1021</v>
      </c>
      <c r="B403" s="144"/>
      <c r="C403" s="144"/>
      <c r="D403" s="145">
        <v>1</v>
      </c>
      <c r="E403" s="122"/>
      <c r="F403" s="146">
        <v>0.12</v>
      </c>
      <c r="G403" s="146"/>
      <c r="H403" s="122">
        <v>3458</v>
      </c>
      <c r="I403" s="122">
        <f t="shared" si="147"/>
        <v>3347.3440000000001</v>
      </c>
      <c r="J403" s="147">
        <f t="shared" si="136"/>
        <v>2945.6627200000003</v>
      </c>
      <c r="K403" s="122"/>
      <c r="L403" s="122">
        <v>0</v>
      </c>
      <c r="M403" s="122">
        <f t="shared" si="137"/>
        <v>0</v>
      </c>
      <c r="N403" s="122">
        <f t="shared" si="138"/>
        <v>0</v>
      </c>
      <c r="O403" s="122"/>
      <c r="P403" s="122">
        <v>0</v>
      </c>
      <c r="Q403" s="122">
        <f t="shared" si="139"/>
        <v>0</v>
      </c>
      <c r="R403" s="147">
        <f t="shared" si="140"/>
        <v>0</v>
      </c>
      <c r="S403" s="145">
        <v>5</v>
      </c>
      <c r="T403" s="144" t="s">
        <v>213</v>
      </c>
      <c r="U403" s="90">
        <f>SUMIF('Avoided Costs 2009-2017'!$A:$A,Actuals!T403&amp;Actuals!S403,'Avoided Costs 2009-2017'!$E:$E)*J403</f>
        <v>4423.1345406300497</v>
      </c>
      <c r="V403" s="90">
        <f>SUMIF('Avoided Costs 2009-2017'!$A:$A,Actuals!T403&amp;Actuals!S403,'Avoided Costs 2009-2017'!$K:$K)*N403</f>
        <v>0</v>
      </c>
      <c r="W403" s="90">
        <f>SUMIF('Avoided Costs 2009-2017'!$A:$A,Actuals!T403&amp;Actuals!S403,'Avoided Costs 2009-2017'!$M:$M)*R403</f>
        <v>0</v>
      </c>
      <c r="X403" s="90">
        <f t="shared" si="141"/>
        <v>4423.1345406300497</v>
      </c>
      <c r="Y403" s="148">
        <v>500</v>
      </c>
      <c r="Z403" s="149">
        <f t="shared" si="142"/>
        <v>440</v>
      </c>
      <c r="AA403" s="148"/>
      <c r="AB403" s="145"/>
      <c r="AC403" s="145"/>
      <c r="AD403" s="148">
        <f t="shared" si="150"/>
        <v>440</v>
      </c>
      <c r="AE403" s="122">
        <f t="shared" si="151"/>
        <v>3983.1345406300497</v>
      </c>
      <c r="AF403" s="167">
        <f t="shared" si="145"/>
        <v>14728.313600000001</v>
      </c>
    </row>
    <row r="404" spans="1:32" s="150" customFormat="1" x14ac:dyDescent="0.2">
      <c r="A404" s="144" t="s">
        <v>1022</v>
      </c>
      <c r="B404" s="144"/>
      <c r="C404" s="144"/>
      <c r="D404" s="145">
        <v>1</v>
      </c>
      <c r="E404" s="122"/>
      <c r="F404" s="146">
        <v>0.12</v>
      </c>
      <c r="G404" s="146"/>
      <c r="H404" s="122">
        <v>3282</v>
      </c>
      <c r="I404" s="122">
        <f t="shared" si="147"/>
        <v>3176.9760000000001</v>
      </c>
      <c r="J404" s="147">
        <f t="shared" si="136"/>
        <v>2795.7388800000003</v>
      </c>
      <c r="K404" s="122"/>
      <c r="L404" s="122">
        <v>0</v>
      </c>
      <c r="M404" s="122">
        <f t="shared" si="137"/>
        <v>0</v>
      </c>
      <c r="N404" s="122">
        <f t="shared" si="138"/>
        <v>0</v>
      </c>
      <c r="O404" s="122"/>
      <c r="P404" s="122">
        <v>0</v>
      </c>
      <c r="Q404" s="122">
        <f t="shared" si="139"/>
        <v>0</v>
      </c>
      <c r="R404" s="147">
        <f t="shared" si="140"/>
        <v>0</v>
      </c>
      <c r="S404" s="145">
        <v>5</v>
      </c>
      <c r="T404" s="144" t="s">
        <v>213</v>
      </c>
      <c r="U404" s="90">
        <f>SUMIF('Avoided Costs 2009-2017'!$A:$A,Actuals!T404&amp;Actuals!S404,'Avoided Costs 2009-2017'!$E:$E)*J404</f>
        <v>4198.0125975557612</v>
      </c>
      <c r="V404" s="90">
        <f>SUMIF('Avoided Costs 2009-2017'!$A:$A,Actuals!T404&amp;Actuals!S404,'Avoided Costs 2009-2017'!$K:$K)*N404</f>
        <v>0</v>
      </c>
      <c r="W404" s="90">
        <f>SUMIF('Avoided Costs 2009-2017'!$A:$A,Actuals!T404&amp;Actuals!S404,'Avoided Costs 2009-2017'!$M:$M)*R404</f>
        <v>0</v>
      </c>
      <c r="X404" s="90">
        <f t="shared" si="141"/>
        <v>4198.0125975557612</v>
      </c>
      <c r="Y404" s="148">
        <v>500</v>
      </c>
      <c r="Z404" s="149">
        <f t="shared" si="142"/>
        <v>440</v>
      </c>
      <c r="AA404" s="148"/>
      <c r="AB404" s="145"/>
      <c r="AC404" s="145"/>
      <c r="AD404" s="148">
        <f t="shared" si="150"/>
        <v>440</v>
      </c>
      <c r="AE404" s="122">
        <f t="shared" si="151"/>
        <v>3758.0125975557612</v>
      </c>
      <c r="AF404" s="167">
        <f t="shared" si="145"/>
        <v>13978.694400000002</v>
      </c>
    </row>
    <row r="405" spans="1:32" s="150" customFormat="1" x14ac:dyDescent="0.2">
      <c r="A405" s="144" t="s">
        <v>1023</v>
      </c>
      <c r="B405" s="144"/>
      <c r="C405" s="144"/>
      <c r="D405" s="145">
        <v>1</v>
      </c>
      <c r="E405" s="122"/>
      <c r="F405" s="146">
        <v>0.12</v>
      </c>
      <c r="G405" s="146"/>
      <c r="H405" s="122">
        <v>12453</v>
      </c>
      <c r="I405" s="122">
        <f t="shared" si="147"/>
        <v>12054.503999999999</v>
      </c>
      <c r="J405" s="147">
        <f t="shared" si="136"/>
        <v>10607.963519999999</v>
      </c>
      <c r="K405" s="122"/>
      <c r="L405" s="122">
        <v>0</v>
      </c>
      <c r="M405" s="122">
        <f t="shared" si="137"/>
        <v>0</v>
      </c>
      <c r="N405" s="122">
        <f t="shared" si="138"/>
        <v>0</v>
      </c>
      <c r="O405" s="122"/>
      <c r="P405" s="122">
        <v>0</v>
      </c>
      <c r="Q405" s="122">
        <f t="shared" si="139"/>
        <v>0</v>
      </c>
      <c r="R405" s="147">
        <f t="shared" si="140"/>
        <v>0</v>
      </c>
      <c r="S405" s="145">
        <v>5</v>
      </c>
      <c r="T405" s="144" t="s">
        <v>213</v>
      </c>
      <c r="U405" s="90">
        <f>SUMIF('Avoided Costs 2009-2017'!$A:$A,Actuals!T405&amp;Actuals!S405,'Avoided Costs 2009-2017'!$E:$E)*J405</f>
        <v>15928.656574455175</v>
      </c>
      <c r="V405" s="90">
        <f>SUMIF('Avoided Costs 2009-2017'!$A:$A,Actuals!T405&amp;Actuals!S405,'Avoided Costs 2009-2017'!$K:$K)*N405</f>
        <v>0</v>
      </c>
      <c r="W405" s="90">
        <f>SUMIF('Avoided Costs 2009-2017'!$A:$A,Actuals!T405&amp;Actuals!S405,'Avoided Costs 2009-2017'!$M:$M)*R405</f>
        <v>0</v>
      </c>
      <c r="X405" s="90">
        <f t="shared" si="141"/>
        <v>15928.656574455175</v>
      </c>
      <c r="Y405" s="148">
        <v>500</v>
      </c>
      <c r="Z405" s="149">
        <f t="shared" si="142"/>
        <v>440</v>
      </c>
      <c r="AA405" s="148"/>
      <c r="AB405" s="145"/>
      <c r="AC405" s="145"/>
      <c r="AD405" s="148">
        <f t="shared" si="150"/>
        <v>440</v>
      </c>
      <c r="AE405" s="122">
        <f t="shared" si="151"/>
        <v>15488.656574455175</v>
      </c>
      <c r="AF405" s="167">
        <f t="shared" si="145"/>
        <v>53039.817599999995</v>
      </c>
    </row>
    <row r="406" spans="1:32" s="150" customFormat="1" x14ac:dyDescent="0.2">
      <c r="A406" s="144" t="s">
        <v>1024</v>
      </c>
      <c r="B406" s="144"/>
      <c r="C406" s="144"/>
      <c r="D406" s="145">
        <v>1</v>
      </c>
      <c r="E406" s="122"/>
      <c r="F406" s="146">
        <v>0.12</v>
      </c>
      <c r="G406" s="146"/>
      <c r="H406" s="122">
        <v>2337</v>
      </c>
      <c r="I406" s="122">
        <f t="shared" si="147"/>
        <v>2262.2159999999999</v>
      </c>
      <c r="J406" s="147">
        <f t="shared" si="136"/>
        <v>1990.75008</v>
      </c>
      <c r="K406" s="122"/>
      <c r="L406" s="122">
        <v>0</v>
      </c>
      <c r="M406" s="122">
        <f t="shared" si="137"/>
        <v>0</v>
      </c>
      <c r="N406" s="122">
        <f t="shared" si="138"/>
        <v>0</v>
      </c>
      <c r="O406" s="122"/>
      <c r="P406" s="122">
        <v>0</v>
      </c>
      <c r="Q406" s="122">
        <f t="shared" si="139"/>
        <v>0</v>
      </c>
      <c r="R406" s="147">
        <f t="shared" si="140"/>
        <v>0</v>
      </c>
      <c r="S406" s="145">
        <v>5</v>
      </c>
      <c r="T406" s="144" t="s">
        <v>213</v>
      </c>
      <c r="U406" s="90">
        <f>SUMIF('Avoided Costs 2009-2017'!$A:$A,Actuals!T406&amp;Actuals!S406,'Avoided Costs 2009-2017'!$E:$E)*J406</f>
        <v>2989.2612554807474</v>
      </c>
      <c r="V406" s="90">
        <f>SUMIF('Avoided Costs 2009-2017'!$A:$A,Actuals!T406&amp;Actuals!S406,'Avoided Costs 2009-2017'!$K:$K)*N406</f>
        <v>0</v>
      </c>
      <c r="W406" s="90">
        <f>SUMIF('Avoided Costs 2009-2017'!$A:$A,Actuals!T406&amp;Actuals!S406,'Avoided Costs 2009-2017'!$M:$M)*R406</f>
        <v>0</v>
      </c>
      <c r="X406" s="90">
        <f t="shared" si="141"/>
        <v>2989.2612554807474</v>
      </c>
      <c r="Y406" s="148">
        <v>500</v>
      </c>
      <c r="Z406" s="149">
        <f t="shared" si="142"/>
        <v>440</v>
      </c>
      <c r="AA406" s="148"/>
      <c r="AB406" s="145"/>
      <c r="AC406" s="145"/>
      <c r="AD406" s="148">
        <f t="shared" si="150"/>
        <v>440</v>
      </c>
      <c r="AE406" s="122">
        <f t="shared" si="151"/>
        <v>2549.2612554807474</v>
      </c>
      <c r="AF406" s="167">
        <f t="shared" si="145"/>
        <v>9953.7504000000008</v>
      </c>
    </row>
    <row r="407" spans="1:32" s="150" customFormat="1" x14ac:dyDescent="0.2">
      <c r="A407" s="144" t="s">
        <v>1025</v>
      </c>
      <c r="B407" s="144"/>
      <c r="C407" s="144"/>
      <c r="D407" s="145">
        <v>1</v>
      </c>
      <c r="E407" s="122"/>
      <c r="F407" s="146">
        <v>0.12</v>
      </c>
      <c r="G407" s="146"/>
      <c r="H407" s="122">
        <v>10783</v>
      </c>
      <c r="I407" s="122">
        <f t="shared" si="147"/>
        <v>10437.944</v>
      </c>
      <c r="J407" s="147">
        <f t="shared" si="136"/>
        <v>9185.3907199999994</v>
      </c>
      <c r="K407" s="122"/>
      <c r="L407" s="122">
        <v>0</v>
      </c>
      <c r="M407" s="122">
        <f t="shared" si="137"/>
        <v>0</v>
      </c>
      <c r="N407" s="122">
        <f t="shared" si="138"/>
        <v>0</v>
      </c>
      <c r="O407" s="122"/>
      <c r="P407" s="122">
        <v>0</v>
      </c>
      <c r="Q407" s="122">
        <f t="shared" si="139"/>
        <v>0</v>
      </c>
      <c r="R407" s="147">
        <f t="shared" si="140"/>
        <v>0</v>
      </c>
      <c r="S407" s="145">
        <v>5</v>
      </c>
      <c r="T407" s="144" t="s">
        <v>213</v>
      </c>
      <c r="U407" s="90">
        <f>SUMIF('Avoided Costs 2009-2017'!$A:$A,Actuals!T407&amp;Actuals!S407,'Avoided Costs 2009-2017'!$E:$E)*J407</f>
        <v>13792.556319148009</v>
      </c>
      <c r="V407" s="90">
        <f>SUMIF('Avoided Costs 2009-2017'!$A:$A,Actuals!T407&amp;Actuals!S407,'Avoided Costs 2009-2017'!$K:$K)*N407</f>
        <v>0</v>
      </c>
      <c r="W407" s="90">
        <f>SUMIF('Avoided Costs 2009-2017'!$A:$A,Actuals!T407&amp;Actuals!S407,'Avoided Costs 2009-2017'!$M:$M)*R407</f>
        <v>0</v>
      </c>
      <c r="X407" s="90">
        <f t="shared" si="141"/>
        <v>13792.556319148009</v>
      </c>
      <c r="Y407" s="148">
        <v>500</v>
      </c>
      <c r="Z407" s="149">
        <f t="shared" si="142"/>
        <v>440</v>
      </c>
      <c r="AA407" s="148"/>
      <c r="AB407" s="145"/>
      <c r="AC407" s="145"/>
      <c r="AD407" s="148">
        <f t="shared" si="150"/>
        <v>440</v>
      </c>
      <c r="AE407" s="122">
        <f t="shared" si="151"/>
        <v>13352.556319148009</v>
      </c>
      <c r="AF407" s="167">
        <f t="shared" si="145"/>
        <v>45926.953599999993</v>
      </c>
    </row>
    <row r="408" spans="1:32" s="150" customFormat="1" x14ac:dyDescent="0.2">
      <c r="A408" s="144" t="s">
        <v>1026</v>
      </c>
      <c r="B408" s="144"/>
      <c r="C408" s="144"/>
      <c r="D408" s="145">
        <v>1</v>
      </c>
      <c r="E408" s="122"/>
      <c r="F408" s="146">
        <v>0.12</v>
      </c>
      <c r="G408" s="146"/>
      <c r="H408" s="122">
        <v>18032</v>
      </c>
      <c r="I408" s="122">
        <f t="shared" si="147"/>
        <v>17454.975999999999</v>
      </c>
      <c r="J408" s="147">
        <f t="shared" si="136"/>
        <v>15360.378879999998</v>
      </c>
      <c r="K408" s="122"/>
      <c r="L408" s="122">
        <v>0</v>
      </c>
      <c r="M408" s="122">
        <f t="shared" si="137"/>
        <v>0</v>
      </c>
      <c r="N408" s="122">
        <f t="shared" si="138"/>
        <v>0</v>
      </c>
      <c r="O408" s="122"/>
      <c r="P408" s="122">
        <v>0</v>
      </c>
      <c r="Q408" s="122">
        <f t="shared" si="139"/>
        <v>0</v>
      </c>
      <c r="R408" s="147">
        <f t="shared" si="140"/>
        <v>0</v>
      </c>
      <c r="S408" s="145">
        <v>5</v>
      </c>
      <c r="T408" s="144" t="s">
        <v>213</v>
      </c>
      <c r="U408" s="90">
        <f>SUMIF('Avoided Costs 2009-2017'!$A:$A,Actuals!T408&amp;Actuals!S408,'Avoided Costs 2009-2017'!$E:$E)*J408</f>
        <v>23064.766349520254</v>
      </c>
      <c r="V408" s="90">
        <f>SUMIF('Avoided Costs 2009-2017'!$A:$A,Actuals!T408&amp;Actuals!S408,'Avoided Costs 2009-2017'!$K:$K)*N408</f>
        <v>0</v>
      </c>
      <c r="W408" s="90">
        <f>SUMIF('Avoided Costs 2009-2017'!$A:$A,Actuals!T408&amp;Actuals!S408,'Avoided Costs 2009-2017'!$M:$M)*R408</f>
        <v>0</v>
      </c>
      <c r="X408" s="90">
        <f t="shared" si="141"/>
        <v>23064.766349520254</v>
      </c>
      <c r="Y408" s="148">
        <v>500</v>
      </c>
      <c r="Z408" s="149">
        <f t="shared" si="142"/>
        <v>440</v>
      </c>
      <c r="AA408" s="148"/>
      <c r="AB408" s="145"/>
      <c r="AC408" s="145"/>
      <c r="AD408" s="148">
        <f t="shared" si="150"/>
        <v>440</v>
      </c>
      <c r="AE408" s="122">
        <f t="shared" si="151"/>
        <v>22624.766349520254</v>
      </c>
      <c r="AF408" s="167">
        <f t="shared" si="145"/>
        <v>76801.89439999999</v>
      </c>
    </row>
    <row r="409" spans="1:32" s="150" customFormat="1" x14ac:dyDescent="0.2">
      <c r="A409" s="144" t="s">
        <v>1027</v>
      </c>
      <c r="B409" s="144"/>
      <c r="C409" s="144"/>
      <c r="D409" s="145">
        <v>1</v>
      </c>
      <c r="E409" s="122"/>
      <c r="F409" s="146">
        <v>0.12</v>
      </c>
      <c r="G409" s="146"/>
      <c r="H409" s="122">
        <v>1136</v>
      </c>
      <c r="I409" s="122">
        <f t="shared" si="147"/>
        <v>1099.6479999999999</v>
      </c>
      <c r="J409" s="147">
        <f t="shared" si="136"/>
        <v>967.6902399999999</v>
      </c>
      <c r="K409" s="122"/>
      <c r="L409" s="122">
        <v>0</v>
      </c>
      <c r="M409" s="122">
        <f t="shared" si="137"/>
        <v>0</v>
      </c>
      <c r="N409" s="122">
        <f t="shared" si="138"/>
        <v>0</v>
      </c>
      <c r="O409" s="122"/>
      <c r="P409" s="122">
        <v>0</v>
      </c>
      <c r="Q409" s="122">
        <f t="shared" si="139"/>
        <v>0</v>
      </c>
      <c r="R409" s="147">
        <f t="shared" si="140"/>
        <v>0</v>
      </c>
      <c r="S409" s="145">
        <v>5</v>
      </c>
      <c r="T409" s="144" t="s">
        <v>213</v>
      </c>
      <c r="U409" s="90">
        <f>SUMIF('Avoided Costs 2009-2017'!$A:$A,Actuals!T409&amp;Actuals!S409,'Avoided Costs 2009-2017'!$E:$E)*J409</f>
        <v>1453.0598143885873</v>
      </c>
      <c r="V409" s="90">
        <f>SUMIF('Avoided Costs 2009-2017'!$A:$A,Actuals!T409&amp;Actuals!S409,'Avoided Costs 2009-2017'!$K:$K)*N409</f>
        <v>0</v>
      </c>
      <c r="W409" s="90">
        <f>SUMIF('Avoided Costs 2009-2017'!$A:$A,Actuals!T409&amp;Actuals!S409,'Avoided Costs 2009-2017'!$M:$M)*R409</f>
        <v>0</v>
      </c>
      <c r="X409" s="90">
        <f t="shared" si="141"/>
        <v>1453.0598143885873</v>
      </c>
      <c r="Y409" s="148">
        <v>500</v>
      </c>
      <c r="Z409" s="149">
        <f t="shared" si="142"/>
        <v>440</v>
      </c>
      <c r="AA409" s="148"/>
      <c r="AB409" s="145"/>
      <c r="AC409" s="145"/>
      <c r="AD409" s="148">
        <f t="shared" si="150"/>
        <v>440</v>
      </c>
      <c r="AE409" s="122">
        <f t="shared" si="151"/>
        <v>1013.0598143885873</v>
      </c>
      <c r="AF409" s="167">
        <f t="shared" si="145"/>
        <v>4838.4511999999995</v>
      </c>
    </row>
    <row r="410" spans="1:32" s="150" customFormat="1" x14ac:dyDescent="0.2">
      <c r="A410" s="144" t="s">
        <v>1028</v>
      </c>
      <c r="B410" s="144"/>
      <c r="C410" s="144"/>
      <c r="D410" s="145">
        <v>0</v>
      </c>
      <c r="E410" s="122"/>
      <c r="F410" s="146">
        <v>0.12</v>
      </c>
      <c r="G410" s="146"/>
      <c r="H410" s="122">
        <v>0</v>
      </c>
      <c r="I410" s="122">
        <f t="shared" si="147"/>
        <v>0</v>
      </c>
      <c r="J410" s="147">
        <f t="shared" si="136"/>
        <v>0</v>
      </c>
      <c r="K410" s="122"/>
      <c r="L410" s="122">
        <v>0</v>
      </c>
      <c r="M410" s="122">
        <f t="shared" si="137"/>
        <v>0</v>
      </c>
      <c r="N410" s="122">
        <f t="shared" si="138"/>
        <v>0</v>
      </c>
      <c r="O410" s="122"/>
      <c r="P410" s="122">
        <v>0</v>
      </c>
      <c r="Q410" s="122">
        <f t="shared" si="139"/>
        <v>0</v>
      </c>
      <c r="R410" s="147">
        <f t="shared" si="140"/>
        <v>0</v>
      </c>
      <c r="S410" s="145">
        <v>1</v>
      </c>
      <c r="T410" s="144" t="s">
        <v>1176</v>
      </c>
      <c r="U410" s="90">
        <f>SUMIF('Avoided Costs 2009-2017'!$A:$A,Actuals!T410&amp;Actuals!S410,'Avoided Costs 2009-2017'!$E:$E)*J410</f>
        <v>0</v>
      </c>
      <c r="V410" s="90">
        <f>SUMIF('Avoided Costs 2009-2017'!$A:$A,Actuals!T410&amp;Actuals!S410,'Avoided Costs 2009-2017'!$K:$K)*N410</f>
        <v>0</v>
      </c>
      <c r="W410" s="90">
        <f>SUMIF('Avoided Costs 2009-2017'!$A:$A,Actuals!T410&amp;Actuals!S410,'Avoided Costs 2009-2017'!$M:$M)*R410</f>
        <v>0</v>
      </c>
      <c r="X410" s="90">
        <f t="shared" si="141"/>
        <v>0</v>
      </c>
      <c r="Y410" s="148">
        <v>0</v>
      </c>
      <c r="Z410" s="149">
        <f t="shared" si="142"/>
        <v>0</v>
      </c>
      <c r="AA410" s="148"/>
      <c r="AB410" s="145"/>
      <c r="AC410" s="145"/>
      <c r="AD410" s="148">
        <f t="shared" si="150"/>
        <v>0</v>
      </c>
      <c r="AE410" s="122">
        <f t="shared" si="151"/>
        <v>0</v>
      </c>
      <c r="AF410" s="167">
        <f t="shared" si="145"/>
        <v>0</v>
      </c>
    </row>
    <row r="411" spans="1:32" s="150" customFormat="1" x14ac:dyDescent="0.2">
      <c r="A411" s="144" t="s">
        <v>1029</v>
      </c>
      <c r="B411" s="144"/>
      <c r="C411" s="144"/>
      <c r="D411" s="145">
        <v>1</v>
      </c>
      <c r="E411" s="122"/>
      <c r="F411" s="146">
        <v>0.12</v>
      </c>
      <c r="G411" s="146"/>
      <c r="H411" s="122">
        <v>10830</v>
      </c>
      <c r="I411" s="122">
        <f t="shared" ref="I411:I421" si="152">+H411</f>
        <v>10830</v>
      </c>
      <c r="J411" s="147">
        <f t="shared" si="136"/>
        <v>9530.4</v>
      </c>
      <c r="K411" s="122"/>
      <c r="L411" s="122">
        <v>0</v>
      </c>
      <c r="M411" s="122">
        <f t="shared" si="137"/>
        <v>0</v>
      </c>
      <c r="N411" s="122">
        <f t="shared" si="138"/>
        <v>0</v>
      </c>
      <c r="O411" s="122"/>
      <c r="P411" s="122">
        <v>0</v>
      </c>
      <c r="Q411" s="122">
        <f t="shared" si="139"/>
        <v>0</v>
      </c>
      <c r="R411" s="147">
        <f t="shared" si="140"/>
        <v>0</v>
      </c>
      <c r="S411" s="145">
        <v>25</v>
      </c>
      <c r="T411" s="144" t="s">
        <v>213</v>
      </c>
      <c r="U411" s="90">
        <f>SUMIF('Avoided Costs 2009-2017'!$A:$A,Actuals!T411&amp;Actuals!S411,'Avoided Costs 2009-2017'!$E:$E)*J411</f>
        <v>41030.964308978721</v>
      </c>
      <c r="V411" s="90">
        <f>SUMIF('Avoided Costs 2009-2017'!$A:$A,Actuals!T411&amp;Actuals!S411,'Avoided Costs 2009-2017'!$K:$K)*N411</f>
        <v>0</v>
      </c>
      <c r="W411" s="90">
        <f>SUMIF('Avoided Costs 2009-2017'!$A:$A,Actuals!T411&amp;Actuals!S411,'Avoided Costs 2009-2017'!$M:$M)*R411</f>
        <v>0</v>
      </c>
      <c r="X411" s="90">
        <f t="shared" si="141"/>
        <v>41030.964308978721</v>
      </c>
      <c r="Y411" s="148">
        <v>8646</v>
      </c>
      <c r="Z411" s="149">
        <f t="shared" si="142"/>
        <v>7608.4800000000005</v>
      </c>
      <c r="AA411" s="148"/>
      <c r="AB411" s="145"/>
      <c r="AC411" s="145"/>
      <c r="AD411" s="148">
        <f t="shared" si="150"/>
        <v>7608.4800000000005</v>
      </c>
      <c r="AE411" s="122">
        <f t="shared" si="151"/>
        <v>33422.484308978717</v>
      </c>
      <c r="AF411" s="167">
        <f t="shared" si="145"/>
        <v>238260</v>
      </c>
    </row>
    <row r="412" spans="1:32" s="150" customFormat="1" x14ac:dyDescent="0.2">
      <c r="A412" s="144" t="s">
        <v>1030</v>
      </c>
      <c r="B412" s="144"/>
      <c r="C412" s="144"/>
      <c r="D412" s="145">
        <v>1</v>
      </c>
      <c r="E412" s="122"/>
      <c r="F412" s="146">
        <v>0.12</v>
      </c>
      <c r="G412" s="146"/>
      <c r="H412" s="122">
        <v>10830</v>
      </c>
      <c r="I412" s="122">
        <f t="shared" si="152"/>
        <v>10830</v>
      </c>
      <c r="J412" s="147">
        <f t="shared" si="136"/>
        <v>9530.4</v>
      </c>
      <c r="K412" s="122"/>
      <c r="L412" s="122">
        <v>0</v>
      </c>
      <c r="M412" s="122">
        <f t="shared" si="137"/>
        <v>0</v>
      </c>
      <c r="N412" s="122">
        <f t="shared" si="138"/>
        <v>0</v>
      </c>
      <c r="O412" s="122"/>
      <c r="P412" s="122">
        <v>0</v>
      </c>
      <c r="Q412" s="122">
        <f t="shared" si="139"/>
        <v>0</v>
      </c>
      <c r="R412" s="147">
        <f t="shared" si="140"/>
        <v>0</v>
      </c>
      <c r="S412" s="145">
        <v>25</v>
      </c>
      <c r="T412" s="144" t="s">
        <v>213</v>
      </c>
      <c r="U412" s="90">
        <f>SUMIF('Avoided Costs 2009-2017'!$A:$A,Actuals!T412&amp;Actuals!S412,'Avoided Costs 2009-2017'!$E:$E)*J412</f>
        <v>41030.964308978721</v>
      </c>
      <c r="V412" s="90">
        <f>SUMIF('Avoided Costs 2009-2017'!$A:$A,Actuals!T412&amp;Actuals!S412,'Avoided Costs 2009-2017'!$K:$K)*N412</f>
        <v>0</v>
      </c>
      <c r="W412" s="90">
        <f>SUMIF('Avoided Costs 2009-2017'!$A:$A,Actuals!T412&amp;Actuals!S412,'Avoided Costs 2009-2017'!$M:$M)*R412</f>
        <v>0</v>
      </c>
      <c r="X412" s="90">
        <f t="shared" si="141"/>
        <v>41030.964308978721</v>
      </c>
      <c r="Y412" s="148">
        <v>8646</v>
      </c>
      <c r="Z412" s="149">
        <f t="shared" si="142"/>
        <v>7608.4800000000005</v>
      </c>
      <c r="AA412" s="148"/>
      <c r="AB412" s="145"/>
      <c r="AC412" s="145"/>
      <c r="AD412" s="148">
        <f t="shared" si="150"/>
        <v>7608.4800000000005</v>
      </c>
      <c r="AE412" s="122">
        <f t="shared" si="151"/>
        <v>33422.484308978717</v>
      </c>
      <c r="AF412" s="167">
        <f t="shared" si="145"/>
        <v>238260</v>
      </c>
    </row>
    <row r="413" spans="1:32" s="150" customFormat="1" x14ac:dyDescent="0.2">
      <c r="A413" s="144" t="s">
        <v>1031</v>
      </c>
      <c r="B413" s="144"/>
      <c r="C413" s="144"/>
      <c r="D413" s="145">
        <v>1</v>
      </c>
      <c r="E413" s="122"/>
      <c r="F413" s="146">
        <v>0.12</v>
      </c>
      <c r="G413" s="146"/>
      <c r="H413" s="122">
        <v>43859</v>
      </c>
      <c r="I413" s="122">
        <f t="shared" si="152"/>
        <v>43859</v>
      </c>
      <c r="J413" s="147">
        <f t="shared" si="136"/>
        <v>38595.919999999998</v>
      </c>
      <c r="K413" s="122"/>
      <c r="L413" s="122">
        <v>0</v>
      </c>
      <c r="M413" s="122">
        <f t="shared" si="137"/>
        <v>0</v>
      </c>
      <c r="N413" s="122">
        <f t="shared" si="138"/>
        <v>0</v>
      </c>
      <c r="O413" s="122"/>
      <c r="P413" s="122">
        <v>0</v>
      </c>
      <c r="Q413" s="122">
        <f t="shared" si="139"/>
        <v>0</v>
      </c>
      <c r="R413" s="147">
        <f t="shared" si="140"/>
        <v>0</v>
      </c>
      <c r="S413" s="145">
        <v>25</v>
      </c>
      <c r="T413" s="144" t="s">
        <v>213</v>
      </c>
      <c r="U413" s="90">
        <f>SUMIF('Avoided Costs 2009-2017'!$A:$A,Actuals!T413&amp;Actuals!S413,'Avoided Costs 2009-2017'!$E:$E)*J413</f>
        <v>166165.93385295453</v>
      </c>
      <c r="V413" s="90">
        <f>SUMIF('Avoided Costs 2009-2017'!$A:$A,Actuals!T413&amp;Actuals!S413,'Avoided Costs 2009-2017'!$K:$K)*N413</f>
        <v>0</v>
      </c>
      <c r="W413" s="90">
        <f>SUMIF('Avoided Costs 2009-2017'!$A:$A,Actuals!T413&amp;Actuals!S413,'Avoided Costs 2009-2017'!$M:$M)*R413</f>
        <v>0</v>
      </c>
      <c r="X413" s="90">
        <f t="shared" si="141"/>
        <v>166165.93385295453</v>
      </c>
      <c r="Y413" s="148">
        <v>14470</v>
      </c>
      <c r="Z413" s="149">
        <f t="shared" si="142"/>
        <v>12733.6</v>
      </c>
      <c r="AA413" s="148"/>
      <c r="AB413" s="145"/>
      <c r="AC413" s="145"/>
      <c r="AD413" s="148">
        <f t="shared" si="150"/>
        <v>12733.6</v>
      </c>
      <c r="AE413" s="122">
        <f t="shared" si="151"/>
        <v>153432.33385295453</v>
      </c>
      <c r="AF413" s="167">
        <f t="shared" si="145"/>
        <v>964898</v>
      </c>
    </row>
    <row r="414" spans="1:32" s="150" customFormat="1" x14ac:dyDescent="0.2">
      <c r="A414" s="144" t="s">
        <v>1032</v>
      </c>
      <c r="B414" s="144"/>
      <c r="C414" s="144"/>
      <c r="D414" s="145">
        <v>1</v>
      </c>
      <c r="E414" s="122"/>
      <c r="F414" s="146">
        <v>0.12</v>
      </c>
      <c r="G414" s="146"/>
      <c r="H414" s="122">
        <v>10830</v>
      </c>
      <c r="I414" s="122">
        <f t="shared" si="152"/>
        <v>10830</v>
      </c>
      <c r="J414" s="147">
        <f t="shared" si="136"/>
        <v>9530.4</v>
      </c>
      <c r="K414" s="122"/>
      <c r="L414" s="122">
        <v>0</v>
      </c>
      <c r="M414" s="122">
        <f t="shared" si="137"/>
        <v>0</v>
      </c>
      <c r="N414" s="122">
        <f t="shared" si="138"/>
        <v>0</v>
      </c>
      <c r="O414" s="122"/>
      <c r="P414" s="122">
        <v>0</v>
      </c>
      <c r="Q414" s="122">
        <f t="shared" si="139"/>
        <v>0</v>
      </c>
      <c r="R414" s="147">
        <f t="shared" si="140"/>
        <v>0</v>
      </c>
      <c r="S414" s="145">
        <v>25</v>
      </c>
      <c r="T414" s="144" t="s">
        <v>213</v>
      </c>
      <c r="U414" s="90">
        <f>SUMIF('Avoided Costs 2009-2017'!$A:$A,Actuals!T414&amp;Actuals!S414,'Avoided Costs 2009-2017'!$E:$E)*J414</f>
        <v>41030.964308978721</v>
      </c>
      <c r="V414" s="90">
        <f>SUMIF('Avoided Costs 2009-2017'!$A:$A,Actuals!T414&amp;Actuals!S414,'Avoided Costs 2009-2017'!$K:$K)*N414</f>
        <v>0</v>
      </c>
      <c r="W414" s="90">
        <f>SUMIF('Avoided Costs 2009-2017'!$A:$A,Actuals!T414&amp;Actuals!S414,'Avoided Costs 2009-2017'!$M:$M)*R414</f>
        <v>0</v>
      </c>
      <c r="X414" s="90">
        <f t="shared" si="141"/>
        <v>41030.964308978721</v>
      </c>
      <c r="Y414" s="148">
        <v>8646</v>
      </c>
      <c r="Z414" s="149">
        <f t="shared" si="142"/>
        <v>7608.4800000000005</v>
      </c>
      <c r="AA414" s="148"/>
      <c r="AB414" s="145"/>
      <c r="AC414" s="145"/>
      <c r="AD414" s="148">
        <f t="shared" si="150"/>
        <v>7608.4800000000005</v>
      </c>
      <c r="AE414" s="122">
        <f t="shared" si="151"/>
        <v>33422.484308978717</v>
      </c>
      <c r="AF414" s="167">
        <f t="shared" si="145"/>
        <v>238260</v>
      </c>
    </row>
    <row r="415" spans="1:32" s="150" customFormat="1" x14ac:dyDescent="0.2">
      <c r="A415" s="144" t="s">
        <v>1033</v>
      </c>
      <c r="B415" s="144"/>
      <c r="C415" s="144"/>
      <c r="D415" s="145">
        <v>1</v>
      </c>
      <c r="E415" s="122"/>
      <c r="F415" s="146">
        <v>0.12</v>
      </c>
      <c r="G415" s="146"/>
      <c r="H415" s="122">
        <v>10830</v>
      </c>
      <c r="I415" s="122">
        <f t="shared" si="152"/>
        <v>10830</v>
      </c>
      <c r="J415" s="147">
        <f t="shared" si="136"/>
        <v>9530.4</v>
      </c>
      <c r="K415" s="122"/>
      <c r="L415" s="122">
        <v>0</v>
      </c>
      <c r="M415" s="122">
        <f t="shared" si="137"/>
        <v>0</v>
      </c>
      <c r="N415" s="122">
        <f t="shared" si="138"/>
        <v>0</v>
      </c>
      <c r="O415" s="122"/>
      <c r="P415" s="122">
        <v>0</v>
      </c>
      <c r="Q415" s="122">
        <f t="shared" si="139"/>
        <v>0</v>
      </c>
      <c r="R415" s="147">
        <f t="shared" si="140"/>
        <v>0</v>
      </c>
      <c r="S415" s="145">
        <v>25</v>
      </c>
      <c r="T415" s="144" t="s">
        <v>213</v>
      </c>
      <c r="U415" s="90">
        <f>SUMIF('Avoided Costs 2009-2017'!$A:$A,Actuals!T415&amp;Actuals!S415,'Avoided Costs 2009-2017'!$E:$E)*J415</f>
        <v>41030.964308978721</v>
      </c>
      <c r="V415" s="90">
        <f>SUMIF('Avoided Costs 2009-2017'!$A:$A,Actuals!T415&amp;Actuals!S415,'Avoided Costs 2009-2017'!$K:$K)*N415</f>
        <v>0</v>
      </c>
      <c r="W415" s="90">
        <f>SUMIF('Avoided Costs 2009-2017'!$A:$A,Actuals!T415&amp;Actuals!S415,'Avoided Costs 2009-2017'!$M:$M)*R415</f>
        <v>0</v>
      </c>
      <c r="X415" s="90">
        <f t="shared" si="141"/>
        <v>41030.964308978721</v>
      </c>
      <c r="Y415" s="148">
        <v>8646</v>
      </c>
      <c r="Z415" s="149">
        <f t="shared" si="142"/>
        <v>7608.4800000000005</v>
      </c>
      <c r="AA415" s="148"/>
      <c r="AB415" s="145"/>
      <c r="AC415" s="145"/>
      <c r="AD415" s="148">
        <f t="shared" si="150"/>
        <v>7608.4800000000005</v>
      </c>
      <c r="AE415" s="122">
        <f t="shared" si="151"/>
        <v>33422.484308978717</v>
      </c>
      <c r="AF415" s="167">
        <f t="shared" si="145"/>
        <v>238260</v>
      </c>
    </row>
    <row r="416" spans="1:32" s="150" customFormat="1" x14ac:dyDescent="0.2">
      <c r="A416" s="144" t="s">
        <v>1034</v>
      </c>
      <c r="B416" s="144"/>
      <c r="C416" s="144"/>
      <c r="D416" s="145">
        <v>1</v>
      </c>
      <c r="E416" s="122"/>
      <c r="F416" s="146">
        <v>0.12</v>
      </c>
      <c r="G416" s="146"/>
      <c r="H416" s="122">
        <v>10830</v>
      </c>
      <c r="I416" s="122">
        <f t="shared" si="152"/>
        <v>10830</v>
      </c>
      <c r="J416" s="147">
        <f t="shared" si="136"/>
        <v>9530.4</v>
      </c>
      <c r="K416" s="122"/>
      <c r="L416" s="122">
        <v>0</v>
      </c>
      <c r="M416" s="122">
        <f t="shared" si="137"/>
        <v>0</v>
      </c>
      <c r="N416" s="122">
        <f t="shared" si="138"/>
        <v>0</v>
      </c>
      <c r="O416" s="122"/>
      <c r="P416" s="122">
        <v>0</v>
      </c>
      <c r="Q416" s="122">
        <f t="shared" si="139"/>
        <v>0</v>
      </c>
      <c r="R416" s="147">
        <f t="shared" si="140"/>
        <v>0</v>
      </c>
      <c r="S416" s="145">
        <v>25</v>
      </c>
      <c r="T416" s="144" t="s">
        <v>213</v>
      </c>
      <c r="U416" s="90">
        <f>SUMIF('Avoided Costs 2009-2017'!$A:$A,Actuals!T416&amp;Actuals!S416,'Avoided Costs 2009-2017'!$E:$E)*J416</f>
        <v>41030.964308978721</v>
      </c>
      <c r="V416" s="90">
        <f>SUMIF('Avoided Costs 2009-2017'!$A:$A,Actuals!T416&amp;Actuals!S416,'Avoided Costs 2009-2017'!$K:$K)*N416</f>
        <v>0</v>
      </c>
      <c r="W416" s="90">
        <f>SUMIF('Avoided Costs 2009-2017'!$A:$A,Actuals!T416&amp;Actuals!S416,'Avoided Costs 2009-2017'!$M:$M)*R416</f>
        <v>0</v>
      </c>
      <c r="X416" s="90">
        <f t="shared" si="141"/>
        <v>41030.964308978721</v>
      </c>
      <c r="Y416" s="148">
        <v>8646</v>
      </c>
      <c r="Z416" s="149">
        <f t="shared" si="142"/>
        <v>7608.4800000000005</v>
      </c>
      <c r="AA416" s="148"/>
      <c r="AB416" s="145"/>
      <c r="AC416" s="145"/>
      <c r="AD416" s="148">
        <f t="shared" si="150"/>
        <v>7608.4800000000005</v>
      </c>
      <c r="AE416" s="122">
        <f t="shared" si="151"/>
        <v>33422.484308978717</v>
      </c>
      <c r="AF416" s="167">
        <f t="shared" si="145"/>
        <v>238260</v>
      </c>
    </row>
    <row r="417" spans="1:32" s="150" customFormat="1" x14ac:dyDescent="0.2">
      <c r="A417" s="144" t="s">
        <v>1035</v>
      </c>
      <c r="B417" s="144"/>
      <c r="C417" s="144"/>
      <c r="D417" s="145">
        <v>1</v>
      </c>
      <c r="E417" s="122"/>
      <c r="F417" s="146">
        <v>0.12</v>
      </c>
      <c r="G417" s="146"/>
      <c r="H417" s="122">
        <v>10830</v>
      </c>
      <c r="I417" s="122">
        <f t="shared" si="152"/>
        <v>10830</v>
      </c>
      <c r="J417" s="147">
        <f t="shared" si="136"/>
        <v>9530.4</v>
      </c>
      <c r="K417" s="122"/>
      <c r="L417" s="122">
        <v>0</v>
      </c>
      <c r="M417" s="122">
        <f t="shared" si="137"/>
        <v>0</v>
      </c>
      <c r="N417" s="122">
        <f t="shared" si="138"/>
        <v>0</v>
      </c>
      <c r="O417" s="122"/>
      <c r="P417" s="122">
        <v>0</v>
      </c>
      <c r="Q417" s="122">
        <f t="shared" si="139"/>
        <v>0</v>
      </c>
      <c r="R417" s="147">
        <f t="shared" si="140"/>
        <v>0</v>
      </c>
      <c r="S417" s="145">
        <v>25</v>
      </c>
      <c r="T417" s="144" t="s">
        <v>213</v>
      </c>
      <c r="U417" s="90">
        <f>SUMIF('Avoided Costs 2009-2017'!$A:$A,Actuals!T417&amp;Actuals!S417,'Avoided Costs 2009-2017'!$E:$E)*J417</f>
        <v>41030.964308978721</v>
      </c>
      <c r="V417" s="90">
        <f>SUMIF('Avoided Costs 2009-2017'!$A:$A,Actuals!T417&amp;Actuals!S417,'Avoided Costs 2009-2017'!$K:$K)*N417</f>
        <v>0</v>
      </c>
      <c r="W417" s="90">
        <f>SUMIF('Avoided Costs 2009-2017'!$A:$A,Actuals!T417&amp;Actuals!S417,'Avoided Costs 2009-2017'!$M:$M)*R417</f>
        <v>0</v>
      </c>
      <c r="X417" s="90">
        <f t="shared" si="141"/>
        <v>41030.964308978721</v>
      </c>
      <c r="Y417" s="148">
        <v>8646</v>
      </c>
      <c r="Z417" s="149">
        <f t="shared" si="142"/>
        <v>7608.4800000000005</v>
      </c>
      <c r="AA417" s="148"/>
      <c r="AB417" s="145"/>
      <c r="AC417" s="145"/>
      <c r="AD417" s="148">
        <f t="shared" si="150"/>
        <v>7608.4800000000005</v>
      </c>
      <c r="AE417" s="122">
        <f t="shared" si="151"/>
        <v>33422.484308978717</v>
      </c>
      <c r="AF417" s="167">
        <f t="shared" si="145"/>
        <v>238260</v>
      </c>
    </row>
    <row r="418" spans="1:32" s="150" customFormat="1" x14ac:dyDescent="0.2">
      <c r="A418" s="144" t="s">
        <v>1036</v>
      </c>
      <c r="B418" s="144"/>
      <c r="C418" s="144"/>
      <c r="D418" s="145">
        <v>1</v>
      </c>
      <c r="E418" s="122"/>
      <c r="F418" s="146">
        <v>0.12</v>
      </c>
      <c r="G418" s="146"/>
      <c r="H418" s="122">
        <v>10830</v>
      </c>
      <c r="I418" s="122">
        <f t="shared" si="152"/>
        <v>10830</v>
      </c>
      <c r="J418" s="147">
        <f t="shared" si="136"/>
        <v>9530.4</v>
      </c>
      <c r="K418" s="122"/>
      <c r="L418" s="122">
        <v>0</v>
      </c>
      <c r="M418" s="122">
        <f t="shared" si="137"/>
        <v>0</v>
      </c>
      <c r="N418" s="122">
        <f t="shared" si="138"/>
        <v>0</v>
      </c>
      <c r="O418" s="122"/>
      <c r="P418" s="122">
        <v>0</v>
      </c>
      <c r="Q418" s="122">
        <f t="shared" si="139"/>
        <v>0</v>
      </c>
      <c r="R418" s="147">
        <f t="shared" si="140"/>
        <v>0</v>
      </c>
      <c r="S418" s="145">
        <v>25</v>
      </c>
      <c r="T418" s="144" t="s">
        <v>213</v>
      </c>
      <c r="U418" s="90">
        <f>SUMIF('Avoided Costs 2009-2017'!$A:$A,Actuals!T418&amp;Actuals!S418,'Avoided Costs 2009-2017'!$E:$E)*J418</f>
        <v>41030.964308978721</v>
      </c>
      <c r="V418" s="90">
        <f>SUMIF('Avoided Costs 2009-2017'!$A:$A,Actuals!T418&amp;Actuals!S418,'Avoided Costs 2009-2017'!$K:$K)*N418</f>
        <v>0</v>
      </c>
      <c r="W418" s="90">
        <f>SUMIF('Avoided Costs 2009-2017'!$A:$A,Actuals!T418&amp;Actuals!S418,'Avoided Costs 2009-2017'!$M:$M)*R418</f>
        <v>0</v>
      </c>
      <c r="X418" s="90">
        <f t="shared" si="141"/>
        <v>41030.964308978721</v>
      </c>
      <c r="Y418" s="148">
        <v>8646</v>
      </c>
      <c r="Z418" s="149">
        <f t="shared" si="142"/>
        <v>7608.4800000000005</v>
      </c>
      <c r="AA418" s="148"/>
      <c r="AB418" s="145"/>
      <c r="AC418" s="145"/>
      <c r="AD418" s="148">
        <f t="shared" si="150"/>
        <v>7608.4800000000005</v>
      </c>
      <c r="AE418" s="122">
        <f t="shared" si="151"/>
        <v>33422.484308978717</v>
      </c>
      <c r="AF418" s="167">
        <f t="shared" si="145"/>
        <v>238260</v>
      </c>
    </row>
    <row r="419" spans="1:32" s="150" customFormat="1" x14ac:dyDescent="0.2">
      <c r="A419" s="144" t="s">
        <v>1044</v>
      </c>
      <c r="B419" s="144"/>
      <c r="C419" s="144"/>
      <c r="D419" s="145">
        <v>1</v>
      </c>
      <c r="E419" s="122"/>
      <c r="F419" s="146">
        <v>0.12</v>
      </c>
      <c r="G419" s="146"/>
      <c r="H419" s="122">
        <v>43859</v>
      </c>
      <c r="I419" s="122">
        <f t="shared" si="152"/>
        <v>43859</v>
      </c>
      <c r="J419" s="147">
        <f t="shared" si="136"/>
        <v>38595.919999999998</v>
      </c>
      <c r="K419" s="122"/>
      <c r="L419" s="122">
        <v>0</v>
      </c>
      <c r="M419" s="122">
        <f t="shared" si="137"/>
        <v>0</v>
      </c>
      <c r="N419" s="122">
        <f t="shared" si="138"/>
        <v>0</v>
      </c>
      <c r="O419" s="122"/>
      <c r="P419" s="122">
        <v>0</v>
      </c>
      <c r="Q419" s="122">
        <f t="shared" si="139"/>
        <v>0</v>
      </c>
      <c r="R419" s="147">
        <f t="shared" si="140"/>
        <v>0</v>
      </c>
      <c r="S419" s="145">
        <v>25</v>
      </c>
      <c r="T419" s="144" t="s">
        <v>213</v>
      </c>
      <c r="U419" s="90">
        <f>SUMIF('Avoided Costs 2009-2017'!$A:$A,Actuals!T419&amp;Actuals!S419,'Avoided Costs 2009-2017'!$E:$E)*J419</f>
        <v>166165.93385295453</v>
      </c>
      <c r="V419" s="90">
        <f>SUMIF('Avoided Costs 2009-2017'!$A:$A,Actuals!T419&amp;Actuals!S419,'Avoided Costs 2009-2017'!$K:$K)*N419</f>
        <v>0</v>
      </c>
      <c r="W419" s="90">
        <f>SUMIF('Avoided Costs 2009-2017'!$A:$A,Actuals!T419&amp;Actuals!S419,'Avoided Costs 2009-2017'!$M:$M)*R419</f>
        <v>0</v>
      </c>
      <c r="X419" s="90">
        <f t="shared" si="141"/>
        <v>166165.93385295453</v>
      </c>
      <c r="Y419" s="148">
        <v>14470</v>
      </c>
      <c r="Z419" s="149">
        <f t="shared" si="142"/>
        <v>12733.6</v>
      </c>
      <c r="AA419" s="148"/>
      <c r="AB419" s="145"/>
      <c r="AC419" s="145"/>
      <c r="AD419" s="148">
        <f t="shared" si="150"/>
        <v>12733.6</v>
      </c>
      <c r="AE419" s="122">
        <f t="shared" si="151"/>
        <v>153432.33385295453</v>
      </c>
      <c r="AF419" s="167">
        <f t="shared" si="145"/>
        <v>964898</v>
      </c>
    </row>
    <row r="420" spans="1:32" s="150" customFormat="1" x14ac:dyDescent="0.2">
      <c r="A420" s="144" t="s">
        <v>1045</v>
      </c>
      <c r="B420" s="144"/>
      <c r="C420" s="144"/>
      <c r="D420" s="145">
        <v>1</v>
      </c>
      <c r="E420" s="122"/>
      <c r="F420" s="146">
        <v>0.12</v>
      </c>
      <c r="G420" s="146"/>
      <c r="H420" s="122">
        <v>10830</v>
      </c>
      <c r="I420" s="122">
        <f t="shared" si="152"/>
        <v>10830</v>
      </c>
      <c r="J420" s="147">
        <f t="shared" si="136"/>
        <v>9530.4</v>
      </c>
      <c r="K420" s="122"/>
      <c r="L420" s="122">
        <v>0</v>
      </c>
      <c r="M420" s="122">
        <f t="shared" si="137"/>
        <v>0</v>
      </c>
      <c r="N420" s="122">
        <f t="shared" si="138"/>
        <v>0</v>
      </c>
      <c r="O420" s="122"/>
      <c r="P420" s="122">
        <v>0</v>
      </c>
      <c r="Q420" s="122">
        <f t="shared" si="139"/>
        <v>0</v>
      </c>
      <c r="R420" s="147">
        <f t="shared" si="140"/>
        <v>0</v>
      </c>
      <c r="S420" s="145">
        <v>25</v>
      </c>
      <c r="T420" s="144" t="s">
        <v>213</v>
      </c>
      <c r="U420" s="90">
        <f>SUMIF('Avoided Costs 2009-2017'!$A:$A,Actuals!T420&amp;Actuals!S420,'Avoided Costs 2009-2017'!$E:$E)*J420</f>
        <v>41030.964308978721</v>
      </c>
      <c r="V420" s="90">
        <f>SUMIF('Avoided Costs 2009-2017'!$A:$A,Actuals!T420&amp;Actuals!S420,'Avoided Costs 2009-2017'!$K:$K)*N420</f>
        <v>0</v>
      </c>
      <c r="W420" s="90">
        <f>SUMIF('Avoided Costs 2009-2017'!$A:$A,Actuals!T420&amp;Actuals!S420,'Avoided Costs 2009-2017'!$M:$M)*R420</f>
        <v>0</v>
      </c>
      <c r="X420" s="90">
        <f t="shared" si="141"/>
        <v>41030.964308978721</v>
      </c>
      <c r="Y420" s="148">
        <v>8646</v>
      </c>
      <c r="Z420" s="149">
        <f t="shared" si="142"/>
        <v>7608.4800000000005</v>
      </c>
      <c r="AA420" s="148"/>
      <c r="AB420" s="145"/>
      <c r="AC420" s="145"/>
      <c r="AD420" s="148">
        <f t="shared" si="150"/>
        <v>7608.4800000000005</v>
      </c>
      <c r="AE420" s="122">
        <f t="shared" si="151"/>
        <v>33422.484308978717</v>
      </c>
      <c r="AF420" s="167">
        <f t="shared" si="145"/>
        <v>238260</v>
      </c>
    </row>
    <row r="421" spans="1:32" s="150" customFormat="1" x14ac:dyDescent="0.2">
      <c r="A421" s="144" t="s">
        <v>1046</v>
      </c>
      <c r="B421" s="144"/>
      <c r="C421" s="144"/>
      <c r="D421" s="145">
        <v>1</v>
      </c>
      <c r="E421" s="122"/>
      <c r="F421" s="146">
        <v>0.12</v>
      </c>
      <c r="G421" s="146"/>
      <c r="H421" s="122">
        <v>10830</v>
      </c>
      <c r="I421" s="122">
        <f t="shared" si="152"/>
        <v>10830</v>
      </c>
      <c r="J421" s="147">
        <f t="shared" si="136"/>
        <v>9530.4</v>
      </c>
      <c r="K421" s="122"/>
      <c r="L421" s="122">
        <v>0</v>
      </c>
      <c r="M421" s="122">
        <f t="shared" si="137"/>
        <v>0</v>
      </c>
      <c r="N421" s="122">
        <f t="shared" si="138"/>
        <v>0</v>
      </c>
      <c r="O421" s="122"/>
      <c r="P421" s="122">
        <v>0</v>
      </c>
      <c r="Q421" s="122">
        <f t="shared" si="139"/>
        <v>0</v>
      </c>
      <c r="R421" s="147">
        <f t="shared" si="140"/>
        <v>0</v>
      </c>
      <c r="S421" s="145">
        <v>25</v>
      </c>
      <c r="T421" s="144" t="s">
        <v>213</v>
      </c>
      <c r="U421" s="90">
        <f>SUMIF('Avoided Costs 2009-2017'!$A:$A,Actuals!T421&amp;Actuals!S421,'Avoided Costs 2009-2017'!$E:$E)*J421</f>
        <v>41030.964308978721</v>
      </c>
      <c r="V421" s="90">
        <f>SUMIF('Avoided Costs 2009-2017'!$A:$A,Actuals!T421&amp;Actuals!S421,'Avoided Costs 2009-2017'!$K:$K)*N421</f>
        <v>0</v>
      </c>
      <c r="W421" s="90">
        <f>SUMIF('Avoided Costs 2009-2017'!$A:$A,Actuals!T421&amp;Actuals!S421,'Avoided Costs 2009-2017'!$M:$M)*R421</f>
        <v>0</v>
      </c>
      <c r="X421" s="90">
        <f t="shared" si="141"/>
        <v>41030.964308978721</v>
      </c>
      <c r="Y421" s="148">
        <v>8646</v>
      </c>
      <c r="Z421" s="149">
        <f t="shared" si="142"/>
        <v>7608.4800000000005</v>
      </c>
      <c r="AA421" s="148"/>
      <c r="AB421" s="145"/>
      <c r="AC421" s="145"/>
      <c r="AD421" s="148">
        <f t="shared" si="150"/>
        <v>7608.4800000000005</v>
      </c>
      <c r="AE421" s="122">
        <f t="shared" si="151"/>
        <v>33422.484308978717</v>
      </c>
      <c r="AF421" s="167">
        <f t="shared" si="145"/>
        <v>238260</v>
      </c>
    </row>
    <row r="422" spans="1:32" s="150" customFormat="1" x14ac:dyDescent="0.2">
      <c r="A422" s="144" t="s">
        <v>1047</v>
      </c>
      <c r="B422" s="144"/>
      <c r="C422" s="144"/>
      <c r="D422" s="145">
        <v>0</v>
      </c>
      <c r="E422" s="122"/>
      <c r="F422" s="146">
        <v>0.12</v>
      </c>
      <c r="G422" s="146"/>
      <c r="H422" s="122">
        <v>12256</v>
      </c>
      <c r="I422" s="122">
        <f t="shared" si="147"/>
        <v>11863.807999999999</v>
      </c>
      <c r="J422" s="147">
        <f t="shared" si="136"/>
        <v>10440.151039999999</v>
      </c>
      <c r="K422" s="122"/>
      <c r="L422" s="122">
        <v>0</v>
      </c>
      <c r="M422" s="122">
        <f t="shared" si="137"/>
        <v>0</v>
      </c>
      <c r="N422" s="122">
        <f t="shared" si="138"/>
        <v>0</v>
      </c>
      <c r="O422" s="122"/>
      <c r="P422" s="122">
        <v>2646</v>
      </c>
      <c r="Q422" s="122">
        <f t="shared" si="139"/>
        <v>3947.8319999999999</v>
      </c>
      <c r="R422" s="147">
        <f t="shared" si="140"/>
        <v>3474.0921599999997</v>
      </c>
      <c r="S422" s="145">
        <v>10</v>
      </c>
      <c r="T422" s="144" t="s">
        <v>1176</v>
      </c>
      <c r="U422" s="90">
        <f>SUMIF('Avoided Costs 2009-2017'!$A:$A,Actuals!T422&amp;Actuals!S422,'Avoided Costs 2009-2017'!$E:$E)*J422</f>
        <v>25003.291795653971</v>
      </c>
      <c r="V422" s="90">
        <f>SUMIF('Avoided Costs 2009-2017'!$A:$A,Actuals!T422&amp;Actuals!S422,'Avoided Costs 2009-2017'!$K:$K)*N422</f>
        <v>0</v>
      </c>
      <c r="W422" s="90">
        <f>SUMIF('Avoided Costs 2009-2017'!$A:$A,Actuals!T422&amp;Actuals!S422,'Avoided Costs 2009-2017'!$M:$M)*R422</f>
        <v>34827.56539322099</v>
      </c>
      <c r="X422" s="90">
        <f t="shared" si="141"/>
        <v>59830.857188874958</v>
      </c>
      <c r="Y422" s="148">
        <v>1411</v>
      </c>
      <c r="Z422" s="149">
        <f t="shared" si="142"/>
        <v>1241.68</v>
      </c>
      <c r="AA422" s="148"/>
      <c r="AB422" s="145"/>
      <c r="AC422" s="145"/>
      <c r="AD422" s="148">
        <f t="shared" si="150"/>
        <v>1241.68</v>
      </c>
      <c r="AE422" s="122">
        <f t="shared" si="151"/>
        <v>58589.177188874957</v>
      </c>
      <c r="AF422" s="167">
        <f t="shared" si="145"/>
        <v>104401.51039999998</v>
      </c>
    </row>
    <row r="423" spans="1:32" s="150" customFormat="1" x14ac:dyDescent="0.2">
      <c r="A423" s="144" t="s">
        <v>1048</v>
      </c>
      <c r="B423" s="144"/>
      <c r="C423" s="144"/>
      <c r="D423" s="145">
        <v>1</v>
      </c>
      <c r="E423" s="122"/>
      <c r="F423" s="146">
        <v>0.12</v>
      </c>
      <c r="G423" s="146"/>
      <c r="H423" s="122">
        <v>10695</v>
      </c>
      <c r="I423" s="122">
        <f t="shared" si="147"/>
        <v>10352.76</v>
      </c>
      <c r="J423" s="147">
        <f t="shared" si="136"/>
        <v>9110.4287999999997</v>
      </c>
      <c r="K423" s="122"/>
      <c r="L423" s="122">
        <v>0</v>
      </c>
      <c r="M423" s="122">
        <f t="shared" si="137"/>
        <v>0</v>
      </c>
      <c r="N423" s="122">
        <f t="shared" si="138"/>
        <v>0</v>
      </c>
      <c r="O423" s="122"/>
      <c r="P423" s="122">
        <v>0</v>
      </c>
      <c r="Q423" s="122">
        <f t="shared" si="139"/>
        <v>0</v>
      </c>
      <c r="R423" s="147">
        <f t="shared" si="140"/>
        <v>0</v>
      </c>
      <c r="S423" s="145">
        <v>25</v>
      </c>
      <c r="T423" s="144" t="s">
        <v>1176</v>
      </c>
      <c r="U423" s="90">
        <f>SUMIF('Avoided Costs 2009-2017'!$A:$A,Actuals!T423&amp;Actuals!S423,'Avoided Costs 2009-2017'!$E:$E)*J423</f>
        <v>35692.841116658819</v>
      </c>
      <c r="V423" s="90">
        <f>SUMIF('Avoided Costs 2009-2017'!$A:$A,Actuals!T423&amp;Actuals!S423,'Avoided Costs 2009-2017'!$K:$K)*N423</f>
        <v>0</v>
      </c>
      <c r="W423" s="90">
        <f>SUMIF('Avoided Costs 2009-2017'!$A:$A,Actuals!T423&amp;Actuals!S423,'Avoided Costs 2009-2017'!$M:$M)*R423</f>
        <v>0</v>
      </c>
      <c r="X423" s="90">
        <f t="shared" si="141"/>
        <v>35692.841116658819</v>
      </c>
      <c r="Y423" s="148">
        <v>19289</v>
      </c>
      <c r="Z423" s="149">
        <f t="shared" si="142"/>
        <v>16974.32</v>
      </c>
      <c r="AA423" s="148"/>
      <c r="AB423" s="145"/>
      <c r="AC423" s="145"/>
      <c r="AD423" s="148">
        <f t="shared" si="150"/>
        <v>16974.32</v>
      </c>
      <c r="AE423" s="122">
        <f t="shared" si="151"/>
        <v>18718.52111665882</v>
      </c>
      <c r="AF423" s="167">
        <f t="shared" si="145"/>
        <v>227760.72</v>
      </c>
    </row>
    <row r="424" spans="1:32" s="150" customFormat="1" x14ac:dyDescent="0.2">
      <c r="A424" s="144" t="s">
        <v>1049</v>
      </c>
      <c r="B424" s="144"/>
      <c r="C424" s="144"/>
      <c r="D424" s="145">
        <v>1</v>
      </c>
      <c r="E424" s="122"/>
      <c r="F424" s="146">
        <v>0.12</v>
      </c>
      <c r="G424" s="146"/>
      <c r="H424" s="122">
        <v>20022</v>
      </c>
      <c r="I424" s="122">
        <f t="shared" si="147"/>
        <v>19381.295999999998</v>
      </c>
      <c r="J424" s="147">
        <f t="shared" si="136"/>
        <v>17055.54048</v>
      </c>
      <c r="K424" s="122"/>
      <c r="L424" s="122">
        <v>0</v>
      </c>
      <c r="M424" s="122">
        <f t="shared" si="137"/>
        <v>0</v>
      </c>
      <c r="N424" s="122">
        <f t="shared" si="138"/>
        <v>0</v>
      </c>
      <c r="O424" s="122"/>
      <c r="P424" s="122">
        <v>0</v>
      </c>
      <c r="Q424" s="122">
        <f t="shared" si="139"/>
        <v>0</v>
      </c>
      <c r="R424" s="147">
        <f t="shared" si="140"/>
        <v>0</v>
      </c>
      <c r="S424" s="145">
        <v>5</v>
      </c>
      <c r="T424" s="144" t="s">
        <v>213</v>
      </c>
      <c r="U424" s="90">
        <f>SUMIF('Avoided Costs 2009-2017'!$A:$A,Actuals!T424&amp;Actuals!S424,'Avoided Costs 2009-2017'!$E:$E)*J424</f>
        <v>25610.179228598856</v>
      </c>
      <c r="V424" s="90">
        <f>SUMIF('Avoided Costs 2009-2017'!$A:$A,Actuals!T424&amp;Actuals!S424,'Avoided Costs 2009-2017'!$K:$K)*N424</f>
        <v>0</v>
      </c>
      <c r="W424" s="90">
        <f>SUMIF('Avoided Costs 2009-2017'!$A:$A,Actuals!T424&amp;Actuals!S424,'Avoided Costs 2009-2017'!$M:$M)*R424</f>
        <v>0</v>
      </c>
      <c r="X424" s="90">
        <f t="shared" si="141"/>
        <v>25610.179228598856</v>
      </c>
      <c r="Y424" s="148">
        <v>621</v>
      </c>
      <c r="Z424" s="149">
        <f t="shared" si="142"/>
        <v>546.48</v>
      </c>
      <c r="AA424" s="148"/>
      <c r="AB424" s="145"/>
      <c r="AC424" s="145"/>
      <c r="AD424" s="148">
        <f t="shared" si="150"/>
        <v>546.48</v>
      </c>
      <c r="AE424" s="122">
        <f t="shared" si="151"/>
        <v>25063.699228598856</v>
      </c>
      <c r="AF424" s="167">
        <f t="shared" si="145"/>
        <v>85277.702399999995</v>
      </c>
    </row>
    <row r="425" spans="1:32" s="150" customFormat="1" x14ac:dyDescent="0.2">
      <c r="A425" s="144" t="s">
        <v>1050</v>
      </c>
      <c r="B425" s="144"/>
      <c r="C425" s="144"/>
      <c r="D425" s="145">
        <v>1</v>
      </c>
      <c r="E425" s="122"/>
      <c r="F425" s="146">
        <v>0.12</v>
      </c>
      <c r="G425" s="146"/>
      <c r="H425" s="122">
        <v>10830</v>
      </c>
      <c r="I425" s="122">
        <f t="shared" ref="I425:I431" si="153">+H425</f>
        <v>10830</v>
      </c>
      <c r="J425" s="147">
        <f t="shared" si="136"/>
        <v>9530.4</v>
      </c>
      <c r="K425" s="122"/>
      <c r="L425" s="122">
        <v>0</v>
      </c>
      <c r="M425" s="122">
        <f t="shared" si="137"/>
        <v>0</v>
      </c>
      <c r="N425" s="122">
        <f t="shared" si="138"/>
        <v>0</v>
      </c>
      <c r="O425" s="122"/>
      <c r="P425" s="122">
        <v>0</v>
      </c>
      <c r="Q425" s="122">
        <f t="shared" si="139"/>
        <v>0</v>
      </c>
      <c r="R425" s="147">
        <f t="shared" si="140"/>
        <v>0</v>
      </c>
      <c r="S425" s="145">
        <v>25</v>
      </c>
      <c r="T425" s="144" t="s">
        <v>213</v>
      </c>
      <c r="U425" s="90">
        <f>SUMIF('Avoided Costs 2009-2017'!$A:$A,Actuals!T425&amp;Actuals!S425,'Avoided Costs 2009-2017'!$E:$E)*J425</f>
        <v>41030.964308978721</v>
      </c>
      <c r="V425" s="90">
        <f>SUMIF('Avoided Costs 2009-2017'!$A:$A,Actuals!T425&amp;Actuals!S425,'Avoided Costs 2009-2017'!$K:$K)*N425</f>
        <v>0</v>
      </c>
      <c r="W425" s="90">
        <f>SUMIF('Avoided Costs 2009-2017'!$A:$A,Actuals!T425&amp;Actuals!S425,'Avoided Costs 2009-2017'!$M:$M)*R425</f>
        <v>0</v>
      </c>
      <c r="X425" s="90">
        <f t="shared" si="141"/>
        <v>41030.964308978721</v>
      </c>
      <c r="Y425" s="148">
        <v>8646</v>
      </c>
      <c r="Z425" s="149">
        <f t="shared" si="142"/>
        <v>7608.4800000000005</v>
      </c>
      <c r="AA425" s="148"/>
      <c r="AB425" s="145"/>
      <c r="AC425" s="145"/>
      <c r="AD425" s="148">
        <f t="shared" si="150"/>
        <v>7608.4800000000005</v>
      </c>
      <c r="AE425" s="122">
        <f t="shared" si="151"/>
        <v>33422.484308978717</v>
      </c>
      <c r="AF425" s="167">
        <f t="shared" si="145"/>
        <v>238260</v>
      </c>
    </row>
    <row r="426" spans="1:32" s="150" customFormat="1" x14ac:dyDescent="0.2">
      <c r="A426" s="144" t="s">
        <v>1051</v>
      </c>
      <c r="B426" s="144"/>
      <c r="C426" s="144"/>
      <c r="D426" s="145">
        <v>1</v>
      </c>
      <c r="E426" s="122"/>
      <c r="F426" s="146">
        <v>0.12</v>
      </c>
      <c r="G426" s="146"/>
      <c r="H426" s="122">
        <v>10830</v>
      </c>
      <c r="I426" s="122">
        <f t="shared" si="153"/>
        <v>10830</v>
      </c>
      <c r="J426" s="147">
        <f t="shared" si="136"/>
        <v>9530.4</v>
      </c>
      <c r="K426" s="122"/>
      <c r="L426" s="122">
        <v>0</v>
      </c>
      <c r="M426" s="122">
        <f t="shared" si="137"/>
        <v>0</v>
      </c>
      <c r="N426" s="122">
        <f t="shared" si="138"/>
        <v>0</v>
      </c>
      <c r="O426" s="122"/>
      <c r="P426" s="122">
        <v>0</v>
      </c>
      <c r="Q426" s="122">
        <f t="shared" si="139"/>
        <v>0</v>
      </c>
      <c r="R426" s="147">
        <f t="shared" si="140"/>
        <v>0</v>
      </c>
      <c r="S426" s="145">
        <v>25</v>
      </c>
      <c r="T426" s="144" t="s">
        <v>213</v>
      </c>
      <c r="U426" s="90">
        <f>SUMIF('Avoided Costs 2009-2017'!$A:$A,Actuals!T426&amp;Actuals!S426,'Avoided Costs 2009-2017'!$E:$E)*J426</f>
        <v>41030.964308978721</v>
      </c>
      <c r="V426" s="90">
        <f>SUMIF('Avoided Costs 2009-2017'!$A:$A,Actuals!T426&amp;Actuals!S426,'Avoided Costs 2009-2017'!$K:$K)*N426</f>
        <v>0</v>
      </c>
      <c r="W426" s="90">
        <f>SUMIF('Avoided Costs 2009-2017'!$A:$A,Actuals!T426&amp;Actuals!S426,'Avoided Costs 2009-2017'!$M:$M)*R426</f>
        <v>0</v>
      </c>
      <c r="X426" s="90">
        <f t="shared" si="141"/>
        <v>41030.964308978721</v>
      </c>
      <c r="Y426" s="148">
        <v>8646</v>
      </c>
      <c r="Z426" s="149">
        <f t="shared" si="142"/>
        <v>7608.4800000000005</v>
      </c>
      <c r="AA426" s="148"/>
      <c r="AB426" s="145"/>
      <c r="AC426" s="145"/>
      <c r="AD426" s="148">
        <f t="shared" si="150"/>
        <v>7608.4800000000005</v>
      </c>
      <c r="AE426" s="122">
        <f t="shared" si="151"/>
        <v>33422.484308978717</v>
      </c>
      <c r="AF426" s="167">
        <f t="shared" si="145"/>
        <v>238260</v>
      </c>
    </row>
    <row r="427" spans="1:32" s="150" customFormat="1" x14ac:dyDescent="0.2">
      <c r="A427" s="144" t="s">
        <v>1052</v>
      </c>
      <c r="B427" s="144"/>
      <c r="C427" s="144"/>
      <c r="D427" s="145">
        <v>1</v>
      </c>
      <c r="E427" s="122"/>
      <c r="F427" s="146">
        <v>0.12</v>
      </c>
      <c r="G427" s="146"/>
      <c r="H427" s="122">
        <v>10830</v>
      </c>
      <c r="I427" s="122">
        <f t="shared" si="153"/>
        <v>10830</v>
      </c>
      <c r="J427" s="147">
        <f t="shared" si="136"/>
        <v>9530.4</v>
      </c>
      <c r="K427" s="122"/>
      <c r="L427" s="122">
        <v>0</v>
      </c>
      <c r="M427" s="122">
        <f t="shared" si="137"/>
        <v>0</v>
      </c>
      <c r="N427" s="122">
        <f t="shared" si="138"/>
        <v>0</v>
      </c>
      <c r="O427" s="122"/>
      <c r="P427" s="122">
        <v>0</v>
      </c>
      <c r="Q427" s="122">
        <f t="shared" si="139"/>
        <v>0</v>
      </c>
      <c r="R427" s="147">
        <f t="shared" si="140"/>
        <v>0</v>
      </c>
      <c r="S427" s="145">
        <v>25</v>
      </c>
      <c r="T427" s="144" t="s">
        <v>213</v>
      </c>
      <c r="U427" s="90">
        <f>SUMIF('Avoided Costs 2009-2017'!$A:$A,Actuals!T427&amp;Actuals!S427,'Avoided Costs 2009-2017'!$E:$E)*J427</f>
        <v>41030.964308978721</v>
      </c>
      <c r="V427" s="90">
        <f>SUMIF('Avoided Costs 2009-2017'!$A:$A,Actuals!T427&amp;Actuals!S427,'Avoided Costs 2009-2017'!$K:$K)*N427</f>
        <v>0</v>
      </c>
      <c r="W427" s="90">
        <f>SUMIF('Avoided Costs 2009-2017'!$A:$A,Actuals!T427&amp;Actuals!S427,'Avoided Costs 2009-2017'!$M:$M)*R427</f>
        <v>0</v>
      </c>
      <c r="X427" s="90">
        <f t="shared" si="141"/>
        <v>41030.964308978721</v>
      </c>
      <c r="Y427" s="148">
        <v>8646</v>
      </c>
      <c r="Z427" s="149">
        <f t="shared" si="142"/>
        <v>7608.4800000000005</v>
      </c>
      <c r="AA427" s="148"/>
      <c r="AB427" s="145"/>
      <c r="AC427" s="145"/>
      <c r="AD427" s="148">
        <f t="shared" si="150"/>
        <v>7608.4800000000005</v>
      </c>
      <c r="AE427" s="122">
        <f t="shared" si="151"/>
        <v>33422.484308978717</v>
      </c>
      <c r="AF427" s="167">
        <f t="shared" si="145"/>
        <v>238260</v>
      </c>
    </row>
    <row r="428" spans="1:32" s="150" customFormat="1" x14ac:dyDescent="0.2">
      <c r="A428" s="144" t="s">
        <v>1053</v>
      </c>
      <c r="B428" s="144"/>
      <c r="C428" s="144"/>
      <c r="D428" s="145">
        <v>1</v>
      </c>
      <c r="E428" s="122"/>
      <c r="F428" s="146">
        <v>0.12</v>
      </c>
      <c r="G428" s="146"/>
      <c r="H428" s="122">
        <v>43859</v>
      </c>
      <c r="I428" s="122">
        <f t="shared" si="153"/>
        <v>43859</v>
      </c>
      <c r="J428" s="147">
        <f t="shared" ref="J428:J477" si="154">I428*(1-F428)</f>
        <v>38595.919999999998</v>
      </c>
      <c r="K428" s="122"/>
      <c r="L428" s="122">
        <v>0</v>
      </c>
      <c r="M428" s="122">
        <f t="shared" ref="M428:M477" si="155">+$L$68*L428</f>
        <v>0</v>
      </c>
      <c r="N428" s="122">
        <f t="shared" ref="N428:N477" si="156">M428*(1-F428)</f>
        <v>0</v>
      </c>
      <c r="O428" s="122"/>
      <c r="P428" s="122">
        <v>0</v>
      </c>
      <c r="Q428" s="122">
        <f t="shared" ref="Q428:Q477" si="157">+P428*$P$68</f>
        <v>0</v>
      </c>
      <c r="R428" s="147">
        <f t="shared" ref="R428:R477" si="158">Q428*(1-F428)</f>
        <v>0</v>
      </c>
      <c r="S428" s="145">
        <v>25</v>
      </c>
      <c r="T428" s="144" t="s">
        <v>213</v>
      </c>
      <c r="U428" s="90">
        <f>SUMIF('Avoided Costs 2009-2017'!$A:$A,Actuals!T428&amp;Actuals!S428,'Avoided Costs 2009-2017'!$E:$E)*J428</f>
        <v>166165.93385295453</v>
      </c>
      <c r="V428" s="90">
        <f>SUMIF('Avoided Costs 2009-2017'!$A:$A,Actuals!T428&amp;Actuals!S428,'Avoided Costs 2009-2017'!$K:$K)*N428</f>
        <v>0</v>
      </c>
      <c r="W428" s="90">
        <f>SUMIF('Avoided Costs 2009-2017'!$A:$A,Actuals!T428&amp;Actuals!S428,'Avoided Costs 2009-2017'!$M:$M)*R428</f>
        <v>0</v>
      </c>
      <c r="X428" s="90">
        <f t="shared" ref="X428:X477" si="159">SUM(U428:W428)</f>
        <v>166165.93385295453</v>
      </c>
      <c r="Y428" s="148">
        <v>14470</v>
      </c>
      <c r="Z428" s="149">
        <f t="shared" ref="Z428:Z477" si="160">Y428*(1-F428)</f>
        <v>12733.6</v>
      </c>
      <c r="AA428" s="148"/>
      <c r="AB428" s="145"/>
      <c r="AC428" s="145"/>
      <c r="AD428" s="148">
        <f t="shared" ref="AD428:AD459" si="161">Z428+AB428</f>
        <v>12733.6</v>
      </c>
      <c r="AE428" s="122">
        <f t="shared" ref="AE428:AE459" si="162">X428-AD428</f>
        <v>153432.33385295453</v>
      </c>
      <c r="AF428" s="167">
        <f t="shared" ref="AF428:AF477" si="163">J428*S428</f>
        <v>964898</v>
      </c>
    </row>
    <row r="429" spans="1:32" s="150" customFormat="1" x14ac:dyDescent="0.2">
      <c r="A429" s="144" t="s">
        <v>1054</v>
      </c>
      <c r="B429" s="144"/>
      <c r="C429" s="144"/>
      <c r="D429" s="145">
        <v>1</v>
      </c>
      <c r="E429" s="122"/>
      <c r="F429" s="146">
        <v>0.12</v>
      </c>
      <c r="G429" s="146"/>
      <c r="H429" s="122">
        <v>10830</v>
      </c>
      <c r="I429" s="122">
        <f t="shared" si="153"/>
        <v>10830</v>
      </c>
      <c r="J429" s="147">
        <f t="shared" si="154"/>
        <v>9530.4</v>
      </c>
      <c r="K429" s="122"/>
      <c r="L429" s="122">
        <v>0</v>
      </c>
      <c r="M429" s="122">
        <f t="shared" si="155"/>
        <v>0</v>
      </c>
      <c r="N429" s="122">
        <f t="shared" si="156"/>
        <v>0</v>
      </c>
      <c r="O429" s="122"/>
      <c r="P429" s="122">
        <v>0</v>
      </c>
      <c r="Q429" s="122">
        <f t="shared" si="157"/>
        <v>0</v>
      </c>
      <c r="R429" s="147">
        <f t="shared" si="158"/>
        <v>0</v>
      </c>
      <c r="S429" s="145">
        <v>25</v>
      </c>
      <c r="T429" s="144" t="s">
        <v>213</v>
      </c>
      <c r="U429" s="90">
        <f>SUMIF('Avoided Costs 2009-2017'!$A:$A,Actuals!T429&amp;Actuals!S429,'Avoided Costs 2009-2017'!$E:$E)*J429</f>
        <v>41030.964308978721</v>
      </c>
      <c r="V429" s="90">
        <f>SUMIF('Avoided Costs 2009-2017'!$A:$A,Actuals!T429&amp;Actuals!S429,'Avoided Costs 2009-2017'!$K:$K)*N429</f>
        <v>0</v>
      </c>
      <c r="W429" s="90">
        <f>SUMIF('Avoided Costs 2009-2017'!$A:$A,Actuals!T429&amp;Actuals!S429,'Avoided Costs 2009-2017'!$M:$M)*R429</f>
        <v>0</v>
      </c>
      <c r="X429" s="90">
        <f t="shared" si="159"/>
        <v>41030.964308978721</v>
      </c>
      <c r="Y429" s="148">
        <v>8646</v>
      </c>
      <c r="Z429" s="149">
        <f t="shared" si="160"/>
        <v>7608.4800000000005</v>
      </c>
      <c r="AA429" s="148"/>
      <c r="AB429" s="145"/>
      <c r="AC429" s="145"/>
      <c r="AD429" s="148">
        <f t="shared" si="161"/>
        <v>7608.4800000000005</v>
      </c>
      <c r="AE429" s="122">
        <f t="shared" si="162"/>
        <v>33422.484308978717</v>
      </c>
      <c r="AF429" s="167">
        <f t="shared" si="163"/>
        <v>238260</v>
      </c>
    </row>
    <row r="430" spans="1:32" s="150" customFormat="1" x14ac:dyDescent="0.2">
      <c r="A430" s="144" t="s">
        <v>1055</v>
      </c>
      <c r="B430" s="144"/>
      <c r="C430" s="144"/>
      <c r="D430" s="145">
        <v>1</v>
      </c>
      <c r="E430" s="122"/>
      <c r="F430" s="146">
        <v>0.12</v>
      </c>
      <c r="G430" s="146"/>
      <c r="H430" s="122">
        <v>10830</v>
      </c>
      <c r="I430" s="122">
        <f t="shared" si="153"/>
        <v>10830</v>
      </c>
      <c r="J430" s="147">
        <f t="shared" si="154"/>
        <v>9530.4</v>
      </c>
      <c r="K430" s="122"/>
      <c r="L430" s="122">
        <v>0</v>
      </c>
      <c r="M430" s="122">
        <f t="shared" si="155"/>
        <v>0</v>
      </c>
      <c r="N430" s="122">
        <f t="shared" si="156"/>
        <v>0</v>
      </c>
      <c r="O430" s="122"/>
      <c r="P430" s="122">
        <v>0</v>
      </c>
      <c r="Q430" s="122">
        <f t="shared" si="157"/>
        <v>0</v>
      </c>
      <c r="R430" s="147">
        <f t="shared" si="158"/>
        <v>0</v>
      </c>
      <c r="S430" s="145">
        <v>25</v>
      </c>
      <c r="T430" s="144" t="s">
        <v>213</v>
      </c>
      <c r="U430" s="90">
        <f>SUMIF('Avoided Costs 2009-2017'!$A:$A,Actuals!T430&amp;Actuals!S430,'Avoided Costs 2009-2017'!$E:$E)*J430</f>
        <v>41030.964308978721</v>
      </c>
      <c r="V430" s="90">
        <f>SUMIF('Avoided Costs 2009-2017'!$A:$A,Actuals!T430&amp;Actuals!S430,'Avoided Costs 2009-2017'!$K:$K)*N430</f>
        <v>0</v>
      </c>
      <c r="W430" s="90">
        <f>SUMIF('Avoided Costs 2009-2017'!$A:$A,Actuals!T430&amp;Actuals!S430,'Avoided Costs 2009-2017'!$M:$M)*R430</f>
        <v>0</v>
      </c>
      <c r="X430" s="90">
        <f t="shared" si="159"/>
        <v>41030.964308978721</v>
      </c>
      <c r="Y430" s="148">
        <v>8646</v>
      </c>
      <c r="Z430" s="149">
        <f t="shared" si="160"/>
        <v>7608.4800000000005</v>
      </c>
      <c r="AA430" s="148"/>
      <c r="AB430" s="145"/>
      <c r="AC430" s="145"/>
      <c r="AD430" s="148">
        <f t="shared" si="161"/>
        <v>7608.4800000000005</v>
      </c>
      <c r="AE430" s="122">
        <f t="shared" si="162"/>
        <v>33422.484308978717</v>
      </c>
      <c r="AF430" s="167">
        <f t="shared" si="163"/>
        <v>238260</v>
      </c>
    </row>
    <row r="431" spans="1:32" s="150" customFormat="1" x14ac:dyDescent="0.2">
      <c r="A431" s="144" t="s">
        <v>1056</v>
      </c>
      <c r="B431" s="144"/>
      <c r="C431" s="144"/>
      <c r="D431" s="145">
        <v>1</v>
      </c>
      <c r="E431" s="122"/>
      <c r="F431" s="146">
        <v>0.12</v>
      </c>
      <c r="G431" s="146"/>
      <c r="H431" s="122">
        <v>43859</v>
      </c>
      <c r="I431" s="122">
        <f t="shared" si="153"/>
        <v>43859</v>
      </c>
      <c r="J431" s="147">
        <f t="shared" si="154"/>
        <v>38595.919999999998</v>
      </c>
      <c r="K431" s="122"/>
      <c r="L431" s="122">
        <v>0</v>
      </c>
      <c r="M431" s="122">
        <f t="shared" si="155"/>
        <v>0</v>
      </c>
      <c r="N431" s="122">
        <f t="shared" si="156"/>
        <v>0</v>
      </c>
      <c r="O431" s="122"/>
      <c r="P431" s="122">
        <v>0</v>
      </c>
      <c r="Q431" s="122">
        <f t="shared" si="157"/>
        <v>0</v>
      </c>
      <c r="R431" s="147">
        <f t="shared" si="158"/>
        <v>0</v>
      </c>
      <c r="S431" s="145">
        <v>25</v>
      </c>
      <c r="T431" s="144" t="s">
        <v>213</v>
      </c>
      <c r="U431" s="90">
        <f>SUMIF('Avoided Costs 2009-2017'!$A:$A,Actuals!T431&amp;Actuals!S431,'Avoided Costs 2009-2017'!$E:$E)*J431</f>
        <v>166165.93385295453</v>
      </c>
      <c r="V431" s="90">
        <f>SUMIF('Avoided Costs 2009-2017'!$A:$A,Actuals!T431&amp;Actuals!S431,'Avoided Costs 2009-2017'!$K:$K)*N431</f>
        <v>0</v>
      </c>
      <c r="W431" s="90">
        <f>SUMIF('Avoided Costs 2009-2017'!$A:$A,Actuals!T431&amp;Actuals!S431,'Avoided Costs 2009-2017'!$M:$M)*R431</f>
        <v>0</v>
      </c>
      <c r="X431" s="90">
        <f t="shared" si="159"/>
        <v>166165.93385295453</v>
      </c>
      <c r="Y431" s="148">
        <v>14470</v>
      </c>
      <c r="Z431" s="149">
        <f t="shared" si="160"/>
        <v>12733.6</v>
      </c>
      <c r="AA431" s="148"/>
      <c r="AB431" s="145"/>
      <c r="AC431" s="145"/>
      <c r="AD431" s="148">
        <f t="shared" si="161"/>
        <v>12733.6</v>
      </c>
      <c r="AE431" s="122">
        <f t="shared" si="162"/>
        <v>153432.33385295453</v>
      </c>
      <c r="AF431" s="167">
        <f t="shared" si="163"/>
        <v>964898</v>
      </c>
    </row>
    <row r="432" spans="1:32" s="150" customFormat="1" x14ac:dyDescent="0.2">
      <c r="A432" s="144" t="s">
        <v>1057</v>
      </c>
      <c r="B432" s="144"/>
      <c r="C432" s="144"/>
      <c r="D432" s="145">
        <v>1</v>
      </c>
      <c r="E432" s="122"/>
      <c r="F432" s="146">
        <v>0.12</v>
      </c>
      <c r="G432" s="146"/>
      <c r="H432" s="122">
        <v>17668</v>
      </c>
      <c r="I432" s="122">
        <f t="shared" ref="I432:I477" si="164">+$H$68*H432</f>
        <v>17102.624</v>
      </c>
      <c r="J432" s="147">
        <f t="shared" si="154"/>
        <v>15050.30912</v>
      </c>
      <c r="K432" s="122"/>
      <c r="L432" s="122">
        <v>0</v>
      </c>
      <c r="M432" s="122">
        <f t="shared" si="155"/>
        <v>0</v>
      </c>
      <c r="N432" s="122">
        <f t="shared" si="156"/>
        <v>0</v>
      </c>
      <c r="O432" s="122"/>
      <c r="P432" s="122">
        <v>0</v>
      </c>
      <c r="Q432" s="122">
        <f t="shared" si="157"/>
        <v>0</v>
      </c>
      <c r="R432" s="147">
        <f t="shared" si="158"/>
        <v>0</v>
      </c>
      <c r="S432" s="145">
        <v>5</v>
      </c>
      <c r="T432" s="144" t="s">
        <v>213</v>
      </c>
      <c r="U432" s="90">
        <f>SUMIF('Avoided Costs 2009-2017'!$A:$A,Actuals!T432&amp;Actuals!S432,'Avoided Costs 2009-2017'!$E:$E)*J432</f>
        <v>22599.173239980249</v>
      </c>
      <c r="V432" s="90">
        <f>SUMIF('Avoided Costs 2009-2017'!$A:$A,Actuals!T432&amp;Actuals!S432,'Avoided Costs 2009-2017'!$K:$K)*N432</f>
        <v>0</v>
      </c>
      <c r="W432" s="90">
        <f>SUMIF('Avoided Costs 2009-2017'!$A:$A,Actuals!T432&amp;Actuals!S432,'Avoided Costs 2009-2017'!$M:$M)*R432</f>
        <v>0</v>
      </c>
      <c r="X432" s="90">
        <f t="shared" si="159"/>
        <v>22599.173239980249</v>
      </c>
      <c r="Y432" s="148">
        <v>427</v>
      </c>
      <c r="Z432" s="149">
        <f t="shared" si="160"/>
        <v>375.76</v>
      </c>
      <c r="AA432" s="148"/>
      <c r="AB432" s="145"/>
      <c r="AC432" s="145"/>
      <c r="AD432" s="148">
        <f t="shared" si="161"/>
        <v>375.76</v>
      </c>
      <c r="AE432" s="122">
        <f t="shared" si="162"/>
        <v>22223.413239980251</v>
      </c>
      <c r="AF432" s="167">
        <f t="shared" si="163"/>
        <v>75251.545599999998</v>
      </c>
    </row>
    <row r="433" spans="1:32" s="150" customFormat="1" x14ac:dyDescent="0.2">
      <c r="A433" s="144" t="s">
        <v>1058</v>
      </c>
      <c r="B433" s="144"/>
      <c r="C433" s="144"/>
      <c r="D433" s="145">
        <v>1</v>
      </c>
      <c r="E433" s="122"/>
      <c r="F433" s="146">
        <v>0.12</v>
      </c>
      <c r="G433" s="146"/>
      <c r="H433" s="122">
        <v>7731</v>
      </c>
      <c r="I433" s="122">
        <f t="shared" si="164"/>
        <v>7483.6080000000002</v>
      </c>
      <c r="J433" s="147">
        <f t="shared" si="154"/>
        <v>6585.5750400000006</v>
      </c>
      <c r="K433" s="122"/>
      <c r="L433" s="122">
        <v>0</v>
      </c>
      <c r="M433" s="122">
        <f t="shared" si="155"/>
        <v>0</v>
      </c>
      <c r="N433" s="122">
        <f t="shared" si="156"/>
        <v>0</v>
      </c>
      <c r="O433" s="122"/>
      <c r="P433" s="122">
        <v>0</v>
      </c>
      <c r="Q433" s="122">
        <f t="shared" si="157"/>
        <v>0</v>
      </c>
      <c r="R433" s="147">
        <f t="shared" si="158"/>
        <v>0</v>
      </c>
      <c r="S433" s="145">
        <v>5</v>
      </c>
      <c r="T433" s="144" t="s">
        <v>213</v>
      </c>
      <c r="U433" s="90">
        <f>SUMIF('Avoided Costs 2009-2017'!$A:$A,Actuals!T433&amp;Actuals!S433,'Avoided Costs 2009-2017'!$E:$E)*J433</f>
        <v>9888.7371699279684</v>
      </c>
      <c r="V433" s="90">
        <f>SUMIF('Avoided Costs 2009-2017'!$A:$A,Actuals!T433&amp;Actuals!S433,'Avoided Costs 2009-2017'!$K:$K)*N433</f>
        <v>0</v>
      </c>
      <c r="W433" s="90">
        <f>SUMIF('Avoided Costs 2009-2017'!$A:$A,Actuals!T433&amp;Actuals!S433,'Avoided Costs 2009-2017'!$M:$M)*R433</f>
        <v>0</v>
      </c>
      <c r="X433" s="90">
        <f t="shared" si="159"/>
        <v>9888.7371699279684</v>
      </c>
      <c r="Y433" s="148">
        <v>56</v>
      </c>
      <c r="Z433" s="149">
        <f t="shared" si="160"/>
        <v>49.28</v>
      </c>
      <c r="AA433" s="148"/>
      <c r="AB433" s="145"/>
      <c r="AC433" s="145"/>
      <c r="AD433" s="148">
        <f t="shared" si="161"/>
        <v>49.28</v>
      </c>
      <c r="AE433" s="122">
        <f t="shared" si="162"/>
        <v>9839.4571699279677</v>
      </c>
      <c r="AF433" s="167">
        <f t="shared" si="163"/>
        <v>32927.875200000002</v>
      </c>
    </row>
    <row r="434" spans="1:32" s="150" customFormat="1" x14ac:dyDescent="0.2">
      <c r="A434" s="144" t="s">
        <v>1059</v>
      </c>
      <c r="B434" s="144"/>
      <c r="C434" s="144"/>
      <c r="D434" s="145">
        <v>1</v>
      </c>
      <c r="E434" s="122"/>
      <c r="F434" s="146">
        <v>0.12</v>
      </c>
      <c r="G434" s="146"/>
      <c r="H434" s="122">
        <v>4307</v>
      </c>
      <c r="I434" s="122">
        <f t="shared" si="164"/>
        <v>4169.1759999999995</v>
      </c>
      <c r="J434" s="147">
        <f t="shared" si="154"/>
        <v>3668.8748799999994</v>
      </c>
      <c r="K434" s="122"/>
      <c r="L434" s="122">
        <v>0</v>
      </c>
      <c r="M434" s="122">
        <f t="shared" si="155"/>
        <v>0</v>
      </c>
      <c r="N434" s="122">
        <f t="shared" si="156"/>
        <v>0</v>
      </c>
      <c r="O434" s="122"/>
      <c r="P434" s="122">
        <v>0</v>
      </c>
      <c r="Q434" s="122">
        <f t="shared" si="157"/>
        <v>0</v>
      </c>
      <c r="R434" s="147">
        <f t="shared" si="158"/>
        <v>0</v>
      </c>
      <c r="S434" s="145">
        <v>5</v>
      </c>
      <c r="T434" s="144" t="s">
        <v>213</v>
      </c>
      <c r="U434" s="90">
        <f>SUMIF('Avoided Costs 2009-2017'!$A:$A,Actuals!T434&amp;Actuals!S434,'Avoided Costs 2009-2017'!$E:$E)*J434</f>
        <v>5509.092095573631</v>
      </c>
      <c r="V434" s="90">
        <f>SUMIF('Avoided Costs 2009-2017'!$A:$A,Actuals!T434&amp;Actuals!S434,'Avoided Costs 2009-2017'!$K:$K)*N434</f>
        <v>0</v>
      </c>
      <c r="W434" s="90">
        <f>SUMIF('Avoided Costs 2009-2017'!$A:$A,Actuals!T434&amp;Actuals!S434,'Avoided Costs 2009-2017'!$M:$M)*R434</f>
        <v>0</v>
      </c>
      <c r="X434" s="90">
        <f t="shared" si="159"/>
        <v>5509.092095573631</v>
      </c>
      <c r="Y434" s="148">
        <v>1195</v>
      </c>
      <c r="Z434" s="149">
        <f t="shared" si="160"/>
        <v>1051.5999999999999</v>
      </c>
      <c r="AA434" s="148"/>
      <c r="AB434" s="145"/>
      <c r="AC434" s="145"/>
      <c r="AD434" s="148">
        <f t="shared" si="161"/>
        <v>1051.5999999999999</v>
      </c>
      <c r="AE434" s="122">
        <f t="shared" si="162"/>
        <v>4457.4920955736306</v>
      </c>
      <c r="AF434" s="167">
        <f t="shared" si="163"/>
        <v>18344.374399999997</v>
      </c>
    </row>
    <row r="435" spans="1:32" s="150" customFormat="1" x14ac:dyDescent="0.2">
      <c r="A435" s="144" t="s">
        <v>1060</v>
      </c>
      <c r="B435" s="144"/>
      <c r="C435" s="144"/>
      <c r="D435" s="145">
        <v>1</v>
      </c>
      <c r="E435" s="122"/>
      <c r="F435" s="146">
        <v>0.12</v>
      </c>
      <c r="G435" s="146"/>
      <c r="H435" s="122">
        <v>10830</v>
      </c>
      <c r="I435" s="122">
        <f t="shared" ref="I435:I445" si="165">+H435</f>
        <v>10830</v>
      </c>
      <c r="J435" s="147">
        <f t="shared" si="154"/>
        <v>9530.4</v>
      </c>
      <c r="K435" s="122"/>
      <c r="L435" s="122">
        <v>0</v>
      </c>
      <c r="M435" s="122">
        <f t="shared" si="155"/>
        <v>0</v>
      </c>
      <c r="N435" s="122">
        <f t="shared" si="156"/>
        <v>0</v>
      </c>
      <c r="O435" s="122"/>
      <c r="P435" s="122">
        <v>0</v>
      </c>
      <c r="Q435" s="122">
        <f t="shared" si="157"/>
        <v>0</v>
      </c>
      <c r="R435" s="147">
        <f t="shared" si="158"/>
        <v>0</v>
      </c>
      <c r="S435" s="145">
        <v>25</v>
      </c>
      <c r="T435" s="144" t="s">
        <v>213</v>
      </c>
      <c r="U435" s="90">
        <f>SUMIF('Avoided Costs 2009-2017'!$A:$A,Actuals!T435&amp;Actuals!S435,'Avoided Costs 2009-2017'!$E:$E)*J435</f>
        <v>41030.964308978721</v>
      </c>
      <c r="V435" s="90">
        <f>SUMIF('Avoided Costs 2009-2017'!$A:$A,Actuals!T435&amp;Actuals!S435,'Avoided Costs 2009-2017'!$K:$K)*N435</f>
        <v>0</v>
      </c>
      <c r="W435" s="90">
        <f>SUMIF('Avoided Costs 2009-2017'!$A:$A,Actuals!T435&amp;Actuals!S435,'Avoided Costs 2009-2017'!$M:$M)*R435</f>
        <v>0</v>
      </c>
      <c r="X435" s="90">
        <f t="shared" si="159"/>
        <v>41030.964308978721</v>
      </c>
      <c r="Y435" s="148">
        <v>8646</v>
      </c>
      <c r="Z435" s="149">
        <f t="shared" si="160"/>
        <v>7608.4800000000005</v>
      </c>
      <c r="AA435" s="148"/>
      <c r="AB435" s="145"/>
      <c r="AC435" s="145"/>
      <c r="AD435" s="148">
        <f t="shared" si="161"/>
        <v>7608.4800000000005</v>
      </c>
      <c r="AE435" s="122">
        <f t="shared" si="162"/>
        <v>33422.484308978717</v>
      </c>
      <c r="AF435" s="167">
        <f t="shared" si="163"/>
        <v>238260</v>
      </c>
    </row>
    <row r="436" spans="1:32" s="150" customFormat="1" x14ac:dyDescent="0.2">
      <c r="A436" s="144" t="s">
        <v>1061</v>
      </c>
      <c r="B436" s="144"/>
      <c r="C436" s="144"/>
      <c r="D436" s="145">
        <v>1</v>
      </c>
      <c r="E436" s="122"/>
      <c r="F436" s="146">
        <v>0.12</v>
      </c>
      <c r="G436" s="146"/>
      <c r="H436" s="122">
        <v>10830</v>
      </c>
      <c r="I436" s="122">
        <f t="shared" si="165"/>
        <v>10830</v>
      </c>
      <c r="J436" s="147">
        <f t="shared" si="154"/>
        <v>9530.4</v>
      </c>
      <c r="K436" s="122"/>
      <c r="L436" s="122">
        <v>0</v>
      </c>
      <c r="M436" s="122">
        <f t="shared" si="155"/>
        <v>0</v>
      </c>
      <c r="N436" s="122">
        <f t="shared" si="156"/>
        <v>0</v>
      </c>
      <c r="O436" s="122"/>
      <c r="P436" s="122">
        <v>0</v>
      </c>
      <c r="Q436" s="122">
        <f t="shared" si="157"/>
        <v>0</v>
      </c>
      <c r="R436" s="147">
        <f t="shared" si="158"/>
        <v>0</v>
      </c>
      <c r="S436" s="145">
        <v>25</v>
      </c>
      <c r="T436" s="144" t="s">
        <v>213</v>
      </c>
      <c r="U436" s="90">
        <f>SUMIF('Avoided Costs 2009-2017'!$A:$A,Actuals!T436&amp;Actuals!S436,'Avoided Costs 2009-2017'!$E:$E)*J436</f>
        <v>41030.964308978721</v>
      </c>
      <c r="V436" s="90">
        <f>SUMIF('Avoided Costs 2009-2017'!$A:$A,Actuals!T436&amp;Actuals!S436,'Avoided Costs 2009-2017'!$K:$K)*N436</f>
        <v>0</v>
      </c>
      <c r="W436" s="90">
        <f>SUMIF('Avoided Costs 2009-2017'!$A:$A,Actuals!T436&amp;Actuals!S436,'Avoided Costs 2009-2017'!$M:$M)*R436</f>
        <v>0</v>
      </c>
      <c r="X436" s="90">
        <f t="shared" si="159"/>
        <v>41030.964308978721</v>
      </c>
      <c r="Y436" s="148">
        <v>8646</v>
      </c>
      <c r="Z436" s="149">
        <f t="shared" si="160"/>
        <v>7608.4800000000005</v>
      </c>
      <c r="AA436" s="148"/>
      <c r="AB436" s="145"/>
      <c r="AC436" s="145"/>
      <c r="AD436" s="148">
        <f t="shared" si="161"/>
        <v>7608.4800000000005</v>
      </c>
      <c r="AE436" s="122">
        <f t="shared" si="162"/>
        <v>33422.484308978717</v>
      </c>
      <c r="AF436" s="167">
        <f t="shared" si="163"/>
        <v>238260</v>
      </c>
    </row>
    <row r="437" spans="1:32" s="150" customFormat="1" x14ac:dyDescent="0.2">
      <c r="A437" s="144" t="s">
        <v>1062</v>
      </c>
      <c r="B437" s="144"/>
      <c r="C437" s="144"/>
      <c r="D437" s="145">
        <v>1</v>
      </c>
      <c r="E437" s="122"/>
      <c r="F437" s="146">
        <v>0.12</v>
      </c>
      <c r="G437" s="146"/>
      <c r="H437" s="122">
        <v>10830</v>
      </c>
      <c r="I437" s="122">
        <f t="shared" si="165"/>
        <v>10830</v>
      </c>
      <c r="J437" s="147">
        <f t="shared" si="154"/>
        <v>9530.4</v>
      </c>
      <c r="K437" s="122"/>
      <c r="L437" s="122">
        <v>0</v>
      </c>
      <c r="M437" s="122">
        <f t="shared" si="155"/>
        <v>0</v>
      </c>
      <c r="N437" s="122">
        <f t="shared" si="156"/>
        <v>0</v>
      </c>
      <c r="O437" s="122"/>
      <c r="P437" s="122">
        <v>0</v>
      </c>
      <c r="Q437" s="122">
        <f t="shared" si="157"/>
        <v>0</v>
      </c>
      <c r="R437" s="147">
        <f t="shared" si="158"/>
        <v>0</v>
      </c>
      <c r="S437" s="145">
        <v>25</v>
      </c>
      <c r="T437" s="144" t="s">
        <v>213</v>
      </c>
      <c r="U437" s="90">
        <f>SUMIF('Avoided Costs 2009-2017'!$A:$A,Actuals!T437&amp;Actuals!S437,'Avoided Costs 2009-2017'!$E:$E)*J437</f>
        <v>41030.964308978721</v>
      </c>
      <c r="V437" s="90">
        <f>SUMIF('Avoided Costs 2009-2017'!$A:$A,Actuals!T437&amp;Actuals!S437,'Avoided Costs 2009-2017'!$K:$K)*N437</f>
        <v>0</v>
      </c>
      <c r="W437" s="90">
        <f>SUMIF('Avoided Costs 2009-2017'!$A:$A,Actuals!T437&amp;Actuals!S437,'Avoided Costs 2009-2017'!$M:$M)*R437</f>
        <v>0</v>
      </c>
      <c r="X437" s="90">
        <f t="shared" si="159"/>
        <v>41030.964308978721</v>
      </c>
      <c r="Y437" s="148">
        <v>8646</v>
      </c>
      <c r="Z437" s="149">
        <f t="shared" si="160"/>
        <v>7608.4800000000005</v>
      </c>
      <c r="AA437" s="148"/>
      <c r="AB437" s="145"/>
      <c r="AC437" s="145"/>
      <c r="AD437" s="148">
        <f t="shared" si="161"/>
        <v>7608.4800000000005</v>
      </c>
      <c r="AE437" s="122">
        <f t="shared" si="162"/>
        <v>33422.484308978717</v>
      </c>
      <c r="AF437" s="167">
        <f t="shared" si="163"/>
        <v>238260</v>
      </c>
    </row>
    <row r="438" spans="1:32" s="150" customFormat="1" x14ac:dyDescent="0.2">
      <c r="A438" s="144" t="s">
        <v>1063</v>
      </c>
      <c r="B438" s="144"/>
      <c r="C438" s="144"/>
      <c r="D438" s="145">
        <v>1</v>
      </c>
      <c r="E438" s="122"/>
      <c r="F438" s="146">
        <v>0.12</v>
      </c>
      <c r="G438" s="146"/>
      <c r="H438" s="122">
        <v>10830</v>
      </c>
      <c r="I438" s="122">
        <f t="shared" si="165"/>
        <v>10830</v>
      </c>
      <c r="J438" s="147">
        <f t="shared" si="154"/>
        <v>9530.4</v>
      </c>
      <c r="K438" s="122"/>
      <c r="L438" s="122">
        <v>0</v>
      </c>
      <c r="M438" s="122">
        <f t="shared" si="155"/>
        <v>0</v>
      </c>
      <c r="N438" s="122">
        <f t="shared" si="156"/>
        <v>0</v>
      </c>
      <c r="O438" s="122"/>
      <c r="P438" s="122">
        <v>0</v>
      </c>
      <c r="Q438" s="122">
        <f t="shared" si="157"/>
        <v>0</v>
      </c>
      <c r="R438" s="147">
        <f t="shared" si="158"/>
        <v>0</v>
      </c>
      <c r="S438" s="145">
        <v>25</v>
      </c>
      <c r="T438" s="144" t="s">
        <v>213</v>
      </c>
      <c r="U438" s="90">
        <f>SUMIF('Avoided Costs 2009-2017'!$A:$A,Actuals!T438&amp;Actuals!S438,'Avoided Costs 2009-2017'!$E:$E)*J438</f>
        <v>41030.964308978721</v>
      </c>
      <c r="V438" s="90">
        <f>SUMIF('Avoided Costs 2009-2017'!$A:$A,Actuals!T438&amp;Actuals!S438,'Avoided Costs 2009-2017'!$K:$K)*N438</f>
        <v>0</v>
      </c>
      <c r="W438" s="90">
        <f>SUMIF('Avoided Costs 2009-2017'!$A:$A,Actuals!T438&amp;Actuals!S438,'Avoided Costs 2009-2017'!$M:$M)*R438</f>
        <v>0</v>
      </c>
      <c r="X438" s="90">
        <f t="shared" si="159"/>
        <v>41030.964308978721</v>
      </c>
      <c r="Y438" s="148">
        <v>8646</v>
      </c>
      <c r="Z438" s="149">
        <f t="shared" si="160"/>
        <v>7608.4800000000005</v>
      </c>
      <c r="AA438" s="148"/>
      <c r="AB438" s="145"/>
      <c r="AC438" s="145"/>
      <c r="AD438" s="148">
        <f t="shared" si="161"/>
        <v>7608.4800000000005</v>
      </c>
      <c r="AE438" s="122">
        <f t="shared" si="162"/>
        <v>33422.484308978717</v>
      </c>
      <c r="AF438" s="167">
        <f t="shared" si="163"/>
        <v>238260</v>
      </c>
    </row>
    <row r="439" spans="1:32" s="150" customFormat="1" x14ac:dyDescent="0.2">
      <c r="A439" s="144" t="s">
        <v>1064</v>
      </c>
      <c r="B439" s="144"/>
      <c r="C439" s="144"/>
      <c r="D439" s="145">
        <v>1</v>
      </c>
      <c r="E439" s="122"/>
      <c r="F439" s="146">
        <v>0.12</v>
      </c>
      <c r="G439" s="146"/>
      <c r="H439" s="122">
        <v>10830</v>
      </c>
      <c r="I439" s="122">
        <f t="shared" si="165"/>
        <v>10830</v>
      </c>
      <c r="J439" s="147">
        <f t="shared" si="154"/>
        <v>9530.4</v>
      </c>
      <c r="K439" s="122"/>
      <c r="L439" s="122">
        <v>0</v>
      </c>
      <c r="M439" s="122">
        <f t="shared" si="155"/>
        <v>0</v>
      </c>
      <c r="N439" s="122">
        <f t="shared" si="156"/>
        <v>0</v>
      </c>
      <c r="O439" s="122"/>
      <c r="P439" s="122">
        <v>0</v>
      </c>
      <c r="Q439" s="122">
        <f t="shared" si="157"/>
        <v>0</v>
      </c>
      <c r="R439" s="147">
        <f t="shared" si="158"/>
        <v>0</v>
      </c>
      <c r="S439" s="145">
        <v>25</v>
      </c>
      <c r="T439" s="144" t="s">
        <v>213</v>
      </c>
      <c r="U439" s="90">
        <f>SUMIF('Avoided Costs 2009-2017'!$A:$A,Actuals!T439&amp;Actuals!S439,'Avoided Costs 2009-2017'!$E:$E)*J439</f>
        <v>41030.964308978721</v>
      </c>
      <c r="V439" s="90">
        <f>SUMIF('Avoided Costs 2009-2017'!$A:$A,Actuals!T439&amp;Actuals!S439,'Avoided Costs 2009-2017'!$K:$K)*N439</f>
        <v>0</v>
      </c>
      <c r="W439" s="90">
        <f>SUMIF('Avoided Costs 2009-2017'!$A:$A,Actuals!T439&amp;Actuals!S439,'Avoided Costs 2009-2017'!$M:$M)*R439</f>
        <v>0</v>
      </c>
      <c r="X439" s="90">
        <f t="shared" si="159"/>
        <v>41030.964308978721</v>
      </c>
      <c r="Y439" s="148">
        <v>8646</v>
      </c>
      <c r="Z439" s="149">
        <f t="shared" si="160"/>
        <v>7608.4800000000005</v>
      </c>
      <c r="AA439" s="148"/>
      <c r="AB439" s="145"/>
      <c r="AC439" s="145"/>
      <c r="AD439" s="148">
        <f t="shared" si="161"/>
        <v>7608.4800000000005</v>
      </c>
      <c r="AE439" s="122">
        <f t="shared" si="162"/>
        <v>33422.484308978717</v>
      </c>
      <c r="AF439" s="167">
        <f t="shared" si="163"/>
        <v>238260</v>
      </c>
    </row>
    <row r="440" spans="1:32" s="150" customFormat="1" x14ac:dyDescent="0.2">
      <c r="A440" s="144" t="s">
        <v>1065</v>
      </c>
      <c r="B440" s="144"/>
      <c r="C440" s="144"/>
      <c r="D440" s="145">
        <v>1</v>
      </c>
      <c r="E440" s="122"/>
      <c r="F440" s="146">
        <v>0.12</v>
      </c>
      <c r="G440" s="146"/>
      <c r="H440" s="122">
        <v>10830</v>
      </c>
      <c r="I440" s="122">
        <f t="shared" si="165"/>
        <v>10830</v>
      </c>
      <c r="J440" s="147">
        <f t="shared" si="154"/>
        <v>9530.4</v>
      </c>
      <c r="K440" s="122"/>
      <c r="L440" s="122">
        <v>0</v>
      </c>
      <c r="M440" s="122">
        <f t="shared" si="155"/>
        <v>0</v>
      </c>
      <c r="N440" s="122">
        <f t="shared" si="156"/>
        <v>0</v>
      </c>
      <c r="O440" s="122"/>
      <c r="P440" s="122">
        <v>0</v>
      </c>
      <c r="Q440" s="122">
        <f t="shared" si="157"/>
        <v>0</v>
      </c>
      <c r="R440" s="147">
        <f t="shared" si="158"/>
        <v>0</v>
      </c>
      <c r="S440" s="145">
        <v>25</v>
      </c>
      <c r="T440" s="144" t="s">
        <v>213</v>
      </c>
      <c r="U440" s="90">
        <f>SUMIF('Avoided Costs 2009-2017'!$A:$A,Actuals!T440&amp;Actuals!S440,'Avoided Costs 2009-2017'!$E:$E)*J440</f>
        <v>41030.964308978721</v>
      </c>
      <c r="V440" s="90">
        <f>SUMIF('Avoided Costs 2009-2017'!$A:$A,Actuals!T440&amp;Actuals!S440,'Avoided Costs 2009-2017'!$K:$K)*N440</f>
        <v>0</v>
      </c>
      <c r="W440" s="90">
        <f>SUMIF('Avoided Costs 2009-2017'!$A:$A,Actuals!T440&amp;Actuals!S440,'Avoided Costs 2009-2017'!$M:$M)*R440</f>
        <v>0</v>
      </c>
      <c r="X440" s="90">
        <f t="shared" si="159"/>
        <v>41030.964308978721</v>
      </c>
      <c r="Y440" s="148">
        <v>8646</v>
      </c>
      <c r="Z440" s="149">
        <f t="shared" si="160"/>
        <v>7608.4800000000005</v>
      </c>
      <c r="AA440" s="148"/>
      <c r="AB440" s="145"/>
      <c r="AC440" s="145"/>
      <c r="AD440" s="148">
        <f t="shared" si="161"/>
        <v>7608.4800000000005</v>
      </c>
      <c r="AE440" s="122">
        <f t="shared" si="162"/>
        <v>33422.484308978717</v>
      </c>
      <c r="AF440" s="167">
        <f t="shared" si="163"/>
        <v>238260</v>
      </c>
    </row>
    <row r="441" spans="1:32" s="150" customFormat="1" x14ac:dyDescent="0.2">
      <c r="A441" s="144" t="s">
        <v>1066</v>
      </c>
      <c r="B441" s="144"/>
      <c r="C441" s="144"/>
      <c r="D441" s="145">
        <v>1</v>
      </c>
      <c r="E441" s="122"/>
      <c r="F441" s="146">
        <v>0.12</v>
      </c>
      <c r="G441" s="146"/>
      <c r="H441" s="122">
        <v>10830</v>
      </c>
      <c r="I441" s="122">
        <f t="shared" si="165"/>
        <v>10830</v>
      </c>
      <c r="J441" s="147">
        <f t="shared" si="154"/>
        <v>9530.4</v>
      </c>
      <c r="K441" s="122"/>
      <c r="L441" s="122">
        <v>0</v>
      </c>
      <c r="M441" s="122">
        <f t="shared" si="155"/>
        <v>0</v>
      </c>
      <c r="N441" s="122">
        <f t="shared" si="156"/>
        <v>0</v>
      </c>
      <c r="O441" s="122"/>
      <c r="P441" s="122">
        <v>0</v>
      </c>
      <c r="Q441" s="122">
        <f t="shared" si="157"/>
        <v>0</v>
      </c>
      <c r="R441" s="147">
        <f t="shared" si="158"/>
        <v>0</v>
      </c>
      <c r="S441" s="145">
        <v>25</v>
      </c>
      <c r="T441" s="144" t="s">
        <v>213</v>
      </c>
      <c r="U441" s="90">
        <f>SUMIF('Avoided Costs 2009-2017'!$A:$A,Actuals!T441&amp;Actuals!S441,'Avoided Costs 2009-2017'!$E:$E)*J441</f>
        <v>41030.964308978721</v>
      </c>
      <c r="V441" s="90">
        <f>SUMIF('Avoided Costs 2009-2017'!$A:$A,Actuals!T441&amp;Actuals!S441,'Avoided Costs 2009-2017'!$K:$K)*N441</f>
        <v>0</v>
      </c>
      <c r="W441" s="90">
        <f>SUMIF('Avoided Costs 2009-2017'!$A:$A,Actuals!T441&amp;Actuals!S441,'Avoided Costs 2009-2017'!$M:$M)*R441</f>
        <v>0</v>
      </c>
      <c r="X441" s="90">
        <f t="shared" si="159"/>
        <v>41030.964308978721</v>
      </c>
      <c r="Y441" s="148">
        <v>8646</v>
      </c>
      <c r="Z441" s="149">
        <f t="shared" si="160"/>
        <v>7608.4800000000005</v>
      </c>
      <c r="AA441" s="148"/>
      <c r="AB441" s="145"/>
      <c r="AC441" s="145"/>
      <c r="AD441" s="148">
        <f t="shared" si="161"/>
        <v>7608.4800000000005</v>
      </c>
      <c r="AE441" s="122">
        <f t="shared" si="162"/>
        <v>33422.484308978717</v>
      </c>
      <c r="AF441" s="167">
        <f t="shared" si="163"/>
        <v>238260</v>
      </c>
    </row>
    <row r="442" spans="1:32" s="150" customFormat="1" x14ac:dyDescent="0.2">
      <c r="A442" s="144" t="s">
        <v>1067</v>
      </c>
      <c r="B442" s="144"/>
      <c r="C442" s="144"/>
      <c r="D442" s="145">
        <v>1</v>
      </c>
      <c r="E442" s="122"/>
      <c r="F442" s="146">
        <v>0.12</v>
      </c>
      <c r="G442" s="146"/>
      <c r="H442" s="122">
        <v>10830</v>
      </c>
      <c r="I442" s="122">
        <f t="shared" si="165"/>
        <v>10830</v>
      </c>
      <c r="J442" s="147">
        <f t="shared" si="154"/>
        <v>9530.4</v>
      </c>
      <c r="K442" s="122"/>
      <c r="L442" s="122">
        <v>0</v>
      </c>
      <c r="M442" s="122">
        <f t="shared" si="155"/>
        <v>0</v>
      </c>
      <c r="N442" s="122">
        <f t="shared" si="156"/>
        <v>0</v>
      </c>
      <c r="O442" s="122"/>
      <c r="P442" s="122">
        <v>0</v>
      </c>
      <c r="Q442" s="122">
        <f t="shared" si="157"/>
        <v>0</v>
      </c>
      <c r="R442" s="147">
        <f t="shared" si="158"/>
        <v>0</v>
      </c>
      <c r="S442" s="145">
        <v>25</v>
      </c>
      <c r="T442" s="144" t="s">
        <v>213</v>
      </c>
      <c r="U442" s="90">
        <f>SUMIF('Avoided Costs 2009-2017'!$A:$A,Actuals!T442&amp;Actuals!S442,'Avoided Costs 2009-2017'!$E:$E)*J442</f>
        <v>41030.964308978721</v>
      </c>
      <c r="V442" s="90">
        <f>SUMIF('Avoided Costs 2009-2017'!$A:$A,Actuals!T442&amp;Actuals!S442,'Avoided Costs 2009-2017'!$K:$K)*N442</f>
        <v>0</v>
      </c>
      <c r="W442" s="90">
        <f>SUMIF('Avoided Costs 2009-2017'!$A:$A,Actuals!T442&amp;Actuals!S442,'Avoided Costs 2009-2017'!$M:$M)*R442</f>
        <v>0</v>
      </c>
      <c r="X442" s="90">
        <f t="shared" si="159"/>
        <v>41030.964308978721</v>
      </c>
      <c r="Y442" s="148">
        <v>8646</v>
      </c>
      <c r="Z442" s="149">
        <f t="shared" si="160"/>
        <v>7608.4800000000005</v>
      </c>
      <c r="AA442" s="148"/>
      <c r="AB442" s="145"/>
      <c r="AC442" s="145"/>
      <c r="AD442" s="148">
        <f t="shared" si="161"/>
        <v>7608.4800000000005</v>
      </c>
      <c r="AE442" s="122">
        <f t="shared" si="162"/>
        <v>33422.484308978717</v>
      </c>
      <c r="AF442" s="167">
        <f t="shared" si="163"/>
        <v>238260</v>
      </c>
    </row>
    <row r="443" spans="1:32" s="150" customFormat="1" x14ac:dyDescent="0.2">
      <c r="A443" s="144" t="s">
        <v>1068</v>
      </c>
      <c r="B443" s="144"/>
      <c r="C443" s="144"/>
      <c r="D443" s="145">
        <v>1</v>
      </c>
      <c r="E443" s="122"/>
      <c r="F443" s="146">
        <v>0.12</v>
      </c>
      <c r="G443" s="146"/>
      <c r="H443" s="122">
        <v>10830</v>
      </c>
      <c r="I443" s="122">
        <f t="shared" si="165"/>
        <v>10830</v>
      </c>
      <c r="J443" s="147">
        <f t="shared" si="154"/>
        <v>9530.4</v>
      </c>
      <c r="K443" s="122"/>
      <c r="L443" s="122">
        <v>0</v>
      </c>
      <c r="M443" s="122">
        <f t="shared" si="155"/>
        <v>0</v>
      </c>
      <c r="N443" s="122">
        <f t="shared" si="156"/>
        <v>0</v>
      </c>
      <c r="O443" s="122"/>
      <c r="P443" s="122">
        <v>0</v>
      </c>
      <c r="Q443" s="122">
        <f t="shared" si="157"/>
        <v>0</v>
      </c>
      <c r="R443" s="147">
        <f t="shared" si="158"/>
        <v>0</v>
      </c>
      <c r="S443" s="145">
        <v>25</v>
      </c>
      <c r="T443" s="144" t="s">
        <v>213</v>
      </c>
      <c r="U443" s="90">
        <f>SUMIF('Avoided Costs 2009-2017'!$A:$A,Actuals!T443&amp;Actuals!S443,'Avoided Costs 2009-2017'!$E:$E)*J443</f>
        <v>41030.964308978721</v>
      </c>
      <c r="V443" s="90">
        <f>SUMIF('Avoided Costs 2009-2017'!$A:$A,Actuals!T443&amp;Actuals!S443,'Avoided Costs 2009-2017'!$K:$K)*N443</f>
        <v>0</v>
      </c>
      <c r="W443" s="90">
        <f>SUMIF('Avoided Costs 2009-2017'!$A:$A,Actuals!T443&amp;Actuals!S443,'Avoided Costs 2009-2017'!$M:$M)*R443</f>
        <v>0</v>
      </c>
      <c r="X443" s="90">
        <f t="shared" si="159"/>
        <v>41030.964308978721</v>
      </c>
      <c r="Y443" s="148">
        <v>8646</v>
      </c>
      <c r="Z443" s="149">
        <f t="shared" si="160"/>
        <v>7608.4800000000005</v>
      </c>
      <c r="AA443" s="148"/>
      <c r="AB443" s="145"/>
      <c r="AC443" s="145"/>
      <c r="AD443" s="148">
        <f t="shared" si="161"/>
        <v>7608.4800000000005</v>
      </c>
      <c r="AE443" s="122">
        <f t="shared" si="162"/>
        <v>33422.484308978717</v>
      </c>
      <c r="AF443" s="167">
        <f t="shared" si="163"/>
        <v>238260</v>
      </c>
    </row>
    <row r="444" spans="1:32" s="150" customFormat="1" x14ac:dyDescent="0.2">
      <c r="A444" s="144" t="s">
        <v>1069</v>
      </c>
      <c r="B444" s="144"/>
      <c r="C444" s="144"/>
      <c r="D444" s="145">
        <v>1</v>
      </c>
      <c r="E444" s="122"/>
      <c r="F444" s="146">
        <v>0.12</v>
      </c>
      <c r="G444" s="146"/>
      <c r="H444" s="122">
        <v>43859</v>
      </c>
      <c r="I444" s="122">
        <f t="shared" si="165"/>
        <v>43859</v>
      </c>
      <c r="J444" s="147">
        <f t="shared" si="154"/>
        <v>38595.919999999998</v>
      </c>
      <c r="K444" s="122"/>
      <c r="L444" s="122">
        <v>0</v>
      </c>
      <c r="M444" s="122">
        <f t="shared" si="155"/>
        <v>0</v>
      </c>
      <c r="N444" s="122">
        <f t="shared" si="156"/>
        <v>0</v>
      </c>
      <c r="O444" s="122"/>
      <c r="P444" s="122">
        <v>0</v>
      </c>
      <c r="Q444" s="122">
        <f t="shared" si="157"/>
        <v>0</v>
      </c>
      <c r="R444" s="147">
        <f t="shared" si="158"/>
        <v>0</v>
      </c>
      <c r="S444" s="145">
        <v>25</v>
      </c>
      <c r="T444" s="144" t="s">
        <v>213</v>
      </c>
      <c r="U444" s="90">
        <f>SUMIF('Avoided Costs 2009-2017'!$A:$A,Actuals!T444&amp;Actuals!S444,'Avoided Costs 2009-2017'!$E:$E)*J444</f>
        <v>166165.93385295453</v>
      </c>
      <c r="V444" s="90">
        <f>SUMIF('Avoided Costs 2009-2017'!$A:$A,Actuals!T444&amp;Actuals!S444,'Avoided Costs 2009-2017'!$K:$K)*N444</f>
        <v>0</v>
      </c>
      <c r="W444" s="90">
        <f>SUMIF('Avoided Costs 2009-2017'!$A:$A,Actuals!T444&amp;Actuals!S444,'Avoided Costs 2009-2017'!$M:$M)*R444</f>
        <v>0</v>
      </c>
      <c r="X444" s="90">
        <f t="shared" si="159"/>
        <v>166165.93385295453</v>
      </c>
      <c r="Y444" s="148">
        <v>14470</v>
      </c>
      <c r="Z444" s="149">
        <f t="shared" si="160"/>
        <v>12733.6</v>
      </c>
      <c r="AA444" s="148"/>
      <c r="AB444" s="145"/>
      <c r="AC444" s="145"/>
      <c r="AD444" s="148">
        <f t="shared" si="161"/>
        <v>12733.6</v>
      </c>
      <c r="AE444" s="122">
        <f t="shared" si="162"/>
        <v>153432.33385295453</v>
      </c>
      <c r="AF444" s="167">
        <f t="shared" si="163"/>
        <v>964898</v>
      </c>
    </row>
    <row r="445" spans="1:32" s="150" customFormat="1" x14ac:dyDescent="0.2">
      <c r="A445" s="144" t="s">
        <v>1070</v>
      </c>
      <c r="B445" s="144"/>
      <c r="C445" s="144"/>
      <c r="D445" s="145">
        <v>1</v>
      </c>
      <c r="E445" s="122"/>
      <c r="F445" s="146">
        <v>0.12</v>
      </c>
      <c r="G445" s="146"/>
      <c r="H445" s="122">
        <v>10830</v>
      </c>
      <c r="I445" s="122">
        <f t="shared" si="165"/>
        <v>10830</v>
      </c>
      <c r="J445" s="147">
        <f t="shared" si="154"/>
        <v>9530.4</v>
      </c>
      <c r="K445" s="122"/>
      <c r="L445" s="122">
        <v>0</v>
      </c>
      <c r="M445" s="122">
        <f t="shared" si="155"/>
        <v>0</v>
      </c>
      <c r="N445" s="122">
        <f t="shared" si="156"/>
        <v>0</v>
      </c>
      <c r="O445" s="122"/>
      <c r="P445" s="122">
        <v>0</v>
      </c>
      <c r="Q445" s="122">
        <f t="shared" si="157"/>
        <v>0</v>
      </c>
      <c r="R445" s="147">
        <f t="shared" si="158"/>
        <v>0</v>
      </c>
      <c r="S445" s="145">
        <v>25</v>
      </c>
      <c r="T445" s="144" t="s">
        <v>213</v>
      </c>
      <c r="U445" s="90">
        <f>SUMIF('Avoided Costs 2009-2017'!$A:$A,Actuals!T445&amp;Actuals!S445,'Avoided Costs 2009-2017'!$E:$E)*J445</f>
        <v>41030.964308978721</v>
      </c>
      <c r="V445" s="90">
        <f>SUMIF('Avoided Costs 2009-2017'!$A:$A,Actuals!T445&amp;Actuals!S445,'Avoided Costs 2009-2017'!$K:$K)*N445</f>
        <v>0</v>
      </c>
      <c r="W445" s="90">
        <f>SUMIF('Avoided Costs 2009-2017'!$A:$A,Actuals!T445&amp;Actuals!S445,'Avoided Costs 2009-2017'!$M:$M)*R445</f>
        <v>0</v>
      </c>
      <c r="X445" s="90">
        <f t="shared" si="159"/>
        <v>41030.964308978721</v>
      </c>
      <c r="Y445" s="148">
        <v>8646</v>
      </c>
      <c r="Z445" s="149">
        <f t="shared" si="160"/>
        <v>7608.4800000000005</v>
      </c>
      <c r="AA445" s="148"/>
      <c r="AB445" s="145"/>
      <c r="AC445" s="145"/>
      <c r="AD445" s="148">
        <f t="shared" si="161"/>
        <v>7608.4800000000005</v>
      </c>
      <c r="AE445" s="122">
        <f t="shared" si="162"/>
        <v>33422.484308978717</v>
      </c>
      <c r="AF445" s="167">
        <f t="shared" si="163"/>
        <v>238260</v>
      </c>
    </row>
    <row r="446" spans="1:32" s="150" customFormat="1" x14ac:dyDescent="0.2">
      <c r="A446" s="144" t="s">
        <v>1071</v>
      </c>
      <c r="B446" s="144"/>
      <c r="C446" s="144"/>
      <c r="D446" s="145">
        <v>1</v>
      </c>
      <c r="E446" s="122"/>
      <c r="F446" s="146">
        <v>0.12</v>
      </c>
      <c r="G446" s="146"/>
      <c r="H446" s="122">
        <v>17714</v>
      </c>
      <c r="I446" s="122">
        <f t="shared" si="164"/>
        <v>17147.151999999998</v>
      </c>
      <c r="J446" s="147">
        <f t="shared" si="154"/>
        <v>15089.493759999999</v>
      </c>
      <c r="K446" s="122"/>
      <c r="L446" s="122">
        <v>20000</v>
      </c>
      <c r="M446" s="122">
        <f t="shared" si="155"/>
        <v>17980</v>
      </c>
      <c r="N446" s="122">
        <f t="shared" si="156"/>
        <v>15822.4</v>
      </c>
      <c r="O446" s="122"/>
      <c r="P446" s="122">
        <v>0</v>
      </c>
      <c r="Q446" s="122">
        <f t="shared" si="157"/>
        <v>0</v>
      </c>
      <c r="R446" s="147">
        <f t="shared" si="158"/>
        <v>0</v>
      </c>
      <c r="S446" s="145">
        <v>15</v>
      </c>
      <c r="T446" s="144" t="s">
        <v>213</v>
      </c>
      <c r="U446" s="90">
        <f>SUMIF('Avoided Costs 2009-2017'!$A:$A,Actuals!T446&amp;Actuals!S446,'Avoided Costs 2009-2017'!$E:$E)*J446</f>
        <v>51035.770267119828</v>
      </c>
      <c r="V446" s="90">
        <f>SUMIF('Avoided Costs 2009-2017'!$A:$A,Actuals!T446&amp;Actuals!S446,'Avoided Costs 2009-2017'!$K:$K)*N446</f>
        <v>11811.930709584714</v>
      </c>
      <c r="W446" s="90">
        <f>SUMIF('Avoided Costs 2009-2017'!$A:$A,Actuals!T446&amp;Actuals!S446,'Avoided Costs 2009-2017'!$M:$M)*R446</f>
        <v>0</v>
      </c>
      <c r="X446" s="90">
        <f t="shared" si="159"/>
        <v>62847.700976704538</v>
      </c>
      <c r="Y446" s="148">
        <v>50000</v>
      </c>
      <c r="Z446" s="149">
        <f t="shared" si="160"/>
        <v>44000</v>
      </c>
      <c r="AA446" s="148"/>
      <c r="AB446" s="145"/>
      <c r="AC446" s="145"/>
      <c r="AD446" s="148">
        <f t="shared" si="161"/>
        <v>44000</v>
      </c>
      <c r="AE446" s="122">
        <f t="shared" si="162"/>
        <v>18847.700976704538</v>
      </c>
      <c r="AF446" s="167">
        <f t="shared" si="163"/>
        <v>226342.40639999998</v>
      </c>
    </row>
    <row r="447" spans="1:32" s="150" customFormat="1" x14ac:dyDescent="0.2">
      <c r="A447" s="144" t="s">
        <v>1072</v>
      </c>
      <c r="B447" s="144"/>
      <c r="C447" s="144"/>
      <c r="D447" s="145">
        <v>1</v>
      </c>
      <c r="E447" s="122"/>
      <c r="F447" s="146">
        <v>0.12</v>
      </c>
      <c r="G447" s="146"/>
      <c r="H447" s="122">
        <v>10830</v>
      </c>
      <c r="I447" s="122">
        <f t="shared" ref="I447:I470" si="166">+H447</f>
        <v>10830</v>
      </c>
      <c r="J447" s="147">
        <f t="shared" si="154"/>
        <v>9530.4</v>
      </c>
      <c r="K447" s="122"/>
      <c r="L447" s="122">
        <v>0</v>
      </c>
      <c r="M447" s="122">
        <f t="shared" si="155"/>
        <v>0</v>
      </c>
      <c r="N447" s="122">
        <f t="shared" si="156"/>
        <v>0</v>
      </c>
      <c r="O447" s="122"/>
      <c r="P447" s="122">
        <v>0</v>
      </c>
      <c r="Q447" s="122">
        <f t="shared" si="157"/>
        <v>0</v>
      </c>
      <c r="R447" s="147">
        <f t="shared" si="158"/>
        <v>0</v>
      </c>
      <c r="S447" s="145">
        <v>25</v>
      </c>
      <c r="T447" s="144" t="s">
        <v>213</v>
      </c>
      <c r="U447" s="90">
        <f>SUMIF('Avoided Costs 2009-2017'!$A:$A,Actuals!T447&amp;Actuals!S447,'Avoided Costs 2009-2017'!$E:$E)*J447</f>
        <v>41030.964308978721</v>
      </c>
      <c r="V447" s="90">
        <f>SUMIF('Avoided Costs 2009-2017'!$A:$A,Actuals!T447&amp;Actuals!S447,'Avoided Costs 2009-2017'!$K:$K)*N447</f>
        <v>0</v>
      </c>
      <c r="W447" s="90">
        <f>SUMIF('Avoided Costs 2009-2017'!$A:$A,Actuals!T447&amp;Actuals!S447,'Avoided Costs 2009-2017'!$M:$M)*R447</f>
        <v>0</v>
      </c>
      <c r="X447" s="90">
        <f t="shared" si="159"/>
        <v>41030.964308978721</v>
      </c>
      <c r="Y447" s="148">
        <v>8646</v>
      </c>
      <c r="Z447" s="149">
        <f t="shared" si="160"/>
        <v>7608.4800000000005</v>
      </c>
      <c r="AA447" s="148"/>
      <c r="AB447" s="145"/>
      <c r="AC447" s="145"/>
      <c r="AD447" s="148">
        <f t="shared" si="161"/>
        <v>7608.4800000000005</v>
      </c>
      <c r="AE447" s="122">
        <f t="shared" si="162"/>
        <v>33422.484308978717</v>
      </c>
      <c r="AF447" s="167">
        <f t="shared" si="163"/>
        <v>238260</v>
      </c>
    </row>
    <row r="448" spans="1:32" s="150" customFormat="1" x14ac:dyDescent="0.2">
      <c r="A448" s="144" t="s">
        <v>1073</v>
      </c>
      <c r="B448" s="144"/>
      <c r="C448" s="144"/>
      <c r="D448" s="145">
        <v>1</v>
      </c>
      <c r="E448" s="122"/>
      <c r="F448" s="146">
        <v>0.12</v>
      </c>
      <c r="G448" s="146"/>
      <c r="H448" s="122">
        <v>10830</v>
      </c>
      <c r="I448" s="122">
        <f t="shared" si="166"/>
        <v>10830</v>
      </c>
      <c r="J448" s="147">
        <f t="shared" si="154"/>
        <v>9530.4</v>
      </c>
      <c r="K448" s="122"/>
      <c r="L448" s="122">
        <v>0</v>
      </c>
      <c r="M448" s="122">
        <f t="shared" si="155"/>
        <v>0</v>
      </c>
      <c r="N448" s="122">
        <f t="shared" si="156"/>
        <v>0</v>
      </c>
      <c r="O448" s="122"/>
      <c r="P448" s="122">
        <v>0</v>
      </c>
      <c r="Q448" s="122">
        <f t="shared" si="157"/>
        <v>0</v>
      </c>
      <c r="R448" s="147">
        <f t="shared" si="158"/>
        <v>0</v>
      </c>
      <c r="S448" s="145">
        <v>25</v>
      </c>
      <c r="T448" s="144" t="s">
        <v>213</v>
      </c>
      <c r="U448" s="90">
        <f>SUMIF('Avoided Costs 2009-2017'!$A:$A,Actuals!T448&amp;Actuals!S448,'Avoided Costs 2009-2017'!$E:$E)*J448</f>
        <v>41030.964308978721</v>
      </c>
      <c r="V448" s="90">
        <f>SUMIF('Avoided Costs 2009-2017'!$A:$A,Actuals!T448&amp;Actuals!S448,'Avoided Costs 2009-2017'!$K:$K)*N448</f>
        <v>0</v>
      </c>
      <c r="W448" s="90">
        <f>SUMIF('Avoided Costs 2009-2017'!$A:$A,Actuals!T448&amp;Actuals!S448,'Avoided Costs 2009-2017'!$M:$M)*R448</f>
        <v>0</v>
      </c>
      <c r="X448" s="90">
        <f t="shared" si="159"/>
        <v>41030.964308978721</v>
      </c>
      <c r="Y448" s="148">
        <v>8646</v>
      </c>
      <c r="Z448" s="149">
        <f t="shared" si="160"/>
        <v>7608.4800000000005</v>
      </c>
      <c r="AA448" s="148"/>
      <c r="AB448" s="145"/>
      <c r="AC448" s="145"/>
      <c r="AD448" s="148">
        <f t="shared" si="161"/>
        <v>7608.4800000000005</v>
      </c>
      <c r="AE448" s="122">
        <f t="shared" si="162"/>
        <v>33422.484308978717</v>
      </c>
      <c r="AF448" s="167">
        <f t="shared" si="163"/>
        <v>238260</v>
      </c>
    </row>
    <row r="449" spans="1:32" s="150" customFormat="1" x14ac:dyDescent="0.2">
      <c r="A449" s="144" t="s">
        <v>1074</v>
      </c>
      <c r="B449" s="144"/>
      <c r="C449" s="144"/>
      <c r="D449" s="145">
        <v>1</v>
      </c>
      <c r="E449" s="122"/>
      <c r="F449" s="146">
        <v>0.12</v>
      </c>
      <c r="G449" s="146"/>
      <c r="H449" s="122">
        <v>10830</v>
      </c>
      <c r="I449" s="122">
        <f t="shared" si="166"/>
        <v>10830</v>
      </c>
      <c r="J449" s="147">
        <f t="shared" si="154"/>
        <v>9530.4</v>
      </c>
      <c r="K449" s="122"/>
      <c r="L449" s="122">
        <v>0</v>
      </c>
      <c r="M449" s="122">
        <f t="shared" si="155"/>
        <v>0</v>
      </c>
      <c r="N449" s="122">
        <f t="shared" si="156"/>
        <v>0</v>
      </c>
      <c r="O449" s="122"/>
      <c r="P449" s="122">
        <v>0</v>
      </c>
      <c r="Q449" s="122">
        <f t="shared" si="157"/>
        <v>0</v>
      </c>
      <c r="R449" s="147">
        <f t="shared" si="158"/>
        <v>0</v>
      </c>
      <c r="S449" s="145">
        <v>25</v>
      </c>
      <c r="T449" s="144" t="s">
        <v>213</v>
      </c>
      <c r="U449" s="90">
        <f>SUMIF('Avoided Costs 2009-2017'!$A:$A,Actuals!T449&amp;Actuals!S449,'Avoided Costs 2009-2017'!$E:$E)*J449</f>
        <v>41030.964308978721</v>
      </c>
      <c r="V449" s="90">
        <f>SUMIF('Avoided Costs 2009-2017'!$A:$A,Actuals!T449&amp;Actuals!S449,'Avoided Costs 2009-2017'!$K:$K)*N449</f>
        <v>0</v>
      </c>
      <c r="W449" s="90">
        <f>SUMIF('Avoided Costs 2009-2017'!$A:$A,Actuals!T449&amp;Actuals!S449,'Avoided Costs 2009-2017'!$M:$M)*R449</f>
        <v>0</v>
      </c>
      <c r="X449" s="90">
        <f t="shared" si="159"/>
        <v>41030.964308978721</v>
      </c>
      <c r="Y449" s="148">
        <v>8646</v>
      </c>
      <c r="Z449" s="149">
        <f t="shared" si="160"/>
        <v>7608.4800000000005</v>
      </c>
      <c r="AA449" s="148"/>
      <c r="AB449" s="145"/>
      <c r="AC449" s="145"/>
      <c r="AD449" s="148">
        <f t="shared" si="161"/>
        <v>7608.4800000000005</v>
      </c>
      <c r="AE449" s="122">
        <f t="shared" si="162"/>
        <v>33422.484308978717</v>
      </c>
      <c r="AF449" s="167">
        <f t="shared" si="163"/>
        <v>238260</v>
      </c>
    </row>
    <row r="450" spans="1:32" s="150" customFormat="1" x14ac:dyDescent="0.2">
      <c r="A450" s="144" t="s">
        <v>1075</v>
      </c>
      <c r="B450" s="144"/>
      <c r="C450" s="144"/>
      <c r="D450" s="145">
        <v>1</v>
      </c>
      <c r="E450" s="122"/>
      <c r="F450" s="146">
        <v>0.12</v>
      </c>
      <c r="G450" s="146"/>
      <c r="H450" s="122">
        <v>10830</v>
      </c>
      <c r="I450" s="122">
        <f t="shared" si="166"/>
        <v>10830</v>
      </c>
      <c r="J450" s="147">
        <f t="shared" si="154"/>
        <v>9530.4</v>
      </c>
      <c r="K450" s="122"/>
      <c r="L450" s="122">
        <v>0</v>
      </c>
      <c r="M450" s="122">
        <f t="shared" si="155"/>
        <v>0</v>
      </c>
      <c r="N450" s="122">
        <f t="shared" si="156"/>
        <v>0</v>
      </c>
      <c r="O450" s="122"/>
      <c r="P450" s="122">
        <v>0</v>
      </c>
      <c r="Q450" s="122">
        <f t="shared" si="157"/>
        <v>0</v>
      </c>
      <c r="R450" s="147">
        <f t="shared" si="158"/>
        <v>0</v>
      </c>
      <c r="S450" s="145">
        <v>25</v>
      </c>
      <c r="T450" s="144" t="s">
        <v>213</v>
      </c>
      <c r="U450" s="90">
        <f>SUMIF('Avoided Costs 2009-2017'!$A:$A,Actuals!T450&amp;Actuals!S450,'Avoided Costs 2009-2017'!$E:$E)*J450</f>
        <v>41030.964308978721</v>
      </c>
      <c r="V450" s="90">
        <f>SUMIF('Avoided Costs 2009-2017'!$A:$A,Actuals!T450&amp;Actuals!S450,'Avoided Costs 2009-2017'!$K:$K)*N450</f>
        <v>0</v>
      </c>
      <c r="W450" s="90">
        <f>SUMIF('Avoided Costs 2009-2017'!$A:$A,Actuals!T450&amp;Actuals!S450,'Avoided Costs 2009-2017'!$M:$M)*R450</f>
        <v>0</v>
      </c>
      <c r="X450" s="90">
        <f t="shared" si="159"/>
        <v>41030.964308978721</v>
      </c>
      <c r="Y450" s="148">
        <v>8646</v>
      </c>
      <c r="Z450" s="149">
        <f t="shared" si="160"/>
        <v>7608.4800000000005</v>
      </c>
      <c r="AA450" s="148"/>
      <c r="AB450" s="145"/>
      <c r="AC450" s="145"/>
      <c r="AD450" s="148">
        <f t="shared" si="161"/>
        <v>7608.4800000000005</v>
      </c>
      <c r="AE450" s="122">
        <f t="shared" si="162"/>
        <v>33422.484308978717</v>
      </c>
      <c r="AF450" s="167">
        <f t="shared" si="163"/>
        <v>238260</v>
      </c>
    </row>
    <row r="451" spans="1:32" s="150" customFormat="1" x14ac:dyDescent="0.2">
      <c r="A451" s="144" t="s">
        <v>1076</v>
      </c>
      <c r="B451" s="144"/>
      <c r="C451" s="144"/>
      <c r="D451" s="145">
        <v>1</v>
      </c>
      <c r="E451" s="122"/>
      <c r="F451" s="146">
        <v>0.12</v>
      </c>
      <c r="G451" s="146"/>
      <c r="H451" s="122">
        <v>10830</v>
      </c>
      <c r="I451" s="122">
        <f t="shared" si="166"/>
        <v>10830</v>
      </c>
      <c r="J451" s="147">
        <f t="shared" si="154"/>
        <v>9530.4</v>
      </c>
      <c r="K451" s="122"/>
      <c r="L451" s="122">
        <v>0</v>
      </c>
      <c r="M451" s="122">
        <f t="shared" si="155"/>
        <v>0</v>
      </c>
      <c r="N451" s="122">
        <f t="shared" si="156"/>
        <v>0</v>
      </c>
      <c r="O451" s="122"/>
      <c r="P451" s="122">
        <v>0</v>
      </c>
      <c r="Q451" s="122">
        <f t="shared" si="157"/>
        <v>0</v>
      </c>
      <c r="R451" s="147">
        <f t="shared" si="158"/>
        <v>0</v>
      </c>
      <c r="S451" s="145">
        <v>25</v>
      </c>
      <c r="T451" s="144" t="s">
        <v>213</v>
      </c>
      <c r="U451" s="90">
        <f>SUMIF('Avoided Costs 2009-2017'!$A:$A,Actuals!T451&amp;Actuals!S451,'Avoided Costs 2009-2017'!$E:$E)*J451</f>
        <v>41030.964308978721</v>
      </c>
      <c r="V451" s="90">
        <f>SUMIF('Avoided Costs 2009-2017'!$A:$A,Actuals!T451&amp;Actuals!S451,'Avoided Costs 2009-2017'!$K:$K)*N451</f>
        <v>0</v>
      </c>
      <c r="W451" s="90">
        <f>SUMIF('Avoided Costs 2009-2017'!$A:$A,Actuals!T451&amp;Actuals!S451,'Avoided Costs 2009-2017'!$M:$M)*R451</f>
        <v>0</v>
      </c>
      <c r="X451" s="90">
        <f t="shared" si="159"/>
        <v>41030.964308978721</v>
      </c>
      <c r="Y451" s="148">
        <v>8646</v>
      </c>
      <c r="Z451" s="149">
        <f t="shared" si="160"/>
        <v>7608.4800000000005</v>
      </c>
      <c r="AA451" s="148"/>
      <c r="AB451" s="145"/>
      <c r="AC451" s="145"/>
      <c r="AD451" s="148">
        <f t="shared" si="161"/>
        <v>7608.4800000000005</v>
      </c>
      <c r="AE451" s="122">
        <f t="shared" si="162"/>
        <v>33422.484308978717</v>
      </c>
      <c r="AF451" s="167">
        <f t="shared" si="163"/>
        <v>238260</v>
      </c>
    </row>
    <row r="452" spans="1:32" s="150" customFormat="1" x14ac:dyDescent="0.2">
      <c r="A452" s="144" t="s">
        <v>1077</v>
      </c>
      <c r="B452" s="144"/>
      <c r="C452" s="144"/>
      <c r="D452" s="145">
        <v>1</v>
      </c>
      <c r="E452" s="122"/>
      <c r="F452" s="146">
        <v>0.12</v>
      </c>
      <c r="G452" s="146"/>
      <c r="H452" s="122">
        <v>10830</v>
      </c>
      <c r="I452" s="122">
        <f t="shared" si="166"/>
        <v>10830</v>
      </c>
      <c r="J452" s="147">
        <f t="shared" si="154"/>
        <v>9530.4</v>
      </c>
      <c r="K452" s="122"/>
      <c r="L452" s="122">
        <v>0</v>
      </c>
      <c r="M452" s="122">
        <f t="shared" si="155"/>
        <v>0</v>
      </c>
      <c r="N452" s="122">
        <f t="shared" si="156"/>
        <v>0</v>
      </c>
      <c r="O452" s="122"/>
      <c r="P452" s="122">
        <v>0</v>
      </c>
      <c r="Q452" s="122">
        <f t="shared" si="157"/>
        <v>0</v>
      </c>
      <c r="R452" s="147">
        <f t="shared" si="158"/>
        <v>0</v>
      </c>
      <c r="S452" s="145">
        <v>25</v>
      </c>
      <c r="T452" s="144" t="s">
        <v>213</v>
      </c>
      <c r="U452" s="90">
        <f>SUMIF('Avoided Costs 2009-2017'!$A:$A,Actuals!T452&amp;Actuals!S452,'Avoided Costs 2009-2017'!$E:$E)*J452</f>
        <v>41030.964308978721</v>
      </c>
      <c r="V452" s="90">
        <f>SUMIF('Avoided Costs 2009-2017'!$A:$A,Actuals!T452&amp;Actuals!S452,'Avoided Costs 2009-2017'!$K:$K)*N452</f>
        <v>0</v>
      </c>
      <c r="W452" s="90">
        <f>SUMIF('Avoided Costs 2009-2017'!$A:$A,Actuals!T452&amp;Actuals!S452,'Avoided Costs 2009-2017'!$M:$M)*R452</f>
        <v>0</v>
      </c>
      <c r="X452" s="90">
        <f t="shared" si="159"/>
        <v>41030.964308978721</v>
      </c>
      <c r="Y452" s="148">
        <v>8646</v>
      </c>
      <c r="Z452" s="149">
        <f t="shared" si="160"/>
        <v>7608.4800000000005</v>
      </c>
      <c r="AA452" s="148"/>
      <c r="AB452" s="145"/>
      <c r="AC452" s="145"/>
      <c r="AD452" s="148">
        <f t="shared" si="161"/>
        <v>7608.4800000000005</v>
      </c>
      <c r="AE452" s="122">
        <f t="shared" si="162"/>
        <v>33422.484308978717</v>
      </c>
      <c r="AF452" s="167">
        <f t="shared" si="163"/>
        <v>238260</v>
      </c>
    </row>
    <row r="453" spans="1:32" s="150" customFormat="1" x14ac:dyDescent="0.2">
      <c r="A453" s="144" t="s">
        <v>1078</v>
      </c>
      <c r="B453" s="144"/>
      <c r="C453" s="144"/>
      <c r="D453" s="145">
        <v>1</v>
      </c>
      <c r="E453" s="122"/>
      <c r="F453" s="146">
        <v>0.12</v>
      </c>
      <c r="G453" s="146"/>
      <c r="H453" s="122">
        <v>10830</v>
      </c>
      <c r="I453" s="122">
        <f t="shared" si="166"/>
        <v>10830</v>
      </c>
      <c r="J453" s="147">
        <f t="shared" si="154"/>
        <v>9530.4</v>
      </c>
      <c r="K453" s="122"/>
      <c r="L453" s="122">
        <v>0</v>
      </c>
      <c r="M453" s="122">
        <f t="shared" si="155"/>
        <v>0</v>
      </c>
      <c r="N453" s="122">
        <f t="shared" si="156"/>
        <v>0</v>
      </c>
      <c r="O453" s="122"/>
      <c r="P453" s="122">
        <v>0</v>
      </c>
      <c r="Q453" s="122">
        <f t="shared" si="157"/>
        <v>0</v>
      </c>
      <c r="R453" s="147">
        <f t="shared" si="158"/>
        <v>0</v>
      </c>
      <c r="S453" s="145">
        <v>25</v>
      </c>
      <c r="T453" s="144" t="s">
        <v>213</v>
      </c>
      <c r="U453" s="90">
        <f>SUMIF('Avoided Costs 2009-2017'!$A:$A,Actuals!T453&amp;Actuals!S453,'Avoided Costs 2009-2017'!$E:$E)*J453</f>
        <v>41030.964308978721</v>
      </c>
      <c r="V453" s="90">
        <f>SUMIF('Avoided Costs 2009-2017'!$A:$A,Actuals!T453&amp;Actuals!S453,'Avoided Costs 2009-2017'!$K:$K)*N453</f>
        <v>0</v>
      </c>
      <c r="W453" s="90">
        <f>SUMIF('Avoided Costs 2009-2017'!$A:$A,Actuals!T453&amp;Actuals!S453,'Avoided Costs 2009-2017'!$M:$M)*R453</f>
        <v>0</v>
      </c>
      <c r="X453" s="90">
        <f t="shared" si="159"/>
        <v>41030.964308978721</v>
      </c>
      <c r="Y453" s="148">
        <v>8646</v>
      </c>
      <c r="Z453" s="149">
        <f t="shared" si="160"/>
        <v>7608.4800000000005</v>
      </c>
      <c r="AA453" s="148"/>
      <c r="AB453" s="145"/>
      <c r="AC453" s="145"/>
      <c r="AD453" s="148">
        <f t="shared" si="161"/>
        <v>7608.4800000000005</v>
      </c>
      <c r="AE453" s="122">
        <f t="shared" si="162"/>
        <v>33422.484308978717</v>
      </c>
      <c r="AF453" s="167">
        <f t="shared" si="163"/>
        <v>238260</v>
      </c>
    </row>
    <row r="454" spans="1:32" s="150" customFormat="1" x14ac:dyDescent="0.2">
      <c r="A454" s="144" t="s">
        <v>1079</v>
      </c>
      <c r="B454" s="144"/>
      <c r="C454" s="144"/>
      <c r="D454" s="145">
        <v>1</v>
      </c>
      <c r="E454" s="122"/>
      <c r="F454" s="146">
        <v>0.12</v>
      </c>
      <c r="G454" s="146"/>
      <c r="H454" s="122">
        <v>10830</v>
      </c>
      <c r="I454" s="122">
        <f t="shared" si="166"/>
        <v>10830</v>
      </c>
      <c r="J454" s="147">
        <f t="shared" si="154"/>
        <v>9530.4</v>
      </c>
      <c r="K454" s="122"/>
      <c r="L454" s="122">
        <v>0</v>
      </c>
      <c r="M454" s="122">
        <f t="shared" si="155"/>
        <v>0</v>
      </c>
      <c r="N454" s="122">
        <f t="shared" si="156"/>
        <v>0</v>
      </c>
      <c r="O454" s="122"/>
      <c r="P454" s="122">
        <v>0</v>
      </c>
      <c r="Q454" s="122">
        <f t="shared" si="157"/>
        <v>0</v>
      </c>
      <c r="R454" s="147">
        <f t="shared" si="158"/>
        <v>0</v>
      </c>
      <c r="S454" s="145">
        <v>25</v>
      </c>
      <c r="T454" s="144" t="s">
        <v>213</v>
      </c>
      <c r="U454" s="90">
        <f>SUMIF('Avoided Costs 2009-2017'!$A:$A,Actuals!T454&amp;Actuals!S454,'Avoided Costs 2009-2017'!$E:$E)*J454</f>
        <v>41030.964308978721</v>
      </c>
      <c r="V454" s="90">
        <f>SUMIF('Avoided Costs 2009-2017'!$A:$A,Actuals!T454&amp;Actuals!S454,'Avoided Costs 2009-2017'!$K:$K)*N454</f>
        <v>0</v>
      </c>
      <c r="W454" s="90">
        <f>SUMIF('Avoided Costs 2009-2017'!$A:$A,Actuals!T454&amp;Actuals!S454,'Avoided Costs 2009-2017'!$M:$M)*R454</f>
        <v>0</v>
      </c>
      <c r="X454" s="90">
        <f t="shared" si="159"/>
        <v>41030.964308978721</v>
      </c>
      <c r="Y454" s="148">
        <v>8646</v>
      </c>
      <c r="Z454" s="149">
        <f t="shared" si="160"/>
        <v>7608.4800000000005</v>
      </c>
      <c r="AA454" s="148"/>
      <c r="AB454" s="145"/>
      <c r="AC454" s="145"/>
      <c r="AD454" s="148">
        <f t="shared" si="161"/>
        <v>7608.4800000000005</v>
      </c>
      <c r="AE454" s="122">
        <f t="shared" si="162"/>
        <v>33422.484308978717</v>
      </c>
      <c r="AF454" s="167">
        <f t="shared" si="163"/>
        <v>238260</v>
      </c>
    </row>
    <row r="455" spans="1:32" s="150" customFormat="1" x14ac:dyDescent="0.2">
      <c r="A455" s="144" t="s">
        <v>1080</v>
      </c>
      <c r="B455" s="144"/>
      <c r="C455" s="144"/>
      <c r="D455" s="145">
        <v>1</v>
      </c>
      <c r="E455" s="122"/>
      <c r="F455" s="146">
        <v>0.12</v>
      </c>
      <c r="G455" s="146"/>
      <c r="H455" s="122">
        <v>43859</v>
      </c>
      <c r="I455" s="122">
        <f t="shared" si="166"/>
        <v>43859</v>
      </c>
      <c r="J455" s="147">
        <f t="shared" si="154"/>
        <v>38595.919999999998</v>
      </c>
      <c r="K455" s="122"/>
      <c r="L455" s="122">
        <v>0</v>
      </c>
      <c r="M455" s="122">
        <f t="shared" si="155"/>
        <v>0</v>
      </c>
      <c r="N455" s="122">
        <f t="shared" si="156"/>
        <v>0</v>
      </c>
      <c r="O455" s="122"/>
      <c r="P455" s="122">
        <v>0</v>
      </c>
      <c r="Q455" s="122">
        <f t="shared" si="157"/>
        <v>0</v>
      </c>
      <c r="R455" s="147">
        <f t="shared" si="158"/>
        <v>0</v>
      </c>
      <c r="S455" s="145">
        <v>25</v>
      </c>
      <c r="T455" s="144" t="s">
        <v>213</v>
      </c>
      <c r="U455" s="90">
        <f>SUMIF('Avoided Costs 2009-2017'!$A:$A,Actuals!T455&amp;Actuals!S455,'Avoided Costs 2009-2017'!$E:$E)*J455</f>
        <v>166165.93385295453</v>
      </c>
      <c r="V455" s="90">
        <f>SUMIF('Avoided Costs 2009-2017'!$A:$A,Actuals!T455&amp;Actuals!S455,'Avoided Costs 2009-2017'!$K:$K)*N455</f>
        <v>0</v>
      </c>
      <c r="W455" s="90">
        <f>SUMIF('Avoided Costs 2009-2017'!$A:$A,Actuals!T455&amp;Actuals!S455,'Avoided Costs 2009-2017'!$M:$M)*R455</f>
        <v>0</v>
      </c>
      <c r="X455" s="90">
        <f t="shared" si="159"/>
        <v>166165.93385295453</v>
      </c>
      <c r="Y455" s="148">
        <v>14470</v>
      </c>
      <c r="Z455" s="149">
        <f t="shared" si="160"/>
        <v>12733.6</v>
      </c>
      <c r="AA455" s="148"/>
      <c r="AB455" s="145"/>
      <c r="AC455" s="145"/>
      <c r="AD455" s="148">
        <f t="shared" si="161"/>
        <v>12733.6</v>
      </c>
      <c r="AE455" s="122">
        <f t="shared" si="162"/>
        <v>153432.33385295453</v>
      </c>
      <c r="AF455" s="167">
        <f t="shared" si="163"/>
        <v>964898</v>
      </c>
    </row>
    <row r="456" spans="1:32" s="150" customFormat="1" x14ac:dyDescent="0.2">
      <c r="A456" s="144" t="s">
        <v>1081</v>
      </c>
      <c r="B456" s="144"/>
      <c r="C456" s="144"/>
      <c r="D456" s="145">
        <v>1</v>
      </c>
      <c r="E456" s="122"/>
      <c r="F456" s="146">
        <v>0.12</v>
      </c>
      <c r="G456" s="146"/>
      <c r="H456" s="122">
        <v>10830</v>
      </c>
      <c r="I456" s="122">
        <f t="shared" si="166"/>
        <v>10830</v>
      </c>
      <c r="J456" s="147">
        <f t="shared" si="154"/>
        <v>9530.4</v>
      </c>
      <c r="K456" s="122"/>
      <c r="L456" s="122">
        <v>0</v>
      </c>
      <c r="M456" s="122">
        <f t="shared" si="155"/>
        <v>0</v>
      </c>
      <c r="N456" s="122">
        <f t="shared" si="156"/>
        <v>0</v>
      </c>
      <c r="O456" s="122"/>
      <c r="P456" s="122">
        <v>0</v>
      </c>
      <c r="Q456" s="122">
        <f t="shared" si="157"/>
        <v>0</v>
      </c>
      <c r="R456" s="147">
        <f t="shared" si="158"/>
        <v>0</v>
      </c>
      <c r="S456" s="145">
        <v>25</v>
      </c>
      <c r="T456" s="144" t="s">
        <v>213</v>
      </c>
      <c r="U456" s="90">
        <f>SUMIF('Avoided Costs 2009-2017'!$A:$A,Actuals!T456&amp;Actuals!S456,'Avoided Costs 2009-2017'!$E:$E)*J456</f>
        <v>41030.964308978721</v>
      </c>
      <c r="V456" s="90">
        <f>SUMIF('Avoided Costs 2009-2017'!$A:$A,Actuals!T456&amp;Actuals!S456,'Avoided Costs 2009-2017'!$K:$K)*N456</f>
        <v>0</v>
      </c>
      <c r="W456" s="90">
        <f>SUMIF('Avoided Costs 2009-2017'!$A:$A,Actuals!T456&amp;Actuals!S456,'Avoided Costs 2009-2017'!$M:$M)*R456</f>
        <v>0</v>
      </c>
      <c r="X456" s="90">
        <f t="shared" si="159"/>
        <v>41030.964308978721</v>
      </c>
      <c r="Y456" s="148">
        <v>8646</v>
      </c>
      <c r="Z456" s="149">
        <f t="shared" si="160"/>
        <v>7608.4800000000005</v>
      </c>
      <c r="AA456" s="148"/>
      <c r="AB456" s="145"/>
      <c r="AC456" s="145"/>
      <c r="AD456" s="148">
        <f t="shared" si="161"/>
        <v>7608.4800000000005</v>
      </c>
      <c r="AE456" s="122">
        <f t="shared" si="162"/>
        <v>33422.484308978717</v>
      </c>
      <c r="AF456" s="167">
        <f t="shared" si="163"/>
        <v>238260</v>
      </c>
    </row>
    <row r="457" spans="1:32" s="150" customFormat="1" x14ac:dyDescent="0.2">
      <c r="A457" s="144" t="s">
        <v>1082</v>
      </c>
      <c r="B457" s="144"/>
      <c r="C457" s="144"/>
      <c r="D457" s="145">
        <v>1</v>
      </c>
      <c r="E457" s="122"/>
      <c r="F457" s="146">
        <v>0.12</v>
      </c>
      <c r="G457" s="146"/>
      <c r="H457" s="122">
        <v>43859</v>
      </c>
      <c r="I457" s="122">
        <f t="shared" si="166"/>
        <v>43859</v>
      </c>
      <c r="J457" s="147">
        <f t="shared" si="154"/>
        <v>38595.919999999998</v>
      </c>
      <c r="K457" s="122"/>
      <c r="L457" s="122">
        <v>0</v>
      </c>
      <c r="M457" s="122">
        <f t="shared" si="155"/>
        <v>0</v>
      </c>
      <c r="N457" s="122">
        <f t="shared" si="156"/>
        <v>0</v>
      </c>
      <c r="O457" s="122"/>
      <c r="P457" s="122">
        <v>0</v>
      </c>
      <c r="Q457" s="122">
        <f t="shared" si="157"/>
        <v>0</v>
      </c>
      <c r="R457" s="147">
        <f t="shared" si="158"/>
        <v>0</v>
      </c>
      <c r="S457" s="145">
        <v>25</v>
      </c>
      <c r="T457" s="144" t="s">
        <v>213</v>
      </c>
      <c r="U457" s="90">
        <f>SUMIF('Avoided Costs 2009-2017'!$A:$A,Actuals!T457&amp;Actuals!S457,'Avoided Costs 2009-2017'!$E:$E)*J457</f>
        <v>166165.93385295453</v>
      </c>
      <c r="V457" s="90">
        <f>SUMIF('Avoided Costs 2009-2017'!$A:$A,Actuals!T457&amp;Actuals!S457,'Avoided Costs 2009-2017'!$K:$K)*N457</f>
        <v>0</v>
      </c>
      <c r="W457" s="90">
        <f>SUMIF('Avoided Costs 2009-2017'!$A:$A,Actuals!T457&amp;Actuals!S457,'Avoided Costs 2009-2017'!$M:$M)*R457</f>
        <v>0</v>
      </c>
      <c r="X457" s="90">
        <f t="shared" si="159"/>
        <v>166165.93385295453</v>
      </c>
      <c r="Y457" s="148">
        <v>14470</v>
      </c>
      <c r="Z457" s="149">
        <f t="shared" si="160"/>
        <v>12733.6</v>
      </c>
      <c r="AA457" s="148"/>
      <c r="AB457" s="145"/>
      <c r="AC457" s="145"/>
      <c r="AD457" s="148">
        <f t="shared" si="161"/>
        <v>12733.6</v>
      </c>
      <c r="AE457" s="122">
        <f t="shared" si="162"/>
        <v>153432.33385295453</v>
      </c>
      <c r="AF457" s="167">
        <f t="shared" si="163"/>
        <v>964898</v>
      </c>
    </row>
    <row r="458" spans="1:32" s="150" customFormat="1" x14ac:dyDescent="0.2">
      <c r="A458" s="144" t="s">
        <v>1083</v>
      </c>
      <c r="B458" s="144"/>
      <c r="C458" s="144"/>
      <c r="D458" s="145">
        <v>1</v>
      </c>
      <c r="E458" s="122"/>
      <c r="F458" s="146">
        <v>0.12</v>
      </c>
      <c r="G458" s="146"/>
      <c r="H458" s="122">
        <v>10830</v>
      </c>
      <c r="I458" s="122">
        <f t="shared" si="166"/>
        <v>10830</v>
      </c>
      <c r="J458" s="147">
        <f t="shared" si="154"/>
        <v>9530.4</v>
      </c>
      <c r="K458" s="122"/>
      <c r="L458" s="122">
        <v>0</v>
      </c>
      <c r="M458" s="122">
        <f t="shared" si="155"/>
        <v>0</v>
      </c>
      <c r="N458" s="122">
        <f t="shared" si="156"/>
        <v>0</v>
      </c>
      <c r="O458" s="122"/>
      <c r="P458" s="122">
        <v>0</v>
      </c>
      <c r="Q458" s="122">
        <f t="shared" si="157"/>
        <v>0</v>
      </c>
      <c r="R458" s="147">
        <f t="shared" si="158"/>
        <v>0</v>
      </c>
      <c r="S458" s="145">
        <v>25</v>
      </c>
      <c r="T458" s="144" t="s">
        <v>213</v>
      </c>
      <c r="U458" s="90">
        <f>SUMIF('Avoided Costs 2009-2017'!$A:$A,Actuals!T458&amp;Actuals!S458,'Avoided Costs 2009-2017'!$E:$E)*J458</f>
        <v>41030.964308978721</v>
      </c>
      <c r="V458" s="90">
        <f>SUMIF('Avoided Costs 2009-2017'!$A:$A,Actuals!T458&amp;Actuals!S458,'Avoided Costs 2009-2017'!$K:$K)*N458</f>
        <v>0</v>
      </c>
      <c r="W458" s="90">
        <f>SUMIF('Avoided Costs 2009-2017'!$A:$A,Actuals!T458&amp;Actuals!S458,'Avoided Costs 2009-2017'!$M:$M)*R458</f>
        <v>0</v>
      </c>
      <c r="X458" s="90">
        <f t="shared" si="159"/>
        <v>41030.964308978721</v>
      </c>
      <c r="Y458" s="148">
        <v>8646</v>
      </c>
      <c r="Z458" s="149">
        <f t="shared" si="160"/>
        <v>7608.4800000000005</v>
      </c>
      <c r="AA458" s="148"/>
      <c r="AB458" s="145"/>
      <c r="AC458" s="145"/>
      <c r="AD458" s="148">
        <f t="shared" si="161"/>
        <v>7608.4800000000005</v>
      </c>
      <c r="AE458" s="122">
        <f t="shared" si="162"/>
        <v>33422.484308978717</v>
      </c>
      <c r="AF458" s="167">
        <f t="shared" si="163"/>
        <v>238260</v>
      </c>
    </row>
    <row r="459" spans="1:32" s="150" customFormat="1" x14ac:dyDescent="0.2">
      <c r="A459" s="144" t="s">
        <v>393</v>
      </c>
      <c r="B459" s="144"/>
      <c r="C459" s="144"/>
      <c r="D459" s="145">
        <v>1</v>
      </c>
      <c r="E459" s="122"/>
      <c r="F459" s="146">
        <v>0.12</v>
      </c>
      <c r="G459" s="146"/>
      <c r="H459" s="122">
        <v>10830</v>
      </c>
      <c r="I459" s="122">
        <f t="shared" si="166"/>
        <v>10830</v>
      </c>
      <c r="J459" s="147">
        <f t="shared" si="154"/>
        <v>9530.4</v>
      </c>
      <c r="K459" s="122"/>
      <c r="L459" s="122">
        <v>0</v>
      </c>
      <c r="M459" s="122">
        <f t="shared" si="155"/>
        <v>0</v>
      </c>
      <c r="N459" s="122">
        <f t="shared" si="156"/>
        <v>0</v>
      </c>
      <c r="O459" s="122"/>
      <c r="P459" s="122">
        <v>0</v>
      </c>
      <c r="Q459" s="122">
        <f t="shared" si="157"/>
        <v>0</v>
      </c>
      <c r="R459" s="147">
        <f t="shared" si="158"/>
        <v>0</v>
      </c>
      <c r="S459" s="145">
        <v>25</v>
      </c>
      <c r="T459" s="144" t="s">
        <v>213</v>
      </c>
      <c r="U459" s="90">
        <f>SUMIF('Avoided Costs 2009-2017'!$A:$A,Actuals!T459&amp;Actuals!S459,'Avoided Costs 2009-2017'!$E:$E)*J459</f>
        <v>41030.964308978721</v>
      </c>
      <c r="V459" s="90">
        <f>SUMIF('Avoided Costs 2009-2017'!$A:$A,Actuals!T459&amp;Actuals!S459,'Avoided Costs 2009-2017'!$K:$K)*N459</f>
        <v>0</v>
      </c>
      <c r="W459" s="90">
        <f>SUMIF('Avoided Costs 2009-2017'!$A:$A,Actuals!T459&amp;Actuals!S459,'Avoided Costs 2009-2017'!$M:$M)*R459</f>
        <v>0</v>
      </c>
      <c r="X459" s="90">
        <f t="shared" si="159"/>
        <v>41030.964308978721</v>
      </c>
      <c r="Y459" s="148">
        <v>8646</v>
      </c>
      <c r="Z459" s="149">
        <f t="shared" si="160"/>
        <v>7608.4800000000005</v>
      </c>
      <c r="AA459" s="148"/>
      <c r="AB459" s="145"/>
      <c r="AC459" s="145"/>
      <c r="AD459" s="148">
        <f t="shared" si="161"/>
        <v>7608.4800000000005</v>
      </c>
      <c r="AE459" s="122">
        <f t="shared" si="162"/>
        <v>33422.484308978717</v>
      </c>
      <c r="AF459" s="167">
        <f t="shared" si="163"/>
        <v>238260</v>
      </c>
    </row>
    <row r="460" spans="1:32" s="150" customFormat="1" x14ac:dyDescent="0.2">
      <c r="A460" s="144" t="s">
        <v>394</v>
      </c>
      <c r="B460" s="144"/>
      <c r="C460" s="144"/>
      <c r="D460" s="145">
        <v>1</v>
      </c>
      <c r="E460" s="122"/>
      <c r="F460" s="146">
        <v>0.12</v>
      </c>
      <c r="G460" s="146"/>
      <c r="H460" s="122">
        <v>43859</v>
      </c>
      <c r="I460" s="122">
        <f t="shared" si="166"/>
        <v>43859</v>
      </c>
      <c r="J460" s="147">
        <f t="shared" si="154"/>
        <v>38595.919999999998</v>
      </c>
      <c r="K460" s="122"/>
      <c r="L460" s="122">
        <v>0</v>
      </c>
      <c r="M460" s="122">
        <f t="shared" si="155"/>
        <v>0</v>
      </c>
      <c r="N460" s="122">
        <f t="shared" si="156"/>
        <v>0</v>
      </c>
      <c r="O460" s="122"/>
      <c r="P460" s="122">
        <v>0</v>
      </c>
      <c r="Q460" s="122">
        <f t="shared" si="157"/>
        <v>0</v>
      </c>
      <c r="R460" s="147">
        <f t="shared" si="158"/>
        <v>0</v>
      </c>
      <c r="S460" s="145">
        <v>25</v>
      </c>
      <c r="T460" s="144" t="s">
        <v>213</v>
      </c>
      <c r="U460" s="90">
        <f>SUMIF('Avoided Costs 2009-2017'!$A:$A,Actuals!T460&amp;Actuals!S460,'Avoided Costs 2009-2017'!$E:$E)*J460</f>
        <v>166165.93385295453</v>
      </c>
      <c r="V460" s="90">
        <f>SUMIF('Avoided Costs 2009-2017'!$A:$A,Actuals!T460&amp;Actuals!S460,'Avoided Costs 2009-2017'!$K:$K)*N460</f>
        <v>0</v>
      </c>
      <c r="W460" s="90">
        <f>SUMIF('Avoided Costs 2009-2017'!$A:$A,Actuals!T460&amp;Actuals!S460,'Avoided Costs 2009-2017'!$M:$M)*R460</f>
        <v>0</v>
      </c>
      <c r="X460" s="90">
        <f t="shared" si="159"/>
        <v>166165.93385295453</v>
      </c>
      <c r="Y460" s="148">
        <v>14470</v>
      </c>
      <c r="Z460" s="149">
        <f t="shared" si="160"/>
        <v>12733.6</v>
      </c>
      <c r="AA460" s="148"/>
      <c r="AB460" s="145"/>
      <c r="AC460" s="145"/>
      <c r="AD460" s="148">
        <f t="shared" ref="AD460:AD478" si="167">Z460+AB460</f>
        <v>12733.6</v>
      </c>
      <c r="AE460" s="122">
        <f t="shared" ref="AE460:AE478" si="168">X460-AD460</f>
        <v>153432.33385295453</v>
      </c>
      <c r="AF460" s="167">
        <f t="shared" si="163"/>
        <v>964898</v>
      </c>
    </row>
    <row r="461" spans="1:32" s="150" customFormat="1" x14ac:dyDescent="0.2">
      <c r="A461" s="144" t="s">
        <v>395</v>
      </c>
      <c r="B461" s="144"/>
      <c r="C461" s="144"/>
      <c r="D461" s="145">
        <v>1</v>
      </c>
      <c r="E461" s="122"/>
      <c r="F461" s="146">
        <v>0.12</v>
      </c>
      <c r="G461" s="146"/>
      <c r="H461" s="122">
        <v>43859</v>
      </c>
      <c r="I461" s="122">
        <f t="shared" si="166"/>
        <v>43859</v>
      </c>
      <c r="J461" s="147">
        <f t="shared" si="154"/>
        <v>38595.919999999998</v>
      </c>
      <c r="K461" s="122"/>
      <c r="L461" s="122">
        <v>0</v>
      </c>
      <c r="M461" s="122">
        <f t="shared" si="155"/>
        <v>0</v>
      </c>
      <c r="N461" s="122">
        <f t="shared" si="156"/>
        <v>0</v>
      </c>
      <c r="O461" s="122"/>
      <c r="P461" s="122">
        <v>0</v>
      </c>
      <c r="Q461" s="122">
        <f t="shared" si="157"/>
        <v>0</v>
      </c>
      <c r="R461" s="147">
        <f t="shared" si="158"/>
        <v>0</v>
      </c>
      <c r="S461" s="145">
        <v>25</v>
      </c>
      <c r="T461" s="144" t="s">
        <v>213</v>
      </c>
      <c r="U461" s="90">
        <f>SUMIF('Avoided Costs 2009-2017'!$A:$A,Actuals!T461&amp;Actuals!S461,'Avoided Costs 2009-2017'!$E:$E)*J461</f>
        <v>166165.93385295453</v>
      </c>
      <c r="V461" s="90">
        <f>SUMIF('Avoided Costs 2009-2017'!$A:$A,Actuals!T461&amp;Actuals!S461,'Avoided Costs 2009-2017'!$K:$K)*N461</f>
        <v>0</v>
      </c>
      <c r="W461" s="90">
        <f>SUMIF('Avoided Costs 2009-2017'!$A:$A,Actuals!T461&amp;Actuals!S461,'Avoided Costs 2009-2017'!$M:$M)*R461</f>
        <v>0</v>
      </c>
      <c r="X461" s="90">
        <f t="shared" si="159"/>
        <v>166165.93385295453</v>
      </c>
      <c r="Y461" s="148">
        <v>14470</v>
      </c>
      <c r="Z461" s="149">
        <f t="shared" si="160"/>
        <v>12733.6</v>
      </c>
      <c r="AA461" s="148"/>
      <c r="AB461" s="145"/>
      <c r="AC461" s="145"/>
      <c r="AD461" s="148">
        <f t="shared" si="167"/>
        <v>12733.6</v>
      </c>
      <c r="AE461" s="122">
        <f t="shared" si="168"/>
        <v>153432.33385295453</v>
      </c>
      <c r="AF461" s="167">
        <f t="shared" si="163"/>
        <v>964898</v>
      </c>
    </row>
    <row r="462" spans="1:32" s="150" customFormat="1" x14ac:dyDescent="0.2">
      <c r="A462" s="144" t="s">
        <v>396</v>
      </c>
      <c r="B462" s="144"/>
      <c r="C462" s="144"/>
      <c r="D462" s="145">
        <v>1</v>
      </c>
      <c r="E462" s="122"/>
      <c r="F462" s="146">
        <v>0.12</v>
      </c>
      <c r="G462" s="146"/>
      <c r="H462" s="122">
        <v>43859</v>
      </c>
      <c r="I462" s="122">
        <f t="shared" si="166"/>
        <v>43859</v>
      </c>
      <c r="J462" s="147">
        <f t="shared" si="154"/>
        <v>38595.919999999998</v>
      </c>
      <c r="K462" s="122"/>
      <c r="L462" s="122">
        <v>0</v>
      </c>
      <c r="M462" s="122">
        <f t="shared" si="155"/>
        <v>0</v>
      </c>
      <c r="N462" s="122">
        <f t="shared" si="156"/>
        <v>0</v>
      </c>
      <c r="O462" s="122"/>
      <c r="P462" s="122">
        <v>0</v>
      </c>
      <c r="Q462" s="122">
        <f t="shared" si="157"/>
        <v>0</v>
      </c>
      <c r="R462" s="147">
        <f t="shared" si="158"/>
        <v>0</v>
      </c>
      <c r="S462" s="145">
        <v>25</v>
      </c>
      <c r="T462" s="144" t="s">
        <v>213</v>
      </c>
      <c r="U462" s="90">
        <f>SUMIF('Avoided Costs 2009-2017'!$A:$A,Actuals!T462&amp;Actuals!S462,'Avoided Costs 2009-2017'!$E:$E)*J462</f>
        <v>166165.93385295453</v>
      </c>
      <c r="V462" s="90">
        <f>SUMIF('Avoided Costs 2009-2017'!$A:$A,Actuals!T462&amp;Actuals!S462,'Avoided Costs 2009-2017'!$K:$K)*N462</f>
        <v>0</v>
      </c>
      <c r="W462" s="90">
        <f>SUMIF('Avoided Costs 2009-2017'!$A:$A,Actuals!T462&amp;Actuals!S462,'Avoided Costs 2009-2017'!$M:$M)*R462</f>
        <v>0</v>
      </c>
      <c r="X462" s="90">
        <f t="shared" si="159"/>
        <v>166165.93385295453</v>
      </c>
      <c r="Y462" s="148">
        <v>14470</v>
      </c>
      <c r="Z462" s="149">
        <f t="shared" si="160"/>
        <v>12733.6</v>
      </c>
      <c r="AA462" s="148"/>
      <c r="AB462" s="145"/>
      <c r="AC462" s="145"/>
      <c r="AD462" s="148">
        <f t="shared" si="167"/>
        <v>12733.6</v>
      </c>
      <c r="AE462" s="122">
        <f t="shared" si="168"/>
        <v>153432.33385295453</v>
      </c>
      <c r="AF462" s="167">
        <f t="shared" si="163"/>
        <v>964898</v>
      </c>
    </row>
    <row r="463" spans="1:32" s="150" customFormat="1" x14ac:dyDescent="0.2">
      <c r="A463" s="144" t="s">
        <v>397</v>
      </c>
      <c r="B463" s="144"/>
      <c r="C463" s="144"/>
      <c r="D463" s="145">
        <v>1</v>
      </c>
      <c r="E463" s="122"/>
      <c r="F463" s="146">
        <v>0.12</v>
      </c>
      <c r="G463" s="146"/>
      <c r="H463" s="122">
        <v>43859</v>
      </c>
      <c r="I463" s="122">
        <f t="shared" si="166"/>
        <v>43859</v>
      </c>
      <c r="J463" s="147">
        <f t="shared" si="154"/>
        <v>38595.919999999998</v>
      </c>
      <c r="K463" s="122"/>
      <c r="L463" s="122">
        <v>0</v>
      </c>
      <c r="M463" s="122">
        <f t="shared" si="155"/>
        <v>0</v>
      </c>
      <c r="N463" s="122">
        <f t="shared" si="156"/>
        <v>0</v>
      </c>
      <c r="O463" s="122"/>
      <c r="P463" s="122">
        <v>0</v>
      </c>
      <c r="Q463" s="122">
        <f t="shared" si="157"/>
        <v>0</v>
      </c>
      <c r="R463" s="147">
        <f t="shared" si="158"/>
        <v>0</v>
      </c>
      <c r="S463" s="145">
        <v>25</v>
      </c>
      <c r="T463" s="144" t="s">
        <v>213</v>
      </c>
      <c r="U463" s="90">
        <f>SUMIF('Avoided Costs 2009-2017'!$A:$A,Actuals!T463&amp;Actuals!S463,'Avoided Costs 2009-2017'!$E:$E)*J463</f>
        <v>166165.93385295453</v>
      </c>
      <c r="V463" s="90">
        <f>SUMIF('Avoided Costs 2009-2017'!$A:$A,Actuals!T463&amp;Actuals!S463,'Avoided Costs 2009-2017'!$K:$K)*N463</f>
        <v>0</v>
      </c>
      <c r="W463" s="90">
        <f>SUMIF('Avoided Costs 2009-2017'!$A:$A,Actuals!T463&amp;Actuals!S463,'Avoided Costs 2009-2017'!$M:$M)*R463</f>
        <v>0</v>
      </c>
      <c r="X463" s="90">
        <f t="shared" si="159"/>
        <v>166165.93385295453</v>
      </c>
      <c r="Y463" s="148">
        <v>14470</v>
      </c>
      <c r="Z463" s="149">
        <f t="shared" si="160"/>
        <v>12733.6</v>
      </c>
      <c r="AA463" s="148"/>
      <c r="AB463" s="145"/>
      <c r="AC463" s="145"/>
      <c r="AD463" s="148">
        <f t="shared" si="167"/>
        <v>12733.6</v>
      </c>
      <c r="AE463" s="122">
        <f t="shared" si="168"/>
        <v>153432.33385295453</v>
      </c>
      <c r="AF463" s="167">
        <f t="shared" si="163"/>
        <v>964898</v>
      </c>
    </row>
    <row r="464" spans="1:32" s="150" customFormat="1" x14ac:dyDescent="0.2">
      <c r="A464" s="144" t="s">
        <v>398</v>
      </c>
      <c r="B464" s="144"/>
      <c r="C464" s="144"/>
      <c r="D464" s="145">
        <v>1</v>
      </c>
      <c r="E464" s="122"/>
      <c r="F464" s="146">
        <v>0.12</v>
      </c>
      <c r="G464" s="146"/>
      <c r="H464" s="122">
        <v>10830</v>
      </c>
      <c r="I464" s="122">
        <f t="shared" si="166"/>
        <v>10830</v>
      </c>
      <c r="J464" s="147">
        <f t="shared" si="154"/>
        <v>9530.4</v>
      </c>
      <c r="K464" s="122"/>
      <c r="L464" s="122">
        <v>0</v>
      </c>
      <c r="M464" s="122">
        <f t="shared" si="155"/>
        <v>0</v>
      </c>
      <c r="N464" s="122">
        <f t="shared" si="156"/>
        <v>0</v>
      </c>
      <c r="O464" s="122"/>
      <c r="P464" s="122">
        <v>0</v>
      </c>
      <c r="Q464" s="122">
        <f t="shared" si="157"/>
        <v>0</v>
      </c>
      <c r="R464" s="147">
        <f t="shared" si="158"/>
        <v>0</v>
      </c>
      <c r="S464" s="145">
        <v>25</v>
      </c>
      <c r="T464" s="144" t="s">
        <v>213</v>
      </c>
      <c r="U464" s="90">
        <f>SUMIF('Avoided Costs 2009-2017'!$A:$A,Actuals!T464&amp;Actuals!S464,'Avoided Costs 2009-2017'!$E:$E)*J464</f>
        <v>41030.964308978721</v>
      </c>
      <c r="V464" s="90">
        <f>SUMIF('Avoided Costs 2009-2017'!$A:$A,Actuals!T464&amp;Actuals!S464,'Avoided Costs 2009-2017'!$K:$K)*N464</f>
        <v>0</v>
      </c>
      <c r="W464" s="90">
        <f>SUMIF('Avoided Costs 2009-2017'!$A:$A,Actuals!T464&amp;Actuals!S464,'Avoided Costs 2009-2017'!$M:$M)*R464</f>
        <v>0</v>
      </c>
      <c r="X464" s="90">
        <f t="shared" si="159"/>
        <v>41030.964308978721</v>
      </c>
      <c r="Y464" s="148">
        <v>8646</v>
      </c>
      <c r="Z464" s="149">
        <f t="shared" si="160"/>
        <v>7608.4800000000005</v>
      </c>
      <c r="AA464" s="148"/>
      <c r="AB464" s="145"/>
      <c r="AC464" s="145"/>
      <c r="AD464" s="148">
        <f t="shared" si="167"/>
        <v>7608.4800000000005</v>
      </c>
      <c r="AE464" s="122">
        <f t="shared" si="168"/>
        <v>33422.484308978717</v>
      </c>
      <c r="AF464" s="167">
        <f t="shared" si="163"/>
        <v>238260</v>
      </c>
    </row>
    <row r="465" spans="1:32" s="150" customFormat="1" x14ac:dyDescent="0.2">
      <c r="A465" s="144" t="s">
        <v>399</v>
      </c>
      <c r="B465" s="144"/>
      <c r="C465" s="144"/>
      <c r="D465" s="145">
        <v>1</v>
      </c>
      <c r="E465" s="122"/>
      <c r="F465" s="146">
        <v>0.12</v>
      </c>
      <c r="G465" s="146"/>
      <c r="H465" s="122">
        <v>43859</v>
      </c>
      <c r="I465" s="122">
        <f t="shared" si="166"/>
        <v>43859</v>
      </c>
      <c r="J465" s="147">
        <f t="shared" si="154"/>
        <v>38595.919999999998</v>
      </c>
      <c r="K465" s="122"/>
      <c r="L465" s="122">
        <v>0</v>
      </c>
      <c r="M465" s="122">
        <f t="shared" si="155"/>
        <v>0</v>
      </c>
      <c r="N465" s="122">
        <f t="shared" si="156"/>
        <v>0</v>
      </c>
      <c r="O465" s="122"/>
      <c r="P465" s="122">
        <v>0</v>
      </c>
      <c r="Q465" s="122">
        <f t="shared" si="157"/>
        <v>0</v>
      </c>
      <c r="R465" s="147">
        <f t="shared" si="158"/>
        <v>0</v>
      </c>
      <c r="S465" s="145">
        <v>25</v>
      </c>
      <c r="T465" s="144" t="s">
        <v>213</v>
      </c>
      <c r="U465" s="90">
        <f>SUMIF('Avoided Costs 2009-2017'!$A:$A,Actuals!T465&amp;Actuals!S465,'Avoided Costs 2009-2017'!$E:$E)*J465</f>
        <v>166165.93385295453</v>
      </c>
      <c r="V465" s="90">
        <f>SUMIF('Avoided Costs 2009-2017'!$A:$A,Actuals!T465&amp;Actuals!S465,'Avoided Costs 2009-2017'!$K:$K)*N465</f>
        <v>0</v>
      </c>
      <c r="W465" s="90">
        <f>SUMIF('Avoided Costs 2009-2017'!$A:$A,Actuals!T465&amp;Actuals!S465,'Avoided Costs 2009-2017'!$M:$M)*R465</f>
        <v>0</v>
      </c>
      <c r="X465" s="90">
        <f t="shared" si="159"/>
        <v>166165.93385295453</v>
      </c>
      <c r="Y465" s="148">
        <v>14470</v>
      </c>
      <c r="Z465" s="149">
        <f t="shared" si="160"/>
        <v>12733.6</v>
      </c>
      <c r="AA465" s="148"/>
      <c r="AB465" s="145"/>
      <c r="AC465" s="145"/>
      <c r="AD465" s="148">
        <f t="shared" si="167"/>
        <v>12733.6</v>
      </c>
      <c r="AE465" s="122">
        <f t="shared" si="168"/>
        <v>153432.33385295453</v>
      </c>
      <c r="AF465" s="167">
        <f t="shared" si="163"/>
        <v>964898</v>
      </c>
    </row>
    <row r="466" spans="1:32" s="150" customFormat="1" x14ac:dyDescent="0.2">
      <c r="A466" s="144" t="s">
        <v>400</v>
      </c>
      <c r="B466" s="144"/>
      <c r="C466" s="144"/>
      <c r="D466" s="145">
        <v>1</v>
      </c>
      <c r="E466" s="122"/>
      <c r="F466" s="146">
        <v>0.12</v>
      </c>
      <c r="G466" s="146"/>
      <c r="H466" s="122">
        <v>10830</v>
      </c>
      <c r="I466" s="122">
        <f t="shared" si="166"/>
        <v>10830</v>
      </c>
      <c r="J466" s="147">
        <f t="shared" si="154"/>
        <v>9530.4</v>
      </c>
      <c r="K466" s="122"/>
      <c r="L466" s="122">
        <v>0</v>
      </c>
      <c r="M466" s="122">
        <f t="shared" si="155"/>
        <v>0</v>
      </c>
      <c r="N466" s="122">
        <f t="shared" si="156"/>
        <v>0</v>
      </c>
      <c r="O466" s="122"/>
      <c r="P466" s="122">
        <v>0</v>
      </c>
      <c r="Q466" s="122">
        <f t="shared" si="157"/>
        <v>0</v>
      </c>
      <c r="R466" s="147">
        <f t="shared" si="158"/>
        <v>0</v>
      </c>
      <c r="S466" s="145">
        <v>25</v>
      </c>
      <c r="T466" s="144" t="s">
        <v>213</v>
      </c>
      <c r="U466" s="90">
        <f>SUMIF('Avoided Costs 2009-2017'!$A:$A,Actuals!T466&amp;Actuals!S466,'Avoided Costs 2009-2017'!$E:$E)*J466</f>
        <v>41030.964308978721</v>
      </c>
      <c r="V466" s="90">
        <f>SUMIF('Avoided Costs 2009-2017'!$A:$A,Actuals!T466&amp;Actuals!S466,'Avoided Costs 2009-2017'!$K:$K)*N466</f>
        <v>0</v>
      </c>
      <c r="W466" s="90">
        <f>SUMIF('Avoided Costs 2009-2017'!$A:$A,Actuals!T466&amp;Actuals!S466,'Avoided Costs 2009-2017'!$M:$M)*R466</f>
        <v>0</v>
      </c>
      <c r="X466" s="90">
        <f t="shared" si="159"/>
        <v>41030.964308978721</v>
      </c>
      <c r="Y466" s="148">
        <v>8646</v>
      </c>
      <c r="Z466" s="149">
        <f t="shared" si="160"/>
        <v>7608.4800000000005</v>
      </c>
      <c r="AA466" s="148"/>
      <c r="AB466" s="145"/>
      <c r="AC466" s="145"/>
      <c r="AD466" s="148">
        <f t="shared" si="167"/>
        <v>7608.4800000000005</v>
      </c>
      <c r="AE466" s="122">
        <f t="shared" si="168"/>
        <v>33422.484308978717</v>
      </c>
      <c r="AF466" s="167">
        <f t="shared" si="163"/>
        <v>238260</v>
      </c>
    </row>
    <row r="467" spans="1:32" s="150" customFormat="1" x14ac:dyDescent="0.2">
      <c r="A467" s="144" t="s">
        <v>1084</v>
      </c>
      <c r="B467" s="144"/>
      <c r="C467" s="144"/>
      <c r="D467" s="145">
        <v>1</v>
      </c>
      <c r="E467" s="122"/>
      <c r="F467" s="146">
        <v>0.12</v>
      </c>
      <c r="G467" s="146"/>
      <c r="H467" s="122">
        <v>43859</v>
      </c>
      <c r="I467" s="122">
        <f t="shared" si="166"/>
        <v>43859</v>
      </c>
      <c r="J467" s="147">
        <f t="shared" si="154"/>
        <v>38595.919999999998</v>
      </c>
      <c r="K467" s="122"/>
      <c r="L467" s="122">
        <v>0</v>
      </c>
      <c r="M467" s="122">
        <f t="shared" si="155"/>
        <v>0</v>
      </c>
      <c r="N467" s="122">
        <f t="shared" si="156"/>
        <v>0</v>
      </c>
      <c r="O467" s="122"/>
      <c r="P467" s="122">
        <v>0</v>
      </c>
      <c r="Q467" s="122">
        <f t="shared" si="157"/>
        <v>0</v>
      </c>
      <c r="R467" s="147">
        <f t="shared" si="158"/>
        <v>0</v>
      </c>
      <c r="S467" s="145">
        <v>25</v>
      </c>
      <c r="T467" s="144" t="s">
        <v>213</v>
      </c>
      <c r="U467" s="90">
        <f>SUMIF('Avoided Costs 2009-2017'!$A:$A,Actuals!T467&amp;Actuals!S467,'Avoided Costs 2009-2017'!$E:$E)*J467</f>
        <v>166165.93385295453</v>
      </c>
      <c r="V467" s="90">
        <f>SUMIF('Avoided Costs 2009-2017'!$A:$A,Actuals!T467&amp;Actuals!S467,'Avoided Costs 2009-2017'!$K:$K)*N467</f>
        <v>0</v>
      </c>
      <c r="W467" s="90">
        <f>SUMIF('Avoided Costs 2009-2017'!$A:$A,Actuals!T467&amp;Actuals!S467,'Avoided Costs 2009-2017'!$M:$M)*R467</f>
        <v>0</v>
      </c>
      <c r="X467" s="90">
        <f t="shared" si="159"/>
        <v>166165.93385295453</v>
      </c>
      <c r="Y467" s="148">
        <v>14470</v>
      </c>
      <c r="Z467" s="149">
        <f t="shared" si="160"/>
        <v>12733.6</v>
      </c>
      <c r="AA467" s="148"/>
      <c r="AB467" s="145"/>
      <c r="AC467" s="145"/>
      <c r="AD467" s="148">
        <f t="shared" si="167"/>
        <v>12733.6</v>
      </c>
      <c r="AE467" s="122">
        <f t="shared" si="168"/>
        <v>153432.33385295453</v>
      </c>
      <c r="AF467" s="167">
        <f t="shared" si="163"/>
        <v>964898</v>
      </c>
    </row>
    <row r="468" spans="1:32" s="150" customFormat="1" x14ac:dyDescent="0.2">
      <c r="A468" s="144" t="s">
        <v>1085</v>
      </c>
      <c r="B468" s="144"/>
      <c r="C468" s="144"/>
      <c r="D468" s="145">
        <v>1</v>
      </c>
      <c r="E468" s="122"/>
      <c r="F468" s="146">
        <v>0.12</v>
      </c>
      <c r="G468" s="146"/>
      <c r="H468" s="122">
        <v>10830</v>
      </c>
      <c r="I468" s="122">
        <f t="shared" si="166"/>
        <v>10830</v>
      </c>
      <c r="J468" s="147">
        <f t="shared" si="154"/>
        <v>9530.4</v>
      </c>
      <c r="K468" s="122"/>
      <c r="L468" s="122">
        <v>0</v>
      </c>
      <c r="M468" s="122">
        <f t="shared" si="155"/>
        <v>0</v>
      </c>
      <c r="N468" s="122">
        <f t="shared" si="156"/>
        <v>0</v>
      </c>
      <c r="O468" s="122"/>
      <c r="P468" s="122">
        <v>0</v>
      </c>
      <c r="Q468" s="122">
        <f t="shared" si="157"/>
        <v>0</v>
      </c>
      <c r="R468" s="147">
        <f t="shared" si="158"/>
        <v>0</v>
      </c>
      <c r="S468" s="145">
        <v>25</v>
      </c>
      <c r="T468" s="144" t="s">
        <v>213</v>
      </c>
      <c r="U468" s="90">
        <f>SUMIF('Avoided Costs 2009-2017'!$A:$A,Actuals!T468&amp;Actuals!S468,'Avoided Costs 2009-2017'!$E:$E)*J468</f>
        <v>41030.964308978721</v>
      </c>
      <c r="V468" s="90">
        <f>SUMIF('Avoided Costs 2009-2017'!$A:$A,Actuals!T468&amp;Actuals!S468,'Avoided Costs 2009-2017'!$K:$K)*N468</f>
        <v>0</v>
      </c>
      <c r="W468" s="90">
        <f>SUMIF('Avoided Costs 2009-2017'!$A:$A,Actuals!T468&amp;Actuals!S468,'Avoided Costs 2009-2017'!$M:$M)*R468</f>
        <v>0</v>
      </c>
      <c r="X468" s="90">
        <f t="shared" si="159"/>
        <v>41030.964308978721</v>
      </c>
      <c r="Y468" s="148">
        <v>8646</v>
      </c>
      <c r="Z468" s="149">
        <f t="shared" si="160"/>
        <v>7608.4800000000005</v>
      </c>
      <c r="AA468" s="148"/>
      <c r="AB468" s="145"/>
      <c r="AC468" s="145"/>
      <c r="AD468" s="148">
        <f t="shared" si="167"/>
        <v>7608.4800000000005</v>
      </c>
      <c r="AE468" s="122">
        <f t="shared" si="168"/>
        <v>33422.484308978717</v>
      </c>
      <c r="AF468" s="167">
        <f t="shared" si="163"/>
        <v>238260</v>
      </c>
    </row>
    <row r="469" spans="1:32" s="150" customFormat="1" x14ac:dyDescent="0.2">
      <c r="A469" s="144" t="s">
        <v>1086</v>
      </c>
      <c r="B469" s="144"/>
      <c r="C469" s="144"/>
      <c r="D469" s="145">
        <v>1</v>
      </c>
      <c r="E469" s="122"/>
      <c r="F469" s="146">
        <v>0.12</v>
      </c>
      <c r="G469" s="146"/>
      <c r="H469" s="122">
        <v>10830</v>
      </c>
      <c r="I469" s="122">
        <f t="shared" si="166"/>
        <v>10830</v>
      </c>
      <c r="J469" s="147">
        <f t="shared" si="154"/>
        <v>9530.4</v>
      </c>
      <c r="K469" s="122"/>
      <c r="L469" s="122">
        <v>0</v>
      </c>
      <c r="M469" s="122">
        <f t="shared" si="155"/>
        <v>0</v>
      </c>
      <c r="N469" s="122">
        <f t="shared" si="156"/>
        <v>0</v>
      </c>
      <c r="O469" s="122"/>
      <c r="P469" s="122">
        <v>0</v>
      </c>
      <c r="Q469" s="122">
        <f t="shared" si="157"/>
        <v>0</v>
      </c>
      <c r="R469" s="147">
        <f t="shared" si="158"/>
        <v>0</v>
      </c>
      <c r="S469" s="145">
        <v>25</v>
      </c>
      <c r="T469" s="144" t="s">
        <v>213</v>
      </c>
      <c r="U469" s="90">
        <f>SUMIF('Avoided Costs 2009-2017'!$A:$A,Actuals!T469&amp;Actuals!S469,'Avoided Costs 2009-2017'!$E:$E)*J469</f>
        <v>41030.964308978721</v>
      </c>
      <c r="V469" s="90">
        <f>SUMIF('Avoided Costs 2009-2017'!$A:$A,Actuals!T469&amp;Actuals!S469,'Avoided Costs 2009-2017'!$K:$K)*N469</f>
        <v>0</v>
      </c>
      <c r="W469" s="90">
        <f>SUMIF('Avoided Costs 2009-2017'!$A:$A,Actuals!T469&amp;Actuals!S469,'Avoided Costs 2009-2017'!$M:$M)*R469</f>
        <v>0</v>
      </c>
      <c r="X469" s="90">
        <f t="shared" si="159"/>
        <v>41030.964308978721</v>
      </c>
      <c r="Y469" s="148">
        <v>8646</v>
      </c>
      <c r="Z469" s="149">
        <f t="shared" si="160"/>
        <v>7608.4800000000005</v>
      </c>
      <c r="AA469" s="148"/>
      <c r="AB469" s="145"/>
      <c r="AC469" s="145"/>
      <c r="AD469" s="148">
        <f t="shared" si="167"/>
        <v>7608.4800000000005</v>
      </c>
      <c r="AE469" s="122">
        <f t="shared" si="168"/>
        <v>33422.484308978717</v>
      </c>
      <c r="AF469" s="167">
        <f t="shared" si="163"/>
        <v>238260</v>
      </c>
    </row>
    <row r="470" spans="1:32" s="150" customFormat="1" x14ac:dyDescent="0.2">
      <c r="A470" s="144" t="s">
        <v>1087</v>
      </c>
      <c r="B470" s="144"/>
      <c r="C470" s="144"/>
      <c r="D470" s="145">
        <v>1</v>
      </c>
      <c r="E470" s="122"/>
      <c r="F470" s="146">
        <v>0.12</v>
      </c>
      <c r="G470" s="146"/>
      <c r="H470" s="122">
        <v>10830</v>
      </c>
      <c r="I470" s="122">
        <f t="shared" si="166"/>
        <v>10830</v>
      </c>
      <c r="J470" s="147">
        <f t="shared" si="154"/>
        <v>9530.4</v>
      </c>
      <c r="K470" s="122"/>
      <c r="L470" s="122">
        <v>0</v>
      </c>
      <c r="M470" s="122">
        <f t="shared" si="155"/>
        <v>0</v>
      </c>
      <c r="N470" s="122">
        <f t="shared" si="156"/>
        <v>0</v>
      </c>
      <c r="O470" s="122"/>
      <c r="P470" s="122">
        <v>0</v>
      </c>
      <c r="Q470" s="122">
        <f t="shared" si="157"/>
        <v>0</v>
      </c>
      <c r="R470" s="147">
        <f t="shared" si="158"/>
        <v>0</v>
      </c>
      <c r="S470" s="145">
        <v>25</v>
      </c>
      <c r="T470" s="144" t="s">
        <v>213</v>
      </c>
      <c r="U470" s="90">
        <f>SUMIF('Avoided Costs 2009-2017'!$A:$A,Actuals!T470&amp;Actuals!S470,'Avoided Costs 2009-2017'!$E:$E)*J470</f>
        <v>41030.964308978721</v>
      </c>
      <c r="V470" s="90">
        <f>SUMIF('Avoided Costs 2009-2017'!$A:$A,Actuals!T470&amp;Actuals!S470,'Avoided Costs 2009-2017'!$K:$K)*N470</f>
        <v>0</v>
      </c>
      <c r="W470" s="90">
        <f>SUMIF('Avoided Costs 2009-2017'!$A:$A,Actuals!T470&amp;Actuals!S470,'Avoided Costs 2009-2017'!$M:$M)*R470</f>
        <v>0</v>
      </c>
      <c r="X470" s="90">
        <f t="shared" si="159"/>
        <v>41030.964308978721</v>
      </c>
      <c r="Y470" s="148">
        <v>8646</v>
      </c>
      <c r="Z470" s="149">
        <f t="shared" si="160"/>
        <v>7608.4800000000005</v>
      </c>
      <c r="AA470" s="148"/>
      <c r="AB470" s="145"/>
      <c r="AC470" s="145"/>
      <c r="AD470" s="148">
        <f t="shared" si="167"/>
        <v>7608.4800000000005</v>
      </c>
      <c r="AE470" s="122">
        <f t="shared" si="168"/>
        <v>33422.484308978717</v>
      </c>
      <c r="AF470" s="167">
        <f t="shared" si="163"/>
        <v>238260</v>
      </c>
    </row>
    <row r="471" spans="1:32" s="150" customFormat="1" x14ac:dyDescent="0.2">
      <c r="A471" s="144" t="s">
        <v>1088</v>
      </c>
      <c r="B471" s="144"/>
      <c r="C471" s="144"/>
      <c r="D471" s="145">
        <v>1</v>
      </c>
      <c r="E471" s="122"/>
      <c r="F471" s="146">
        <v>0.12</v>
      </c>
      <c r="G471" s="146"/>
      <c r="H471" s="122">
        <v>5335</v>
      </c>
      <c r="I471" s="122">
        <f t="shared" si="164"/>
        <v>5164.28</v>
      </c>
      <c r="J471" s="147">
        <f t="shared" si="154"/>
        <v>4544.5663999999997</v>
      </c>
      <c r="K471" s="122"/>
      <c r="L471" s="122">
        <v>0</v>
      </c>
      <c r="M471" s="122">
        <f t="shared" si="155"/>
        <v>0</v>
      </c>
      <c r="N471" s="122">
        <f t="shared" si="156"/>
        <v>0</v>
      </c>
      <c r="O471" s="122"/>
      <c r="P471" s="122">
        <v>0</v>
      </c>
      <c r="Q471" s="122">
        <f t="shared" si="157"/>
        <v>0</v>
      </c>
      <c r="R471" s="147">
        <f t="shared" si="158"/>
        <v>0</v>
      </c>
      <c r="S471" s="145">
        <v>15</v>
      </c>
      <c r="T471" s="144" t="s">
        <v>213</v>
      </c>
      <c r="U471" s="90">
        <f>SUMIF('Avoided Costs 2009-2017'!$A:$A,Actuals!T471&amp;Actuals!S471,'Avoided Costs 2009-2017'!$E:$E)*J471</f>
        <v>15370.657918882482</v>
      </c>
      <c r="V471" s="90">
        <f>SUMIF('Avoided Costs 2009-2017'!$A:$A,Actuals!T471&amp;Actuals!S471,'Avoided Costs 2009-2017'!$K:$K)*N471</f>
        <v>0</v>
      </c>
      <c r="W471" s="90">
        <f>SUMIF('Avoided Costs 2009-2017'!$A:$A,Actuals!T471&amp;Actuals!S471,'Avoided Costs 2009-2017'!$M:$M)*R471</f>
        <v>0</v>
      </c>
      <c r="X471" s="90">
        <f t="shared" si="159"/>
        <v>15370.657918882482</v>
      </c>
      <c r="Y471" s="148">
        <v>7498</v>
      </c>
      <c r="Z471" s="149">
        <f t="shared" si="160"/>
        <v>6598.24</v>
      </c>
      <c r="AA471" s="148"/>
      <c r="AB471" s="145"/>
      <c r="AC471" s="145"/>
      <c r="AD471" s="148">
        <f t="shared" si="167"/>
        <v>6598.24</v>
      </c>
      <c r="AE471" s="122">
        <f t="shared" si="168"/>
        <v>8772.4179188824819</v>
      </c>
      <c r="AF471" s="167">
        <f t="shared" si="163"/>
        <v>68168.495999999999</v>
      </c>
    </row>
    <row r="472" spans="1:32" s="150" customFormat="1" x14ac:dyDescent="0.2">
      <c r="A472" s="144" t="s">
        <v>1089</v>
      </c>
      <c r="B472" s="144"/>
      <c r="C472" s="144"/>
      <c r="D472" s="145">
        <v>1</v>
      </c>
      <c r="E472" s="122"/>
      <c r="F472" s="146">
        <v>0.12</v>
      </c>
      <c r="G472" s="146"/>
      <c r="H472" s="122">
        <v>3633</v>
      </c>
      <c r="I472" s="122">
        <f t="shared" si="164"/>
        <v>3516.7439999999997</v>
      </c>
      <c r="J472" s="147">
        <f t="shared" si="154"/>
        <v>3094.7347199999999</v>
      </c>
      <c r="K472" s="122"/>
      <c r="L472" s="122">
        <v>0</v>
      </c>
      <c r="M472" s="122">
        <f t="shared" si="155"/>
        <v>0</v>
      </c>
      <c r="N472" s="122">
        <f t="shared" si="156"/>
        <v>0</v>
      </c>
      <c r="O472" s="122"/>
      <c r="P472" s="122">
        <v>0</v>
      </c>
      <c r="Q472" s="122">
        <f t="shared" si="157"/>
        <v>0</v>
      </c>
      <c r="R472" s="147">
        <f t="shared" si="158"/>
        <v>0</v>
      </c>
      <c r="S472" s="145">
        <v>15</v>
      </c>
      <c r="T472" s="144" t="s">
        <v>213</v>
      </c>
      <c r="U472" s="90">
        <f>SUMIF('Avoided Costs 2009-2017'!$A:$A,Actuals!T472&amp;Actuals!S472,'Avoided Costs 2009-2017'!$E:$E)*J472</f>
        <v>10467.029094526721</v>
      </c>
      <c r="V472" s="90">
        <f>SUMIF('Avoided Costs 2009-2017'!$A:$A,Actuals!T472&amp;Actuals!S472,'Avoided Costs 2009-2017'!$K:$K)*N472</f>
        <v>0</v>
      </c>
      <c r="W472" s="90">
        <f>SUMIF('Avoided Costs 2009-2017'!$A:$A,Actuals!T472&amp;Actuals!S472,'Avoided Costs 2009-2017'!$M:$M)*R472</f>
        <v>0</v>
      </c>
      <c r="X472" s="90">
        <f t="shared" si="159"/>
        <v>10467.029094526721</v>
      </c>
      <c r="Y472" s="148">
        <v>7498</v>
      </c>
      <c r="Z472" s="149">
        <f t="shared" si="160"/>
        <v>6598.24</v>
      </c>
      <c r="AA472" s="148"/>
      <c r="AB472" s="145"/>
      <c r="AC472" s="145"/>
      <c r="AD472" s="148">
        <f t="shared" si="167"/>
        <v>6598.24</v>
      </c>
      <c r="AE472" s="122">
        <f t="shared" si="168"/>
        <v>3868.7890945267209</v>
      </c>
      <c r="AF472" s="167">
        <f t="shared" si="163"/>
        <v>46421.020799999998</v>
      </c>
    </row>
    <row r="473" spans="1:32" s="150" customFormat="1" x14ac:dyDescent="0.2">
      <c r="A473" s="144" t="s">
        <v>1090</v>
      </c>
      <c r="B473" s="144"/>
      <c r="C473" s="144"/>
      <c r="D473" s="145">
        <v>1</v>
      </c>
      <c r="E473" s="122"/>
      <c r="F473" s="146">
        <v>0.12</v>
      </c>
      <c r="G473" s="146"/>
      <c r="H473" s="122">
        <v>3034</v>
      </c>
      <c r="I473" s="122">
        <f t="shared" si="164"/>
        <v>2936.9119999999998</v>
      </c>
      <c r="J473" s="147">
        <f t="shared" si="154"/>
        <v>2584.4825599999999</v>
      </c>
      <c r="K473" s="122"/>
      <c r="L473" s="122">
        <v>0</v>
      </c>
      <c r="M473" s="122">
        <f t="shared" si="155"/>
        <v>0</v>
      </c>
      <c r="N473" s="122">
        <f t="shared" si="156"/>
        <v>0</v>
      </c>
      <c r="O473" s="122"/>
      <c r="P473" s="122">
        <v>0</v>
      </c>
      <c r="Q473" s="122">
        <f t="shared" si="157"/>
        <v>0</v>
      </c>
      <c r="R473" s="147">
        <f t="shared" si="158"/>
        <v>0</v>
      </c>
      <c r="S473" s="145">
        <v>15</v>
      </c>
      <c r="T473" s="144" t="s">
        <v>213</v>
      </c>
      <c r="U473" s="90">
        <f>SUMIF('Avoided Costs 2009-2017'!$A:$A,Actuals!T473&amp;Actuals!S473,'Avoided Costs 2009-2017'!$E:$E)*J473</f>
        <v>8741.2513825472251</v>
      </c>
      <c r="V473" s="90">
        <f>SUMIF('Avoided Costs 2009-2017'!$A:$A,Actuals!T473&amp;Actuals!S473,'Avoided Costs 2009-2017'!$K:$K)*N473</f>
        <v>0</v>
      </c>
      <c r="W473" s="90">
        <f>SUMIF('Avoided Costs 2009-2017'!$A:$A,Actuals!T473&amp;Actuals!S473,'Avoided Costs 2009-2017'!$M:$M)*R473</f>
        <v>0</v>
      </c>
      <c r="X473" s="90">
        <f t="shared" si="159"/>
        <v>8741.2513825472251</v>
      </c>
      <c r="Y473" s="148">
        <v>7498</v>
      </c>
      <c r="Z473" s="149">
        <f t="shared" si="160"/>
        <v>6598.24</v>
      </c>
      <c r="AA473" s="148"/>
      <c r="AB473" s="145"/>
      <c r="AC473" s="145"/>
      <c r="AD473" s="148">
        <f t="shared" si="167"/>
        <v>6598.24</v>
      </c>
      <c r="AE473" s="122">
        <f t="shared" si="168"/>
        <v>2143.0113825472254</v>
      </c>
      <c r="AF473" s="167">
        <f t="shared" si="163"/>
        <v>38767.238400000002</v>
      </c>
    </row>
    <row r="474" spans="1:32" s="150" customFormat="1" x14ac:dyDescent="0.2">
      <c r="A474" s="144" t="s">
        <v>1091</v>
      </c>
      <c r="B474" s="144"/>
      <c r="C474" s="144"/>
      <c r="D474" s="145">
        <v>1</v>
      </c>
      <c r="E474" s="122"/>
      <c r="F474" s="146">
        <v>0.12</v>
      </c>
      <c r="G474" s="146"/>
      <c r="H474" s="122">
        <v>3436</v>
      </c>
      <c r="I474" s="122">
        <f t="shared" si="164"/>
        <v>3326.0479999999998</v>
      </c>
      <c r="J474" s="147">
        <f t="shared" si="154"/>
        <v>2926.9222399999999</v>
      </c>
      <c r="K474" s="122"/>
      <c r="L474" s="122">
        <v>0</v>
      </c>
      <c r="M474" s="122">
        <f t="shared" si="155"/>
        <v>0</v>
      </c>
      <c r="N474" s="122">
        <f t="shared" si="156"/>
        <v>0</v>
      </c>
      <c r="O474" s="122"/>
      <c r="P474" s="122">
        <v>0</v>
      </c>
      <c r="Q474" s="122">
        <f t="shared" si="157"/>
        <v>0</v>
      </c>
      <c r="R474" s="147">
        <f t="shared" si="158"/>
        <v>0</v>
      </c>
      <c r="S474" s="145">
        <v>15</v>
      </c>
      <c r="T474" s="144" t="s">
        <v>213</v>
      </c>
      <c r="U474" s="90">
        <f>SUMIF('Avoided Costs 2009-2017'!$A:$A,Actuals!T474&amp;Actuals!S474,'Avoided Costs 2009-2017'!$E:$E)*J474</f>
        <v>9899.4527852446499</v>
      </c>
      <c r="V474" s="90">
        <f>SUMIF('Avoided Costs 2009-2017'!$A:$A,Actuals!T474&amp;Actuals!S474,'Avoided Costs 2009-2017'!$K:$K)*N474</f>
        <v>0</v>
      </c>
      <c r="W474" s="90">
        <f>SUMIF('Avoided Costs 2009-2017'!$A:$A,Actuals!T474&amp;Actuals!S474,'Avoided Costs 2009-2017'!$M:$M)*R474</f>
        <v>0</v>
      </c>
      <c r="X474" s="90">
        <f t="shared" si="159"/>
        <v>9899.4527852446499</v>
      </c>
      <c r="Y474" s="148">
        <v>7498</v>
      </c>
      <c r="Z474" s="149">
        <f t="shared" si="160"/>
        <v>6598.24</v>
      </c>
      <c r="AA474" s="148"/>
      <c r="AB474" s="145"/>
      <c r="AC474" s="145"/>
      <c r="AD474" s="148">
        <f t="shared" si="167"/>
        <v>6598.24</v>
      </c>
      <c r="AE474" s="122">
        <f t="shared" si="168"/>
        <v>3301.2127852446501</v>
      </c>
      <c r="AF474" s="167">
        <f t="shared" si="163"/>
        <v>43903.833599999998</v>
      </c>
    </row>
    <row r="475" spans="1:32" s="150" customFormat="1" x14ac:dyDescent="0.2">
      <c r="A475" s="144" t="s">
        <v>1092</v>
      </c>
      <c r="B475" s="144"/>
      <c r="C475" s="144"/>
      <c r="D475" s="145">
        <v>1</v>
      </c>
      <c r="E475" s="122"/>
      <c r="F475" s="146">
        <v>0.12</v>
      </c>
      <c r="G475" s="146"/>
      <c r="H475" s="122">
        <v>2700</v>
      </c>
      <c r="I475" s="122">
        <f t="shared" si="164"/>
        <v>2613.6</v>
      </c>
      <c r="J475" s="147">
        <f t="shared" si="154"/>
        <v>2299.9679999999998</v>
      </c>
      <c r="K475" s="122"/>
      <c r="L475" s="122">
        <v>0</v>
      </c>
      <c r="M475" s="122">
        <f t="shared" si="155"/>
        <v>0</v>
      </c>
      <c r="N475" s="122">
        <f t="shared" si="156"/>
        <v>0</v>
      </c>
      <c r="O475" s="122"/>
      <c r="P475" s="122">
        <v>0</v>
      </c>
      <c r="Q475" s="122">
        <f t="shared" si="157"/>
        <v>0</v>
      </c>
      <c r="R475" s="147">
        <f t="shared" si="158"/>
        <v>0</v>
      </c>
      <c r="S475" s="145">
        <v>15</v>
      </c>
      <c r="T475" s="144" t="s">
        <v>213</v>
      </c>
      <c r="U475" s="90">
        <f>SUMIF('Avoided Costs 2009-2017'!$A:$A,Actuals!T475&amp;Actuals!S475,'Avoided Costs 2009-2017'!$E:$E)*J475</f>
        <v>7778.9646449826987</v>
      </c>
      <c r="V475" s="90">
        <f>SUMIF('Avoided Costs 2009-2017'!$A:$A,Actuals!T475&amp;Actuals!S475,'Avoided Costs 2009-2017'!$K:$K)*N475</f>
        <v>0</v>
      </c>
      <c r="W475" s="90">
        <f>SUMIF('Avoided Costs 2009-2017'!$A:$A,Actuals!T475&amp;Actuals!S475,'Avoided Costs 2009-2017'!$M:$M)*R475</f>
        <v>0</v>
      </c>
      <c r="X475" s="90">
        <f t="shared" si="159"/>
        <v>7778.9646449826987</v>
      </c>
      <c r="Y475" s="148">
        <v>7498</v>
      </c>
      <c r="Z475" s="149">
        <f t="shared" si="160"/>
        <v>6598.24</v>
      </c>
      <c r="AA475" s="148"/>
      <c r="AB475" s="145"/>
      <c r="AC475" s="145"/>
      <c r="AD475" s="148">
        <f t="shared" si="167"/>
        <v>6598.24</v>
      </c>
      <c r="AE475" s="122">
        <f t="shared" si="168"/>
        <v>1180.7246449826989</v>
      </c>
      <c r="AF475" s="167">
        <f t="shared" si="163"/>
        <v>34499.519999999997</v>
      </c>
    </row>
    <row r="476" spans="1:32" s="150" customFormat="1" x14ac:dyDescent="0.2">
      <c r="A476" s="144" t="s">
        <v>1093</v>
      </c>
      <c r="B476" s="144"/>
      <c r="C476" s="144"/>
      <c r="D476" s="145">
        <v>1</v>
      </c>
      <c r="E476" s="122"/>
      <c r="F476" s="146">
        <v>0.12</v>
      </c>
      <c r="G476" s="146"/>
      <c r="H476" s="122">
        <v>10830</v>
      </c>
      <c r="I476" s="122">
        <f>+H476</f>
        <v>10830</v>
      </c>
      <c r="J476" s="147">
        <f t="shared" si="154"/>
        <v>9530.4</v>
      </c>
      <c r="K476" s="122"/>
      <c r="L476" s="122">
        <v>0</v>
      </c>
      <c r="M476" s="122">
        <f t="shared" si="155"/>
        <v>0</v>
      </c>
      <c r="N476" s="122">
        <f t="shared" si="156"/>
        <v>0</v>
      </c>
      <c r="O476" s="122"/>
      <c r="P476" s="122">
        <v>0</v>
      </c>
      <c r="Q476" s="122">
        <f t="shared" si="157"/>
        <v>0</v>
      </c>
      <c r="R476" s="147">
        <f t="shared" si="158"/>
        <v>0</v>
      </c>
      <c r="S476" s="145">
        <v>25</v>
      </c>
      <c r="T476" s="144" t="s">
        <v>213</v>
      </c>
      <c r="U476" s="90">
        <f>SUMIF('Avoided Costs 2009-2017'!$A:$A,Actuals!T476&amp;Actuals!S476,'Avoided Costs 2009-2017'!$E:$E)*J476</f>
        <v>41030.964308978721</v>
      </c>
      <c r="V476" s="90">
        <f>SUMIF('Avoided Costs 2009-2017'!$A:$A,Actuals!T476&amp;Actuals!S476,'Avoided Costs 2009-2017'!$K:$K)*N476</f>
        <v>0</v>
      </c>
      <c r="W476" s="90">
        <f>SUMIF('Avoided Costs 2009-2017'!$A:$A,Actuals!T476&amp;Actuals!S476,'Avoided Costs 2009-2017'!$M:$M)*R476</f>
        <v>0</v>
      </c>
      <c r="X476" s="90">
        <f t="shared" si="159"/>
        <v>41030.964308978721</v>
      </c>
      <c r="Y476" s="148">
        <v>8646</v>
      </c>
      <c r="Z476" s="149">
        <f t="shared" si="160"/>
        <v>7608.4800000000005</v>
      </c>
      <c r="AA476" s="148"/>
      <c r="AB476" s="145"/>
      <c r="AC476" s="145"/>
      <c r="AD476" s="148">
        <f t="shared" si="167"/>
        <v>7608.4800000000005</v>
      </c>
      <c r="AE476" s="122">
        <f t="shared" si="168"/>
        <v>33422.484308978717</v>
      </c>
      <c r="AF476" s="167">
        <f t="shared" si="163"/>
        <v>238260</v>
      </c>
    </row>
    <row r="477" spans="1:32" s="150" customFormat="1" x14ac:dyDescent="0.2">
      <c r="A477" s="144" t="s">
        <v>1094</v>
      </c>
      <c r="B477" s="144"/>
      <c r="C477" s="144"/>
      <c r="D477" s="145">
        <v>1</v>
      </c>
      <c r="E477" s="122"/>
      <c r="F477" s="146">
        <v>0.12</v>
      </c>
      <c r="G477" s="146"/>
      <c r="H477" s="122">
        <v>67338</v>
      </c>
      <c r="I477" s="122">
        <f t="shared" si="164"/>
        <v>65183.184000000001</v>
      </c>
      <c r="J477" s="147">
        <f t="shared" si="154"/>
        <v>57361.20192</v>
      </c>
      <c r="K477" s="122"/>
      <c r="L477" s="122">
        <v>503589</v>
      </c>
      <c r="M477" s="122">
        <f t="shared" si="155"/>
        <v>452726.511</v>
      </c>
      <c r="N477" s="122">
        <f t="shared" si="156"/>
        <v>398399.32968000002</v>
      </c>
      <c r="O477" s="122"/>
      <c r="P477" s="122">
        <v>0</v>
      </c>
      <c r="Q477" s="122">
        <f t="shared" si="157"/>
        <v>0</v>
      </c>
      <c r="R477" s="147">
        <f t="shared" si="158"/>
        <v>0</v>
      </c>
      <c r="S477" s="145">
        <v>5</v>
      </c>
      <c r="T477" s="144" t="s">
        <v>213</v>
      </c>
      <c r="U477" s="90">
        <f>SUMIF('Avoided Costs 2009-2017'!$A:$A,Actuals!T477&amp;Actuals!S477,'Avoided Costs 2009-2017'!$E:$E)*J477</f>
        <v>86132.167061002387</v>
      </c>
      <c r="V477" s="90">
        <f>SUMIF('Avoided Costs 2009-2017'!$A:$A,Actuals!T477&amp;Actuals!S477,'Avoided Costs 2009-2017'!$K:$K)*N477</f>
        <v>134300.93009386235</v>
      </c>
      <c r="W477" s="90">
        <f>SUMIF('Avoided Costs 2009-2017'!$A:$A,Actuals!T477&amp;Actuals!S477,'Avoided Costs 2009-2017'!$M:$M)*R477</f>
        <v>0</v>
      </c>
      <c r="X477" s="90">
        <f t="shared" si="159"/>
        <v>220433.09715486475</v>
      </c>
      <c r="Y477" s="148">
        <v>6750</v>
      </c>
      <c r="Z477" s="149">
        <f t="shared" si="160"/>
        <v>5940</v>
      </c>
      <c r="AA477" s="148"/>
      <c r="AB477" s="145"/>
      <c r="AC477" s="145"/>
      <c r="AD477" s="148">
        <f t="shared" si="167"/>
        <v>5940</v>
      </c>
      <c r="AE477" s="122">
        <f t="shared" si="168"/>
        <v>214493.09715486475</v>
      </c>
      <c r="AF477" s="167">
        <f t="shared" si="163"/>
        <v>286806.00959999999</v>
      </c>
    </row>
    <row r="478" spans="1:32" s="4" customFormat="1" x14ac:dyDescent="0.2">
      <c r="A478" s="152" t="s">
        <v>200</v>
      </c>
      <c r="B478" s="152" t="s">
        <v>1221</v>
      </c>
      <c r="C478" s="152"/>
      <c r="D478" s="153">
        <f>SUM(D364:D477)</f>
        <v>110</v>
      </c>
      <c r="E478" s="147"/>
      <c r="F478" s="154"/>
      <c r="G478" s="155"/>
      <c r="H478" s="237">
        <f>SUM(H364:H477)</f>
        <v>1989936</v>
      </c>
      <c r="I478" s="237">
        <f>SUM(I364:I477)</f>
        <v>1970945.4400000002</v>
      </c>
      <c r="J478" s="237">
        <f>SUM(J364:J477)</f>
        <v>1734431.9871999971</v>
      </c>
      <c r="K478" s="147"/>
      <c r="L478" s="237">
        <f>SUM(L364:L477)</f>
        <v>523589</v>
      </c>
      <c r="M478" s="237">
        <f>SUM(M364:M477)</f>
        <v>470706.511</v>
      </c>
      <c r="N478" s="237">
        <f>SUM(N364:N477)</f>
        <v>414221.72968000005</v>
      </c>
      <c r="O478" s="156"/>
      <c r="P478" s="237">
        <f>SUM(P364:P477)</f>
        <v>2646</v>
      </c>
      <c r="Q478" s="237">
        <f>SUM(Q364:Q477)</f>
        <v>3947.8319999999999</v>
      </c>
      <c r="R478" s="237">
        <f>SUM(R364:R477)</f>
        <v>3474.0921599999997</v>
      </c>
      <c r="S478" s="153"/>
      <c r="T478" s="152"/>
      <c r="U478" s="238">
        <f>SUM(U364:U477)</f>
        <v>6216648.5761374999</v>
      </c>
      <c r="V478" s="238">
        <f>SUM(V364:V477)</f>
        <v>146112.86080344705</v>
      </c>
      <c r="W478" s="238">
        <f>SUM(W364:W477)</f>
        <v>34827.56539322099</v>
      </c>
      <c r="X478" s="238">
        <f>SUM(X364:X477)</f>
        <v>6397589.0023341691</v>
      </c>
      <c r="Y478" s="157"/>
      <c r="Z478" s="238">
        <f>SUM(Z364:Z477)</f>
        <v>780472.87999999919</v>
      </c>
      <c r="AA478" s="148">
        <v>252596.57</v>
      </c>
      <c r="AB478" s="148">
        <v>19816.240000000002</v>
      </c>
      <c r="AC478" s="149">
        <f>AB478+AA478</f>
        <v>272412.81</v>
      </c>
      <c r="AD478" s="149">
        <f t="shared" si="167"/>
        <v>800289.11999999918</v>
      </c>
      <c r="AE478" s="158">
        <f t="shared" si="168"/>
        <v>5597299.8823341699</v>
      </c>
      <c r="AF478" s="168">
        <f>SUM(AF364:AF477)</f>
        <v>34204908.179199994</v>
      </c>
    </row>
    <row r="479" spans="1:32" x14ac:dyDescent="0.2">
      <c r="A479" s="134"/>
      <c r="J479" s="26"/>
      <c r="K479" s="51"/>
      <c r="L479" s="51"/>
      <c r="O479" s="92"/>
      <c r="P479" s="36"/>
      <c r="R479" s="26"/>
      <c r="S479" s="26"/>
      <c r="Z479" s="53"/>
      <c r="AA479" s="63"/>
      <c r="AC479" s="53"/>
      <c r="AD479" s="53"/>
      <c r="AE479" s="53"/>
      <c r="AF479" s="166"/>
    </row>
    <row r="480" spans="1:32" x14ac:dyDescent="0.2">
      <c r="A480" s="134" t="s">
        <v>1147</v>
      </c>
      <c r="B480" s="30" t="s">
        <v>1144</v>
      </c>
      <c r="J480" s="26"/>
      <c r="K480" s="51"/>
      <c r="L480" s="51"/>
      <c r="O480" s="92"/>
      <c r="P480" s="36"/>
      <c r="R480" s="26"/>
      <c r="S480" s="26"/>
      <c r="Z480" s="53"/>
      <c r="AA480" s="63"/>
      <c r="AC480" s="53"/>
      <c r="AD480" s="53"/>
      <c r="AE480" s="53"/>
      <c r="AF480" s="166"/>
    </row>
    <row r="481" spans="1:32" s="150" customFormat="1" x14ac:dyDescent="0.2">
      <c r="A481" s="144" t="s">
        <v>59</v>
      </c>
      <c r="B481" s="144"/>
      <c r="C481" s="144"/>
      <c r="D481" s="145">
        <v>1</v>
      </c>
      <c r="E481" s="122"/>
      <c r="F481" s="146">
        <v>0.12</v>
      </c>
      <c r="G481" s="146"/>
      <c r="H481" s="122">
        <v>26166</v>
      </c>
      <c r="I481" s="122">
        <f t="shared" ref="I481:I486" si="169">+$H$68*H481</f>
        <v>25328.687999999998</v>
      </c>
      <c r="J481" s="147">
        <f t="shared" ref="J481:J487" si="170">I481*(1-F481)</f>
        <v>22289.245439999999</v>
      </c>
      <c r="K481" s="122"/>
      <c r="L481" s="122">
        <v>0</v>
      </c>
      <c r="M481" s="122">
        <f t="shared" ref="M481:M486" si="171">+$L$68*L481</f>
        <v>0</v>
      </c>
      <c r="N481" s="122">
        <f t="shared" ref="N481:N487" si="172">M481*(1-F481)</f>
        <v>0</v>
      </c>
      <c r="O481" s="122"/>
      <c r="P481" s="122">
        <v>0</v>
      </c>
      <c r="Q481" s="122">
        <f t="shared" ref="Q481:Q487" si="173">+P481*$P$68</f>
        <v>0</v>
      </c>
      <c r="R481" s="147">
        <f t="shared" ref="R481:R487" si="174">Q481*(1-F481)</f>
        <v>0</v>
      </c>
      <c r="S481" s="145">
        <v>15</v>
      </c>
      <c r="T481" s="144" t="s">
        <v>1176</v>
      </c>
      <c r="U481" s="90">
        <f>SUMIF('Avoided Costs 2009-2017'!$A:$A,Actuals!T481&amp;Actuals!S481,'Avoided Costs 2009-2017'!$E:$E)*J481</f>
        <v>68661.750773641732</v>
      </c>
      <c r="V481" s="90">
        <f>SUMIF('Avoided Costs 2009-2017'!$A:$A,Actuals!T481&amp;Actuals!S481,'Avoided Costs 2009-2017'!$K:$K)*N481</f>
        <v>0</v>
      </c>
      <c r="W481" s="90">
        <f>SUMIF('Avoided Costs 2009-2017'!$A:$A,Actuals!T481&amp;Actuals!S481,'Avoided Costs 2009-2017'!$M:$M)*R481</f>
        <v>0</v>
      </c>
      <c r="X481" s="90">
        <f t="shared" ref="X481:X487" si="175">SUM(U481:W481)</f>
        <v>68661.750773641732</v>
      </c>
      <c r="Y481" s="148">
        <v>20600</v>
      </c>
      <c r="Z481" s="149">
        <f t="shared" ref="Z481:Z487" si="176">Y481*(1-F481)</f>
        <v>18128</v>
      </c>
      <c r="AA481" s="148"/>
      <c r="AB481" s="145"/>
      <c r="AC481" s="145"/>
      <c r="AD481" s="148">
        <f t="shared" ref="AD481:AD488" si="177">Z481+AB481</f>
        <v>18128</v>
      </c>
      <c r="AE481" s="122">
        <f t="shared" ref="AE481:AE488" si="178">X481-AD481</f>
        <v>50533.750773641732</v>
      </c>
      <c r="AF481" s="167">
        <f t="shared" ref="AF481:AF487" si="179">J481*S481</f>
        <v>334338.68160000001</v>
      </c>
    </row>
    <row r="482" spans="1:32" s="150" customFormat="1" x14ac:dyDescent="0.2">
      <c r="A482" s="144" t="s">
        <v>60</v>
      </c>
      <c r="B482" s="144"/>
      <c r="C482" s="144"/>
      <c r="D482" s="145">
        <v>1</v>
      </c>
      <c r="E482" s="122"/>
      <c r="F482" s="146">
        <v>0.12</v>
      </c>
      <c r="G482" s="146"/>
      <c r="H482" s="122">
        <v>356511</v>
      </c>
      <c r="I482" s="122">
        <f>+H482</f>
        <v>356511</v>
      </c>
      <c r="J482" s="147">
        <f t="shared" si="170"/>
        <v>313729.68</v>
      </c>
      <c r="K482" s="122"/>
      <c r="L482" s="122">
        <v>0</v>
      </c>
      <c r="M482" s="122">
        <f t="shared" si="171"/>
        <v>0</v>
      </c>
      <c r="N482" s="122">
        <f t="shared" si="172"/>
        <v>0</v>
      </c>
      <c r="O482" s="122"/>
      <c r="P482" s="122">
        <v>0</v>
      </c>
      <c r="Q482" s="122">
        <f t="shared" si="173"/>
        <v>0</v>
      </c>
      <c r="R482" s="147">
        <f t="shared" si="174"/>
        <v>0</v>
      </c>
      <c r="S482" s="145">
        <v>13</v>
      </c>
      <c r="T482" s="144" t="s">
        <v>213</v>
      </c>
      <c r="U482" s="90">
        <f>SUMIF('Avoided Costs 2009-2017'!$A:$A,Actuals!T482&amp;Actuals!S482,'Avoided Costs 2009-2017'!$E:$E)*J482</f>
        <v>975748.91997875343</v>
      </c>
      <c r="V482" s="90">
        <f>SUMIF('Avoided Costs 2009-2017'!$A:$A,Actuals!T482&amp;Actuals!S482,'Avoided Costs 2009-2017'!$K:$K)*N482</f>
        <v>0</v>
      </c>
      <c r="W482" s="90">
        <f>SUMIF('Avoided Costs 2009-2017'!$A:$A,Actuals!T482&amp;Actuals!S482,'Avoided Costs 2009-2017'!$M:$M)*R482</f>
        <v>0</v>
      </c>
      <c r="X482" s="90">
        <f t="shared" si="175"/>
        <v>975748.91997875343</v>
      </c>
      <c r="Y482" s="148">
        <v>237621</v>
      </c>
      <c r="Z482" s="149">
        <f t="shared" si="176"/>
        <v>209106.48</v>
      </c>
      <c r="AA482" s="148"/>
      <c r="AB482" s="145"/>
      <c r="AC482" s="145"/>
      <c r="AD482" s="148">
        <f t="shared" si="177"/>
        <v>209106.48</v>
      </c>
      <c r="AE482" s="122">
        <f t="shared" si="178"/>
        <v>766642.43997875345</v>
      </c>
      <c r="AF482" s="167">
        <f t="shared" si="179"/>
        <v>4078485.84</v>
      </c>
    </row>
    <row r="483" spans="1:32" s="150" customFormat="1" x14ac:dyDescent="0.2">
      <c r="A483" s="144" t="s">
        <v>61</v>
      </c>
      <c r="B483" s="144"/>
      <c r="C483" s="144"/>
      <c r="D483" s="145">
        <v>1</v>
      </c>
      <c r="E483" s="122"/>
      <c r="F483" s="146">
        <v>0.12</v>
      </c>
      <c r="G483" s="146"/>
      <c r="H483" s="122">
        <v>7079</v>
      </c>
      <c r="I483" s="122">
        <f t="shared" si="169"/>
        <v>6852.4719999999998</v>
      </c>
      <c r="J483" s="147">
        <f t="shared" si="170"/>
        <v>6030.1753600000002</v>
      </c>
      <c r="K483" s="122"/>
      <c r="L483" s="122">
        <v>0</v>
      </c>
      <c r="M483" s="122">
        <f t="shared" si="171"/>
        <v>0</v>
      </c>
      <c r="N483" s="122">
        <f t="shared" si="172"/>
        <v>0</v>
      </c>
      <c r="O483" s="122"/>
      <c r="P483" s="122">
        <v>0</v>
      </c>
      <c r="Q483" s="122">
        <f t="shared" si="173"/>
        <v>0</v>
      </c>
      <c r="R483" s="147">
        <f t="shared" si="174"/>
        <v>0</v>
      </c>
      <c r="S483" s="145">
        <v>13</v>
      </c>
      <c r="T483" s="144" t="s">
        <v>213</v>
      </c>
      <c r="U483" s="90">
        <f>SUMIF('Avoided Costs 2009-2017'!$A:$A,Actuals!T483&amp;Actuals!S483,'Avoided Costs 2009-2017'!$E:$E)*J483</f>
        <v>18754.799019342037</v>
      </c>
      <c r="V483" s="90">
        <f>SUMIF('Avoided Costs 2009-2017'!$A:$A,Actuals!T483&amp;Actuals!S483,'Avoided Costs 2009-2017'!$K:$K)*N483</f>
        <v>0</v>
      </c>
      <c r="W483" s="90">
        <f>SUMIF('Avoided Costs 2009-2017'!$A:$A,Actuals!T483&amp;Actuals!S483,'Avoided Costs 2009-2017'!$M:$M)*R483</f>
        <v>0</v>
      </c>
      <c r="X483" s="90">
        <f t="shared" si="175"/>
        <v>18754.799019342037</v>
      </c>
      <c r="Y483" s="148">
        <v>4718</v>
      </c>
      <c r="Z483" s="149">
        <f t="shared" si="176"/>
        <v>4151.84</v>
      </c>
      <c r="AA483" s="148"/>
      <c r="AB483" s="145"/>
      <c r="AC483" s="145"/>
      <c r="AD483" s="148">
        <f t="shared" si="177"/>
        <v>4151.84</v>
      </c>
      <c r="AE483" s="122">
        <f t="shared" si="178"/>
        <v>14602.959019342037</v>
      </c>
      <c r="AF483" s="167">
        <f t="shared" si="179"/>
        <v>78392.279680000007</v>
      </c>
    </row>
    <row r="484" spans="1:32" s="150" customFormat="1" x14ac:dyDescent="0.2">
      <c r="A484" s="144" t="s">
        <v>62</v>
      </c>
      <c r="B484" s="144"/>
      <c r="C484" s="144"/>
      <c r="D484" s="145">
        <v>1</v>
      </c>
      <c r="E484" s="122"/>
      <c r="F484" s="146">
        <v>0.12</v>
      </c>
      <c r="G484" s="146"/>
      <c r="H484" s="122">
        <v>129775</v>
      </c>
      <c r="I484" s="122">
        <f t="shared" si="169"/>
        <v>125622.2</v>
      </c>
      <c r="J484" s="147">
        <f t="shared" si="170"/>
        <v>110547.53599999999</v>
      </c>
      <c r="K484" s="122"/>
      <c r="L484" s="122">
        <v>0</v>
      </c>
      <c r="M484" s="122">
        <f t="shared" si="171"/>
        <v>0</v>
      </c>
      <c r="N484" s="122">
        <f t="shared" si="172"/>
        <v>0</v>
      </c>
      <c r="O484" s="122"/>
      <c r="P484" s="122">
        <v>0</v>
      </c>
      <c r="Q484" s="122">
        <f t="shared" si="173"/>
        <v>0</v>
      </c>
      <c r="R484" s="147">
        <f t="shared" si="174"/>
        <v>0</v>
      </c>
      <c r="S484" s="145">
        <v>5</v>
      </c>
      <c r="T484" s="144" t="s">
        <v>213</v>
      </c>
      <c r="U484" s="90">
        <f>SUMIF('Avoided Costs 2009-2017'!$A:$A,Actuals!T484&amp;Actuals!S484,'Avoided Costs 2009-2017'!$E:$E)*J484</f>
        <v>165995.45546855539</v>
      </c>
      <c r="V484" s="90">
        <f>SUMIF('Avoided Costs 2009-2017'!$A:$A,Actuals!T484&amp;Actuals!S484,'Avoided Costs 2009-2017'!$K:$K)*N484</f>
        <v>0</v>
      </c>
      <c r="W484" s="90">
        <f>SUMIF('Avoided Costs 2009-2017'!$A:$A,Actuals!T484&amp;Actuals!S484,'Avoided Costs 2009-2017'!$M:$M)*R484</f>
        <v>0</v>
      </c>
      <c r="X484" s="90">
        <f t="shared" si="175"/>
        <v>165995.45546855539</v>
      </c>
      <c r="Y484" s="148">
        <v>0</v>
      </c>
      <c r="Z484" s="149">
        <f t="shared" si="176"/>
        <v>0</v>
      </c>
      <c r="AA484" s="148"/>
      <c r="AB484" s="145"/>
      <c r="AC484" s="145"/>
      <c r="AD484" s="148">
        <f t="shared" si="177"/>
        <v>0</v>
      </c>
      <c r="AE484" s="122">
        <f t="shared" si="178"/>
        <v>165995.45546855539</v>
      </c>
      <c r="AF484" s="167">
        <f t="shared" si="179"/>
        <v>552737.67999999993</v>
      </c>
    </row>
    <row r="485" spans="1:32" s="150" customFormat="1" x14ac:dyDescent="0.2">
      <c r="A485" s="144" t="s">
        <v>63</v>
      </c>
      <c r="B485" s="144"/>
      <c r="C485" s="144"/>
      <c r="D485" s="145">
        <v>1</v>
      </c>
      <c r="E485" s="122"/>
      <c r="F485" s="146">
        <v>0.12</v>
      </c>
      <c r="G485" s="146"/>
      <c r="H485" s="122">
        <v>11880</v>
      </c>
      <c r="I485" s="122">
        <f t="shared" si="169"/>
        <v>11499.84</v>
      </c>
      <c r="J485" s="147">
        <f t="shared" si="170"/>
        <v>10119.859200000001</v>
      </c>
      <c r="K485" s="122"/>
      <c r="L485" s="122">
        <v>0</v>
      </c>
      <c r="M485" s="122">
        <f t="shared" si="171"/>
        <v>0</v>
      </c>
      <c r="N485" s="122">
        <f t="shared" si="172"/>
        <v>0</v>
      </c>
      <c r="O485" s="122"/>
      <c r="P485" s="122">
        <v>0</v>
      </c>
      <c r="Q485" s="122">
        <f t="shared" si="173"/>
        <v>0</v>
      </c>
      <c r="R485" s="147">
        <f t="shared" si="174"/>
        <v>0</v>
      </c>
      <c r="S485" s="145">
        <v>15</v>
      </c>
      <c r="T485" s="144" t="s">
        <v>213</v>
      </c>
      <c r="U485" s="90">
        <f>SUMIF('Avoided Costs 2009-2017'!$A:$A,Actuals!T485&amp;Actuals!S485,'Avoided Costs 2009-2017'!$E:$E)*J485</f>
        <v>34227.444437923878</v>
      </c>
      <c r="V485" s="90">
        <f>SUMIF('Avoided Costs 2009-2017'!$A:$A,Actuals!T485&amp;Actuals!S485,'Avoided Costs 2009-2017'!$K:$K)*N485</f>
        <v>0</v>
      </c>
      <c r="W485" s="90">
        <f>SUMIF('Avoided Costs 2009-2017'!$A:$A,Actuals!T485&amp;Actuals!S485,'Avoided Costs 2009-2017'!$M:$M)*R485</f>
        <v>0</v>
      </c>
      <c r="X485" s="90">
        <f t="shared" si="175"/>
        <v>34227.444437923878</v>
      </c>
      <c r="Y485" s="148">
        <v>8150</v>
      </c>
      <c r="Z485" s="149">
        <f t="shared" si="176"/>
        <v>7172</v>
      </c>
      <c r="AA485" s="148"/>
      <c r="AB485" s="145"/>
      <c r="AC485" s="145"/>
      <c r="AD485" s="148">
        <f t="shared" si="177"/>
        <v>7172</v>
      </c>
      <c r="AE485" s="122">
        <f t="shared" si="178"/>
        <v>27055.444437923878</v>
      </c>
      <c r="AF485" s="167">
        <f t="shared" si="179"/>
        <v>151797.88800000001</v>
      </c>
    </row>
    <row r="486" spans="1:32" s="150" customFormat="1" x14ac:dyDescent="0.2">
      <c r="A486" s="144" t="s">
        <v>64</v>
      </c>
      <c r="B486" s="144"/>
      <c r="C486" s="144"/>
      <c r="D486" s="145">
        <v>1</v>
      </c>
      <c r="E486" s="122"/>
      <c r="F486" s="146">
        <v>0.12</v>
      </c>
      <c r="G486" s="146"/>
      <c r="H486" s="122">
        <v>21315</v>
      </c>
      <c r="I486" s="122">
        <f t="shared" si="169"/>
        <v>20632.919999999998</v>
      </c>
      <c r="J486" s="147">
        <f t="shared" si="170"/>
        <v>18156.9696</v>
      </c>
      <c r="K486" s="122"/>
      <c r="L486" s="122">
        <v>0</v>
      </c>
      <c r="M486" s="122">
        <f t="shared" si="171"/>
        <v>0</v>
      </c>
      <c r="N486" s="122">
        <f t="shared" si="172"/>
        <v>0</v>
      </c>
      <c r="O486" s="122"/>
      <c r="P486" s="122">
        <v>0</v>
      </c>
      <c r="Q486" s="122">
        <f t="shared" si="173"/>
        <v>0</v>
      </c>
      <c r="R486" s="147">
        <f t="shared" si="174"/>
        <v>0</v>
      </c>
      <c r="S486" s="145">
        <v>15</v>
      </c>
      <c r="T486" s="144" t="s">
        <v>213</v>
      </c>
      <c r="U486" s="90">
        <f>SUMIF('Avoided Costs 2009-2017'!$A:$A,Actuals!T486&amp;Actuals!S486,'Avoided Costs 2009-2017'!$E:$E)*J486</f>
        <v>61410.60422511342</v>
      </c>
      <c r="V486" s="90">
        <f>SUMIF('Avoided Costs 2009-2017'!$A:$A,Actuals!T486&amp;Actuals!S486,'Avoided Costs 2009-2017'!$K:$K)*N486</f>
        <v>0</v>
      </c>
      <c r="W486" s="90">
        <f>SUMIF('Avoided Costs 2009-2017'!$A:$A,Actuals!T486&amp;Actuals!S486,'Avoided Costs 2009-2017'!$M:$M)*R486</f>
        <v>0</v>
      </c>
      <c r="X486" s="90">
        <f t="shared" si="175"/>
        <v>61410.60422511342</v>
      </c>
      <c r="Y486" s="148">
        <v>24000</v>
      </c>
      <c r="Z486" s="149">
        <f t="shared" si="176"/>
        <v>21120</v>
      </c>
      <c r="AA486" s="148"/>
      <c r="AB486" s="145"/>
      <c r="AC486" s="145"/>
      <c r="AD486" s="148">
        <f t="shared" si="177"/>
        <v>21120</v>
      </c>
      <c r="AE486" s="122">
        <f t="shared" si="178"/>
        <v>40290.60422511342</v>
      </c>
      <c r="AF486" s="167">
        <f t="shared" si="179"/>
        <v>272354.54399999999</v>
      </c>
    </row>
    <row r="487" spans="1:32" s="150" customFormat="1" x14ac:dyDescent="0.2">
      <c r="A487" s="144" t="s">
        <v>65</v>
      </c>
      <c r="B487" s="144"/>
      <c r="C487" s="144"/>
      <c r="D487" s="145">
        <v>1</v>
      </c>
      <c r="E487" s="122"/>
      <c r="F487" s="146">
        <v>0.12</v>
      </c>
      <c r="G487" s="146"/>
      <c r="H487" s="122">
        <v>4801</v>
      </c>
      <c r="I487" s="122">
        <f>+H487</f>
        <v>4801</v>
      </c>
      <c r="J487" s="147">
        <f t="shared" si="170"/>
        <v>4224.88</v>
      </c>
      <c r="K487" s="122"/>
      <c r="L487" s="122">
        <v>13521</v>
      </c>
      <c r="M487" s="122">
        <f>+L487</f>
        <v>13521</v>
      </c>
      <c r="N487" s="122">
        <f t="shared" si="172"/>
        <v>11898.48</v>
      </c>
      <c r="O487" s="122"/>
      <c r="P487" s="122">
        <v>0</v>
      </c>
      <c r="Q487" s="122">
        <f t="shared" si="173"/>
        <v>0</v>
      </c>
      <c r="R487" s="147">
        <f t="shared" si="174"/>
        <v>0</v>
      </c>
      <c r="S487" s="145">
        <v>15</v>
      </c>
      <c r="T487" s="144" t="s">
        <v>213</v>
      </c>
      <c r="U487" s="90">
        <f>SUMIF('Avoided Costs 2009-2017'!$A:$A,Actuals!T487&amp;Actuals!S487,'Avoided Costs 2009-2017'!$E:$E)*J487</f>
        <v>14289.412787175521</v>
      </c>
      <c r="V487" s="90">
        <f>SUMIF('Avoided Costs 2009-2017'!$A:$A,Actuals!T487&amp;Actuals!S487,'Avoided Costs 2009-2017'!$K:$K)*N487</f>
        <v>8882.5981715403177</v>
      </c>
      <c r="W487" s="90">
        <f>SUMIF('Avoided Costs 2009-2017'!$A:$A,Actuals!T487&amp;Actuals!S487,'Avoided Costs 2009-2017'!$M:$M)*R487</f>
        <v>0</v>
      </c>
      <c r="X487" s="90">
        <f t="shared" si="175"/>
        <v>23172.010958715837</v>
      </c>
      <c r="Y487" s="148">
        <v>10000</v>
      </c>
      <c r="Z487" s="149">
        <f t="shared" si="176"/>
        <v>8800</v>
      </c>
      <c r="AA487" s="148"/>
      <c r="AB487" s="145"/>
      <c r="AC487" s="145"/>
      <c r="AD487" s="148">
        <f t="shared" si="177"/>
        <v>8800</v>
      </c>
      <c r="AE487" s="122">
        <f t="shared" si="178"/>
        <v>14372.010958715837</v>
      </c>
      <c r="AF487" s="167">
        <f t="shared" si="179"/>
        <v>63373.200000000004</v>
      </c>
    </row>
    <row r="488" spans="1:32" s="4" customFormat="1" x14ac:dyDescent="0.2">
      <c r="A488" s="152" t="s">
        <v>200</v>
      </c>
      <c r="B488" s="152" t="s">
        <v>510</v>
      </c>
      <c r="C488" s="152"/>
      <c r="D488" s="153">
        <f>SUM(D481:D487)</f>
        <v>7</v>
      </c>
      <c r="E488" s="147"/>
      <c r="F488" s="154"/>
      <c r="G488" s="155"/>
      <c r="H488" s="237">
        <f>SUM(H481:H487)</f>
        <v>557527</v>
      </c>
      <c r="I488" s="237">
        <f>SUM(I481:I487)</f>
        <v>551248.12000000011</v>
      </c>
      <c r="J488" s="237">
        <f>SUM(J481:J487)</f>
        <v>485098.3456</v>
      </c>
      <c r="K488" s="147"/>
      <c r="L488" s="237">
        <f>SUM(L481:L487)</f>
        <v>13521</v>
      </c>
      <c r="M488" s="237">
        <f>SUM(M481:M487)</f>
        <v>13521</v>
      </c>
      <c r="N488" s="237">
        <f>SUM(N481:N487)</f>
        <v>11898.48</v>
      </c>
      <c r="O488" s="156"/>
      <c r="P488" s="237">
        <f>SUM(P481:P487)</f>
        <v>0</v>
      </c>
      <c r="Q488" s="237">
        <f>SUM(Q481:Q487)</f>
        <v>0</v>
      </c>
      <c r="R488" s="237">
        <f>SUM(R481:R487)</f>
        <v>0</v>
      </c>
      <c r="S488" s="153"/>
      <c r="T488" s="152"/>
      <c r="U488" s="238">
        <f t="shared" ref="U488:Z488" si="180">SUM(U481:U487)</f>
        <v>1339088.3866905055</v>
      </c>
      <c r="V488" s="238">
        <f t="shared" si="180"/>
        <v>8882.5981715403177</v>
      </c>
      <c r="W488" s="238">
        <f t="shared" si="180"/>
        <v>0</v>
      </c>
      <c r="X488" s="238">
        <f t="shared" si="180"/>
        <v>1347970.9848620459</v>
      </c>
      <c r="Y488" s="157">
        <f t="shared" si="180"/>
        <v>305089</v>
      </c>
      <c r="Z488" s="238">
        <f t="shared" si="180"/>
        <v>268478.32</v>
      </c>
      <c r="AA488" s="148">
        <v>43295</v>
      </c>
      <c r="AB488" s="148">
        <v>10250.459999999999</v>
      </c>
      <c r="AC488" s="149">
        <f>AB488+AA488</f>
        <v>53545.46</v>
      </c>
      <c r="AD488" s="149">
        <f t="shared" si="177"/>
        <v>278728.78000000003</v>
      </c>
      <c r="AE488" s="158">
        <f t="shared" si="178"/>
        <v>1069242.2048620458</v>
      </c>
      <c r="AF488" s="168">
        <f>SUM(AF481:AF487)</f>
        <v>5531480.1132799992</v>
      </c>
    </row>
    <row r="489" spans="1:32" s="4" customFormat="1" x14ac:dyDescent="0.2">
      <c r="A489" s="140"/>
      <c r="B489" s="140"/>
      <c r="C489" s="140"/>
      <c r="D489" s="239"/>
      <c r="E489" s="240"/>
      <c r="F489" s="241"/>
      <c r="G489" s="242"/>
      <c r="H489" s="243"/>
      <c r="I489" s="243"/>
      <c r="J489" s="243"/>
      <c r="K489" s="240"/>
      <c r="L489" s="243"/>
      <c r="M489" s="243"/>
      <c r="N489" s="243"/>
      <c r="O489" s="244"/>
      <c r="P489" s="243"/>
      <c r="Q489" s="243"/>
      <c r="R489" s="243"/>
      <c r="S489" s="239"/>
      <c r="T489" s="140"/>
      <c r="U489" s="245"/>
      <c r="V489" s="245"/>
      <c r="W489" s="245"/>
      <c r="X489" s="245"/>
      <c r="Y489" s="246"/>
      <c r="Z489" s="245"/>
      <c r="AA489" s="246"/>
      <c r="AB489" s="246"/>
      <c r="AC489" s="247"/>
      <c r="AD489" s="247"/>
      <c r="AE489" s="247"/>
      <c r="AF489" s="248"/>
    </row>
    <row r="490" spans="1:32" x14ac:dyDescent="0.2">
      <c r="A490" s="140"/>
      <c r="B490" s="79" t="s">
        <v>1220</v>
      </c>
      <c r="C490" s="79"/>
      <c r="D490" s="56">
        <f>D488+D478+D361+D248+D227</f>
        <v>233</v>
      </c>
      <c r="E490" s="54"/>
      <c r="F490" s="55"/>
      <c r="G490" s="55"/>
      <c r="H490" s="56">
        <f>H488+H478+H361+H248+H227</f>
        <v>12241002</v>
      </c>
      <c r="I490" s="56">
        <f>I488+I478+I361+I248+I227</f>
        <v>11857719.056000002</v>
      </c>
      <c r="J490" s="56">
        <f>J488+J478+J361+J248+J227</f>
        <v>10435932.859279998</v>
      </c>
      <c r="K490" s="56"/>
      <c r="L490" s="56">
        <f>L488+L478+L361+L248+L227</f>
        <v>2972124</v>
      </c>
      <c r="M490" s="56">
        <f>M488+M478+M361+M248+M227</f>
        <v>2931072.1889999998</v>
      </c>
      <c r="N490" s="56">
        <f>N488+N478+N361+N248+N227</f>
        <v>2582453.0663200002</v>
      </c>
      <c r="O490" s="95"/>
      <c r="P490" s="56">
        <f>P488+P478+P361+P248+P227</f>
        <v>14509</v>
      </c>
      <c r="Q490" s="56">
        <f>Q488+Q478+Q361+Q248+Q227</f>
        <v>21647.428</v>
      </c>
      <c r="R490" s="56">
        <f>R488+R478+R361+R248+R227</f>
        <v>19049.736640000003</v>
      </c>
      <c r="S490" s="56"/>
      <c r="T490" s="25"/>
      <c r="U490" s="62">
        <f>U488+U478+U361+U248+U227</f>
        <v>32689835.83092045</v>
      </c>
      <c r="V490" s="62">
        <f>V488+V478+V361+V248+V227</f>
        <v>1783636.6997432217</v>
      </c>
      <c r="W490" s="62">
        <f>W488+W478+W361+W248+W227</f>
        <v>244344.73139997886</v>
      </c>
      <c r="X490" s="62">
        <f>X488+X478+X361+X248+X227</f>
        <v>34717817.262063645</v>
      </c>
      <c r="Y490" s="62"/>
      <c r="Z490" s="62">
        <f t="shared" ref="Z490:AF490" si="181">Z488+Z478+Z361+Z248+Z227</f>
        <v>8938988.4112</v>
      </c>
      <c r="AA490" s="62">
        <f t="shared" si="181"/>
        <v>1157775.67</v>
      </c>
      <c r="AB490" s="62">
        <f t="shared" si="181"/>
        <v>74455.929999999993</v>
      </c>
      <c r="AC490" s="62">
        <f t="shared" si="181"/>
        <v>1232231.6000000001</v>
      </c>
      <c r="AD490" s="62">
        <f t="shared" si="181"/>
        <v>9013444.3412000015</v>
      </c>
      <c r="AE490" s="62">
        <f t="shared" si="181"/>
        <v>25704372.920863651</v>
      </c>
      <c r="AF490" s="230">
        <f t="shared" si="181"/>
        <v>155509745.86775997</v>
      </c>
    </row>
    <row r="491" spans="1:32" x14ac:dyDescent="0.2">
      <c r="A491" s="135"/>
      <c r="B491" s="4"/>
      <c r="C491" s="4"/>
      <c r="D491" s="26"/>
      <c r="E491" s="31"/>
      <c r="F491" s="32"/>
      <c r="G491" s="32"/>
      <c r="H491" s="26"/>
      <c r="I491" s="26"/>
      <c r="J491" s="26"/>
      <c r="K491" s="26"/>
      <c r="L491" s="26"/>
      <c r="M491" s="26"/>
      <c r="N491" s="26"/>
      <c r="O491" s="92"/>
      <c r="P491" s="26"/>
      <c r="Q491" s="26"/>
      <c r="R491" s="26"/>
      <c r="S491" s="26"/>
      <c r="T491" s="5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166"/>
    </row>
    <row r="492" spans="1:32" x14ac:dyDescent="0.2">
      <c r="A492" s="140" t="s">
        <v>1336</v>
      </c>
      <c r="B492" s="79"/>
      <c r="C492" s="79"/>
      <c r="D492" s="56">
        <f>D490+D197</f>
        <v>318</v>
      </c>
      <c r="E492" s="54"/>
      <c r="F492" s="55"/>
      <c r="G492" s="55"/>
      <c r="H492" s="56">
        <f>H490+H197</f>
        <v>18038604</v>
      </c>
      <c r="I492" s="56">
        <f>I490+I197</f>
        <v>17467157.855999999</v>
      </c>
      <c r="J492" s="56">
        <f>J490+J197</f>
        <v>15377675.693279998</v>
      </c>
      <c r="K492" s="56"/>
      <c r="L492" s="56">
        <f>L490+L197</f>
        <v>6164479</v>
      </c>
      <c r="M492" s="56">
        <f>M490+M197</f>
        <v>5623153.5559999999</v>
      </c>
      <c r="N492" s="56">
        <f>N490+N197</f>
        <v>4966492.1092800004</v>
      </c>
      <c r="O492" s="95"/>
      <c r="P492" s="56">
        <f>P490+P197</f>
        <v>29255</v>
      </c>
      <c r="Q492" s="56">
        <f>Q490+Q197</f>
        <v>43648.46</v>
      </c>
      <c r="R492" s="56">
        <f>R490+R197</f>
        <v>38410.644800000002</v>
      </c>
      <c r="S492" s="56"/>
      <c r="T492" s="25"/>
      <c r="U492" s="62">
        <f>U490+U197</f>
        <v>47964194.634272926</v>
      </c>
      <c r="V492" s="62">
        <f>V490+V197</f>
        <v>3562355.8495511697</v>
      </c>
      <c r="W492" s="62">
        <f>W490+W197</f>
        <v>495866.33757479384</v>
      </c>
      <c r="X492" s="62">
        <f>X490+X197</f>
        <v>52022416.821398884</v>
      </c>
      <c r="Y492" s="62"/>
      <c r="Z492" s="62">
        <f t="shared" ref="Z492:AF492" si="182">Z490+Z197</f>
        <v>14354663.199999999</v>
      </c>
      <c r="AA492" s="62">
        <f t="shared" si="182"/>
        <v>1683459.8199999998</v>
      </c>
      <c r="AB492" s="62">
        <f t="shared" si="182"/>
        <v>211545.30000000002</v>
      </c>
      <c r="AC492" s="62">
        <f t="shared" si="182"/>
        <v>1895005.12</v>
      </c>
      <c r="AD492" s="62">
        <f t="shared" si="182"/>
        <v>14566208.500000002</v>
      </c>
      <c r="AE492" s="62">
        <f t="shared" si="182"/>
        <v>37456208.321398892</v>
      </c>
      <c r="AF492" s="230">
        <f t="shared" si="182"/>
        <v>220687608.56079996</v>
      </c>
    </row>
    <row r="493" spans="1:32" x14ac:dyDescent="0.2">
      <c r="A493" s="134"/>
      <c r="D493" s="33" t="s">
        <v>1189</v>
      </c>
      <c r="J493" s="33" t="s">
        <v>1189</v>
      </c>
      <c r="K493" s="33" t="s">
        <v>1189</v>
      </c>
    </row>
    <row r="494" spans="1:32" s="4" customFormat="1" x14ac:dyDescent="0.2">
      <c r="A494" s="135"/>
      <c r="B494" s="4" t="s">
        <v>1164</v>
      </c>
      <c r="D494" s="26"/>
      <c r="E494" s="31" t="s">
        <v>1189</v>
      </c>
      <c r="F494" s="32"/>
      <c r="G494" s="32"/>
      <c r="H494" s="31"/>
      <c r="I494" s="31"/>
      <c r="J494" s="26"/>
      <c r="K494" s="26"/>
      <c r="L494" s="26"/>
      <c r="M494" s="31"/>
      <c r="N494" s="26"/>
      <c r="O494" s="92"/>
      <c r="P494" s="36"/>
      <c r="Q494" s="31"/>
      <c r="R494" s="26"/>
      <c r="S494" s="26"/>
      <c r="T494" s="5"/>
      <c r="U494" s="53"/>
      <c r="V494" s="53"/>
      <c r="W494" s="53"/>
      <c r="X494" s="53"/>
      <c r="Y494" s="63"/>
      <c r="Z494" s="53"/>
      <c r="AA494" s="63"/>
      <c r="AB494" s="63"/>
      <c r="AC494" s="53"/>
      <c r="AD494" s="53"/>
      <c r="AE494" s="53"/>
      <c r="AF494" s="166"/>
    </row>
    <row r="495" spans="1:32" x14ac:dyDescent="0.2">
      <c r="A495" s="134" t="s">
        <v>980</v>
      </c>
      <c r="B495" s="30" t="s">
        <v>970</v>
      </c>
      <c r="H495" s="236">
        <v>0</v>
      </c>
      <c r="I495" s="236"/>
      <c r="J495" s="236"/>
      <c r="K495" s="236"/>
      <c r="L495" s="236">
        <v>0</v>
      </c>
      <c r="M495" s="236"/>
      <c r="O495" s="92"/>
      <c r="P495" s="236">
        <v>0</v>
      </c>
      <c r="Q495" s="236"/>
      <c r="R495" s="26"/>
      <c r="S495" s="26"/>
      <c r="Z495" s="53"/>
      <c r="AA495" s="63"/>
      <c r="AC495" s="53"/>
      <c r="AD495" s="53"/>
      <c r="AE495" s="53"/>
      <c r="AF495" s="166"/>
    </row>
    <row r="496" spans="1:32" s="150" customFormat="1" x14ac:dyDescent="0.2">
      <c r="A496" s="144" t="s">
        <v>288</v>
      </c>
      <c r="B496" s="144"/>
      <c r="C496" s="144"/>
      <c r="D496" s="145">
        <v>1</v>
      </c>
      <c r="E496" s="122"/>
      <c r="F496" s="146">
        <v>0.2</v>
      </c>
      <c r="G496" s="146"/>
      <c r="H496" s="122">
        <v>22839</v>
      </c>
      <c r="I496" s="122">
        <f t="shared" ref="I496:I559" si="183">+$H$68*H496</f>
        <v>22108.151999999998</v>
      </c>
      <c r="J496" s="147">
        <f t="shared" ref="J496:J559" si="184">I496*(1-F496)</f>
        <v>17686.5216</v>
      </c>
      <c r="K496" s="122"/>
      <c r="L496" s="122">
        <v>11509</v>
      </c>
      <c r="M496" s="122">
        <f t="shared" ref="M496:M559" si="185">+$L$68*L496</f>
        <v>10346.591</v>
      </c>
      <c r="N496" s="122">
        <f t="shared" ref="N496:N559" si="186">M496*(1-F496)</f>
        <v>8277.2728000000006</v>
      </c>
      <c r="O496" s="122"/>
      <c r="P496" s="122">
        <v>0</v>
      </c>
      <c r="Q496" s="122">
        <f t="shared" ref="Q496:Q559" si="187">+P496*$P$68</f>
        <v>0</v>
      </c>
      <c r="R496" s="147">
        <f t="shared" ref="R496:R559" si="188">Q496*(1-F496)</f>
        <v>0</v>
      </c>
      <c r="S496" s="145">
        <v>15</v>
      </c>
      <c r="T496" s="144" t="s">
        <v>213</v>
      </c>
      <c r="U496" s="90">
        <f>SUMIF('Avoided Costs 2009-2017'!$A:$A,Actuals!T496&amp;Actuals!S496,'Avoided Costs 2009-2017'!$E:$E)*J496</f>
        <v>59819.452365912417</v>
      </c>
      <c r="V496" s="90">
        <f>SUMIF('Avoided Costs 2009-2017'!$A:$A,Actuals!T496&amp;Actuals!S496,'Avoided Costs 2009-2017'!$K:$K)*N496</f>
        <v>6179.2504789368404</v>
      </c>
      <c r="W496" s="90">
        <f>SUMIF('Avoided Costs 2009-2017'!$A:$A,Actuals!T496&amp;Actuals!S496,'Avoided Costs 2009-2017'!$M:$M)*R496</f>
        <v>0</v>
      </c>
      <c r="X496" s="90">
        <f t="shared" ref="X496:X559" si="189">SUM(U496:W496)</f>
        <v>65998.702844849264</v>
      </c>
      <c r="Y496" s="148">
        <v>18514</v>
      </c>
      <c r="Z496" s="149">
        <f t="shared" ref="Z496:Z559" si="190">Y496*(1-F496)</f>
        <v>14811.2</v>
      </c>
      <c r="AA496" s="148"/>
      <c r="AB496" s="145"/>
      <c r="AC496" s="145"/>
      <c r="AD496" s="148">
        <f t="shared" ref="AD496:AD559" si="191">Z496+AB496</f>
        <v>14811.2</v>
      </c>
      <c r="AE496" s="122">
        <f t="shared" ref="AE496:AE559" si="192">X496-AD496</f>
        <v>51187.502844849267</v>
      </c>
      <c r="AF496" s="167">
        <f t="shared" ref="AF496:AF559" si="193">J496*S496</f>
        <v>265297.82400000002</v>
      </c>
    </row>
    <row r="497" spans="1:32" s="150" customFormat="1" x14ac:dyDescent="0.2">
      <c r="A497" s="144" t="s">
        <v>289</v>
      </c>
      <c r="B497" s="144"/>
      <c r="C497" s="144"/>
      <c r="D497" s="145">
        <v>0</v>
      </c>
      <c r="E497" s="122"/>
      <c r="F497" s="146">
        <v>0.2</v>
      </c>
      <c r="G497" s="146"/>
      <c r="H497" s="122">
        <v>50114</v>
      </c>
      <c r="I497" s="122">
        <f t="shared" si="183"/>
        <v>48510.351999999999</v>
      </c>
      <c r="J497" s="147">
        <f t="shared" si="184"/>
        <v>38808.281600000002</v>
      </c>
      <c r="K497" s="122"/>
      <c r="L497" s="122">
        <v>0</v>
      </c>
      <c r="M497" s="122">
        <f t="shared" si="185"/>
        <v>0</v>
      </c>
      <c r="N497" s="122">
        <f t="shared" si="186"/>
        <v>0</v>
      </c>
      <c r="O497" s="122"/>
      <c r="P497" s="122">
        <v>0</v>
      </c>
      <c r="Q497" s="122">
        <f t="shared" si="187"/>
        <v>0</v>
      </c>
      <c r="R497" s="147">
        <f t="shared" si="188"/>
        <v>0</v>
      </c>
      <c r="S497" s="145">
        <v>8</v>
      </c>
      <c r="T497" s="144" t="s">
        <v>1176</v>
      </c>
      <c r="U497" s="90">
        <f>SUMIF('Avoided Costs 2009-2017'!$A:$A,Actuals!T497&amp;Actuals!S497,'Avoided Costs 2009-2017'!$E:$E)*J497</f>
        <v>79510.542367191956</v>
      </c>
      <c r="V497" s="90">
        <f>SUMIF('Avoided Costs 2009-2017'!$A:$A,Actuals!T497&amp;Actuals!S497,'Avoided Costs 2009-2017'!$K:$K)*N497</f>
        <v>0</v>
      </c>
      <c r="W497" s="90">
        <f>SUMIF('Avoided Costs 2009-2017'!$A:$A,Actuals!T497&amp;Actuals!S497,'Avoided Costs 2009-2017'!$M:$M)*R497</f>
        <v>0</v>
      </c>
      <c r="X497" s="90">
        <f t="shared" si="189"/>
        <v>79510.542367191956</v>
      </c>
      <c r="Y497" s="148">
        <v>31244</v>
      </c>
      <c r="Z497" s="149">
        <f t="shared" si="190"/>
        <v>24995.200000000001</v>
      </c>
      <c r="AA497" s="148"/>
      <c r="AB497" s="145"/>
      <c r="AC497" s="145"/>
      <c r="AD497" s="148">
        <f t="shared" si="191"/>
        <v>24995.200000000001</v>
      </c>
      <c r="AE497" s="122">
        <f t="shared" si="192"/>
        <v>54515.342367191959</v>
      </c>
      <c r="AF497" s="167">
        <f t="shared" si="193"/>
        <v>310466.25280000002</v>
      </c>
    </row>
    <row r="498" spans="1:32" s="150" customFormat="1" x14ac:dyDescent="0.2">
      <c r="A498" s="144" t="s">
        <v>290</v>
      </c>
      <c r="B498" s="144"/>
      <c r="C498" s="144"/>
      <c r="D498" s="145">
        <v>1</v>
      </c>
      <c r="E498" s="122"/>
      <c r="F498" s="146">
        <v>0.2</v>
      </c>
      <c r="G498" s="146"/>
      <c r="H498" s="122">
        <v>63093</v>
      </c>
      <c r="I498" s="122">
        <f t="shared" si="183"/>
        <v>61074.023999999998</v>
      </c>
      <c r="J498" s="147">
        <f t="shared" si="184"/>
        <v>48859.2192</v>
      </c>
      <c r="K498" s="122"/>
      <c r="L498" s="122">
        <v>0</v>
      </c>
      <c r="M498" s="122">
        <f t="shared" si="185"/>
        <v>0</v>
      </c>
      <c r="N498" s="122">
        <f t="shared" si="186"/>
        <v>0</v>
      </c>
      <c r="O498" s="122"/>
      <c r="P498" s="122">
        <v>0</v>
      </c>
      <c r="Q498" s="122">
        <f t="shared" si="187"/>
        <v>0</v>
      </c>
      <c r="R498" s="147">
        <f t="shared" si="188"/>
        <v>0</v>
      </c>
      <c r="S498" s="145">
        <v>11</v>
      </c>
      <c r="T498" s="144" t="s">
        <v>213</v>
      </c>
      <c r="U498" s="90">
        <f>SUMIF('Avoided Costs 2009-2017'!$A:$A,Actuals!T498&amp;Actuals!S498,'Avoided Costs 2009-2017'!$E:$E)*J498</f>
        <v>136741.85795594289</v>
      </c>
      <c r="V498" s="90">
        <f>SUMIF('Avoided Costs 2009-2017'!$A:$A,Actuals!T498&amp;Actuals!S498,'Avoided Costs 2009-2017'!$K:$K)*N498</f>
        <v>0</v>
      </c>
      <c r="W498" s="90">
        <f>SUMIF('Avoided Costs 2009-2017'!$A:$A,Actuals!T498&amp;Actuals!S498,'Avoided Costs 2009-2017'!$M:$M)*R498</f>
        <v>0</v>
      </c>
      <c r="X498" s="90">
        <f t="shared" si="189"/>
        <v>136741.85795594289</v>
      </c>
      <c r="Y498" s="148">
        <v>38213</v>
      </c>
      <c r="Z498" s="149">
        <f t="shared" si="190"/>
        <v>30570.400000000001</v>
      </c>
      <c r="AA498" s="148"/>
      <c r="AB498" s="145"/>
      <c r="AC498" s="145"/>
      <c r="AD498" s="148">
        <f t="shared" si="191"/>
        <v>30570.400000000001</v>
      </c>
      <c r="AE498" s="122">
        <f t="shared" si="192"/>
        <v>106171.4579559429</v>
      </c>
      <c r="AF498" s="167">
        <f t="shared" si="193"/>
        <v>537451.41119999997</v>
      </c>
    </row>
    <row r="499" spans="1:32" s="150" customFormat="1" x14ac:dyDescent="0.2">
      <c r="A499" s="144" t="s">
        <v>291</v>
      </c>
      <c r="B499" s="144"/>
      <c r="C499" s="144"/>
      <c r="D499" s="145">
        <v>1</v>
      </c>
      <c r="E499" s="122"/>
      <c r="F499" s="146">
        <v>0.2</v>
      </c>
      <c r="G499" s="146"/>
      <c r="H499" s="122">
        <v>50217</v>
      </c>
      <c r="I499" s="122">
        <f t="shared" si="183"/>
        <v>48610.055999999997</v>
      </c>
      <c r="J499" s="147">
        <f t="shared" si="184"/>
        <v>38888.044799999996</v>
      </c>
      <c r="K499" s="122"/>
      <c r="L499" s="122">
        <v>54261</v>
      </c>
      <c r="M499" s="122">
        <f t="shared" si="185"/>
        <v>48780.639000000003</v>
      </c>
      <c r="N499" s="122">
        <f t="shared" si="186"/>
        <v>39024.511200000001</v>
      </c>
      <c r="O499" s="122"/>
      <c r="P499" s="122">
        <v>0</v>
      </c>
      <c r="Q499" s="122">
        <f t="shared" si="187"/>
        <v>0</v>
      </c>
      <c r="R499" s="147">
        <f t="shared" si="188"/>
        <v>0</v>
      </c>
      <c r="S499" s="145">
        <v>15</v>
      </c>
      <c r="T499" s="144" t="s">
        <v>213</v>
      </c>
      <c r="U499" s="90">
        <f>SUMIF('Avoided Costs 2009-2017'!$A:$A,Actuals!T499&amp;Actuals!S499,'Avoided Costs 2009-2017'!$E:$E)*J499</f>
        <v>131527.36282057111</v>
      </c>
      <c r="V499" s="90">
        <f>SUMIF('Avoided Costs 2009-2017'!$A:$A,Actuals!T499&amp;Actuals!S499,'Avoided Costs 2009-2017'!$K:$K)*N499</f>
        <v>29133.053283308011</v>
      </c>
      <c r="W499" s="90">
        <f>SUMIF('Avoided Costs 2009-2017'!$A:$A,Actuals!T499&amp;Actuals!S499,'Avoided Costs 2009-2017'!$M:$M)*R499</f>
        <v>0</v>
      </c>
      <c r="X499" s="90">
        <f t="shared" si="189"/>
        <v>160660.41610387914</v>
      </c>
      <c r="Y499" s="148">
        <v>10260</v>
      </c>
      <c r="Z499" s="149">
        <f t="shared" si="190"/>
        <v>8208</v>
      </c>
      <c r="AA499" s="148"/>
      <c r="AB499" s="145"/>
      <c r="AC499" s="145"/>
      <c r="AD499" s="148">
        <f t="shared" si="191"/>
        <v>8208</v>
      </c>
      <c r="AE499" s="122">
        <f t="shared" si="192"/>
        <v>152452.41610387914</v>
      </c>
      <c r="AF499" s="167">
        <f t="shared" si="193"/>
        <v>583320.6719999999</v>
      </c>
    </row>
    <row r="500" spans="1:32" s="150" customFormat="1" x14ac:dyDescent="0.2">
      <c r="A500" s="144" t="s">
        <v>292</v>
      </c>
      <c r="B500" s="144"/>
      <c r="C500" s="144"/>
      <c r="D500" s="145">
        <v>0</v>
      </c>
      <c r="E500" s="122"/>
      <c r="F500" s="146">
        <v>0.2</v>
      </c>
      <c r="G500" s="146"/>
      <c r="H500" s="122">
        <v>38979</v>
      </c>
      <c r="I500" s="122">
        <f t="shared" si="183"/>
        <v>37731.671999999999</v>
      </c>
      <c r="J500" s="147">
        <f t="shared" si="184"/>
        <v>30185.337599999999</v>
      </c>
      <c r="K500" s="122"/>
      <c r="L500" s="122">
        <v>0</v>
      </c>
      <c r="M500" s="122">
        <f t="shared" si="185"/>
        <v>0</v>
      </c>
      <c r="N500" s="122">
        <f t="shared" si="186"/>
        <v>0</v>
      </c>
      <c r="O500" s="122"/>
      <c r="P500" s="122">
        <v>0</v>
      </c>
      <c r="Q500" s="122">
        <f t="shared" si="187"/>
        <v>0</v>
      </c>
      <c r="R500" s="147">
        <f t="shared" si="188"/>
        <v>0</v>
      </c>
      <c r="S500" s="145">
        <v>8</v>
      </c>
      <c r="T500" s="144" t="s">
        <v>1176</v>
      </c>
      <c r="U500" s="90">
        <f>SUMIF('Avoided Costs 2009-2017'!$A:$A,Actuals!T500&amp;Actuals!S500,'Avoided Costs 2009-2017'!$E:$E)*J500</f>
        <v>61843.82469830336</v>
      </c>
      <c r="V500" s="90">
        <f>SUMIF('Avoided Costs 2009-2017'!$A:$A,Actuals!T500&amp;Actuals!S500,'Avoided Costs 2009-2017'!$K:$K)*N500</f>
        <v>0</v>
      </c>
      <c r="W500" s="90">
        <f>SUMIF('Avoided Costs 2009-2017'!$A:$A,Actuals!T500&amp;Actuals!S500,'Avoided Costs 2009-2017'!$M:$M)*R500</f>
        <v>0</v>
      </c>
      <c r="X500" s="90">
        <f t="shared" si="189"/>
        <v>61843.82469830336</v>
      </c>
      <c r="Y500" s="148">
        <v>17278</v>
      </c>
      <c r="Z500" s="149">
        <f t="shared" si="190"/>
        <v>13822.400000000001</v>
      </c>
      <c r="AA500" s="148"/>
      <c r="AB500" s="145"/>
      <c r="AC500" s="145"/>
      <c r="AD500" s="148">
        <f t="shared" si="191"/>
        <v>13822.400000000001</v>
      </c>
      <c r="AE500" s="122">
        <f t="shared" si="192"/>
        <v>48021.424698303359</v>
      </c>
      <c r="AF500" s="167">
        <f t="shared" si="193"/>
        <v>241482.70079999999</v>
      </c>
    </row>
    <row r="501" spans="1:32" s="150" customFormat="1" x14ac:dyDescent="0.2">
      <c r="A501" s="144" t="s">
        <v>293</v>
      </c>
      <c r="B501" s="144"/>
      <c r="C501" s="144"/>
      <c r="D501" s="145">
        <v>1</v>
      </c>
      <c r="E501" s="122"/>
      <c r="F501" s="146">
        <v>0.2</v>
      </c>
      <c r="G501" s="146"/>
      <c r="H501" s="122">
        <v>112868</v>
      </c>
      <c r="I501" s="122">
        <f t="shared" si="183"/>
        <v>109256.224</v>
      </c>
      <c r="J501" s="147">
        <f t="shared" si="184"/>
        <v>87404.979200000002</v>
      </c>
      <c r="K501" s="122"/>
      <c r="L501" s="122">
        <v>0</v>
      </c>
      <c r="M501" s="122">
        <f t="shared" si="185"/>
        <v>0</v>
      </c>
      <c r="N501" s="122">
        <f t="shared" si="186"/>
        <v>0</v>
      </c>
      <c r="O501" s="122"/>
      <c r="P501" s="122">
        <v>0</v>
      </c>
      <c r="Q501" s="122">
        <f t="shared" si="187"/>
        <v>0</v>
      </c>
      <c r="R501" s="147">
        <f t="shared" si="188"/>
        <v>0</v>
      </c>
      <c r="S501" s="145">
        <v>11</v>
      </c>
      <c r="T501" s="144" t="s">
        <v>213</v>
      </c>
      <c r="U501" s="90">
        <f>SUMIF('Avoided Costs 2009-2017'!$A:$A,Actuals!T501&amp;Actuals!S501,'Avoided Costs 2009-2017'!$E:$E)*J501</f>
        <v>244619.53027707295</v>
      </c>
      <c r="V501" s="90">
        <f>SUMIF('Avoided Costs 2009-2017'!$A:$A,Actuals!T501&amp;Actuals!S501,'Avoided Costs 2009-2017'!$K:$K)*N501</f>
        <v>0</v>
      </c>
      <c r="W501" s="90">
        <f>SUMIF('Avoided Costs 2009-2017'!$A:$A,Actuals!T501&amp;Actuals!S501,'Avoided Costs 2009-2017'!$M:$M)*R501</f>
        <v>0</v>
      </c>
      <c r="X501" s="90">
        <f t="shared" si="189"/>
        <v>244619.53027707295</v>
      </c>
      <c r="Y501" s="148">
        <v>26500</v>
      </c>
      <c r="Z501" s="149">
        <f t="shared" si="190"/>
        <v>21200</v>
      </c>
      <c r="AA501" s="148"/>
      <c r="AB501" s="145"/>
      <c r="AC501" s="145"/>
      <c r="AD501" s="148">
        <f t="shared" si="191"/>
        <v>21200</v>
      </c>
      <c r="AE501" s="122">
        <f t="shared" si="192"/>
        <v>223419.53027707295</v>
      </c>
      <c r="AF501" s="167">
        <f t="shared" si="193"/>
        <v>961454.77120000008</v>
      </c>
    </row>
    <row r="502" spans="1:32" s="150" customFormat="1" x14ac:dyDescent="0.2">
      <c r="A502" s="144" t="s">
        <v>294</v>
      </c>
      <c r="B502" s="144"/>
      <c r="C502" s="144"/>
      <c r="D502" s="145">
        <v>0</v>
      </c>
      <c r="E502" s="122"/>
      <c r="F502" s="146">
        <v>0.2</v>
      </c>
      <c r="G502" s="146"/>
      <c r="H502" s="122">
        <v>28435</v>
      </c>
      <c r="I502" s="122">
        <f>+H502</f>
        <v>28435</v>
      </c>
      <c r="J502" s="147">
        <f t="shared" si="184"/>
        <v>22748</v>
      </c>
      <c r="K502" s="122"/>
      <c r="L502" s="122">
        <v>26319</v>
      </c>
      <c r="M502" s="122">
        <f>+L502</f>
        <v>26319</v>
      </c>
      <c r="N502" s="122">
        <f t="shared" si="186"/>
        <v>21055.200000000001</v>
      </c>
      <c r="O502" s="122"/>
      <c r="P502" s="122">
        <v>0</v>
      </c>
      <c r="Q502" s="122">
        <f t="shared" si="187"/>
        <v>0</v>
      </c>
      <c r="R502" s="147">
        <f t="shared" si="188"/>
        <v>0</v>
      </c>
      <c r="S502" s="145">
        <v>15</v>
      </c>
      <c r="T502" s="144" t="s">
        <v>213</v>
      </c>
      <c r="U502" s="90">
        <f>SUMIF('Avoided Costs 2009-2017'!$A:$A,Actuals!T502&amp;Actuals!S502,'Avoided Costs 2009-2017'!$E:$E)*J502</f>
        <v>76938.412944904645</v>
      </c>
      <c r="V502" s="90">
        <f>SUMIF('Avoided Costs 2009-2017'!$A:$A,Actuals!T502&amp;Actuals!S502,'Avoided Costs 2009-2017'!$K:$K)*N502</f>
        <v>15718.384282817276</v>
      </c>
      <c r="W502" s="90">
        <f>SUMIF('Avoided Costs 2009-2017'!$A:$A,Actuals!T502&amp;Actuals!S502,'Avoided Costs 2009-2017'!$M:$M)*R502</f>
        <v>0</v>
      </c>
      <c r="X502" s="90">
        <f t="shared" si="189"/>
        <v>92656.797227721923</v>
      </c>
      <c r="Y502" s="148">
        <v>20000</v>
      </c>
      <c r="Z502" s="149">
        <f t="shared" si="190"/>
        <v>16000</v>
      </c>
      <c r="AA502" s="148"/>
      <c r="AB502" s="145"/>
      <c r="AC502" s="145"/>
      <c r="AD502" s="148">
        <f t="shared" si="191"/>
        <v>16000</v>
      </c>
      <c r="AE502" s="122">
        <f t="shared" si="192"/>
        <v>76656.797227721923</v>
      </c>
      <c r="AF502" s="167">
        <f t="shared" si="193"/>
        <v>341220</v>
      </c>
    </row>
    <row r="503" spans="1:32" s="150" customFormat="1" x14ac:dyDescent="0.2">
      <c r="A503" s="144" t="s">
        <v>295</v>
      </c>
      <c r="B503" s="144"/>
      <c r="C503" s="144"/>
      <c r="D503" s="145">
        <v>1</v>
      </c>
      <c r="E503" s="122"/>
      <c r="F503" s="146">
        <v>0.2</v>
      </c>
      <c r="G503" s="146"/>
      <c r="H503" s="122">
        <v>81778</v>
      </c>
      <c r="I503" s="122">
        <f>+H503</f>
        <v>81778</v>
      </c>
      <c r="J503" s="147">
        <f t="shared" si="184"/>
        <v>65422.400000000001</v>
      </c>
      <c r="K503" s="122"/>
      <c r="L503" s="122">
        <v>0</v>
      </c>
      <c r="M503" s="122">
        <f>+L503</f>
        <v>0</v>
      </c>
      <c r="N503" s="122">
        <f t="shared" si="186"/>
        <v>0</v>
      </c>
      <c r="O503" s="122"/>
      <c r="P503" s="122">
        <v>0</v>
      </c>
      <c r="Q503" s="122">
        <f t="shared" si="187"/>
        <v>0</v>
      </c>
      <c r="R503" s="147">
        <f t="shared" si="188"/>
        <v>0</v>
      </c>
      <c r="S503" s="145">
        <v>11</v>
      </c>
      <c r="T503" s="144" t="s">
        <v>213</v>
      </c>
      <c r="U503" s="90">
        <f>SUMIF('Avoided Costs 2009-2017'!$A:$A,Actuals!T503&amp;Actuals!S503,'Avoided Costs 2009-2017'!$E:$E)*J503</f>
        <v>183097.08330207781</v>
      </c>
      <c r="V503" s="90">
        <f>SUMIF('Avoided Costs 2009-2017'!$A:$A,Actuals!T503&amp;Actuals!S503,'Avoided Costs 2009-2017'!$K:$K)*N503</f>
        <v>0</v>
      </c>
      <c r="W503" s="90">
        <f>SUMIF('Avoided Costs 2009-2017'!$A:$A,Actuals!T503&amp;Actuals!S503,'Avoided Costs 2009-2017'!$M:$M)*R503</f>
        <v>0</v>
      </c>
      <c r="X503" s="90">
        <f t="shared" si="189"/>
        <v>183097.08330207781</v>
      </c>
      <c r="Y503" s="148">
        <v>24356</v>
      </c>
      <c r="Z503" s="149">
        <f t="shared" si="190"/>
        <v>19484.8</v>
      </c>
      <c r="AA503" s="148"/>
      <c r="AB503" s="145"/>
      <c r="AC503" s="145"/>
      <c r="AD503" s="148">
        <f t="shared" si="191"/>
        <v>19484.8</v>
      </c>
      <c r="AE503" s="122">
        <f t="shared" si="192"/>
        <v>163612.28330207782</v>
      </c>
      <c r="AF503" s="167">
        <f t="shared" si="193"/>
        <v>719646.4</v>
      </c>
    </row>
    <row r="504" spans="1:32" s="150" customFormat="1" x14ac:dyDescent="0.2">
      <c r="A504" s="144" t="s">
        <v>296</v>
      </c>
      <c r="B504" s="144"/>
      <c r="C504" s="144"/>
      <c r="D504" s="145">
        <v>1</v>
      </c>
      <c r="E504" s="122"/>
      <c r="F504" s="146">
        <v>0.2</v>
      </c>
      <c r="G504" s="146"/>
      <c r="H504" s="122">
        <v>209502</v>
      </c>
      <c r="I504" s="122">
        <f t="shared" si="183"/>
        <v>202797.93599999999</v>
      </c>
      <c r="J504" s="147">
        <f t="shared" si="184"/>
        <v>162238.34880000001</v>
      </c>
      <c r="K504" s="122"/>
      <c r="L504" s="122">
        <v>0</v>
      </c>
      <c r="M504" s="122">
        <f t="shared" si="185"/>
        <v>0</v>
      </c>
      <c r="N504" s="122">
        <f t="shared" si="186"/>
        <v>0</v>
      </c>
      <c r="O504" s="122"/>
      <c r="P504" s="122">
        <v>0</v>
      </c>
      <c r="Q504" s="122">
        <f t="shared" si="187"/>
        <v>0</v>
      </c>
      <c r="R504" s="147">
        <f t="shared" si="188"/>
        <v>0</v>
      </c>
      <c r="S504" s="145">
        <v>11</v>
      </c>
      <c r="T504" s="144" t="s">
        <v>213</v>
      </c>
      <c r="U504" s="90">
        <f>SUMIF('Avoided Costs 2009-2017'!$A:$A,Actuals!T504&amp;Actuals!S504,'Avoided Costs 2009-2017'!$E:$E)*J504</f>
        <v>454055.0096759696</v>
      </c>
      <c r="V504" s="90">
        <f>SUMIF('Avoided Costs 2009-2017'!$A:$A,Actuals!T504&amp;Actuals!S504,'Avoided Costs 2009-2017'!$K:$K)*N504</f>
        <v>0</v>
      </c>
      <c r="W504" s="90">
        <f>SUMIF('Avoided Costs 2009-2017'!$A:$A,Actuals!T504&amp;Actuals!S504,'Avoided Costs 2009-2017'!$M:$M)*R504</f>
        <v>0</v>
      </c>
      <c r="X504" s="90">
        <f t="shared" si="189"/>
        <v>454055.0096759696</v>
      </c>
      <c r="Y504" s="148">
        <v>75431</v>
      </c>
      <c r="Z504" s="149">
        <f t="shared" si="190"/>
        <v>60344.800000000003</v>
      </c>
      <c r="AA504" s="148"/>
      <c r="AB504" s="145"/>
      <c r="AC504" s="145"/>
      <c r="AD504" s="148">
        <f t="shared" si="191"/>
        <v>60344.800000000003</v>
      </c>
      <c r="AE504" s="122">
        <f t="shared" si="192"/>
        <v>393710.20967596961</v>
      </c>
      <c r="AF504" s="167">
        <f t="shared" si="193"/>
        <v>1784621.8368000002</v>
      </c>
    </row>
    <row r="505" spans="1:32" s="150" customFormat="1" x14ac:dyDescent="0.2">
      <c r="A505" s="144" t="s">
        <v>297</v>
      </c>
      <c r="B505" s="144"/>
      <c r="C505" s="144"/>
      <c r="D505" s="145">
        <v>0</v>
      </c>
      <c r="E505" s="122"/>
      <c r="F505" s="146">
        <v>0.2</v>
      </c>
      <c r="G505" s="146"/>
      <c r="H505" s="122">
        <v>17942</v>
      </c>
      <c r="I505" s="122">
        <f t="shared" si="183"/>
        <v>17367.856</v>
      </c>
      <c r="J505" s="147">
        <f t="shared" si="184"/>
        <v>13894.284800000001</v>
      </c>
      <c r="K505" s="122"/>
      <c r="L505" s="122">
        <v>0</v>
      </c>
      <c r="M505" s="122">
        <f t="shared" si="185"/>
        <v>0</v>
      </c>
      <c r="N505" s="122">
        <f t="shared" si="186"/>
        <v>0</v>
      </c>
      <c r="O505" s="122"/>
      <c r="P505" s="122">
        <v>0</v>
      </c>
      <c r="Q505" s="122">
        <f t="shared" si="187"/>
        <v>0</v>
      </c>
      <c r="R505" s="147">
        <f t="shared" si="188"/>
        <v>0</v>
      </c>
      <c r="S505" s="145">
        <v>8</v>
      </c>
      <c r="T505" s="144" t="s">
        <v>1176</v>
      </c>
      <c r="U505" s="90">
        <f>SUMIF('Avoided Costs 2009-2017'!$A:$A,Actuals!T505&amp;Actuals!S505,'Avoided Costs 2009-2017'!$E:$E)*J505</f>
        <v>28466.659040430979</v>
      </c>
      <c r="V505" s="90">
        <f>SUMIF('Avoided Costs 2009-2017'!$A:$A,Actuals!T505&amp;Actuals!S505,'Avoided Costs 2009-2017'!$K:$K)*N505</f>
        <v>0</v>
      </c>
      <c r="W505" s="90">
        <f>SUMIF('Avoided Costs 2009-2017'!$A:$A,Actuals!T505&amp;Actuals!S505,'Avoided Costs 2009-2017'!$M:$M)*R505</f>
        <v>0</v>
      </c>
      <c r="X505" s="90">
        <f t="shared" si="189"/>
        <v>28466.659040430979</v>
      </c>
      <c r="Y505" s="148">
        <v>6918</v>
      </c>
      <c r="Z505" s="149">
        <f t="shared" si="190"/>
        <v>5534.4000000000005</v>
      </c>
      <c r="AA505" s="148"/>
      <c r="AB505" s="145"/>
      <c r="AC505" s="145"/>
      <c r="AD505" s="148">
        <f t="shared" si="191"/>
        <v>5534.4000000000005</v>
      </c>
      <c r="AE505" s="122">
        <f t="shared" si="192"/>
        <v>22932.259040430978</v>
      </c>
      <c r="AF505" s="167">
        <f t="shared" si="193"/>
        <v>111154.27840000001</v>
      </c>
    </row>
    <row r="506" spans="1:32" s="150" customFormat="1" x14ac:dyDescent="0.2">
      <c r="A506" s="144" t="s">
        <v>1177</v>
      </c>
      <c r="B506" s="144"/>
      <c r="C506" s="144"/>
      <c r="D506" s="145">
        <v>1</v>
      </c>
      <c r="E506" s="122"/>
      <c r="F506" s="146">
        <v>0.2</v>
      </c>
      <c r="G506" s="146"/>
      <c r="H506" s="122">
        <v>43800</v>
      </c>
      <c r="I506" s="122">
        <f t="shared" si="183"/>
        <v>42398.400000000001</v>
      </c>
      <c r="J506" s="147">
        <f t="shared" si="184"/>
        <v>33918.720000000001</v>
      </c>
      <c r="K506" s="122"/>
      <c r="L506" s="122">
        <v>0</v>
      </c>
      <c r="M506" s="122">
        <f t="shared" si="185"/>
        <v>0</v>
      </c>
      <c r="N506" s="122">
        <f t="shared" si="186"/>
        <v>0</v>
      </c>
      <c r="O506" s="122"/>
      <c r="P506" s="122">
        <v>0</v>
      </c>
      <c r="Q506" s="122">
        <f t="shared" si="187"/>
        <v>0</v>
      </c>
      <c r="R506" s="147">
        <f t="shared" si="188"/>
        <v>0</v>
      </c>
      <c r="S506" s="145">
        <v>11</v>
      </c>
      <c r="T506" s="144" t="s">
        <v>213</v>
      </c>
      <c r="U506" s="90">
        <f>SUMIF('Avoided Costs 2009-2017'!$A:$A,Actuals!T506&amp;Actuals!S506,'Avoided Costs 2009-2017'!$E:$E)*J506</f>
        <v>94928.017029944676</v>
      </c>
      <c r="V506" s="90">
        <f>SUMIF('Avoided Costs 2009-2017'!$A:$A,Actuals!T506&amp;Actuals!S506,'Avoided Costs 2009-2017'!$K:$K)*N506</f>
        <v>0</v>
      </c>
      <c r="W506" s="90">
        <f>SUMIF('Avoided Costs 2009-2017'!$A:$A,Actuals!T506&amp;Actuals!S506,'Avoided Costs 2009-2017'!$M:$M)*R506</f>
        <v>0</v>
      </c>
      <c r="X506" s="90">
        <f t="shared" si="189"/>
        <v>94928.017029944676</v>
      </c>
      <c r="Y506" s="148">
        <v>10906</v>
      </c>
      <c r="Z506" s="149">
        <f t="shared" si="190"/>
        <v>8724.8000000000011</v>
      </c>
      <c r="AA506" s="148"/>
      <c r="AB506" s="145"/>
      <c r="AC506" s="145"/>
      <c r="AD506" s="148">
        <f t="shared" si="191"/>
        <v>8724.8000000000011</v>
      </c>
      <c r="AE506" s="122">
        <f t="shared" si="192"/>
        <v>86203.217029944673</v>
      </c>
      <c r="AF506" s="167">
        <f t="shared" si="193"/>
        <v>373105.92000000004</v>
      </c>
    </row>
    <row r="507" spans="1:32" s="150" customFormat="1" x14ac:dyDescent="0.2">
      <c r="A507" s="144" t="s">
        <v>1178</v>
      </c>
      <c r="B507" s="144"/>
      <c r="C507" s="144"/>
      <c r="D507" s="145">
        <v>1</v>
      </c>
      <c r="E507" s="122"/>
      <c r="F507" s="146">
        <v>0.2</v>
      </c>
      <c r="G507" s="146"/>
      <c r="H507" s="122">
        <v>30942</v>
      </c>
      <c r="I507" s="122">
        <f t="shared" si="183"/>
        <v>29951.856</v>
      </c>
      <c r="J507" s="147">
        <f t="shared" si="184"/>
        <v>23961.484800000002</v>
      </c>
      <c r="K507" s="122"/>
      <c r="L507" s="122">
        <v>0</v>
      </c>
      <c r="M507" s="122">
        <f t="shared" si="185"/>
        <v>0</v>
      </c>
      <c r="N507" s="122">
        <f t="shared" si="186"/>
        <v>0</v>
      </c>
      <c r="O507" s="122"/>
      <c r="P507" s="122">
        <v>0</v>
      </c>
      <c r="Q507" s="122">
        <f t="shared" si="187"/>
        <v>0</v>
      </c>
      <c r="R507" s="147">
        <f t="shared" si="188"/>
        <v>0</v>
      </c>
      <c r="S507" s="145">
        <v>15</v>
      </c>
      <c r="T507" s="144" t="s">
        <v>213</v>
      </c>
      <c r="U507" s="90">
        <f>SUMIF('Avoided Costs 2009-2017'!$A:$A,Actuals!T507&amp;Actuals!S507,'Avoided Costs 2009-2017'!$E:$E)*J507</f>
        <v>81042.668028637956</v>
      </c>
      <c r="V507" s="90">
        <f>SUMIF('Avoided Costs 2009-2017'!$A:$A,Actuals!T507&amp;Actuals!S507,'Avoided Costs 2009-2017'!$K:$K)*N507</f>
        <v>0</v>
      </c>
      <c r="W507" s="90">
        <f>SUMIF('Avoided Costs 2009-2017'!$A:$A,Actuals!T507&amp;Actuals!S507,'Avoided Costs 2009-2017'!$M:$M)*R507</f>
        <v>0</v>
      </c>
      <c r="X507" s="90">
        <f t="shared" si="189"/>
        <v>81042.668028637956</v>
      </c>
      <c r="Y507" s="148">
        <v>17825</v>
      </c>
      <c r="Z507" s="149">
        <f t="shared" si="190"/>
        <v>14260</v>
      </c>
      <c r="AA507" s="148"/>
      <c r="AB507" s="145"/>
      <c r="AC507" s="145"/>
      <c r="AD507" s="148">
        <f t="shared" si="191"/>
        <v>14260</v>
      </c>
      <c r="AE507" s="122">
        <f t="shared" si="192"/>
        <v>66782.668028637956</v>
      </c>
      <c r="AF507" s="167">
        <f t="shared" si="193"/>
        <v>359422.27200000006</v>
      </c>
    </row>
    <row r="508" spans="1:32" s="150" customFormat="1" x14ac:dyDescent="0.2">
      <c r="A508" s="144" t="s">
        <v>1179</v>
      </c>
      <c r="B508" s="144"/>
      <c r="C508" s="144"/>
      <c r="D508" s="145">
        <v>1</v>
      </c>
      <c r="E508" s="122"/>
      <c r="F508" s="146">
        <v>0.2</v>
      </c>
      <c r="G508" s="146"/>
      <c r="H508" s="122">
        <v>50167</v>
      </c>
      <c r="I508" s="122">
        <f t="shared" si="183"/>
        <v>48561.655999999995</v>
      </c>
      <c r="J508" s="147">
        <f t="shared" si="184"/>
        <v>38849.324799999995</v>
      </c>
      <c r="K508" s="122"/>
      <c r="L508" s="122">
        <v>0</v>
      </c>
      <c r="M508" s="122">
        <f t="shared" si="185"/>
        <v>0</v>
      </c>
      <c r="N508" s="122">
        <f t="shared" si="186"/>
        <v>0</v>
      </c>
      <c r="O508" s="122"/>
      <c r="P508" s="122">
        <v>0</v>
      </c>
      <c r="Q508" s="122">
        <f t="shared" si="187"/>
        <v>0</v>
      </c>
      <c r="R508" s="147">
        <f t="shared" si="188"/>
        <v>0</v>
      </c>
      <c r="S508" s="145">
        <v>15</v>
      </c>
      <c r="T508" s="144" t="s">
        <v>213</v>
      </c>
      <c r="U508" s="90">
        <f>SUMIF('Avoided Costs 2009-2017'!$A:$A,Actuals!T508&amp;Actuals!S508,'Avoided Costs 2009-2017'!$E:$E)*J508</f>
        <v>131396.40381981383</v>
      </c>
      <c r="V508" s="90">
        <f>SUMIF('Avoided Costs 2009-2017'!$A:$A,Actuals!T508&amp;Actuals!S508,'Avoided Costs 2009-2017'!$K:$K)*N508</f>
        <v>0</v>
      </c>
      <c r="W508" s="90">
        <f>SUMIF('Avoided Costs 2009-2017'!$A:$A,Actuals!T508&amp;Actuals!S508,'Avoided Costs 2009-2017'!$M:$M)*R508</f>
        <v>0</v>
      </c>
      <c r="X508" s="90">
        <f t="shared" si="189"/>
        <v>131396.40381981383</v>
      </c>
      <c r="Y508" s="148">
        <v>34641</v>
      </c>
      <c r="Z508" s="149">
        <f t="shared" si="190"/>
        <v>27712.800000000003</v>
      </c>
      <c r="AA508" s="148"/>
      <c r="AB508" s="145"/>
      <c r="AC508" s="145"/>
      <c r="AD508" s="148">
        <f t="shared" si="191"/>
        <v>27712.800000000003</v>
      </c>
      <c r="AE508" s="122">
        <f t="shared" si="192"/>
        <v>103683.60381981383</v>
      </c>
      <c r="AF508" s="167">
        <f t="shared" si="193"/>
        <v>582739.87199999997</v>
      </c>
    </row>
    <row r="509" spans="1:32" s="150" customFormat="1" x14ac:dyDescent="0.2">
      <c r="A509" s="144" t="s">
        <v>1180</v>
      </c>
      <c r="B509" s="144"/>
      <c r="C509" s="144"/>
      <c r="D509" s="145">
        <v>1</v>
      </c>
      <c r="E509" s="122"/>
      <c r="F509" s="146">
        <v>0.2</v>
      </c>
      <c r="G509" s="146"/>
      <c r="H509" s="122">
        <v>26518</v>
      </c>
      <c r="I509" s="122">
        <f t="shared" si="183"/>
        <v>25669.423999999999</v>
      </c>
      <c r="J509" s="147">
        <f t="shared" si="184"/>
        <v>20535.539199999999</v>
      </c>
      <c r="K509" s="122"/>
      <c r="L509" s="122">
        <v>0</v>
      </c>
      <c r="M509" s="122">
        <f t="shared" si="185"/>
        <v>0</v>
      </c>
      <c r="N509" s="122">
        <f t="shared" si="186"/>
        <v>0</v>
      </c>
      <c r="O509" s="122"/>
      <c r="P509" s="122">
        <v>0</v>
      </c>
      <c r="Q509" s="122">
        <f t="shared" si="187"/>
        <v>0</v>
      </c>
      <c r="R509" s="147">
        <f t="shared" si="188"/>
        <v>0</v>
      </c>
      <c r="S509" s="145">
        <v>15</v>
      </c>
      <c r="T509" s="144" t="s">
        <v>213</v>
      </c>
      <c r="U509" s="90">
        <f>SUMIF('Avoided Costs 2009-2017'!$A:$A,Actuals!T509&amp;Actuals!S509,'Avoided Costs 2009-2017'!$E:$E)*J509</f>
        <v>69455.415641633401</v>
      </c>
      <c r="V509" s="90">
        <f>SUMIF('Avoided Costs 2009-2017'!$A:$A,Actuals!T509&amp;Actuals!S509,'Avoided Costs 2009-2017'!$K:$K)*N509</f>
        <v>0</v>
      </c>
      <c r="W509" s="90">
        <f>SUMIF('Avoided Costs 2009-2017'!$A:$A,Actuals!T509&amp;Actuals!S509,'Avoided Costs 2009-2017'!$M:$M)*R509</f>
        <v>0</v>
      </c>
      <c r="X509" s="90">
        <f t="shared" si="189"/>
        <v>69455.415641633401</v>
      </c>
      <c r="Y509" s="148">
        <v>15526</v>
      </c>
      <c r="Z509" s="149">
        <f t="shared" si="190"/>
        <v>12420.800000000001</v>
      </c>
      <c r="AA509" s="148"/>
      <c r="AB509" s="145"/>
      <c r="AC509" s="145"/>
      <c r="AD509" s="148">
        <f t="shared" si="191"/>
        <v>12420.800000000001</v>
      </c>
      <c r="AE509" s="122">
        <f t="shared" si="192"/>
        <v>57034.615641633398</v>
      </c>
      <c r="AF509" s="167">
        <f t="shared" si="193"/>
        <v>308033.08799999999</v>
      </c>
    </row>
    <row r="510" spans="1:32" s="150" customFormat="1" x14ac:dyDescent="0.2">
      <c r="A510" s="144" t="s">
        <v>1181</v>
      </c>
      <c r="B510" s="144"/>
      <c r="C510" s="144"/>
      <c r="D510" s="145">
        <v>1</v>
      </c>
      <c r="E510" s="122"/>
      <c r="F510" s="146">
        <v>0.2</v>
      </c>
      <c r="G510" s="146"/>
      <c r="H510" s="122">
        <v>23657</v>
      </c>
      <c r="I510" s="122">
        <f t="shared" si="183"/>
        <v>22899.975999999999</v>
      </c>
      <c r="J510" s="147">
        <f t="shared" si="184"/>
        <v>18319.980800000001</v>
      </c>
      <c r="K510" s="122"/>
      <c r="L510" s="122">
        <v>0</v>
      </c>
      <c r="M510" s="122">
        <f t="shared" si="185"/>
        <v>0</v>
      </c>
      <c r="N510" s="122">
        <f t="shared" si="186"/>
        <v>0</v>
      </c>
      <c r="O510" s="122"/>
      <c r="P510" s="122">
        <v>0</v>
      </c>
      <c r="Q510" s="122">
        <f t="shared" si="187"/>
        <v>0</v>
      </c>
      <c r="R510" s="147">
        <f t="shared" si="188"/>
        <v>0</v>
      </c>
      <c r="S510" s="145">
        <v>15</v>
      </c>
      <c r="T510" s="144" t="s">
        <v>213</v>
      </c>
      <c r="U510" s="90">
        <f>SUMIF('Avoided Costs 2009-2017'!$A:$A,Actuals!T510&amp;Actuals!S510,'Avoided Costs 2009-2017'!$E:$E)*J510</f>
        <v>61961.941618301593</v>
      </c>
      <c r="V510" s="90">
        <f>SUMIF('Avoided Costs 2009-2017'!$A:$A,Actuals!T510&amp;Actuals!S510,'Avoided Costs 2009-2017'!$K:$K)*N510</f>
        <v>0</v>
      </c>
      <c r="W510" s="90">
        <f>SUMIF('Avoided Costs 2009-2017'!$A:$A,Actuals!T510&amp;Actuals!S510,'Avoided Costs 2009-2017'!$M:$M)*R510</f>
        <v>0</v>
      </c>
      <c r="X510" s="90">
        <f t="shared" si="189"/>
        <v>61961.941618301593</v>
      </c>
      <c r="Y510" s="148">
        <v>14573</v>
      </c>
      <c r="Z510" s="149">
        <f t="shared" si="190"/>
        <v>11658.400000000001</v>
      </c>
      <c r="AA510" s="148"/>
      <c r="AB510" s="145"/>
      <c r="AC510" s="145"/>
      <c r="AD510" s="148">
        <f t="shared" si="191"/>
        <v>11658.400000000001</v>
      </c>
      <c r="AE510" s="122">
        <f t="shared" si="192"/>
        <v>50303.541618301591</v>
      </c>
      <c r="AF510" s="167">
        <f t="shared" si="193"/>
        <v>274799.712</v>
      </c>
    </row>
    <row r="511" spans="1:32" s="150" customFormat="1" x14ac:dyDescent="0.2">
      <c r="A511" s="144" t="s">
        <v>1182</v>
      </c>
      <c r="B511" s="144"/>
      <c r="C511" s="144"/>
      <c r="D511" s="145">
        <v>1</v>
      </c>
      <c r="E511" s="122"/>
      <c r="F511" s="146">
        <v>0.2</v>
      </c>
      <c r="G511" s="146"/>
      <c r="H511" s="122">
        <v>8943</v>
      </c>
      <c r="I511" s="122">
        <f t="shared" si="183"/>
        <v>8656.8240000000005</v>
      </c>
      <c r="J511" s="147">
        <f t="shared" si="184"/>
        <v>6925.4592000000011</v>
      </c>
      <c r="K511" s="122"/>
      <c r="L511" s="122">
        <v>0</v>
      </c>
      <c r="M511" s="122">
        <f t="shared" si="185"/>
        <v>0</v>
      </c>
      <c r="N511" s="122">
        <f t="shared" si="186"/>
        <v>0</v>
      </c>
      <c r="O511" s="122"/>
      <c r="P511" s="122">
        <v>0</v>
      </c>
      <c r="Q511" s="122">
        <f t="shared" si="187"/>
        <v>0</v>
      </c>
      <c r="R511" s="147">
        <f t="shared" si="188"/>
        <v>0</v>
      </c>
      <c r="S511" s="145">
        <v>15</v>
      </c>
      <c r="T511" s="144" t="s">
        <v>213</v>
      </c>
      <c r="U511" s="90">
        <f>SUMIF('Avoided Costs 2009-2017'!$A:$A,Actuals!T511&amp;Actuals!S511,'Avoided Costs 2009-2017'!$E:$E)*J511</f>
        <v>23423.32687544791</v>
      </c>
      <c r="V511" s="90">
        <f>SUMIF('Avoided Costs 2009-2017'!$A:$A,Actuals!T511&amp;Actuals!S511,'Avoided Costs 2009-2017'!$K:$K)*N511</f>
        <v>0</v>
      </c>
      <c r="W511" s="90">
        <f>SUMIF('Avoided Costs 2009-2017'!$A:$A,Actuals!T511&amp;Actuals!S511,'Avoided Costs 2009-2017'!$M:$M)*R511</f>
        <v>0</v>
      </c>
      <c r="X511" s="90">
        <f t="shared" si="189"/>
        <v>23423.32687544791</v>
      </c>
      <c r="Y511" s="148">
        <v>10205</v>
      </c>
      <c r="Z511" s="149">
        <f t="shared" si="190"/>
        <v>8164</v>
      </c>
      <c r="AA511" s="148"/>
      <c r="AB511" s="145"/>
      <c r="AC511" s="145"/>
      <c r="AD511" s="148">
        <f t="shared" si="191"/>
        <v>8164</v>
      </c>
      <c r="AE511" s="122">
        <f t="shared" si="192"/>
        <v>15259.32687544791</v>
      </c>
      <c r="AF511" s="167">
        <f t="shared" si="193"/>
        <v>103881.88800000002</v>
      </c>
    </row>
    <row r="512" spans="1:32" s="150" customFormat="1" x14ac:dyDescent="0.2">
      <c r="A512" s="144" t="s">
        <v>1183</v>
      </c>
      <c r="B512" s="144"/>
      <c r="C512" s="144"/>
      <c r="D512" s="145">
        <v>1</v>
      </c>
      <c r="E512" s="122"/>
      <c r="F512" s="146">
        <v>0.2</v>
      </c>
      <c r="G512" s="146"/>
      <c r="H512" s="122">
        <v>11367</v>
      </c>
      <c r="I512" s="122">
        <f t="shared" si="183"/>
        <v>11003.255999999999</v>
      </c>
      <c r="J512" s="147">
        <f t="shared" si="184"/>
        <v>8802.6047999999992</v>
      </c>
      <c r="K512" s="122"/>
      <c r="L512" s="122">
        <v>0</v>
      </c>
      <c r="M512" s="122">
        <f t="shared" si="185"/>
        <v>0</v>
      </c>
      <c r="N512" s="122">
        <f t="shared" si="186"/>
        <v>0</v>
      </c>
      <c r="O512" s="122"/>
      <c r="P512" s="122">
        <v>0</v>
      </c>
      <c r="Q512" s="122">
        <f t="shared" si="187"/>
        <v>0</v>
      </c>
      <c r="R512" s="147">
        <f t="shared" si="188"/>
        <v>0</v>
      </c>
      <c r="S512" s="145">
        <v>15</v>
      </c>
      <c r="T512" s="144" t="s">
        <v>213</v>
      </c>
      <c r="U512" s="90">
        <f>SUMIF('Avoided Costs 2009-2017'!$A:$A,Actuals!T512&amp;Actuals!S512,'Avoided Costs 2009-2017'!$E:$E)*J512</f>
        <v>29772.219232161056</v>
      </c>
      <c r="V512" s="90">
        <f>SUMIF('Avoided Costs 2009-2017'!$A:$A,Actuals!T512&amp;Actuals!S512,'Avoided Costs 2009-2017'!$K:$K)*N512</f>
        <v>0</v>
      </c>
      <c r="W512" s="90">
        <f>SUMIF('Avoided Costs 2009-2017'!$A:$A,Actuals!T512&amp;Actuals!S512,'Avoided Costs 2009-2017'!$M:$M)*R512</f>
        <v>0</v>
      </c>
      <c r="X512" s="90">
        <f t="shared" si="189"/>
        <v>29772.219232161056</v>
      </c>
      <c r="Y512" s="148">
        <v>12729</v>
      </c>
      <c r="Z512" s="149">
        <f t="shared" si="190"/>
        <v>10183.200000000001</v>
      </c>
      <c r="AA512" s="148"/>
      <c r="AB512" s="145"/>
      <c r="AC512" s="145"/>
      <c r="AD512" s="148">
        <f t="shared" si="191"/>
        <v>10183.200000000001</v>
      </c>
      <c r="AE512" s="122">
        <f t="shared" si="192"/>
        <v>19589.019232161056</v>
      </c>
      <c r="AF512" s="167">
        <f t="shared" si="193"/>
        <v>132039.07199999999</v>
      </c>
    </row>
    <row r="513" spans="1:32" s="150" customFormat="1" x14ac:dyDescent="0.2">
      <c r="A513" s="144" t="s">
        <v>1184</v>
      </c>
      <c r="B513" s="144"/>
      <c r="C513" s="144"/>
      <c r="D513" s="145">
        <v>1</v>
      </c>
      <c r="E513" s="122"/>
      <c r="F513" s="146">
        <v>0.2</v>
      </c>
      <c r="G513" s="146"/>
      <c r="H513" s="122">
        <v>8501</v>
      </c>
      <c r="I513" s="122">
        <f t="shared" si="183"/>
        <v>8228.9679999999989</v>
      </c>
      <c r="J513" s="147">
        <f t="shared" si="184"/>
        <v>6583.1743999999999</v>
      </c>
      <c r="K513" s="122"/>
      <c r="L513" s="122">
        <v>0</v>
      </c>
      <c r="M513" s="122">
        <f t="shared" si="185"/>
        <v>0</v>
      </c>
      <c r="N513" s="122">
        <f t="shared" si="186"/>
        <v>0</v>
      </c>
      <c r="O513" s="122"/>
      <c r="P513" s="122">
        <v>0</v>
      </c>
      <c r="Q513" s="122">
        <f t="shared" si="187"/>
        <v>0</v>
      </c>
      <c r="R513" s="147">
        <f t="shared" si="188"/>
        <v>0</v>
      </c>
      <c r="S513" s="145">
        <v>15</v>
      </c>
      <c r="T513" s="144" t="s">
        <v>213</v>
      </c>
      <c r="U513" s="90">
        <f>SUMIF('Avoided Costs 2009-2017'!$A:$A,Actuals!T513&amp;Actuals!S513,'Avoided Costs 2009-2017'!$E:$E)*J513</f>
        <v>22265.649308753509</v>
      </c>
      <c r="V513" s="90">
        <f>SUMIF('Avoided Costs 2009-2017'!$A:$A,Actuals!T513&amp;Actuals!S513,'Avoided Costs 2009-2017'!$K:$K)*N513</f>
        <v>0</v>
      </c>
      <c r="W513" s="90">
        <f>SUMIF('Avoided Costs 2009-2017'!$A:$A,Actuals!T513&amp;Actuals!S513,'Avoided Costs 2009-2017'!$M:$M)*R513</f>
        <v>0</v>
      </c>
      <c r="X513" s="90">
        <f t="shared" si="189"/>
        <v>22265.649308753509</v>
      </c>
      <c r="Y513" s="148">
        <v>8327</v>
      </c>
      <c r="Z513" s="149">
        <f t="shared" si="190"/>
        <v>6661.6</v>
      </c>
      <c r="AA513" s="148"/>
      <c r="AB513" s="145"/>
      <c r="AC513" s="145"/>
      <c r="AD513" s="148">
        <f t="shared" si="191"/>
        <v>6661.6</v>
      </c>
      <c r="AE513" s="122">
        <f t="shared" si="192"/>
        <v>15604.049308753509</v>
      </c>
      <c r="AF513" s="167">
        <f t="shared" si="193"/>
        <v>98747.615999999995</v>
      </c>
    </row>
    <row r="514" spans="1:32" s="150" customFormat="1" x14ac:dyDescent="0.2">
      <c r="A514" s="144" t="s">
        <v>1185</v>
      </c>
      <c r="B514" s="144"/>
      <c r="C514" s="144"/>
      <c r="D514" s="145">
        <v>1</v>
      </c>
      <c r="E514" s="122"/>
      <c r="F514" s="146">
        <v>0.2</v>
      </c>
      <c r="G514" s="146"/>
      <c r="H514" s="122">
        <v>7735</v>
      </c>
      <c r="I514" s="122">
        <f t="shared" si="183"/>
        <v>7487.48</v>
      </c>
      <c r="J514" s="147">
        <f t="shared" si="184"/>
        <v>5989.9840000000004</v>
      </c>
      <c r="K514" s="122"/>
      <c r="L514" s="122">
        <v>0</v>
      </c>
      <c r="M514" s="122">
        <f t="shared" si="185"/>
        <v>0</v>
      </c>
      <c r="N514" s="122">
        <f t="shared" si="186"/>
        <v>0</v>
      </c>
      <c r="O514" s="122"/>
      <c r="P514" s="122">
        <v>0</v>
      </c>
      <c r="Q514" s="122">
        <f t="shared" si="187"/>
        <v>0</v>
      </c>
      <c r="R514" s="147">
        <f t="shared" si="188"/>
        <v>0</v>
      </c>
      <c r="S514" s="145">
        <v>15</v>
      </c>
      <c r="T514" s="144" t="s">
        <v>213</v>
      </c>
      <c r="U514" s="90">
        <f>SUMIF('Avoided Costs 2009-2017'!$A:$A,Actuals!T514&amp;Actuals!S514,'Avoided Costs 2009-2017'!$E:$E)*J514</f>
        <v>20259.357417151914</v>
      </c>
      <c r="V514" s="90">
        <f>SUMIF('Avoided Costs 2009-2017'!$A:$A,Actuals!T514&amp;Actuals!S514,'Avoided Costs 2009-2017'!$K:$K)*N514</f>
        <v>0</v>
      </c>
      <c r="W514" s="90">
        <f>SUMIF('Avoided Costs 2009-2017'!$A:$A,Actuals!T514&amp;Actuals!S514,'Avoided Costs 2009-2017'!$M:$M)*R514</f>
        <v>0</v>
      </c>
      <c r="X514" s="90">
        <f t="shared" si="189"/>
        <v>20259.357417151914</v>
      </c>
      <c r="Y514" s="148">
        <v>8650</v>
      </c>
      <c r="Z514" s="149">
        <f t="shared" si="190"/>
        <v>6920</v>
      </c>
      <c r="AA514" s="148"/>
      <c r="AB514" s="145"/>
      <c r="AC514" s="145"/>
      <c r="AD514" s="148">
        <f t="shared" si="191"/>
        <v>6920</v>
      </c>
      <c r="AE514" s="122">
        <f t="shared" si="192"/>
        <v>13339.357417151914</v>
      </c>
      <c r="AF514" s="167">
        <f t="shared" si="193"/>
        <v>89849.760000000009</v>
      </c>
    </row>
    <row r="515" spans="1:32" s="150" customFormat="1" x14ac:dyDescent="0.2">
      <c r="A515" s="144" t="s">
        <v>1186</v>
      </c>
      <c r="B515" s="144"/>
      <c r="C515" s="144"/>
      <c r="D515" s="145">
        <v>1</v>
      </c>
      <c r="E515" s="122"/>
      <c r="F515" s="146">
        <v>0.2</v>
      </c>
      <c r="G515" s="146"/>
      <c r="H515" s="122">
        <v>174261</v>
      </c>
      <c r="I515" s="122">
        <f t="shared" si="183"/>
        <v>168684.64799999999</v>
      </c>
      <c r="J515" s="147">
        <f t="shared" si="184"/>
        <v>134947.71839999998</v>
      </c>
      <c r="K515" s="122"/>
      <c r="L515" s="122">
        <v>0</v>
      </c>
      <c r="M515" s="122">
        <f t="shared" si="185"/>
        <v>0</v>
      </c>
      <c r="N515" s="122">
        <f t="shared" si="186"/>
        <v>0</v>
      </c>
      <c r="O515" s="122"/>
      <c r="P515" s="122">
        <v>0</v>
      </c>
      <c r="Q515" s="122">
        <f t="shared" si="187"/>
        <v>0</v>
      </c>
      <c r="R515" s="147">
        <f t="shared" si="188"/>
        <v>0</v>
      </c>
      <c r="S515" s="145">
        <v>11</v>
      </c>
      <c r="T515" s="144" t="s">
        <v>213</v>
      </c>
      <c r="U515" s="90">
        <f>SUMIF('Avoided Costs 2009-2017'!$A:$A,Actuals!T515&amp;Actuals!S515,'Avoided Costs 2009-2017'!$E:$E)*J515</f>
        <v>377676.96748071199</v>
      </c>
      <c r="V515" s="90">
        <f>SUMIF('Avoided Costs 2009-2017'!$A:$A,Actuals!T515&amp;Actuals!S515,'Avoided Costs 2009-2017'!$K:$K)*N515</f>
        <v>0</v>
      </c>
      <c r="W515" s="90">
        <f>SUMIF('Avoided Costs 2009-2017'!$A:$A,Actuals!T515&amp;Actuals!S515,'Avoided Costs 2009-2017'!$M:$M)*R515</f>
        <v>0</v>
      </c>
      <c r="X515" s="90">
        <f t="shared" si="189"/>
        <v>377676.96748071199</v>
      </c>
      <c r="Y515" s="148">
        <v>206553</v>
      </c>
      <c r="Z515" s="149">
        <f t="shared" si="190"/>
        <v>165242.40000000002</v>
      </c>
      <c r="AA515" s="148"/>
      <c r="AB515" s="145"/>
      <c r="AC515" s="145"/>
      <c r="AD515" s="148">
        <f t="shared" si="191"/>
        <v>165242.40000000002</v>
      </c>
      <c r="AE515" s="122">
        <f t="shared" si="192"/>
        <v>212434.56748071196</v>
      </c>
      <c r="AF515" s="167">
        <f t="shared" si="193"/>
        <v>1484424.9023999998</v>
      </c>
    </row>
    <row r="516" spans="1:32" s="150" customFormat="1" x14ac:dyDescent="0.2">
      <c r="A516" s="144" t="s">
        <v>1187</v>
      </c>
      <c r="B516" s="144"/>
      <c r="C516" s="144"/>
      <c r="D516" s="145">
        <v>1</v>
      </c>
      <c r="E516" s="122"/>
      <c r="F516" s="146">
        <v>0.2</v>
      </c>
      <c r="G516" s="146"/>
      <c r="H516" s="122">
        <v>134883</v>
      </c>
      <c r="I516" s="122">
        <f t="shared" si="183"/>
        <v>130566.74399999999</v>
      </c>
      <c r="J516" s="147">
        <f t="shared" si="184"/>
        <v>104453.3952</v>
      </c>
      <c r="K516" s="122"/>
      <c r="L516" s="122">
        <v>0</v>
      </c>
      <c r="M516" s="122">
        <f t="shared" si="185"/>
        <v>0</v>
      </c>
      <c r="N516" s="122">
        <f t="shared" si="186"/>
        <v>0</v>
      </c>
      <c r="O516" s="122"/>
      <c r="P516" s="122">
        <v>0</v>
      </c>
      <c r="Q516" s="122">
        <f t="shared" si="187"/>
        <v>0</v>
      </c>
      <c r="R516" s="147">
        <f t="shared" si="188"/>
        <v>0</v>
      </c>
      <c r="S516" s="145">
        <v>11</v>
      </c>
      <c r="T516" s="144" t="s">
        <v>213</v>
      </c>
      <c r="U516" s="90">
        <f>SUMIF('Avoided Costs 2009-2017'!$A:$A,Actuals!T516&amp;Actuals!S516,'Avoided Costs 2009-2017'!$E:$E)*J516</f>
        <v>292332.779019407</v>
      </c>
      <c r="V516" s="90">
        <f>SUMIF('Avoided Costs 2009-2017'!$A:$A,Actuals!T516&amp;Actuals!S516,'Avoided Costs 2009-2017'!$K:$K)*N516</f>
        <v>0</v>
      </c>
      <c r="W516" s="90">
        <f>SUMIF('Avoided Costs 2009-2017'!$A:$A,Actuals!T516&amp;Actuals!S516,'Avoided Costs 2009-2017'!$M:$M)*R516</f>
        <v>0</v>
      </c>
      <c r="X516" s="90">
        <f t="shared" si="189"/>
        <v>292332.779019407</v>
      </c>
      <c r="Y516" s="148">
        <v>118260</v>
      </c>
      <c r="Z516" s="149">
        <f t="shared" si="190"/>
        <v>94608</v>
      </c>
      <c r="AA516" s="148"/>
      <c r="AB516" s="145"/>
      <c r="AC516" s="145"/>
      <c r="AD516" s="148">
        <f t="shared" si="191"/>
        <v>94608</v>
      </c>
      <c r="AE516" s="122">
        <f t="shared" si="192"/>
        <v>197724.779019407</v>
      </c>
      <c r="AF516" s="167">
        <f t="shared" si="193"/>
        <v>1148987.3472</v>
      </c>
    </row>
    <row r="517" spans="1:32" s="150" customFormat="1" x14ac:dyDescent="0.2">
      <c r="A517" s="144" t="s">
        <v>1188</v>
      </c>
      <c r="B517" s="144"/>
      <c r="C517" s="144"/>
      <c r="D517" s="145">
        <v>1</v>
      </c>
      <c r="E517" s="122"/>
      <c r="F517" s="146">
        <v>0.2</v>
      </c>
      <c r="G517" s="146"/>
      <c r="H517" s="122">
        <v>72785</v>
      </c>
      <c r="I517" s="122">
        <f t="shared" si="183"/>
        <v>70455.88</v>
      </c>
      <c r="J517" s="147">
        <f t="shared" si="184"/>
        <v>56364.704000000005</v>
      </c>
      <c r="K517" s="122"/>
      <c r="L517" s="122">
        <v>0</v>
      </c>
      <c r="M517" s="122">
        <f t="shared" si="185"/>
        <v>0</v>
      </c>
      <c r="N517" s="122">
        <f t="shared" si="186"/>
        <v>0</v>
      </c>
      <c r="O517" s="122"/>
      <c r="P517" s="122">
        <v>0</v>
      </c>
      <c r="Q517" s="122">
        <f t="shared" si="187"/>
        <v>0</v>
      </c>
      <c r="R517" s="147">
        <f t="shared" si="188"/>
        <v>0</v>
      </c>
      <c r="S517" s="145">
        <v>11</v>
      </c>
      <c r="T517" s="144" t="s">
        <v>213</v>
      </c>
      <c r="U517" s="90">
        <f>SUMIF('Avoided Costs 2009-2017'!$A:$A,Actuals!T517&amp;Actuals!S517,'Avoided Costs 2009-2017'!$E:$E)*J517</f>
        <v>157747.39085672429</v>
      </c>
      <c r="V517" s="90">
        <f>SUMIF('Avoided Costs 2009-2017'!$A:$A,Actuals!T517&amp;Actuals!S517,'Avoided Costs 2009-2017'!$K:$K)*N517</f>
        <v>0</v>
      </c>
      <c r="W517" s="90">
        <f>SUMIF('Avoided Costs 2009-2017'!$A:$A,Actuals!T517&amp;Actuals!S517,'Avoided Costs 2009-2017'!$M:$M)*R517</f>
        <v>0</v>
      </c>
      <c r="X517" s="90">
        <f t="shared" si="189"/>
        <v>157747.39085672429</v>
      </c>
      <c r="Y517" s="148">
        <v>58909</v>
      </c>
      <c r="Z517" s="149">
        <f t="shared" si="190"/>
        <v>47127.200000000004</v>
      </c>
      <c r="AA517" s="148"/>
      <c r="AB517" s="145"/>
      <c r="AC517" s="145"/>
      <c r="AD517" s="148">
        <f t="shared" si="191"/>
        <v>47127.200000000004</v>
      </c>
      <c r="AE517" s="122">
        <f t="shared" si="192"/>
        <v>110620.19085672428</v>
      </c>
      <c r="AF517" s="167">
        <f t="shared" si="193"/>
        <v>620011.74400000006</v>
      </c>
    </row>
    <row r="518" spans="1:32" s="150" customFormat="1" x14ac:dyDescent="0.2">
      <c r="A518" s="144" t="s">
        <v>322</v>
      </c>
      <c r="B518" s="144"/>
      <c r="C518" s="144"/>
      <c r="D518" s="145">
        <v>1</v>
      </c>
      <c r="E518" s="122"/>
      <c r="F518" s="146">
        <v>0.2</v>
      </c>
      <c r="G518" s="146"/>
      <c r="H518" s="122">
        <v>48663</v>
      </c>
      <c r="I518" s="122">
        <f t="shared" si="183"/>
        <v>47105.784</v>
      </c>
      <c r="J518" s="147">
        <f t="shared" si="184"/>
        <v>37684.627200000003</v>
      </c>
      <c r="K518" s="122"/>
      <c r="L518" s="122">
        <v>0</v>
      </c>
      <c r="M518" s="122">
        <f t="shared" si="185"/>
        <v>0</v>
      </c>
      <c r="N518" s="122">
        <f t="shared" si="186"/>
        <v>0</v>
      </c>
      <c r="O518" s="122"/>
      <c r="P518" s="122">
        <v>0</v>
      </c>
      <c r="Q518" s="122">
        <f t="shared" si="187"/>
        <v>0</v>
      </c>
      <c r="R518" s="147">
        <f t="shared" si="188"/>
        <v>0</v>
      </c>
      <c r="S518" s="145">
        <v>15</v>
      </c>
      <c r="T518" s="144" t="s">
        <v>213</v>
      </c>
      <c r="U518" s="90">
        <f>SUMIF('Avoided Costs 2009-2017'!$A:$A,Actuals!T518&amp;Actuals!S518,'Avoided Costs 2009-2017'!$E:$E)*J518</f>
        <v>127457.15707703473</v>
      </c>
      <c r="V518" s="90">
        <f>SUMIF('Avoided Costs 2009-2017'!$A:$A,Actuals!T518&amp;Actuals!S518,'Avoided Costs 2009-2017'!$K:$K)*N518</f>
        <v>0</v>
      </c>
      <c r="W518" s="90">
        <f>SUMIF('Avoided Costs 2009-2017'!$A:$A,Actuals!T518&amp;Actuals!S518,'Avoided Costs 2009-2017'!$M:$M)*R518</f>
        <v>0</v>
      </c>
      <c r="X518" s="90">
        <f t="shared" si="189"/>
        <v>127457.15707703473</v>
      </c>
      <c r="Y518" s="148">
        <v>27061</v>
      </c>
      <c r="Z518" s="149">
        <f t="shared" si="190"/>
        <v>21648.800000000003</v>
      </c>
      <c r="AA518" s="148"/>
      <c r="AB518" s="145"/>
      <c r="AC518" s="145"/>
      <c r="AD518" s="148">
        <f t="shared" si="191"/>
        <v>21648.800000000003</v>
      </c>
      <c r="AE518" s="122">
        <f t="shared" si="192"/>
        <v>105808.35707703473</v>
      </c>
      <c r="AF518" s="167">
        <f t="shared" si="193"/>
        <v>565269.40800000005</v>
      </c>
    </row>
    <row r="519" spans="1:32" s="150" customFormat="1" x14ac:dyDescent="0.2">
      <c r="A519" s="144" t="s">
        <v>323</v>
      </c>
      <c r="B519" s="144"/>
      <c r="C519" s="144"/>
      <c r="D519" s="145">
        <v>1</v>
      </c>
      <c r="E519" s="122"/>
      <c r="F519" s="146">
        <v>0.2</v>
      </c>
      <c r="G519" s="146"/>
      <c r="H519" s="122">
        <v>158700</v>
      </c>
      <c r="I519" s="122">
        <f t="shared" si="183"/>
        <v>153621.6</v>
      </c>
      <c r="J519" s="147">
        <f t="shared" si="184"/>
        <v>122897.28000000001</v>
      </c>
      <c r="K519" s="122"/>
      <c r="L519" s="122">
        <v>0</v>
      </c>
      <c r="M519" s="122">
        <f t="shared" si="185"/>
        <v>0</v>
      </c>
      <c r="N519" s="122">
        <f t="shared" si="186"/>
        <v>0</v>
      </c>
      <c r="O519" s="122"/>
      <c r="P519" s="122">
        <v>0</v>
      </c>
      <c r="Q519" s="122">
        <f t="shared" si="187"/>
        <v>0</v>
      </c>
      <c r="R519" s="147">
        <f t="shared" si="188"/>
        <v>0</v>
      </c>
      <c r="S519" s="145">
        <v>11</v>
      </c>
      <c r="T519" s="144" t="s">
        <v>213</v>
      </c>
      <c r="U519" s="90">
        <f>SUMIF('Avoided Costs 2009-2017'!$A:$A,Actuals!T519&amp;Actuals!S519,'Avoided Costs 2009-2017'!$E:$E)*J519</f>
        <v>343951.51375918312</v>
      </c>
      <c r="V519" s="90">
        <f>SUMIF('Avoided Costs 2009-2017'!$A:$A,Actuals!T519&amp;Actuals!S519,'Avoided Costs 2009-2017'!$K:$K)*N519</f>
        <v>0</v>
      </c>
      <c r="W519" s="90">
        <f>SUMIF('Avoided Costs 2009-2017'!$A:$A,Actuals!T519&amp;Actuals!S519,'Avoided Costs 2009-2017'!$M:$M)*R519</f>
        <v>0</v>
      </c>
      <c r="X519" s="90">
        <f t="shared" si="189"/>
        <v>343951.51375918312</v>
      </c>
      <c r="Y519" s="148">
        <v>50706</v>
      </c>
      <c r="Z519" s="149">
        <f t="shared" si="190"/>
        <v>40564.800000000003</v>
      </c>
      <c r="AA519" s="148"/>
      <c r="AB519" s="145"/>
      <c r="AC519" s="145"/>
      <c r="AD519" s="148">
        <f t="shared" si="191"/>
        <v>40564.800000000003</v>
      </c>
      <c r="AE519" s="122">
        <f t="shared" si="192"/>
        <v>303386.71375918313</v>
      </c>
      <c r="AF519" s="167">
        <f t="shared" si="193"/>
        <v>1351870.08</v>
      </c>
    </row>
    <row r="520" spans="1:32" s="150" customFormat="1" x14ac:dyDescent="0.2">
      <c r="A520" s="144" t="s">
        <v>324</v>
      </c>
      <c r="B520" s="144"/>
      <c r="C520" s="144"/>
      <c r="D520" s="145">
        <v>0</v>
      </c>
      <c r="E520" s="122"/>
      <c r="F520" s="146">
        <v>0.2</v>
      </c>
      <c r="G520" s="146"/>
      <c r="H520" s="122">
        <v>24810</v>
      </c>
      <c r="I520" s="122">
        <f t="shared" si="183"/>
        <v>24016.079999999998</v>
      </c>
      <c r="J520" s="147">
        <f t="shared" si="184"/>
        <v>19212.863999999998</v>
      </c>
      <c r="K520" s="122"/>
      <c r="L520" s="122">
        <v>0</v>
      </c>
      <c r="M520" s="122">
        <f t="shared" si="185"/>
        <v>0</v>
      </c>
      <c r="N520" s="122">
        <f t="shared" si="186"/>
        <v>0</v>
      </c>
      <c r="O520" s="122"/>
      <c r="P520" s="122">
        <v>0</v>
      </c>
      <c r="Q520" s="122">
        <f t="shared" si="187"/>
        <v>0</v>
      </c>
      <c r="R520" s="147">
        <f t="shared" si="188"/>
        <v>0</v>
      </c>
      <c r="S520" s="145">
        <v>8</v>
      </c>
      <c r="T520" s="144" t="s">
        <v>1176</v>
      </c>
      <c r="U520" s="90">
        <f>SUMIF('Avoided Costs 2009-2017'!$A:$A,Actuals!T520&amp;Actuals!S520,'Avoided Costs 2009-2017'!$E:$E)*J520</f>
        <v>39363.382610249268</v>
      </c>
      <c r="V520" s="90">
        <f>SUMIF('Avoided Costs 2009-2017'!$A:$A,Actuals!T520&amp;Actuals!S520,'Avoided Costs 2009-2017'!$K:$K)*N520</f>
        <v>0</v>
      </c>
      <c r="W520" s="90">
        <f>SUMIF('Avoided Costs 2009-2017'!$A:$A,Actuals!T520&amp;Actuals!S520,'Avoided Costs 2009-2017'!$M:$M)*R520</f>
        <v>0</v>
      </c>
      <c r="X520" s="90">
        <f t="shared" si="189"/>
        <v>39363.382610249268</v>
      </c>
      <c r="Y520" s="148">
        <v>13648</v>
      </c>
      <c r="Z520" s="149">
        <f t="shared" si="190"/>
        <v>10918.400000000001</v>
      </c>
      <c r="AA520" s="148"/>
      <c r="AB520" s="145"/>
      <c r="AC520" s="145"/>
      <c r="AD520" s="148">
        <f t="shared" si="191"/>
        <v>10918.400000000001</v>
      </c>
      <c r="AE520" s="122">
        <f t="shared" si="192"/>
        <v>28444.982610249266</v>
      </c>
      <c r="AF520" s="167">
        <f t="shared" si="193"/>
        <v>153702.91199999998</v>
      </c>
    </row>
    <row r="521" spans="1:32" s="150" customFormat="1" x14ac:dyDescent="0.2">
      <c r="A521" s="144" t="s">
        <v>325</v>
      </c>
      <c r="B521" s="144"/>
      <c r="C521" s="144"/>
      <c r="D521" s="145">
        <v>1</v>
      </c>
      <c r="E521" s="122"/>
      <c r="F521" s="146">
        <v>0.2</v>
      </c>
      <c r="G521" s="146"/>
      <c r="H521" s="122">
        <v>39471</v>
      </c>
      <c r="I521" s="122">
        <f t="shared" si="183"/>
        <v>38207.928</v>
      </c>
      <c r="J521" s="147">
        <f t="shared" si="184"/>
        <v>30566.342400000001</v>
      </c>
      <c r="K521" s="122"/>
      <c r="L521" s="122">
        <v>0</v>
      </c>
      <c r="M521" s="122">
        <f t="shared" si="185"/>
        <v>0</v>
      </c>
      <c r="N521" s="122">
        <f t="shared" si="186"/>
        <v>0</v>
      </c>
      <c r="O521" s="122"/>
      <c r="P521" s="122">
        <v>0</v>
      </c>
      <c r="Q521" s="122">
        <f t="shared" si="187"/>
        <v>0</v>
      </c>
      <c r="R521" s="147">
        <f t="shared" si="188"/>
        <v>0</v>
      </c>
      <c r="S521" s="145">
        <v>11</v>
      </c>
      <c r="T521" s="144" t="s">
        <v>213</v>
      </c>
      <c r="U521" s="90">
        <f>SUMIF('Avoided Costs 2009-2017'!$A:$A,Actuals!T521&amp;Actuals!S521,'Avoided Costs 2009-2017'!$E:$E)*J521</f>
        <v>85545.747949519326</v>
      </c>
      <c r="V521" s="90">
        <f>SUMIF('Avoided Costs 2009-2017'!$A:$A,Actuals!T521&amp;Actuals!S521,'Avoided Costs 2009-2017'!$K:$K)*N521</f>
        <v>0</v>
      </c>
      <c r="W521" s="90">
        <f>SUMIF('Avoided Costs 2009-2017'!$A:$A,Actuals!T521&amp;Actuals!S521,'Avoided Costs 2009-2017'!$M:$M)*R521</f>
        <v>0</v>
      </c>
      <c r="X521" s="90">
        <f t="shared" si="189"/>
        <v>85545.747949519326</v>
      </c>
      <c r="Y521" s="148">
        <v>49767</v>
      </c>
      <c r="Z521" s="149">
        <f t="shared" si="190"/>
        <v>39813.600000000006</v>
      </c>
      <c r="AA521" s="148"/>
      <c r="AB521" s="145"/>
      <c r="AC521" s="145"/>
      <c r="AD521" s="148">
        <f t="shared" si="191"/>
        <v>39813.600000000006</v>
      </c>
      <c r="AE521" s="122">
        <f t="shared" si="192"/>
        <v>45732.14794951932</v>
      </c>
      <c r="AF521" s="167">
        <f t="shared" si="193"/>
        <v>336229.76640000002</v>
      </c>
    </row>
    <row r="522" spans="1:32" s="150" customFormat="1" x14ac:dyDescent="0.2">
      <c r="A522" s="144" t="s">
        <v>326</v>
      </c>
      <c r="B522" s="144"/>
      <c r="C522" s="144"/>
      <c r="D522" s="145">
        <v>0</v>
      </c>
      <c r="E522" s="122"/>
      <c r="F522" s="146">
        <v>0.2</v>
      </c>
      <c r="G522" s="146"/>
      <c r="H522" s="122">
        <v>6339</v>
      </c>
      <c r="I522" s="122">
        <f t="shared" si="183"/>
        <v>6136.152</v>
      </c>
      <c r="J522" s="147">
        <f t="shared" si="184"/>
        <v>4908.9216000000006</v>
      </c>
      <c r="K522" s="122"/>
      <c r="L522" s="122">
        <v>22514</v>
      </c>
      <c r="M522" s="122">
        <f t="shared" si="185"/>
        <v>20240.085999999999</v>
      </c>
      <c r="N522" s="122">
        <f t="shared" si="186"/>
        <v>16192.068800000001</v>
      </c>
      <c r="O522" s="122"/>
      <c r="P522" s="122">
        <v>0</v>
      </c>
      <c r="Q522" s="122">
        <f t="shared" si="187"/>
        <v>0</v>
      </c>
      <c r="R522" s="147">
        <f t="shared" si="188"/>
        <v>0</v>
      </c>
      <c r="S522" s="145">
        <v>15</v>
      </c>
      <c r="T522" s="144" t="s">
        <v>1176</v>
      </c>
      <c r="U522" s="90">
        <f>SUMIF('Avoided Costs 2009-2017'!$A:$A,Actuals!T522&amp;Actuals!S522,'Avoided Costs 2009-2017'!$E:$E)*J522</f>
        <v>15121.873567854018</v>
      </c>
      <c r="V522" s="90">
        <f>SUMIF('Avoided Costs 2009-2017'!$A:$A,Actuals!T522&amp;Actuals!S522,'Avoided Costs 2009-2017'!$K:$K)*N522</f>
        <v>12087.900363435921</v>
      </c>
      <c r="W522" s="90">
        <f>SUMIF('Avoided Costs 2009-2017'!$A:$A,Actuals!T522&amp;Actuals!S522,'Avoided Costs 2009-2017'!$M:$M)*R522</f>
        <v>0</v>
      </c>
      <c r="X522" s="90">
        <f t="shared" si="189"/>
        <v>27209.773931289939</v>
      </c>
      <c r="Y522" s="148">
        <v>7300</v>
      </c>
      <c r="Z522" s="149">
        <f t="shared" si="190"/>
        <v>5840</v>
      </c>
      <c r="AA522" s="148"/>
      <c r="AB522" s="145"/>
      <c r="AC522" s="145"/>
      <c r="AD522" s="148">
        <f t="shared" si="191"/>
        <v>5840</v>
      </c>
      <c r="AE522" s="122">
        <f t="shared" si="192"/>
        <v>21369.773931289939</v>
      </c>
      <c r="AF522" s="167">
        <f t="shared" si="193"/>
        <v>73633.824000000008</v>
      </c>
    </row>
    <row r="523" spans="1:32" s="150" customFormat="1" x14ac:dyDescent="0.2">
      <c r="A523" s="144" t="s">
        <v>327</v>
      </c>
      <c r="B523" s="144"/>
      <c r="C523" s="144"/>
      <c r="D523" s="145">
        <v>1</v>
      </c>
      <c r="E523" s="122"/>
      <c r="F523" s="146">
        <v>0.2</v>
      </c>
      <c r="G523" s="146"/>
      <c r="H523" s="122">
        <v>12836</v>
      </c>
      <c r="I523" s="122">
        <f t="shared" si="183"/>
        <v>12425.248</v>
      </c>
      <c r="J523" s="147">
        <f t="shared" si="184"/>
        <v>9940.1984000000011</v>
      </c>
      <c r="K523" s="122"/>
      <c r="L523" s="122">
        <v>0</v>
      </c>
      <c r="M523" s="122">
        <f t="shared" si="185"/>
        <v>0</v>
      </c>
      <c r="N523" s="122">
        <f t="shared" si="186"/>
        <v>0</v>
      </c>
      <c r="O523" s="122"/>
      <c r="P523" s="122">
        <v>0</v>
      </c>
      <c r="Q523" s="122">
        <f t="shared" si="187"/>
        <v>0</v>
      </c>
      <c r="R523" s="147">
        <f t="shared" si="188"/>
        <v>0</v>
      </c>
      <c r="S523" s="145">
        <v>25</v>
      </c>
      <c r="T523" s="144" t="s">
        <v>213</v>
      </c>
      <c r="U523" s="90">
        <f>SUMIF('Avoided Costs 2009-2017'!$A:$A,Actuals!T523&amp;Actuals!S523,'Avoided Costs 2009-2017'!$E:$E)*J523</f>
        <v>42795.257887871179</v>
      </c>
      <c r="V523" s="90">
        <f>SUMIF('Avoided Costs 2009-2017'!$A:$A,Actuals!T523&amp;Actuals!S523,'Avoided Costs 2009-2017'!$K:$K)*N523</f>
        <v>0</v>
      </c>
      <c r="W523" s="90">
        <f>SUMIF('Avoided Costs 2009-2017'!$A:$A,Actuals!T523&amp;Actuals!S523,'Avoided Costs 2009-2017'!$M:$M)*R523</f>
        <v>0</v>
      </c>
      <c r="X523" s="90">
        <f t="shared" si="189"/>
        <v>42795.257887871179</v>
      </c>
      <c r="Y523" s="148">
        <v>6095</v>
      </c>
      <c r="Z523" s="149">
        <f t="shared" si="190"/>
        <v>4876</v>
      </c>
      <c r="AA523" s="148"/>
      <c r="AB523" s="145"/>
      <c r="AC523" s="145"/>
      <c r="AD523" s="148">
        <f t="shared" si="191"/>
        <v>4876</v>
      </c>
      <c r="AE523" s="122">
        <f t="shared" si="192"/>
        <v>37919.257887871179</v>
      </c>
      <c r="AF523" s="167">
        <f t="shared" si="193"/>
        <v>248504.96000000002</v>
      </c>
    </row>
    <row r="524" spans="1:32" s="150" customFormat="1" x14ac:dyDescent="0.2">
      <c r="A524" s="144" t="s">
        <v>328</v>
      </c>
      <c r="B524" s="144"/>
      <c r="C524" s="144"/>
      <c r="D524" s="145">
        <v>0</v>
      </c>
      <c r="E524" s="122"/>
      <c r="F524" s="146">
        <v>0.2</v>
      </c>
      <c r="G524" s="146"/>
      <c r="H524" s="122">
        <v>6339</v>
      </c>
      <c r="I524" s="122">
        <f t="shared" si="183"/>
        <v>6136.152</v>
      </c>
      <c r="J524" s="147">
        <f t="shared" si="184"/>
        <v>4908.9216000000006</v>
      </c>
      <c r="K524" s="122"/>
      <c r="L524" s="122">
        <v>23241</v>
      </c>
      <c r="M524" s="122">
        <f t="shared" si="185"/>
        <v>20893.659</v>
      </c>
      <c r="N524" s="122">
        <f t="shared" si="186"/>
        <v>16714.927200000002</v>
      </c>
      <c r="O524" s="122"/>
      <c r="P524" s="122">
        <v>0</v>
      </c>
      <c r="Q524" s="122">
        <f t="shared" si="187"/>
        <v>0</v>
      </c>
      <c r="R524" s="147">
        <f t="shared" si="188"/>
        <v>0</v>
      </c>
      <c r="S524" s="145">
        <v>15</v>
      </c>
      <c r="T524" s="144" t="s">
        <v>1176</v>
      </c>
      <c r="U524" s="90">
        <f>SUMIF('Avoided Costs 2009-2017'!$A:$A,Actuals!T524&amp;Actuals!S524,'Avoided Costs 2009-2017'!$E:$E)*J524</f>
        <v>15121.873567854018</v>
      </c>
      <c r="V524" s="90">
        <f>SUMIF('Avoided Costs 2009-2017'!$A:$A,Actuals!T524&amp;Actuals!S524,'Avoided Costs 2009-2017'!$K:$K)*N524</f>
        <v>12478.230982793562</v>
      </c>
      <c r="W524" s="90">
        <f>SUMIF('Avoided Costs 2009-2017'!$A:$A,Actuals!T524&amp;Actuals!S524,'Avoided Costs 2009-2017'!$M:$M)*R524</f>
        <v>0</v>
      </c>
      <c r="X524" s="90">
        <f t="shared" si="189"/>
        <v>27600.104550647578</v>
      </c>
      <c r="Y524" s="148">
        <v>7300</v>
      </c>
      <c r="Z524" s="149">
        <f t="shared" si="190"/>
        <v>5840</v>
      </c>
      <c r="AA524" s="148"/>
      <c r="AB524" s="145"/>
      <c r="AC524" s="145"/>
      <c r="AD524" s="148">
        <f t="shared" si="191"/>
        <v>5840</v>
      </c>
      <c r="AE524" s="122">
        <f t="shared" si="192"/>
        <v>21760.104550647578</v>
      </c>
      <c r="AF524" s="167">
        <f t="shared" si="193"/>
        <v>73633.824000000008</v>
      </c>
    </row>
    <row r="525" spans="1:32" s="150" customFormat="1" x14ac:dyDescent="0.2">
      <c r="A525" s="144" t="s">
        <v>329</v>
      </c>
      <c r="B525" s="144"/>
      <c r="C525" s="144"/>
      <c r="D525" s="145">
        <v>1</v>
      </c>
      <c r="E525" s="122"/>
      <c r="F525" s="146">
        <v>0.2</v>
      </c>
      <c r="G525" s="146"/>
      <c r="H525" s="122">
        <v>12836</v>
      </c>
      <c r="I525" s="122">
        <f t="shared" si="183"/>
        <v>12425.248</v>
      </c>
      <c r="J525" s="147">
        <f t="shared" si="184"/>
        <v>9940.1984000000011</v>
      </c>
      <c r="K525" s="122"/>
      <c r="L525" s="122">
        <v>0</v>
      </c>
      <c r="M525" s="122">
        <f t="shared" si="185"/>
        <v>0</v>
      </c>
      <c r="N525" s="122">
        <f t="shared" si="186"/>
        <v>0</v>
      </c>
      <c r="O525" s="122"/>
      <c r="P525" s="122">
        <v>0</v>
      </c>
      <c r="Q525" s="122">
        <f t="shared" si="187"/>
        <v>0</v>
      </c>
      <c r="R525" s="147">
        <f t="shared" si="188"/>
        <v>0</v>
      </c>
      <c r="S525" s="145">
        <v>25</v>
      </c>
      <c r="T525" s="144" t="s">
        <v>213</v>
      </c>
      <c r="U525" s="90">
        <f>SUMIF('Avoided Costs 2009-2017'!$A:$A,Actuals!T525&amp;Actuals!S525,'Avoided Costs 2009-2017'!$E:$E)*J525</f>
        <v>42795.257887871179</v>
      </c>
      <c r="V525" s="90">
        <f>SUMIF('Avoided Costs 2009-2017'!$A:$A,Actuals!T525&amp;Actuals!S525,'Avoided Costs 2009-2017'!$K:$K)*N525</f>
        <v>0</v>
      </c>
      <c r="W525" s="90">
        <f>SUMIF('Avoided Costs 2009-2017'!$A:$A,Actuals!T525&amp;Actuals!S525,'Avoided Costs 2009-2017'!$M:$M)*R525</f>
        <v>0</v>
      </c>
      <c r="X525" s="90">
        <f t="shared" si="189"/>
        <v>42795.257887871179</v>
      </c>
      <c r="Y525" s="148">
        <v>6095</v>
      </c>
      <c r="Z525" s="149">
        <f t="shared" si="190"/>
        <v>4876</v>
      </c>
      <c r="AA525" s="148"/>
      <c r="AB525" s="145"/>
      <c r="AC525" s="145"/>
      <c r="AD525" s="148">
        <f t="shared" si="191"/>
        <v>4876</v>
      </c>
      <c r="AE525" s="122">
        <f t="shared" si="192"/>
        <v>37919.257887871179</v>
      </c>
      <c r="AF525" s="167">
        <f t="shared" si="193"/>
        <v>248504.96000000002</v>
      </c>
    </row>
    <row r="526" spans="1:32" s="150" customFormat="1" x14ac:dyDescent="0.2">
      <c r="A526" s="144" t="s">
        <v>330</v>
      </c>
      <c r="B526" s="144"/>
      <c r="C526" s="144"/>
      <c r="D526" s="145">
        <v>0</v>
      </c>
      <c r="E526" s="122"/>
      <c r="F526" s="146">
        <v>0.2</v>
      </c>
      <c r="G526" s="146"/>
      <c r="H526" s="122">
        <v>6339</v>
      </c>
      <c r="I526" s="122">
        <f t="shared" si="183"/>
        <v>6136.152</v>
      </c>
      <c r="J526" s="147">
        <f t="shared" si="184"/>
        <v>4908.9216000000006</v>
      </c>
      <c r="K526" s="122"/>
      <c r="L526" s="122">
        <v>23241</v>
      </c>
      <c r="M526" s="122">
        <f t="shared" si="185"/>
        <v>20893.659</v>
      </c>
      <c r="N526" s="122">
        <f t="shared" si="186"/>
        <v>16714.927200000002</v>
      </c>
      <c r="O526" s="122"/>
      <c r="P526" s="122">
        <v>0</v>
      </c>
      <c r="Q526" s="122">
        <f t="shared" si="187"/>
        <v>0</v>
      </c>
      <c r="R526" s="147">
        <f t="shared" si="188"/>
        <v>0</v>
      </c>
      <c r="S526" s="145">
        <v>15</v>
      </c>
      <c r="T526" s="144" t="s">
        <v>1176</v>
      </c>
      <c r="U526" s="90">
        <f>SUMIF('Avoided Costs 2009-2017'!$A:$A,Actuals!T526&amp;Actuals!S526,'Avoided Costs 2009-2017'!$E:$E)*J526</f>
        <v>15121.873567854018</v>
      </c>
      <c r="V526" s="90">
        <f>SUMIF('Avoided Costs 2009-2017'!$A:$A,Actuals!T526&amp;Actuals!S526,'Avoided Costs 2009-2017'!$K:$K)*N526</f>
        <v>12478.230982793562</v>
      </c>
      <c r="W526" s="90">
        <f>SUMIF('Avoided Costs 2009-2017'!$A:$A,Actuals!T526&amp;Actuals!S526,'Avoided Costs 2009-2017'!$M:$M)*R526</f>
        <v>0</v>
      </c>
      <c r="X526" s="90">
        <f t="shared" si="189"/>
        <v>27600.104550647578</v>
      </c>
      <c r="Y526" s="148">
        <v>7300</v>
      </c>
      <c r="Z526" s="149">
        <f t="shared" si="190"/>
        <v>5840</v>
      </c>
      <c r="AA526" s="148"/>
      <c r="AB526" s="145"/>
      <c r="AC526" s="145"/>
      <c r="AD526" s="148">
        <f t="shared" si="191"/>
        <v>5840</v>
      </c>
      <c r="AE526" s="122">
        <f t="shared" si="192"/>
        <v>21760.104550647578</v>
      </c>
      <c r="AF526" s="167">
        <f t="shared" si="193"/>
        <v>73633.824000000008</v>
      </c>
    </row>
    <row r="527" spans="1:32" s="150" customFormat="1" x14ac:dyDescent="0.2">
      <c r="A527" s="144" t="s">
        <v>331</v>
      </c>
      <c r="B527" s="144"/>
      <c r="C527" s="144"/>
      <c r="D527" s="145">
        <v>1</v>
      </c>
      <c r="E527" s="122"/>
      <c r="F527" s="146">
        <v>0.2</v>
      </c>
      <c r="G527" s="146"/>
      <c r="H527" s="122">
        <v>12836</v>
      </c>
      <c r="I527" s="122">
        <f t="shared" si="183"/>
        <v>12425.248</v>
      </c>
      <c r="J527" s="147">
        <f t="shared" si="184"/>
        <v>9940.1984000000011</v>
      </c>
      <c r="K527" s="122"/>
      <c r="L527" s="122">
        <v>0</v>
      </c>
      <c r="M527" s="122">
        <f t="shared" si="185"/>
        <v>0</v>
      </c>
      <c r="N527" s="122">
        <f t="shared" si="186"/>
        <v>0</v>
      </c>
      <c r="O527" s="122"/>
      <c r="P527" s="122">
        <v>0</v>
      </c>
      <c r="Q527" s="122">
        <f t="shared" si="187"/>
        <v>0</v>
      </c>
      <c r="R527" s="147">
        <f t="shared" si="188"/>
        <v>0</v>
      </c>
      <c r="S527" s="145">
        <v>25</v>
      </c>
      <c r="T527" s="144" t="s">
        <v>213</v>
      </c>
      <c r="U527" s="90">
        <f>SUMIF('Avoided Costs 2009-2017'!$A:$A,Actuals!T527&amp;Actuals!S527,'Avoided Costs 2009-2017'!$E:$E)*J527</f>
        <v>42795.257887871179</v>
      </c>
      <c r="V527" s="90">
        <f>SUMIF('Avoided Costs 2009-2017'!$A:$A,Actuals!T527&amp;Actuals!S527,'Avoided Costs 2009-2017'!$K:$K)*N527</f>
        <v>0</v>
      </c>
      <c r="W527" s="90">
        <f>SUMIF('Avoided Costs 2009-2017'!$A:$A,Actuals!T527&amp;Actuals!S527,'Avoided Costs 2009-2017'!$M:$M)*R527</f>
        <v>0</v>
      </c>
      <c r="X527" s="90">
        <f t="shared" si="189"/>
        <v>42795.257887871179</v>
      </c>
      <c r="Y527" s="148">
        <v>6095</v>
      </c>
      <c r="Z527" s="149">
        <f t="shared" si="190"/>
        <v>4876</v>
      </c>
      <c r="AA527" s="148"/>
      <c r="AB527" s="145"/>
      <c r="AC527" s="145"/>
      <c r="AD527" s="148">
        <f t="shared" si="191"/>
        <v>4876</v>
      </c>
      <c r="AE527" s="122">
        <f t="shared" si="192"/>
        <v>37919.257887871179</v>
      </c>
      <c r="AF527" s="167">
        <f t="shared" si="193"/>
        <v>248504.96000000002</v>
      </c>
    </row>
    <row r="528" spans="1:32" s="150" customFormat="1" x14ac:dyDescent="0.2">
      <c r="A528" s="144" t="s">
        <v>332</v>
      </c>
      <c r="B528" s="144"/>
      <c r="C528" s="144"/>
      <c r="D528" s="145">
        <v>0</v>
      </c>
      <c r="E528" s="122"/>
      <c r="F528" s="146">
        <v>0.2</v>
      </c>
      <c r="G528" s="146"/>
      <c r="H528" s="122">
        <v>14075</v>
      </c>
      <c r="I528" s="122">
        <f t="shared" si="183"/>
        <v>13624.6</v>
      </c>
      <c r="J528" s="147">
        <f t="shared" si="184"/>
        <v>10899.68</v>
      </c>
      <c r="K528" s="122"/>
      <c r="L528" s="122">
        <v>0</v>
      </c>
      <c r="M528" s="122">
        <f t="shared" si="185"/>
        <v>0</v>
      </c>
      <c r="N528" s="122">
        <f t="shared" si="186"/>
        <v>0</v>
      </c>
      <c r="O528" s="122"/>
      <c r="P528" s="122">
        <v>0</v>
      </c>
      <c r="Q528" s="122">
        <f t="shared" si="187"/>
        <v>0</v>
      </c>
      <c r="R528" s="147">
        <f t="shared" si="188"/>
        <v>0</v>
      </c>
      <c r="S528" s="145">
        <v>25</v>
      </c>
      <c r="T528" s="144" t="s">
        <v>1176</v>
      </c>
      <c r="U528" s="90">
        <f>SUMIF('Avoided Costs 2009-2017'!$A:$A,Actuals!T528&amp;Actuals!S528,'Avoided Costs 2009-2017'!$E:$E)*J528</f>
        <v>42702.77008941926</v>
      </c>
      <c r="V528" s="90">
        <f>SUMIF('Avoided Costs 2009-2017'!$A:$A,Actuals!T528&amp;Actuals!S528,'Avoided Costs 2009-2017'!$K:$K)*N528</f>
        <v>0</v>
      </c>
      <c r="W528" s="90">
        <f>SUMIF('Avoided Costs 2009-2017'!$A:$A,Actuals!T528&amp;Actuals!S528,'Avoided Costs 2009-2017'!$M:$M)*R528</f>
        <v>0</v>
      </c>
      <c r="X528" s="90">
        <f t="shared" si="189"/>
        <v>42702.77008941926</v>
      </c>
      <c r="Y528" s="148">
        <v>27800</v>
      </c>
      <c r="Z528" s="149">
        <f t="shared" si="190"/>
        <v>22240</v>
      </c>
      <c r="AA528" s="148"/>
      <c r="AB528" s="145"/>
      <c r="AC528" s="145"/>
      <c r="AD528" s="148">
        <f t="shared" si="191"/>
        <v>22240</v>
      </c>
      <c r="AE528" s="122">
        <f t="shared" si="192"/>
        <v>20462.77008941926</v>
      </c>
      <c r="AF528" s="167">
        <f t="shared" si="193"/>
        <v>272492</v>
      </c>
    </row>
    <row r="529" spans="1:32" s="150" customFormat="1" x14ac:dyDescent="0.2">
      <c r="A529" s="144" t="s">
        <v>333</v>
      </c>
      <c r="B529" s="144"/>
      <c r="C529" s="144"/>
      <c r="D529" s="145">
        <v>0</v>
      </c>
      <c r="E529" s="122"/>
      <c r="F529" s="146">
        <v>0.2</v>
      </c>
      <c r="G529" s="146"/>
      <c r="H529" s="122">
        <v>16097</v>
      </c>
      <c r="I529" s="122">
        <f t="shared" si="183"/>
        <v>15581.895999999999</v>
      </c>
      <c r="J529" s="147">
        <f t="shared" si="184"/>
        <v>12465.516799999999</v>
      </c>
      <c r="K529" s="122"/>
      <c r="L529" s="122">
        <v>38492</v>
      </c>
      <c r="M529" s="122">
        <f t="shared" si="185"/>
        <v>34604.307999999997</v>
      </c>
      <c r="N529" s="122">
        <f t="shared" si="186"/>
        <v>27683.446400000001</v>
      </c>
      <c r="O529" s="122"/>
      <c r="P529" s="122">
        <v>0</v>
      </c>
      <c r="Q529" s="122">
        <f t="shared" si="187"/>
        <v>0</v>
      </c>
      <c r="R529" s="147">
        <f t="shared" si="188"/>
        <v>0</v>
      </c>
      <c r="S529" s="145">
        <v>15</v>
      </c>
      <c r="T529" s="144" t="s">
        <v>213</v>
      </c>
      <c r="U529" s="90">
        <f>SUMIF('Avoided Costs 2009-2017'!$A:$A,Actuals!T529&amp;Actuals!S529,'Avoided Costs 2009-2017'!$E:$E)*J529</f>
        <v>42160.940703800174</v>
      </c>
      <c r="V529" s="90">
        <f>SUMIF('Avoided Costs 2009-2017'!$A:$A,Actuals!T529&amp;Actuals!S529,'Avoided Costs 2009-2017'!$K:$K)*N529</f>
        <v>20666.583494242492</v>
      </c>
      <c r="W529" s="90">
        <f>SUMIF('Avoided Costs 2009-2017'!$A:$A,Actuals!T529&amp;Actuals!S529,'Avoided Costs 2009-2017'!$M:$M)*R529</f>
        <v>0</v>
      </c>
      <c r="X529" s="90">
        <f t="shared" si="189"/>
        <v>62827.524198042665</v>
      </c>
      <c r="Y529" s="148">
        <v>14950</v>
      </c>
      <c r="Z529" s="149">
        <f t="shared" si="190"/>
        <v>11960</v>
      </c>
      <c r="AA529" s="148"/>
      <c r="AB529" s="145"/>
      <c r="AC529" s="145"/>
      <c r="AD529" s="148">
        <f t="shared" si="191"/>
        <v>11960</v>
      </c>
      <c r="AE529" s="122">
        <f t="shared" si="192"/>
        <v>50867.524198042665</v>
      </c>
      <c r="AF529" s="167">
        <f t="shared" si="193"/>
        <v>186982.75199999998</v>
      </c>
    </row>
    <row r="530" spans="1:32" s="150" customFormat="1" x14ac:dyDescent="0.2">
      <c r="A530" s="144" t="s">
        <v>334</v>
      </c>
      <c r="B530" s="144"/>
      <c r="C530" s="144"/>
      <c r="D530" s="145">
        <v>1</v>
      </c>
      <c r="E530" s="122"/>
      <c r="F530" s="146">
        <v>0.2</v>
      </c>
      <c r="G530" s="146"/>
      <c r="H530" s="122">
        <v>8166</v>
      </c>
      <c r="I530" s="122">
        <f t="shared" si="183"/>
        <v>7904.6880000000001</v>
      </c>
      <c r="J530" s="147">
        <f t="shared" si="184"/>
        <v>6323.7504000000008</v>
      </c>
      <c r="K530" s="122"/>
      <c r="L530" s="122">
        <v>0</v>
      </c>
      <c r="M530" s="122">
        <f t="shared" si="185"/>
        <v>0</v>
      </c>
      <c r="N530" s="122">
        <f t="shared" si="186"/>
        <v>0</v>
      </c>
      <c r="O530" s="122"/>
      <c r="P530" s="122">
        <v>0</v>
      </c>
      <c r="Q530" s="122">
        <f t="shared" si="187"/>
        <v>0</v>
      </c>
      <c r="R530" s="147">
        <f t="shared" si="188"/>
        <v>0</v>
      </c>
      <c r="S530" s="145">
        <v>25</v>
      </c>
      <c r="T530" s="144" t="s">
        <v>213</v>
      </c>
      <c r="U530" s="90">
        <f>SUMIF('Avoided Costs 2009-2017'!$A:$A,Actuals!T530&amp;Actuals!S530,'Avoided Costs 2009-2017'!$E:$E)*J530</f>
        <v>27225.465558768778</v>
      </c>
      <c r="V530" s="90">
        <f>SUMIF('Avoided Costs 2009-2017'!$A:$A,Actuals!T530&amp;Actuals!S530,'Avoided Costs 2009-2017'!$K:$K)*N530</f>
        <v>0</v>
      </c>
      <c r="W530" s="90">
        <f>SUMIF('Avoided Costs 2009-2017'!$A:$A,Actuals!T530&amp;Actuals!S530,'Avoided Costs 2009-2017'!$M:$M)*R530</f>
        <v>0</v>
      </c>
      <c r="X530" s="90">
        <f t="shared" si="189"/>
        <v>27225.465558768778</v>
      </c>
      <c r="Y530" s="148">
        <v>12000</v>
      </c>
      <c r="Z530" s="149">
        <f t="shared" si="190"/>
        <v>9600</v>
      </c>
      <c r="AA530" s="148"/>
      <c r="AB530" s="145"/>
      <c r="AC530" s="145"/>
      <c r="AD530" s="148">
        <f t="shared" si="191"/>
        <v>9600</v>
      </c>
      <c r="AE530" s="122">
        <f t="shared" si="192"/>
        <v>17625.465558768778</v>
      </c>
      <c r="AF530" s="167">
        <f t="shared" si="193"/>
        <v>158093.76000000001</v>
      </c>
    </row>
    <row r="531" spans="1:32" s="150" customFormat="1" x14ac:dyDescent="0.2">
      <c r="A531" s="144" t="s">
        <v>335</v>
      </c>
      <c r="B531" s="144"/>
      <c r="C531" s="144"/>
      <c r="D531" s="145">
        <v>1</v>
      </c>
      <c r="E531" s="122"/>
      <c r="F531" s="146">
        <v>0.2</v>
      </c>
      <c r="G531" s="146"/>
      <c r="H531" s="122">
        <v>35154</v>
      </c>
      <c r="I531" s="122">
        <f t="shared" si="183"/>
        <v>34029.072</v>
      </c>
      <c r="J531" s="147">
        <f t="shared" si="184"/>
        <v>27223.257600000001</v>
      </c>
      <c r="K531" s="122"/>
      <c r="L531" s="122">
        <v>0</v>
      </c>
      <c r="M531" s="122">
        <f t="shared" si="185"/>
        <v>0</v>
      </c>
      <c r="N531" s="122">
        <f t="shared" si="186"/>
        <v>0</v>
      </c>
      <c r="O531" s="122"/>
      <c r="P531" s="122">
        <v>0</v>
      </c>
      <c r="Q531" s="122">
        <f t="shared" si="187"/>
        <v>0</v>
      </c>
      <c r="R531" s="147">
        <f t="shared" si="188"/>
        <v>0</v>
      </c>
      <c r="S531" s="145">
        <v>11</v>
      </c>
      <c r="T531" s="144" t="s">
        <v>213</v>
      </c>
      <c r="U531" s="90">
        <f>SUMIF('Avoided Costs 2009-2017'!$A:$A,Actuals!T531&amp;Actuals!S531,'Avoided Costs 2009-2017'!$E:$E)*J531</f>
        <v>76189.486544992586</v>
      </c>
      <c r="V531" s="90">
        <f>SUMIF('Avoided Costs 2009-2017'!$A:$A,Actuals!T531&amp;Actuals!S531,'Avoided Costs 2009-2017'!$K:$K)*N531</f>
        <v>0</v>
      </c>
      <c r="W531" s="90">
        <f>SUMIF('Avoided Costs 2009-2017'!$A:$A,Actuals!T531&amp;Actuals!S531,'Avoided Costs 2009-2017'!$M:$M)*R531</f>
        <v>0</v>
      </c>
      <c r="X531" s="90">
        <f t="shared" si="189"/>
        <v>76189.486544992586</v>
      </c>
      <c r="Y531" s="148">
        <v>12908</v>
      </c>
      <c r="Z531" s="149">
        <f t="shared" si="190"/>
        <v>10326.400000000001</v>
      </c>
      <c r="AA531" s="148"/>
      <c r="AB531" s="145"/>
      <c r="AC531" s="145"/>
      <c r="AD531" s="148">
        <f t="shared" si="191"/>
        <v>10326.400000000001</v>
      </c>
      <c r="AE531" s="122">
        <f t="shared" si="192"/>
        <v>65863.086544992577</v>
      </c>
      <c r="AF531" s="167">
        <f t="shared" si="193"/>
        <v>299455.83360000001</v>
      </c>
    </row>
    <row r="532" spans="1:32" s="150" customFormat="1" x14ac:dyDescent="0.2">
      <c r="A532" s="144" t="s">
        <v>336</v>
      </c>
      <c r="B532" s="144"/>
      <c r="C532" s="144"/>
      <c r="D532" s="145">
        <v>1</v>
      </c>
      <c r="E532" s="122"/>
      <c r="F532" s="146">
        <v>0.2</v>
      </c>
      <c r="G532" s="146"/>
      <c r="H532" s="122">
        <v>15654</v>
      </c>
      <c r="I532" s="122">
        <f t="shared" si="183"/>
        <v>15153.072</v>
      </c>
      <c r="J532" s="147">
        <f t="shared" si="184"/>
        <v>12122.457600000002</v>
      </c>
      <c r="K532" s="122"/>
      <c r="L532" s="122">
        <v>0</v>
      </c>
      <c r="M532" s="122">
        <f t="shared" si="185"/>
        <v>0</v>
      </c>
      <c r="N532" s="122">
        <f t="shared" si="186"/>
        <v>0</v>
      </c>
      <c r="O532" s="122"/>
      <c r="P532" s="122">
        <v>0</v>
      </c>
      <c r="Q532" s="122">
        <f t="shared" si="187"/>
        <v>0</v>
      </c>
      <c r="R532" s="147">
        <f t="shared" si="188"/>
        <v>0</v>
      </c>
      <c r="S532" s="145">
        <v>15</v>
      </c>
      <c r="T532" s="144" t="s">
        <v>213</v>
      </c>
      <c r="U532" s="90">
        <f>SUMIF('Avoided Costs 2009-2017'!$A:$A,Actuals!T532&amp;Actuals!S532,'Avoided Costs 2009-2017'!$E:$E)*J532</f>
        <v>41000.643957090637</v>
      </c>
      <c r="V532" s="90">
        <f>SUMIF('Avoided Costs 2009-2017'!$A:$A,Actuals!T532&amp;Actuals!S532,'Avoided Costs 2009-2017'!$K:$K)*N532</f>
        <v>0</v>
      </c>
      <c r="W532" s="90">
        <f>SUMIF('Avoided Costs 2009-2017'!$A:$A,Actuals!T532&amp;Actuals!S532,'Avoided Costs 2009-2017'!$M:$M)*R532</f>
        <v>0</v>
      </c>
      <c r="X532" s="90">
        <f t="shared" si="189"/>
        <v>41000.643957090637</v>
      </c>
      <c r="Y532" s="148">
        <v>16587</v>
      </c>
      <c r="Z532" s="149">
        <f t="shared" si="190"/>
        <v>13269.6</v>
      </c>
      <c r="AA532" s="148"/>
      <c r="AB532" s="145"/>
      <c r="AC532" s="145"/>
      <c r="AD532" s="148">
        <f t="shared" si="191"/>
        <v>13269.6</v>
      </c>
      <c r="AE532" s="122">
        <f t="shared" si="192"/>
        <v>27731.043957090638</v>
      </c>
      <c r="AF532" s="167">
        <f t="shared" si="193"/>
        <v>181836.86400000003</v>
      </c>
    </row>
    <row r="533" spans="1:32" s="150" customFormat="1" x14ac:dyDescent="0.2">
      <c r="A533" s="144" t="s">
        <v>337</v>
      </c>
      <c r="B533" s="144"/>
      <c r="C533" s="144"/>
      <c r="D533" s="145">
        <v>0</v>
      </c>
      <c r="E533" s="122"/>
      <c r="F533" s="146">
        <v>0.2</v>
      </c>
      <c r="G533" s="146"/>
      <c r="H533" s="122">
        <v>11577</v>
      </c>
      <c r="I533" s="122">
        <f t="shared" si="183"/>
        <v>11206.536</v>
      </c>
      <c r="J533" s="147">
        <f t="shared" si="184"/>
        <v>8965.2288000000008</v>
      </c>
      <c r="K533" s="122"/>
      <c r="L533" s="122">
        <v>0</v>
      </c>
      <c r="M533" s="122">
        <f t="shared" si="185"/>
        <v>0</v>
      </c>
      <c r="N533" s="122">
        <f t="shared" si="186"/>
        <v>0</v>
      </c>
      <c r="O533" s="122"/>
      <c r="P533" s="122">
        <v>0</v>
      </c>
      <c r="Q533" s="122">
        <f t="shared" si="187"/>
        <v>0</v>
      </c>
      <c r="R533" s="147">
        <f t="shared" si="188"/>
        <v>0</v>
      </c>
      <c r="S533" s="145">
        <v>8</v>
      </c>
      <c r="T533" s="144" t="s">
        <v>1176</v>
      </c>
      <c r="U533" s="90">
        <f>SUMIF('Avoided Costs 2009-2017'!$A:$A,Actuals!T533&amp;Actuals!S533,'Avoided Costs 2009-2017'!$E:$E)*J533</f>
        <v>18367.991958035305</v>
      </c>
      <c r="V533" s="90">
        <f>SUMIF('Avoided Costs 2009-2017'!$A:$A,Actuals!T533&amp;Actuals!S533,'Avoided Costs 2009-2017'!$K:$K)*N533</f>
        <v>0</v>
      </c>
      <c r="W533" s="90">
        <f>SUMIF('Avoided Costs 2009-2017'!$A:$A,Actuals!T533&amp;Actuals!S533,'Avoided Costs 2009-2017'!$M:$M)*R533</f>
        <v>0</v>
      </c>
      <c r="X533" s="90">
        <f t="shared" si="189"/>
        <v>18367.991958035305</v>
      </c>
      <c r="Y533" s="148">
        <v>20444</v>
      </c>
      <c r="Z533" s="149">
        <f t="shared" si="190"/>
        <v>16355.2</v>
      </c>
      <c r="AA533" s="148"/>
      <c r="AB533" s="145"/>
      <c r="AC533" s="145"/>
      <c r="AD533" s="148">
        <f t="shared" si="191"/>
        <v>16355.2</v>
      </c>
      <c r="AE533" s="122">
        <f t="shared" si="192"/>
        <v>2012.7919580353046</v>
      </c>
      <c r="AF533" s="167">
        <f t="shared" si="193"/>
        <v>71721.830400000006</v>
      </c>
    </row>
    <row r="534" spans="1:32" s="150" customFormat="1" x14ac:dyDescent="0.2">
      <c r="A534" s="144" t="s">
        <v>338</v>
      </c>
      <c r="B534" s="144"/>
      <c r="C534" s="144"/>
      <c r="D534" s="145">
        <v>0</v>
      </c>
      <c r="E534" s="122"/>
      <c r="F534" s="146">
        <v>0.2</v>
      </c>
      <c r="G534" s="146"/>
      <c r="H534" s="122">
        <v>3628</v>
      </c>
      <c r="I534" s="122">
        <f t="shared" si="183"/>
        <v>3511.904</v>
      </c>
      <c r="J534" s="147">
        <f t="shared" si="184"/>
        <v>2809.5232000000001</v>
      </c>
      <c r="K534" s="122"/>
      <c r="L534" s="122">
        <v>31304</v>
      </c>
      <c r="M534" s="122">
        <f t="shared" si="185"/>
        <v>28142.296000000002</v>
      </c>
      <c r="N534" s="122">
        <f t="shared" si="186"/>
        <v>22513.836800000005</v>
      </c>
      <c r="O534" s="122"/>
      <c r="P534" s="122">
        <v>0</v>
      </c>
      <c r="Q534" s="122">
        <f t="shared" si="187"/>
        <v>0</v>
      </c>
      <c r="R534" s="147">
        <f t="shared" si="188"/>
        <v>0</v>
      </c>
      <c r="S534" s="145">
        <v>15</v>
      </c>
      <c r="T534" s="144" t="s">
        <v>213</v>
      </c>
      <c r="U534" s="90">
        <f>SUMIF('Avoided Costs 2009-2017'!$A:$A,Actuals!T534&amp;Actuals!S534,'Avoided Costs 2009-2017'!$E:$E)*J534</f>
        <v>9502.3850949485641</v>
      </c>
      <c r="V534" s="90">
        <f>SUMIF('Avoided Costs 2009-2017'!$A:$A,Actuals!T534&amp;Actuals!S534,'Avoided Costs 2009-2017'!$K:$K)*N534</f>
        <v>16807.303587856364</v>
      </c>
      <c r="W534" s="90">
        <f>SUMIF('Avoided Costs 2009-2017'!$A:$A,Actuals!T534&amp;Actuals!S534,'Avoided Costs 2009-2017'!$M:$M)*R534</f>
        <v>0</v>
      </c>
      <c r="X534" s="90">
        <f t="shared" si="189"/>
        <v>26309.688682804928</v>
      </c>
      <c r="Y534" s="148">
        <v>1944</v>
      </c>
      <c r="Z534" s="149">
        <f t="shared" si="190"/>
        <v>1555.2</v>
      </c>
      <c r="AA534" s="148"/>
      <c r="AB534" s="145"/>
      <c r="AC534" s="145"/>
      <c r="AD534" s="148">
        <f t="shared" si="191"/>
        <v>1555.2</v>
      </c>
      <c r="AE534" s="122">
        <f t="shared" si="192"/>
        <v>24754.488682804928</v>
      </c>
      <c r="AF534" s="167">
        <f t="shared" si="193"/>
        <v>42142.847999999998</v>
      </c>
    </row>
    <row r="535" spans="1:32" s="150" customFormat="1" x14ac:dyDescent="0.2">
      <c r="A535" s="144" t="s">
        <v>339</v>
      </c>
      <c r="B535" s="144"/>
      <c r="C535" s="144"/>
      <c r="D535" s="145">
        <v>1</v>
      </c>
      <c r="E535" s="122"/>
      <c r="F535" s="146">
        <v>0.2</v>
      </c>
      <c r="G535" s="146"/>
      <c r="H535" s="122">
        <v>24151</v>
      </c>
      <c r="I535" s="122">
        <f t="shared" si="183"/>
        <v>23378.167999999998</v>
      </c>
      <c r="J535" s="147">
        <f t="shared" si="184"/>
        <v>18702.5344</v>
      </c>
      <c r="K535" s="122"/>
      <c r="L535" s="122">
        <v>0</v>
      </c>
      <c r="M535" s="122">
        <f t="shared" si="185"/>
        <v>0</v>
      </c>
      <c r="N535" s="122">
        <f t="shared" si="186"/>
        <v>0</v>
      </c>
      <c r="O535" s="122"/>
      <c r="P535" s="122">
        <v>0</v>
      </c>
      <c r="Q535" s="122">
        <f t="shared" si="187"/>
        <v>0</v>
      </c>
      <c r="R535" s="147">
        <f t="shared" si="188"/>
        <v>0</v>
      </c>
      <c r="S535" s="145">
        <v>11</v>
      </c>
      <c r="T535" s="144" t="s">
        <v>213</v>
      </c>
      <c r="U535" s="90">
        <f>SUMIF('Avoided Costs 2009-2017'!$A:$A,Actuals!T535&amp;Actuals!S535,'Avoided Costs 2009-2017'!$E:$E)*J535</f>
        <v>52342.615052287532</v>
      </c>
      <c r="V535" s="90">
        <f>SUMIF('Avoided Costs 2009-2017'!$A:$A,Actuals!T535&amp;Actuals!S535,'Avoided Costs 2009-2017'!$K:$K)*N535</f>
        <v>0</v>
      </c>
      <c r="W535" s="90">
        <f>SUMIF('Avoided Costs 2009-2017'!$A:$A,Actuals!T535&amp;Actuals!S535,'Avoided Costs 2009-2017'!$M:$M)*R535</f>
        <v>0</v>
      </c>
      <c r="X535" s="90">
        <f t="shared" si="189"/>
        <v>52342.615052287532</v>
      </c>
      <c r="Y535" s="148">
        <v>19686</v>
      </c>
      <c r="Z535" s="149">
        <f t="shared" si="190"/>
        <v>15748.800000000001</v>
      </c>
      <c r="AA535" s="148"/>
      <c r="AB535" s="145"/>
      <c r="AC535" s="145"/>
      <c r="AD535" s="148">
        <f t="shared" si="191"/>
        <v>15748.800000000001</v>
      </c>
      <c r="AE535" s="122">
        <f t="shared" si="192"/>
        <v>36593.815052287529</v>
      </c>
      <c r="AF535" s="167">
        <f t="shared" si="193"/>
        <v>205727.87840000002</v>
      </c>
    </row>
    <row r="536" spans="1:32" s="150" customFormat="1" x14ac:dyDescent="0.2">
      <c r="A536" s="144" t="s">
        <v>340</v>
      </c>
      <c r="B536" s="144"/>
      <c r="C536" s="144"/>
      <c r="D536" s="145">
        <v>1</v>
      </c>
      <c r="E536" s="122"/>
      <c r="F536" s="146">
        <v>0.2</v>
      </c>
      <c r="G536" s="146"/>
      <c r="H536" s="122">
        <v>7908</v>
      </c>
      <c r="I536" s="122">
        <f t="shared" si="183"/>
        <v>7654.9439999999995</v>
      </c>
      <c r="J536" s="147">
        <f t="shared" si="184"/>
        <v>6123.9552000000003</v>
      </c>
      <c r="K536" s="122"/>
      <c r="L536" s="122">
        <v>21431</v>
      </c>
      <c r="M536" s="122">
        <f t="shared" si="185"/>
        <v>19266.469000000001</v>
      </c>
      <c r="N536" s="122">
        <f t="shared" si="186"/>
        <v>15413.175200000001</v>
      </c>
      <c r="O536" s="122"/>
      <c r="P536" s="122">
        <v>0</v>
      </c>
      <c r="Q536" s="122">
        <f t="shared" si="187"/>
        <v>0</v>
      </c>
      <c r="R536" s="147">
        <f t="shared" si="188"/>
        <v>0</v>
      </c>
      <c r="S536" s="145">
        <v>15</v>
      </c>
      <c r="T536" s="144" t="s">
        <v>213</v>
      </c>
      <c r="U536" s="90">
        <f>SUMIF('Avoided Costs 2009-2017'!$A:$A,Actuals!T536&amp;Actuals!S536,'Avoided Costs 2009-2017'!$E:$E)*J536</f>
        <v>20712.47555977212</v>
      </c>
      <c r="V536" s="90">
        <f>SUMIF('Avoided Costs 2009-2017'!$A:$A,Actuals!T536&amp;Actuals!S536,'Avoided Costs 2009-2017'!$K:$K)*N536</f>
        <v>11506.431228959547</v>
      </c>
      <c r="W536" s="90">
        <f>SUMIF('Avoided Costs 2009-2017'!$A:$A,Actuals!T536&amp;Actuals!S536,'Avoided Costs 2009-2017'!$M:$M)*R536</f>
        <v>0</v>
      </c>
      <c r="X536" s="90">
        <f t="shared" si="189"/>
        <v>32218.906788731667</v>
      </c>
      <c r="Y536" s="148">
        <v>4455</v>
      </c>
      <c r="Z536" s="149">
        <f t="shared" si="190"/>
        <v>3564</v>
      </c>
      <c r="AA536" s="148"/>
      <c r="AB536" s="145"/>
      <c r="AC536" s="145"/>
      <c r="AD536" s="148">
        <f t="shared" si="191"/>
        <v>3564</v>
      </c>
      <c r="AE536" s="122">
        <f t="shared" si="192"/>
        <v>28654.906788731667</v>
      </c>
      <c r="AF536" s="167">
        <f t="shared" si="193"/>
        <v>91859.328000000009</v>
      </c>
    </row>
    <row r="537" spans="1:32" s="150" customFormat="1" x14ac:dyDescent="0.2">
      <c r="A537" s="144" t="s">
        <v>341</v>
      </c>
      <c r="B537" s="144"/>
      <c r="C537" s="144"/>
      <c r="D537" s="145">
        <v>1</v>
      </c>
      <c r="E537" s="122"/>
      <c r="F537" s="146">
        <v>0.2</v>
      </c>
      <c r="G537" s="146"/>
      <c r="H537" s="122">
        <v>25201</v>
      </c>
      <c r="I537" s="122">
        <f t="shared" si="183"/>
        <v>24394.567999999999</v>
      </c>
      <c r="J537" s="147">
        <f t="shared" si="184"/>
        <v>19515.654399999999</v>
      </c>
      <c r="K537" s="122"/>
      <c r="L537" s="122">
        <v>0</v>
      </c>
      <c r="M537" s="122">
        <f t="shared" si="185"/>
        <v>0</v>
      </c>
      <c r="N537" s="122">
        <f t="shared" si="186"/>
        <v>0</v>
      </c>
      <c r="O537" s="122"/>
      <c r="P537" s="122">
        <v>0</v>
      </c>
      <c r="Q537" s="122">
        <f t="shared" si="187"/>
        <v>0</v>
      </c>
      <c r="R537" s="147">
        <f t="shared" si="188"/>
        <v>0</v>
      </c>
      <c r="S537" s="145">
        <v>8</v>
      </c>
      <c r="T537" s="144" t="s">
        <v>1176</v>
      </c>
      <c r="U537" s="90">
        <f>SUMIF('Avoided Costs 2009-2017'!$A:$A,Actuals!T537&amp;Actuals!S537,'Avoided Costs 2009-2017'!$E:$E)*J537</f>
        <v>39983.740635263683</v>
      </c>
      <c r="V537" s="90">
        <f>SUMIF('Avoided Costs 2009-2017'!$A:$A,Actuals!T537&amp;Actuals!S537,'Avoided Costs 2009-2017'!$K:$K)*N537</f>
        <v>0</v>
      </c>
      <c r="W537" s="90">
        <f>SUMIF('Avoided Costs 2009-2017'!$A:$A,Actuals!T537&amp;Actuals!S537,'Avoided Costs 2009-2017'!$M:$M)*R537</f>
        <v>0</v>
      </c>
      <c r="X537" s="90">
        <f t="shared" si="189"/>
        <v>39983.740635263683</v>
      </c>
      <c r="Y537" s="148">
        <v>21863</v>
      </c>
      <c r="Z537" s="149">
        <f t="shared" si="190"/>
        <v>17490.400000000001</v>
      </c>
      <c r="AA537" s="148"/>
      <c r="AB537" s="145"/>
      <c r="AC537" s="145"/>
      <c r="AD537" s="148">
        <f t="shared" si="191"/>
        <v>17490.400000000001</v>
      </c>
      <c r="AE537" s="122">
        <f t="shared" si="192"/>
        <v>22493.340635263681</v>
      </c>
      <c r="AF537" s="167">
        <f t="shared" si="193"/>
        <v>156125.2352</v>
      </c>
    </row>
    <row r="538" spans="1:32" s="150" customFormat="1" x14ac:dyDescent="0.2">
      <c r="A538" s="144" t="s">
        <v>342</v>
      </c>
      <c r="B538" s="144"/>
      <c r="C538" s="144"/>
      <c r="D538" s="145">
        <v>1</v>
      </c>
      <c r="E538" s="122"/>
      <c r="F538" s="146">
        <v>0.2</v>
      </c>
      <c r="G538" s="146"/>
      <c r="H538" s="122">
        <v>45353</v>
      </c>
      <c r="I538" s="122">
        <f t="shared" si="183"/>
        <v>43901.703999999998</v>
      </c>
      <c r="J538" s="147">
        <f t="shared" si="184"/>
        <v>35121.3632</v>
      </c>
      <c r="K538" s="122"/>
      <c r="L538" s="122">
        <v>92963</v>
      </c>
      <c r="M538" s="122">
        <f t="shared" si="185"/>
        <v>83573.737000000008</v>
      </c>
      <c r="N538" s="122">
        <f t="shared" si="186"/>
        <v>66858.989600000015</v>
      </c>
      <c r="O538" s="122"/>
      <c r="P538" s="122">
        <v>0</v>
      </c>
      <c r="Q538" s="122">
        <f t="shared" si="187"/>
        <v>0</v>
      </c>
      <c r="R538" s="147">
        <f t="shared" si="188"/>
        <v>0</v>
      </c>
      <c r="S538" s="145">
        <v>15</v>
      </c>
      <c r="T538" s="144" t="s">
        <v>213</v>
      </c>
      <c r="U538" s="90">
        <f>SUMIF('Avoided Costs 2009-2017'!$A:$A,Actuals!T538&amp;Actuals!S538,'Avoided Costs 2009-2017'!$E:$E)*J538</f>
        <v>118787.67122690249</v>
      </c>
      <c r="V538" s="90">
        <f>SUMIF('Avoided Costs 2009-2017'!$A:$A,Actuals!T538&amp;Actuals!S538,'Avoided Costs 2009-2017'!$K:$K)*N538</f>
        <v>49912.387025232914</v>
      </c>
      <c r="W538" s="90">
        <f>SUMIF('Avoided Costs 2009-2017'!$A:$A,Actuals!T538&amp;Actuals!S538,'Avoided Costs 2009-2017'!$M:$M)*R538</f>
        <v>0</v>
      </c>
      <c r="X538" s="90">
        <f t="shared" si="189"/>
        <v>168700.05825213541</v>
      </c>
      <c r="Y538" s="148">
        <v>72000</v>
      </c>
      <c r="Z538" s="149">
        <f t="shared" si="190"/>
        <v>57600</v>
      </c>
      <c r="AA538" s="148"/>
      <c r="AB538" s="145"/>
      <c r="AC538" s="145"/>
      <c r="AD538" s="148">
        <f t="shared" si="191"/>
        <v>57600</v>
      </c>
      <c r="AE538" s="122">
        <f t="shared" si="192"/>
        <v>111100.05825213541</v>
      </c>
      <c r="AF538" s="167">
        <f t="shared" si="193"/>
        <v>526820.44799999997</v>
      </c>
    </row>
    <row r="539" spans="1:32" s="150" customFormat="1" x14ac:dyDescent="0.2">
      <c r="A539" s="144" t="s">
        <v>546</v>
      </c>
      <c r="B539" s="144"/>
      <c r="C539" s="144"/>
      <c r="D539" s="145">
        <v>0</v>
      </c>
      <c r="E539" s="122"/>
      <c r="F539" s="146">
        <v>0.2</v>
      </c>
      <c r="G539" s="146"/>
      <c r="H539" s="122">
        <v>31738</v>
      </c>
      <c r="I539" s="122">
        <f t="shared" si="183"/>
        <v>30722.383999999998</v>
      </c>
      <c r="J539" s="147">
        <f t="shared" si="184"/>
        <v>24577.907200000001</v>
      </c>
      <c r="K539" s="122"/>
      <c r="L539" s="122">
        <v>0</v>
      </c>
      <c r="M539" s="122">
        <f t="shared" si="185"/>
        <v>0</v>
      </c>
      <c r="N539" s="122">
        <f t="shared" si="186"/>
        <v>0</v>
      </c>
      <c r="O539" s="122"/>
      <c r="P539" s="122">
        <v>0</v>
      </c>
      <c r="Q539" s="122">
        <f t="shared" si="187"/>
        <v>0</v>
      </c>
      <c r="R539" s="147">
        <f t="shared" si="188"/>
        <v>0</v>
      </c>
      <c r="S539" s="145">
        <v>9</v>
      </c>
      <c r="T539" s="144" t="s">
        <v>1176</v>
      </c>
      <c r="U539" s="90">
        <f>SUMIF('Avoided Costs 2009-2017'!$A:$A,Actuals!T539&amp;Actuals!S539,'Avoided Costs 2009-2017'!$E:$E)*J539</f>
        <v>54752.504497985989</v>
      </c>
      <c r="V539" s="90">
        <f>SUMIF('Avoided Costs 2009-2017'!$A:$A,Actuals!T539&amp;Actuals!S539,'Avoided Costs 2009-2017'!$K:$K)*N539</f>
        <v>0</v>
      </c>
      <c r="W539" s="90">
        <f>SUMIF('Avoided Costs 2009-2017'!$A:$A,Actuals!T539&amp;Actuals!S539,'Avoided Costs 2009-2017'!$M:$M)*R539</f>
        <v>0</v>
      </c>
      <c r="X539" s="90">
        <f t="shared" si="189"/>
        <v>54752.504497985989</v>
      </c>
      <c r="Y539" s="148">
        <v>31500</v>
      </c>
      <c r="Z539" s="149">
        <f t="shared" si="190"/>
        <v>25200</v>
      </c>
      <c r="AA539" s="148"/>
      <c r="AB539" s="145"/>
      <c r="AC539" s="145"/>
      <c r="AD539" s="148">
        <f t="shared" si="191"/>
        <v>25200</v>
      </c>
      <c r="AE539" s="122">
        <f t="shared" si="192"/>
        <v>29552.504497985989</v>
      </c>
      <c r="AF539" s="167">
        <f t="shared" si="193"/>
        <v>221201.16480000003</v>
      </c>
    </row>
    <row r="540" spans="1:32" s="150" customFormat="1" x14ac:dyDescent="0.2">
      <c r="A540" s="144" t="s">
        <v>547</v>
      </c>
      <c r="B540" s="144"/>
      <c r="C540" s="144"/>
      <c r="D540" s="145">
        <v>1</v>
      </c>
      <c r="E540" s="122"/>
      <c r="F540" s="146">
        <v>0.2</v>
      </c>
      <c r="G540" s="146"/>
      <c r="H540" s="122">
        <v>42447</v>
      </c>
      <c r="I540" s="122">
        <f t="shared" si="183"/>
        <v>41088.695999999996</v>
      </c>
      <c r="J540" s="147">
        <f t="shared" si="184"/>
        <v>32870.9568</v>
      </c>
      <c r="K540" s="122"/>
      <c r="L540" s="122">
        <v>0</v>
      </c>
      <c r="M540" s="122">
        <f t="shared" si="185"/>
        <v>0</v>
      </c>
      <c r="N540" s="122">
        <f t="shared" si="186"/>
        <v>0</v>
      </c>
      <c r="O540" s="122"/>
      <c r="P540" s="122">
        <v>0</v>
      </c>
      <c r="Q540" s="122">
        <f t="shared" si="187"/>
        <v>0</v>
      </c>
      <c r="R540" s="147">
        <f t="shared" si="188"/>
        <v>0</v>
      </c>
      <c r="S540" s="145">
        <v>11</v>
      </c>
      <c r="T540" s="144" t="s">
        <v>213</v>
      </c>
      <c r="U540" s="90">
        <f>SUMIF('Avoided Costs 2009-2017'!$A:$A,Actuals!T540&amp;Actuals!S540,'Avoided Costs 2009-2017'!$E:$E)*J540</f>
        <v>91995.651572375835</v>
      </c>
      <c r="V540" s="90">
        <f>SUMIF('Avoided Costs 2009-2017'!$A:$A,Actuals!T540&amp;Actuals!S540,'Avoided Costs 2009-2017'!$K:$K)*N540</f>
        <v>0</v>
      </c>
      <c r="W540" s="90">
        <f>SUMIF('Avoided Costs 2009-2017'!$A:$A,Actuals!T540&amp;Actuals!S540,'Avoided Costs 2009-2017'!$M:$M)*R540</f>
        <v>0</v>
      </c>
      <c r="X540" s="90">
        <f t="shared" si="189"/>
        <v>91995.651572375835</v>
      </c>
      <c r="Y540" s="148">
        <v>47700</v>
      </c>
      <c r="Z540" s="149">
        <f t="shared" si="190"/>
        <v>38160</v>
      </c>
      <c r="AA540" s="148"/>
      <c r="AB540" s="145"/>
      <c r="AC540" s="145"/>
      <c r="AD540" s="148">
        <f t="shared" si="191"/>
        <v>38160</v>
      </c>
      <c r="AE540" s="122">
        <f t="shared" si="192"/>
        <v>53835.651572375835</v>
      </c>
      <c r="AF540" s="167">
        <f t="shared" si="193"/>
        <v>361580.52480000001</v>
      </c>
    </row>
    <row r="541" spans="1:32" s="150" customFormat="1" x14ac:dyDescent="0.2">
      <c r="A541" s="144" t="s">
        <v>548</v>
      </c>
      <c r="B541" s="144"/>
      <c r="C541" s="144"/>
      <c r="D541" s="145">
        <v>1</v>
      </c>
      <c r="E541" s="122"/>
      <c r="F541" s="146">
        <v>0.2</v>
      </c>
      <c r="G541" s="146"/>
      <c r="H541" s="122">
        <v>31976</v>
      </c>
      <c r="I541" s="122">
        <f t="shared" si="183"/>
        <v>30952.768</v>
      </c>
      <c r="J541" s="147">
        <f t="shared" si="184"/>
        <v>24762.214400000001</v>
      </c>
      <c r="K541" s="122"/>
      <c r="L541" s="122">
        <v>0</v>
      </c>
      <c r="M541" s="122">
        <f t="shared" si="185"/>
        <v>0</v>
      </c>
      <c r="N541" s="122">
        <f t="shared" si="186"/>
        <v>0</v>
      </c>
      <c r="O541" s="122"/>
      <c r="P541" s="122">
        <v>0</v>
      </c>
      <c r="Q541" s="122">
        <f t="shared" si="187"/>
        <v>0</v>
      </c>
      <c r="R541" s="147">
        <f t="shared" si="188"/>
        <v>0</v>
      </c>
      <c r="S541" s="145">
        <v>11</v>
      </c>
      <c r="T541" s="144" t="s">
        <v>213</v>
      </c>
      <c r="U541" s="90">
        <f>SUMIF('Avoided Costs 2009-2017'!$A:$A,Actuals!T541&amp;Actuals!S541,'Avoided Costs 2009-2017'!$E:$E)*J541</f>
        <v>69301.787044509387</v>
      </c>
      <c r="V541" s="90">
        <f>SUMIF('Avoided Costs 2009-2017'!$A:$A,Actuals!T541&amp;Actuals!S541,'Avoided Costs 2009-2017'!$K:$K)*N541</f>
        <v>0</v>
      </c>
      <c r="W541" s="90">
        <f>SUMIF('Avoided Costs 2009-2017'!$A:$A,Actuals!T541&amp;Actuals!S541,'Avoided Costs 2009-2017'!$M:$M)*R541</f>
        <v>0</v>
      </c>
      <c r="X541" s="90">
        <f t="shared" si="189"/>
        <v>69301.787044509387</v>
      </c>
      <c r="Y541" s="148">
        <v>8743</v>
      </c>
      <c r="Z541" s="149">
        <f t="shared" si="190"/>
        <v>6994.4000000000005</v>
      </c>
      <c r="AA541" s="148"/>
      <c r="AB541" s="145"/>
      <c r="AC541" s="145"/>
      <c r="AD541" s="148">
        <f t="shared" si="191"/>
        <v>6994.4000000000005</v>
      </c>
      <c r="AE541" s="122">
        <f t="shared" si="192"/>
        <v>62307.387044509385</v>
      </c>
      <c r="AF541" s="167">
        <f t="shared" si="193"/>
        <v>272384.35840000003</v>
      </c>
    </row>
    <row r="542" spans="1:32" s="150" customFormat="1" x14ac:dyDescent="0.2">
      <c r="A542" s="144" t="s">
        <v>549</v>
      </c>
      <c r="B542" s="144"/>
      <c r="C542" s="144"/>
      <c r="D542" s="145">
        <v>0</v>
      </c>
      <c r="E542" s="122"/>
      <c r="F542" s="146">
        <v>0.2</v>
      </c>
      <c r="G542" s="146"/>
      <c r="H542" s="122">
        <v>9848</v>
      </c>
      <c r="I542" s="122">
        <f t="shared" si="183"/>
        <v>9532.8639999999996</v>
      </c>
      <c r="J542" s="147">
        <f t="shared" si="184"/>
        <v>7626.2911999999997</v>
      </c>
      <c r="K542" s="122"/>
      <c r="L542" s="122">
        <v>0</v>
      </c>
      <c r="M542" s="122">
        <f t="shared" si="185"/>
        <v>0</v>
      </c>
      <c r="N542" s="122">
        <f t="shared" si="186"/>
        <v>0</v>
      </c>
      <c r="O542" s="122"/>
      <c r="P542" s="122">
        <v>0</v>
      </c>
      <c r="Q542" s="122">
        <f t="shared" si="187"/>
        <v>0</v>
      </c>
      <c r="R542" s="147">
        <f t="shared" si="188"/>
        <v>0</v>
      </c>
      <c r="S542" s="145">
        <v>9</v>
      </c>
      <c r="T542" s="144" t="s">
        <v>1176</v>
      </c>
      <c r="U542" s="90">
        <f>SUMIF('Avoided Costs 2009-2017'!$A:$A,Actuals!T542&amp;Actuals!S542,'Avoided Costs 2009-2017'!$E:$E)*J542</f>
        <v>16989.182188422899</v>
      </c>
      <c r="V542" s="90">
        <f>SUMIF('Avoided Costs 2009-2017'!$A:$A,Actuals!T542&amp;Actuals!S542,'Avoided Costs 2009-2017'!$K:$K)*N542</f>
        <v>0</v>
      </c>
      <c r="W542" s="90">
        <f>SUMIF('Avoided Costs 2009-2017'!$A:$A,Actuals!T542&amp;Actuals!S542,'Avoided Costs 2009-2017'!$M:$M)*R542</f>
        <v>0</v>
      </c>
      <c r="X542" s="90">
        <f t="shared" si="189"/>
        <v>16989.182188422899</v>
      </c>
      <c r="Y542" s="148">
        <v>11130</v>
      </c>
      <c r="Z542" s="149">
        <f t="shared" si="190"/>
        <v>8904</v>
      </c>
      <c r="AA542" s="148"/>
      <c r="AB542" s="145"/>
      <c r="AC542" s="145"/>
      <c r="AD542" s="148">
        <f t="shared" si="191"/>
        <v>8904</v>
      </c>
      <c r="AE542" s="122">
        <f t="shared" si="192"/>
        <v>8085.1821884228993</v>
      </c>
      <c r="AF542" s="167">
        <f t="shared" si="193"/>
        <v>68636.620800000004</v>
      </c>
    </row>
    <row r="543" spans="1:32" s="150" customFormat="1" x14ac:dyDescent="0.2">
      <c r="A543" s="144" t="s">
        <v>550</v>
      </c>
      <c r="B543" s="144"/>
      <c r="C543" s="144"/>
      <c r="D543" s="145">
        <v>1</v>
      </c>
      <c r="E543" s="122"/>
      <c r="F543" s="146">
        <v>0.2</v>
      </c>
      <c r="G543" s="146"/>
      <c r="H543" s="122">
        <v>79783</v>
      </c>
      <c r="I543" s="122">
        <f t="shared" si="183"/>
        <v>77229.944000000003</v>
      </c>
      <c r="J543" s="147">
        <f t="shared" si="184"/>
        <v>61783.955200000004</v>
      </c>
      <c r="K543" s="122"/>
      <c r="L543" s="122">
        <v>0</v>
      </c>
      <c r="M543" s="122">
        <f t="shared" si="185"/>
        <v>0</v>
      </c>
      <c r="N543" s="122">
        <f t="shared" si="186"/>
        <v>0</v>
      </c>
      <c r="O543" s="122"/>
      <c r="P543" s="122">
        <v>0</v>
      </c>
      <c r="Q543" s="122">
        <f t="shared" si="187"/>
        <v>0</v>
      </c>
      <c r="R543" s="147">
        <f t="shared" si="188"/>
        <v>0</v>
      </c>
      <c r="S543" s="145">
        <v>11</v>
      </c>
      <c r="T543" s="144" t="s">
        <v>213</v>
      </c>
      <c r="U543" s="90">
        <f>SUMIF('Avoided Costs 2009-2017'!$A:$A,Actuals!T543&amp;Actuals!S543,'Avoided Costs 2009-2017'!$E:$E)*J543</f>
        <v>172914.20051826659</v>
      </c>
      <c r="V543" s="90">
        <f>SUMIF('Avoided Costs 2009-2017'!$A:$A,Actuals!T543&amp;Actuals!S543,'Avoided Costs 2009-2017'!$K:$K)*N543</f>
        <v>0</v>
      </c>
      <c r="W543" s="90">
        <f>SUMIF('Avoided Costs 2009-2017'!$A:$A,Actuals!T543&amp;Actuals!S543,'Avoided Costs 2009-2017'!$M:$M)*R543</f>
        <v>0</v>
      </c>
      <c r="X543" s="90">
        <f t="shared" si="189"/>
        <v>172914.20051826659</v>
      </c>
      <c r="Y543" s="148">
        <v>31270</v>
      </c>
      <c r="Z543" s="149">
        <f t="shared" si="190"/>
        <v>25016</v>
      </c>
      <c r="AA543" s="148"/>
      <c r="AB543" s="145"/>
      <c r="AC543" s="145"/>
      <c r="AD543" s="148">
        <f t="shared" si="191"/>
        <v>25016</v>
      </c>
      <c r="AE543" s="122">
        <f t="shared" si="192"/>
        <v>147898.20051826659</v>
      </c>
      <c r="AF543" s="167">
        <f t="shared" si="193"/>
        <v>679623.50719999999</v>
      </c>
    </row>
    <row r="544" spans="1:32" s="150" customFormat="1" x14ac:dyDescent="0.2">
      <c r="A544" s="144" t="s">
        <v>551</v>
      </c>
      <c r="B544" s="144"/>
      <c r="C544" s="144"/>
      <c r="D544" s="145">
        <v>1</v>
      </c>
      <c r="E544" s="122"/>
      <c r="F544" s="146">
        <v>0.2</v>
      </c>
      <c r="G544" s="146"/>
      <c r="H544" s="122">
        <v>34812</v>
      </c>
      <c r="I544" s="122">
        <f t="shared" si="183"/>
        <v>33698.015999999996</v>
      </c>
      <c r="J544" s="147">
        <f t="shared" si="184"/>
        <v>26958.412799999998</v>
      </c>
      <c r="K544" s="122"/>
      <c r="L544" s="122">
        <v>0</v>
      </c>
      <c r="M544" s="122">
        <f t="shared" si="185"/>
        <v>0</v>
      </c>
      <c r="N544" s="122">
        <f t="shared" si="186"/>
        <v>0</v>
      </c>
      <c r="O544" s="122"/>
      <c r="P544" s="122">
        <v>0</v>
      </c>
      <c r="Q544" s="122">
        <f t="shared" si="187"/>
        <v>0</v>
      </c>
      <c r="R544" s="147">
        <f t="shared" si="188"/>
        <v>0</v>
      </c>
      <c r="S544" s="145">
        <v>11</v>
      </c>
      <c r="T544" s="144" t="s">
        <v>213</v>
      </c>
      <c r="U544" s="90">
        <f>SUMIF('Avoided Costs 2009-2017'!$A:$A,Actuals!T544&amp;Actuals!S544,'Avoided Costs 2009-2017'!$E:$E)*J544</f>
        <v>75448.267781882052</v>
      </c>
      <c r="V544" s="90">
        <f>SUMIF('Avoided Costs 2009-2017'!$A:$A,Actuals!T544&amp;Actuals!S544,'Avoided Costs 2009-2017'!$K:$K)*N544</f>
        <v>0</v>
      </c>
      <c r="W544" s="90">
        <f>SUMIF('Avoided Costs 2009-2017'!$A:$A,Actuals!T544&amp;Actuals!S544,'Avoided Costs 2009-2017'!$M:$M)*R544</f>
        <v>0</v>
      </c>
      <c r="X544" s="90">
        <f t="shared" si="189"/>
        <v>75448.267781882052</v>
      </c>
      <c r="Y544" s="148">
        <v>8797</v>
      </c>
      <c r="Z544" s="149">
        <f t="shared" si="190"/>
        <v>7037.6</v>
      </c>
      <c r="AA544" s="148"/>
      <c r="AB544" s="145"/>
      <c r="AC544" s="145"/>
      <c r="AD544" s="148">
        <f t="shared" si="191"/>
        <v>7037.6</v>
      </c>
      <c r="AE544" s="122">
        <f t="shared" si="192"/>
        <v>68410.667781882046</v>
      </c>
      <c r="AF544" s="167">
        <f t="shared" si="193"/>
        <v>296542.54079999996</v>
      </c>
    </row>
    <row r="545" spans="1:32" s="150" customFormat="1" x14ac:dyDescent="0.2">
      <c r="A545" s="144" t="s">
        <v>552</v>
      </c>
      <c r="B545" s="144"/>
      <c r="C545" s="144"/>
      <c r="D545" s="145">
        <v>1</v>
      </c>
      <c r="E545" s="122"/>
      <c r="F545" s="146">
        <v>0.2</v>
      </c>
      <c r="G545" s="146"/>
      <c r="H545" s="122">
        <v>39557</v>
      </c>
      <c r="I545" s="122">
        <f t="shared" si="183"/>
        <v>38291.175999999999</v>
      </c>
      <c r="J545" s="147">
        <f t="shared" si="184"/>
        <v>30632.9408</v>
      </c>
      <c r="K545" s="122"/>
      <c r="L545" s="122">
        <v>91510</v>
      </c>
      <c r="M545" s="122">
        <f t="shared" si="185"/>
        <v>82267.490000000005</v>
      </c>
      <c r="N545" s="122">
        <f t="shared" si="186"/>
        <v>65813.992000000013</v>
      </c>
      <c r="O545" s="122"/>
      <c r="P545" s="122">
        <v>0</v>
      </c>
      <c r="Q545" s="122">
        <f t="shared" si="187"/>
        <v>0</v>
      </c>
      <c r="R545" s="147">
        <f t="shared" si="188"/>
        <v>0</v>
      </c>
      <c r="S545" s="145">
        <v>15</v>
      </c>
      <c r="T545" s="144" t="s">
        <v>213</v>
      </c>
      <c r="U545" s="90">
        <f>SUMIF('Avoided Costs 2009-2017'!$A:$A,Actuals!T545&amp;Actuals!S545,'Avoided Costs 2009-2017'!$E:$E)*J545</f>
        <v>103606.90385911806</v>
      </c>
      <c r="V545" s="90">
        <f>SUMIF('Avoided Costs 2009-2017'!$A:$A,Actuals!T545&amp;Actuals!S545,'Avoided Costs 2009-2017'!$K:$K)*N545</f>
        <v>49132.262692458971</v>
      </c>
      <c r="W545" s="90">
        <f>SUMIF('Avoided Costs 2009-2017'!$A:$A,Actuals!T545&amp;Actuals!S545,'Avoided Costs 2009-2017'!$M:$M)*R545</f>
        <v>0</v>
      </c>
      <c r="X545" s="90">
        <f t="shared" si="189"/>
        <v>152739.16655157704</v>
      </c>
      <c r="Y545" s="148">
        <v>9500</v>
      </c>
      <c r="Z545" s="149">
        <f t="shared" si="190"/>
        <v>7600</v>
      </c>
      <c r="AA545" s="148"/>
      <c r="AB545" s="145"/>
      <c r="AC545" s="145"/>
      <c r="AD545" s="148">
        <f t="shared" si="191"/>
        <v>7600</v>
      </c>
      <c r="AE545" s="122">
        <f t="shared" si="192"/>
        <v>145139.16655157704</v>
      </c>
      <c r="AF545" s="167">
        <f t="shared" si="193"/>
        <v>459494.11200000002</v>
      </c>
    </row>
    <row r="546" spans="1:32" s="150" customFormat="1" x14ac:dyDescent="0.2">
      <c r="A546" s="144" t="s">
        <v>553</v>
      </c>
      <c r="B546" s="144"/>
      <c r="C546" s="144"/>
      <c r="D546" s="145">
        <v>1</v>
      </c>
      <c r="E546" s="122"/>
      <c r="F546" s="146">
        <v>0.2</v>
      </c>
      <c r="G546" s="146"/>
      <c r="H546" s="122">
        <v>14668</v>
      </c>
      <c r="I546" s="122">
        <f t="shared" si="183"/>
        <v>14198.624</v>
      </c>
      <c r="J546" s="147">
        <f t="shared" si="184"/>
        <v>11358.8992</v>
      </c>
      <c r="K546" s="122"/>
      <c r="L546" s="122">
        <v>31230</v>
      </c>
      <c r="M546" s="122">
        <f t="shared" si="185"/>
        <v>28075.77</v>
      </c>
      <c r="N546" s="122">
        <f t="shared" si="186"/>
        <v>22460.616000000002</v>
      </c>
      <c r="O546" s="122"/>
      <c r="P546" s="122">
        <v>0</v>
      </c>
      <c r="Q546" s="122">
        <f t="shared" si="187"/>
        <v>0</v>
      </c>
      <c r="R546" s="147">
        <f t="shared" si="188"/>
        <v>0</v>
      </c>
      <c r="S546" s="145">
        <v>15</v>
      </c>
      <c r="T546" s="144" t="s">
        <v>213</v>
      </c>
      <c r="U546" s="90">
        <f>SUMIF('Avoided Costs 2009-2017'!$A:$A,Actuals!T546&amp;Actuals!S546,'Avoided Costs 2009-2017'!$E:$E)*J546</f>
        <v>38418.13246215698</v>
      </c>
      <c r="V546" s="90">
        <f>SUMIF('Avoided Costs 2009-2017'!$A:$A,Actuals!T546&amp;Actuals!S546,'Avoided Costs 2009-2017'!$K:$K)*N546</f>
        <v>16767.572548196847</v>
      </c>
      <c r="W546" s="90">
        <f>SUMIF('Avoided Costs 2009-2017'!$A:$A,Actuals!T546&amp;Actuals!S546,'Avoided Costs 2009-2017'!$M:$M)*R546</f>
        <v>0</v>
      </c>
      <c r="X546" s="90">
        <f t="shared" si="189"/>
        <v>55185.705010353828</v>
      </c>
      <c r="Y546" s="148">
        <v>7000</v>
      </c>
      <c r="Z546" s="149">
        <f t="shared" si="190"/>
        <v>5600</v>
      </c>
      <c r="AA546" s="148"/>
      <c r="AB546" s="145"/>
      <c r="AC546" s="145"/>
      <c r="AD546" s="148">
        <f t="shared" si="191"/>
        <v>5600</v>
      </c>
      <c r="AE546" s="122">
        <f t="shared" si="192"/>
        <v>49585.705010353828</v>
      </c>
      <c r="AF546" s="167">
        <f t="shared" si="193"/>
        <v>170383.48800000001</v>
      </c>
    </row>
    <row r="547" spans="1:32" s="150" customFormat="1" x14ac:dyDescent="0.2">
      <c r="A547" s="144" t="s">
        <v>554</v>
      </c>
      <c r="B547" s="144"/>
      <c r="C547" s="144"/>
      <c r="D547" s="145">
        <v>1</v>
      </c>
      <c r="E547" s="122"/>
      <c r="F547" s="146">
        <v>0.2</v>
      </c>
      <c r="G547" s="146"/>
      <c r="H547" s="122">
        <v>29399</v>
      </c>
      <c r="I547" s="122">
        <f t="shared" si="183"/>
        <v>28458.232</v>
      </c>
      <c r="J547" s="147">
        <f t="shared" si="184"/>
        <v>22766.585600000002</v>
      </c>
      <c r="K547" s="122"/>
      <c r="L547" s="122">
        <v>0</v>
      </c>
      <c r="M547" s="122">
        <f t="shared" si="185"/>
        <v>0</v>
      </c>
      <c r="N547" s="122">
        <f t="shared" si="186"/>
        <v>0</v>
      </c>
      <c r="O547" s="122"/>
      <c r="P547" s="122">
        <v>0</v>
      </c>
      <c r="Q547" s="122">
        <f t="shared" si="187"/>
        <v>0</v>
      </c>
      <c r="R547" s="147">
        <f t="shared" si="188"/>
        <v>0</v>
      </c>
      <c r="S547" s="145">
        <v>15</v>
      </c>
      <c r="T547" s="144" t="s">
        <v>213</v>
      </c>
      <c r="U547" s="90">
        <f>SUMIF('Avoided Costs 2009-2017'!$A:$A,Actuals!T547&amp;Actuals!S547,'Avoided Costs 2009-2017'!$E:$E)*J547</f>
        <v>77001.273265268144</v>
      </c>
      <c r="V547" s="90">
        <f>SUMIF('Avoided Costs 2009-2017'!$A:$A,Actuals!T547&amp;Actuals!S547,'Avoided Costs 2009-2017'!$K:$K)*N547</f>
        <v>0</v>
      </c>
      <c r="W547" s="90">
        <f>SUMIF('Avoided Costs 2009-2017'!$A:$A,Actuals!T547&amp;Actuals!S547,'Avoided Costs 2009-2017'!$M:$M)*R547</f>
        <v>0</v>
      </c>
      <c r="X547" s="90">
        <f t="shared" si="189"/>
        <v>77001.273265268144</v>
      </c>
      <c r="Y547" s="148">
        <v>25978</v>
      </c>
      <c r="Z547" s="149">
        <f t="shared" si="190"/>
        <v>20782.400000000001</v>
      </c>
      <c r="AA547" s="148"/>
      <c r="AB547" s="145"/>
      <c r="AC547" s="145"/>
      <c r="AD547" s="148">
        <f t="shared" si="191"/>
        <v>20782.400000000001</v>
      </c>
      <c r="AE547" s="122">
        <f t="shared" si="192"/>
        <v>56218.873265268143</v>
      </c>
      <c r="AF547" s="167">
        <f t="shared" si="193"/>
        <v>341498.78400000004</v>
      </c>
    </row>
    <row r="548" spans="1:32" s="150" customFormat="1" x14ac:dyDescent="0.2">
      <c r="A548" s="144" t="s">
        <v>555</v>
      </c>
      <c r="B548" s="144"/>
      <c r="C548" s="144"/>
      <c r="D548" s="145">
        <v>1</v>
      </c>
      <c r="E548" s="122"/>
      <c r="F548" s="146">
        <v>0.2</v>
      </c>
      <c r="G548" s="146"/>
      <c r="H548" s="122">
        <v>17983</v>
      </c>
      <c r="I548" s="122">
        <f t="shared" si="183"/>
        <v>17407.543999999998</v>
      </c>
      <c r="J548" s="147">
        <f t="shared" si="184"/>
        <v>13926.035199999998</v>
      </c>
      <c r="K548" s="122"/>
      <c r="L548" s="122">
        <v>0</v>
      </c>
      <c r="M548" s="122">
        <f t="shared" si="185"/>
        <v>0</v>
      </c>
      <c r="N548" s="122">
        <f t="shared" si="186"/>
        <v>0</v>
      </c>
      <c r="O548" s="122"/>
      <c r="P548" s="122">
        <v>0</v>
      </c>
      <c r="Q548" s="122">
        <f t="shared" si="187"/>
        <v>0</v>
      </c>
      <c r="R548" s="147">
        <f t="shared" si="188"/>
        <v>0</v>
      </c>
      <c r="S548" s="145">
        <v>15</v>
      </c>
      <c r="T548" s="144" t="s">
        <v>213</v>
      </c>
      <c r="U548" s="90">
        <f>SUMIF('Avoided Costs 2009-2017'!$A:$A,Actuals!T548&amp;Actuals!S548,'Avoided Costs 2009-2017'!$E:$E)*J548</f>
        <v>47100.714212364939</v>
      </c>
      <c r="V548" s="90">
        <f>SUMIF('Avoided Costs 2009-2017'!$A:$A,Actuals!T548&amp;Actuals!S548,'Avoided Costs 2009-2017'!$K:$K)*N548</f>
        <v>0</v>
      </c>
      <c r="W548" s="90">
        <f>SUMIF('Avoided Costs 2009-2017'!$A:$A,Actuals!T548&amp;Actuals!S548,'Avoided Costs 2009-2017'!$M:$M)*R548</f>
        <v>0</v>
      </c>
      <c r="X548" s="90">
        <f t="shared" si="189"/>
        <v>47100.714212364939</v>
      </c>
      <c r="Y548" s="148">
        <v>8309</v>
      </c>
      <c r="Z548" s="149">
        <f t="shared" si="190"/>
        <v>6647.2000000000007</v>
      </c>
      <c r="AA548" s="148"/>
      <c r="AB548" s="145"/>
      <c r="AC548" s="145"/>
      <c r="AD548" s="148">
        <f t="shared" si="191"/>
        <v>6647.2000000000007</v>
      </c>
      <c r="AE548" s="122">
        <f t="shared" si="192"/>
        <v>40453.514212364942</v>
      </c>
      <c r="AF548" s="167">
        <f t="shared" si="193"/>
        <v>208890.52799999999</v>
      </c>
    </row>
    <row r="549" spans="1:32" s="150" customFormat="1" x14ac:dyDescent="0.2">
      <c r="A549" s="144" t="s">
        <v>556</v>
      </c>
      <c r="B549" s="144"/>
      <c r="C549" s="144"/>
      <c r="D549" s="145">
        <v>0</v>
      </c>
      <c r="E549" s="122"/>
      <c r="F549" s="146">
        <v>0.2</v>
      </c>
      <c r="G549" s="146"/>
      <c r="H549" s="122">
        <v>8858</v>
      </c>
      <c r="I549" s="151">
        <v>8503</v>
      </c>
      <c r="J549" s="147">
        <f t="shared" si="184"/>
        <v>6802.4000000000005</v>
      </c>
      <c r="K549" s="122"/>
      <c r="L549" s="122">
        <v>0</v>
      </c>
      <c r="M549" s="122">
        <f t="shared" si="185"/>
        <v>0</v>
      </c>
      <c r="N549" s="122">
        <f t="shared" si="186"/>
        <v>0</v>
      </c>
      <c r="O549" s="122"/>
      <c r="P549" s="122">
        <v>0</v>
      </c>
      <c r="Q549" s="122">
        <f t="shared" si="187"/>
        <v>0</v>
      </c>
      <c r="R549" s="147">
        <f t="shared" si="188"/>
        <v>0</v>
      </c>
      <c r="S549" s="145">
        <v>8</v>
      </c>
      <c r="T549" s="144" t="s">
        <v>1176</v>
      </c>
      <c r="U549" s="90">
        <f>SUMIF('Avoided Costs 2009-2017'!$A:$A,Actuals!T549&amp;Actuals!S549,'Avoided Costs 2009-2017'!$E:$E)*J549</f>
        <v>13936.78078749528</v>
      </c>
      <c r="V549" s="90">
        <f>SUMIF('Avoided Costs 2009-2017'!$A:$A,Actuals!T549&amp;Actuals!S549,'Avoided Costs 2009-2017'!$K:$K)*N549</f>
        <v>0</v>
      </c>
      <c r="W549" s="90">
        <f>SUMIF('Avoided Costs 2009-2017'!$A:$A,Actuals!T549&amp;Actuals!S549,'Avoided Costs 2009-2017'!$M:$M)*R549</f>
        <v>0</v>
      </c>
      <c r="X549" s="90">
        <f t="shared" si="189"/>
        <v>13936.78078749528</v>
      </c>
      <c r="Y549" s="148">
        <v>11130</v>
      </c>
      <c r="Z549" s="149">
        <f t="shared" si="190"/>
        <v>8904</v>
      </c>
      <c r="AA549" s="148"/>
      <c r="AB549" s="145"/>
      <c r="AC549" s="145"/>
      <c r="AD549" s="148">
        <f t="shared" si="191"/>
        <v>8904</v>
      </c>
      <c r="AE549" s="122">
        <f t="shared" si="192"/>
        <v>5032.7807874952796</v>
      </c>
      <c r="AF549" s="167">
        <f t="shared" si="193"/>
        <v>54419.200000000004</v>
      </c>
    </row>
    <row r="550" spans="1:32" s="150" customFormat="1" x14ac:dyDescent="0.2">
      <c r="A550" s="144" t="s">
        <v>557</v>
      </c>
      <c r="B550" s="144"/>
      <c r="C550" s="144"/>
      <c r="D550" s="145">
        <v>1</v>
      </c>
      <c r="E550" s="122"/>
      <c r="F550" s="146">
        <v>0.2</v>
      </c>
      <c r="G550" s="146"/>
      <c r="H550" s="122">
        <v>57651</v>
      </c>
      <c r="I550" s="151">
        <v>55343</v>
      </c>
      <c r="J550" s="147">
        <f t="shared" si="184"/>
        <v>44274.400000000001</v>
      </c>
      <c r="K550" s="122"/>
      <c r="L550" s="122">
        <v>0</v>
      </c>
      <c r="M550" s="122">
        <f t="shared" si="185"/>
        <v>0</v>
      </c>
      <c r="N550" s="122">
        <f t="shared" si="186"/>
        <v>0</v>
      </c>
      <c r="O550" s="122"/>
      <c r="P550" s="122">
        <v>0</v>
      </c>
      <c r="Q550" s="122">
        <f t="shared" si="187"/>
        <v>0</v>
      </c>
      <c r="R550" s="147">
        <f t="shared" si="188"/>
        <v>0</v>
      </c>
      <c r="S550" s="145">
        <v>11</v>
      </c>
      <c r="T550" s="144" t="s">
        <v>213</v>
      </c>
      <c r="U550" s="90">
        <f>SUMIF('Avoided Costs 2009-2017'!$A:$A,Actuals!T550&amp;Actuals!S550,'Avoided Costs 2009-2017'!$E:$E)*J550</f>
        <v>123910.36563852004</v>
      </c>
      <c r="V550" s="90">
        <f>SUMIF('Avoided Costs 2009-2017'!$A:$A,Actuals!T550&amp;Actuals!S550,'Avoided Costs 2009-2017'!$K:$K)*N550</f>
        <v>0</v>
      </c>
      <c r="W550" s="90">
        <f>SUMIF('Avoided Costs 2009-2017'!$A:$A,Actuals!T550&amp;Actuals!S550,'Avoided Costs 2009-2017'!$M:$M)*R550</f>
        <v>0</v>
      </c>
      <c r="X550" s="90">
        <f t="shared" si="189"/>
        <v>123910.36563852004</v>
      </c>
      <c r="Y550" s="148">
        <v>31270</v>
      </c>
      <c r="Z550" s="149">
        <f t="shared" si="190"/>
        <v>25016</v>
      </c>
      <c r="AA550" s="148"/>
      <c r="AB550" s="145"/>
      <c r="AC550" s="145"/>
      <c r="AD550" s="148">
        <f t="shared" si="191"/>
        <v>25016</v>
      </c>
      <c r="AE550" s="122">
        <f t="shared" si="192"/>
        <v>98894.365638520045</v>
      </c>
      <c r="AF550" s="167">
        <f t="shared" si="193"/>
        <v>487018.4</v>
      </c>
    </row>
    <row r="551" spans="1:32" s="150" customFormat="1" x14ac:dyDescent="0.2">
      <c r="A551" s="144" t="s">
        <v>558</v>
      </c>
      <c r="B551" s="144"/>
      <c r="C551" s="144"/>
      <c r="D551" s="145">
        <v>1</v>
      </c>
      <c r="E551" s="122"/>
      <c r="F551" s="146">
        <v>0.2</v>
      </c>
      <c r="G551" s="146"/>
      <c r="H551" s="122">
        <v>63292</v>
      </c>
      <c r="I551" s="122">
        <f t="shared" si="183"/>
        <v>61266.655999999995</v>
      </c>
      <c r="J551" s="147">
        <f t="shared" si="184"/>
        <v>49013.324800000002</v>
      </c>
      <c r="K551" s="122"/>
      <c r="L551" s="122">
        <v>0</v>
      </c>
      <c r="M551" s="122">
        <f t="shared" si="185"/>
        <v>0</v>
      </c>
      <c r="N551" s="122">
        <f t="shared" si="186"/>
        <v>0</v>
      </c>
      <c r="O551" s="122"/>
      <c r="P551" s="122">
        <v>0</v>
      </c>
      <c r="Q551" s="122">
        <f t="shared" si="187"/>
        <v>0</v>
      </c>
      <c r="R551" s="147">
        <f t="shared" si="188"/>
        <v>0</v>
      </c>
      <c r="S551" s="145">
        <v>15</v>
      </c>
      <c r="T551" s="144" t="s">
        <v>1176</v>
      </c>
      <c r="U551" s="90">
        <f>SUMIF('Avoided Costs 2009-2017'!$A:$A,Actuals!T551&amp;Actuals!S551,'Avoided Costs 2009-2017'!$E:$E)*J551</f>
        <v>150984.95375557919</v>
      </c>
      <c r="V551" s="90">
        <f>SUMIF('Avoided Costs 2009-2017'!$A:$A,Actuals!T551&amp;Actuals!S551,'Avoided Costs 2009-2017'!$K:$K)*N551</f>
        <v>0</v>
      </c>
      <c r="W551" s="90">
        <f>SUMIF('Avoided Costs 2009-2017'!$A:$A,Actuals!T551&amp;Actuals!S551,'Avoided Costs 2009-2017'!$M:$M)*R551</f>
        <v>0</v>
      </c>
      <c r="X551" s="90">
        <f t="shared" si="189"/>
        <v>150984.95375557919</v>
      </c>
      <c r="Y551" s="148">
        <v>52900</v>
      </c>
      <c r="Z551" s="149">
        <f t="shared" si="190"/>
        <v>42320</v>
      </c>
      <c r="AA551" s="148"/>
      <c r="AB551" s="145"/>
      <c r="AC551" s="145"/>
      <c r="AD551" s="148">
        <f t="shared" si="191"/>
        <v>42320</v>
      </c>
      <c r="AE551" s="122">
        <f t="shared" si="192"/>
        <v>108664.95375557919</v>
      </c>
      <c r="AF551" s="167">
        <f t="shared" si="193"/>
        <v>735199.87199999997</v>
      </c>
    </row>
    <row r="552" spans="1:32" s="150" customFormat="1" x14ac:dyDescent="0.2">
      <c r="A552" s="144" t="s">
        <v>559</v>
      </c>
      <c r="B552" s="144"/>
      <c r="C552" s="144"/>
      <c r="D552" s="145">
        <v>1</v>
      </c>
      <c r="E552" s="122"/>
      <c r="F552" s="146">
        <v>0.2</v>
      </c>
      <c r="G552" s="146"/>
      <c r="H552" s="122">
        <v>15780</v>
      </c>
      <c r="I552" s="122">
        <f t="shared" si="183"/>
        <v>15275.039999999999</v>
      </c>
      <c r="J552" s="147">
        <f t="shared" si="184"/>
        <v>12220.031999999999</v>
      </c>
      <c r="K552" s="122"/>
      <c r="L552" s="122">
        <v>0</v>
      </c>
      <c r="M552" s="122">
        <f t="shared" si="185"/>
        <v>0</v>
      </c>
      <c r="N552" s="122">
        <f t="shared" si="186"/>
        <v>0</v>
      </c>
      <c r="O552" s="122"/>
      <c r="P552" s="122">
        <v>0</v>
      </c>
      <c r="Q552" s="122">
        <f t="shared" si="187"/>
        <v>0</v>
      </c>
      <c r="R552" s="147">
        <f t="shared" si="188"/>
        <v>0</v>
      </c>
      <c r="S552" s="145">
        <v>11</v>
      </c>
      <c r="T552" s="144" t="s">
        <v>213</v>
      </c>
      <c r="U552" s="90">
        <f>SUMIF('Avoided Costs 2009-2017'!$A:$A,Actuals!T552&amp;Actuals!S552,'Avoided Costs 2009-2017'!$E:$E)*J552</f>
        <v>34200.093806678691</v>
      </c>
      <c r="V552" s="90">
        <f>SUMIF('Avoided Costs 2009-2017'!$A:$A,Actuals!T552&amp;Actuals!S552,'Avoided Costs 2009-2017'!$K:$K)*N552</f>
        <v>0</v>
      </c>
      <c r="W552" s="90">
        <f>SUMIF('Avoided Costs 2009-2017'!$A:$A,Actuals!T552&amp;Actuals!S552,'Avoided Costs 2009-2017'!$M:$M)*R552</f>
        <v>0</v>
      </c>
      <c r="X552" s="90">
        <f t="shared" si="189"/>
        <v>34200.093806678691</v>
      </c>
      <c r="Y552" s="148">
        <v>8424</v>
      </c>
      <c r="Z552" s="149">
        <f t="shared" si="190"/>
        <v>6739.2000000000007</v>
      </c>
      <c r="AA552" s="148"/>
      <c r="AB552" s="145"/>
      <c r="AC552" s="145"/>
      <c r="AD552" s="148">
        <f t="shared" si="191"/>
        <v>6739.2000000000007</v>
      </c>
      <c r="AE552" s="122">
        <f t="shared" si="192"/>
        <v>27460.89380667869</v>
      </c>
      <c r="AF552" s="167">
        <f t="shared" si="193"/>
        <v>134420.35199999998</v>
      </c>
    </row>
    <row r="553" spans="1:32" s="150" customFormat="1" x14ac:dyDescent="0.2">
      <c r="A553" s="144" t="s">
        <v>560</v>
      </c>
      <c r="B553" s="144"/>
      <c r="C553" s="144"/>
      <c r="D553" s="145">
        <v>1</v>
      </c>
      <c r="E553" s="122"/>
      <c r="F553" s="146">
        <v>0.2</v>
      </c>
      <c r="G553" s="146"/>
      <c r="H553" s="122">
        <v>23915</v>
      </c>
      <c r="I553" s="122">
        <f t="shared" si="183"/>
        <v>23149.719999999998</v>
      </c>
      <c r="J553" s="147">
        <f t="shared" si="184"/>
        <v>18519.775999999998</v>
      </c>
      <c r="K553" s="122"/>
      <c r="L553" s="122">
        <v>147433</v>
      </c>
      <c r="M553" s="122">
        <f t="shared" si="185"/>
        <v>132542.26699999999</v>
      </c>
      <c r="N553" s="122">
        <f t="shared" si="186"/>
        <v>106033.81359999999</v>
      </c>
      <c r="O553" s="122"/>
      <c r="P553" s="122">
        <v>0</v>
      </c>
      <c r="Q553" s="122">
        <f t="shared" si="187"/>
        <v>0</v>
      </c>
      <c r="R553" s="147">
        <f t="shared" si="188"/>
        <v>0</v>
      </c>
      <c r="S553" s="145">
        <v>15</v>
      </c>
      <c r="T553" s="144" t="s">
        <v>213</v>
      </c>
      <c r="U553" s="90">
        <f>SUMIF('Avoided Costs 2009-2017'!$A:$A,Actuals!T553&amp;Actuals!S553,'Avoided Costs 2009-2017'!$E:$E)*J553</f>
        <v>62637.690062209171</v>
      </c>
      <c r="V553" s="90">
        <f>SUMIF('Avoided Costs 2009-2017'!$A:$A,Actuals!T553&amp;Actuals!S553,'Avoided Costs 2009-2017'!$K:$K)*N553</f>
        <v>79157.653650281965</v>
      </c>
      <c r="W553" s="90">
        <f>SUMIF('Avoided Costs 2009-2017'!$A:$A,Actuals!T553&amp;Actuals!S553,'Avoided Costs 2009-2017'!$M:$M)*R553</f>
        <v>0</v>
      </c>
      <c r="X553" s="90">
        <f t="shared" si="189"/>
        <v>141795.34371249113</v>
      </c>
      <c r="Y553" s="148">
        <v>25200</v>
      </c>
      <c r="Z553" s="149">
        <f t="shared" si="190"/>
        <v>20160</v>
      </c>
      <c r="AA553" s="148"/>
      <c r="AB553" s="145"/>
      <c r="AC553" s="145"/>
      <c r="AD553" s="148">
        <f t="shared" si="191"/>
        <v>20160</v>
      </c>
      <c r="AE553" s="122">
        <f t="shared" si="192"/>
        <v>121635.34371249113</v>
      </c>
      <c r="AF553" s="167">
        <f t="shared" si="193"/>
        <v>277796.63999999996</v>
      </c>
    </row>
    <row r="554" spans="1:32" s="150" customFormat="1" x14ac:dyDescent="0.2">
      <c r="A554" s="144" t="s">
        <v>561</v>
      </c>
      <c r="B554" s="144"/>
      <c r="C554" s="144"/>
      <c r="D554" s="145">
        <v>1</v>
      </c>
      <c r="E554" s="122"/>
      <c r="F554" s="146">
        <v>0.2</v>
      </c>
      <c r="G554" s="146"/>
      <c r="H554" s="122">
        <v>24721</v>
      </c>
      <c r="I554" s="122">
        <f t="shared" si="183"/>
        <v>23929.928</v>
      </c>
      <c r="J554" s="147">
        <f t="shared" si="184"/>
        <v>19143.9424</v>
      </c>
      <c r="K554" s="122"/>
      <c r="L554" s="122">
        <v>143802</v>
      </c>
      <c r="M554" s="122">
        <f t="shared" si="185"/>
        <v>129277.99800000001</v>
      </c>
      <c r="N554" s="122">
        <f t="shared" si="186"/>
        <v>103422.39840000001</v>
      </c>
      <c r="O554" s="122"/>
      <c r="P554" s="122">
        <v>0</v>
      </c>
      <c r="Q554" s="122">
        <f t="shared" si="187"/>
        <v>0</v>
      </c>
      <c r="R554" s="147">
        <f t="shared" si="188"/>
        <v>0</v>
      </c>
      <c r="S554" s="145">
        <v>15</v>
      </c>
      <c r="T554" s="144" t="s">
        <v>213</v>
      </c>
      <c r="U554" s="90">
        <f>SUMIF('Avoided Costs 2009-2017'!$A:$A,Actuals!T554&amp;Actuals!S554,'Avoided Costs 2009-2017'!$E:$E)*J554</f>
        <v>64748.749154416604</v>
      </c>
      <c r="V554" s="90">
        <f>SUMIF('Avoided Costs 2009-2017'!$A:$A,Actuals!T554&amp;Actuals!S554,'Avoided Costs 2009-2017'!$K:$K)*N554</f>
        <v>77208.148177259151</v>
      </c>
      <c r="W554" s="90">
        <f>SUMIF('Avoided Costs 2009-2017'!$A:$A,Actuals!T554&amp;Actuals!S554,'Avoided Costs 2009-2017'!$M:$M)*R554</f>
        <v>0</v>
      </c>
      <c r="X554" s="90">
        <f t="shared" si="189"/>
        <v>141956.89733167575</v>
      </c>
      <c r="Y554" s="148">
        <v>23700</v>
      </c>
      <c r="Z554" s="149">
        <f t="shared" si="190"/>
        <v>18960</v>
      </c>
      <c r="AA554" s="148"/>
      <c r="AB554" s="145"/>
      <c r="AC554" s="145"/>
      <c r="AD554" s="148">
        <f t="shared" si="191"/>
        <v>18960</v>
      </c>
      <c r="AE554" s="122">
        <f t="shared" si="192"/>
        <v>122996.89733167575</v>
      </c>
      <c r="AF554" s="167">
        <f t="shared" si="193"/>
        <v>287159.136</v>
      </c>
    </row>
    <row r="555" spans="1:32" s="150" customFormat="1" x14ac:dyDescent="0.2">
      <c r="A555" s="144" t="s">
        <v>562</v>
      </c>
      <c r="B555" s="144"/>
      <c r="C555" s="144"/>
      <c r="D555" s="145">
        <v>0</v>
      </c>
      <c r="E555" s="122"/>
      <c r="F555" s="146">
        <v>0.2</v>
      </c>
      <c r="G555" s="146"/>
      <c r="H555" s="122">
        <v>67282</v>
      </c>
      <c r="I555" s="122">
        <f t="shared" si="183"/>
        <v>65128.975999999995</v>
      </c>
      <c r="J555" s="147">
        <f t="shared" si="184"/>
        <v>52103.180800000002</v>
      </c>
      <c r="K555" s="122"/>
      <c r="L555" s="122">
        <v>33905</v>
      </c>
      <c r="M555" s="122">
        <f t="shared" si="185"/>
        <v>30480.595000000001</v>
      </c>
      <c r="N555" s="122">
        <f t="shared" si="186"/>
        <v>24384.476000000002</v>
      </c>
      <c r="O555" s="122"/>
      <c r="P555" s="122">
        <v>0</v>
      </c>
      <c r="Q555" s="122">
        <f t="shared" si="187"/>
        <v>0</v>
      </c>
      <c r="R555" s="147">
        <f t="shared" si="188"/>
        <v>0</v>
      </c>
      <c r="S555" s="145">
        <v>15</v>
      </c>
      <c r="T555" s="144" t="s">
        <v>213</v>
      </c>
      <c r="U555" s="90">
        <f>SUMIF('Avoided Costs 2009-2017'!$A:$A,Actuals!T555&amp;Actuals!S555,'Avoided Costs 2009-2017'!$E:$E)*J555</f>
        <v>176223.66977903232</v>
      </c>
      <c r="V555" s="90">
        <f>SUMIF('Avoided Costs 2009-2017'!$A:$A,Actuals!T555&amp;Actuals!S555,'Avoided Costs 2009-2017'!$K:$K)*N555</f>
        <v>18203.79594129408</v>
      </c>
      <c r="W555" s="90">
        <f>SUMIF('Avoided Costs 2009-2017'!$A:$A,Actuals!T555&amp;Actuals!S555,'Avoided Costs 2009-2017'!$M:$M)*R555</f>
        <v>0</v>
      </c>
      <c r="X555" s="90">
        <f t="shared" si="189"/>
        <v>194427.46572032641</v>
      </c>
      <c r="Y555" s="148">
        <v>31000</v>
      </c>
      <c r="Z555" s="149">
        <f t="shared" si="190"/>
        <v>24800</v>
      </c>
      <c r="AA555" s="148"/>
      <c r="AB555" s="145"/>
      <c r="AC555" s="145"/>
      <c r="AD555" s="148">
        <f t="shared" si="191"/>
        <v>24800</v>
      </c>
      <c r="AE555" s="122">
        <f t="shared" si="192"/>
        <v>169627.46572032641</v>
      </c>
      <c r="AF555" s="167">
        <f t="shared" si="193"/>
        <v>781547.71200000006</v>
      </c>
    </row>
    <row r="556" spans="1:32" s="150" customFormat="1" x14ac:dyDescent="0.2">
      <c r="A556" s="144" t="s">
        <v>563</v>
      </c>
      <c r="B556" s="144"/>
      <c r="C556" s="144"/>
      <c r="D556" s="145">
        <v>1</v>
      </c>
      <c r="E556" s="122"/>
      <c r="F556" s="146">
        <v>0.2</v>
      </c>
      <c r="G556" s="146"/>
      <c r="H556" s="122">
        <v>60085</v>
      </c>
      <c r="I556" s="122">
        <f t="shared" si="183"/>
        <v>58162.28</v>
      </c>
      <c r="J556" s="147">
        <f t="shared" si="184"/>
        <v>46529.824000000001</v>
      </c>
      <c r="K556" s="122"/>
      <c r="L556" s="122">
        <v>0</v>
      </c>
      <c r="M556" s="122">
        <f t="shared" si="185"/>
        <v>0</v>
      </c>
      <c r="N556" s="122">
        <f t="shared" si="186"/>
        <v>0</v>
      </c>
      <c r="O556" s="122"/>
      <c r="P556" s="122">
        <v>0</v>
      </c>
      <c r="Q556" s="122">
        <f t="shared" si="187"/>
        <v>0</v>
      </c>
      <c r="R556" s="147">
        <f t="shared" si="188"/>
        <v>0</v>
      </c>
      <c r="S556" s="145">
        <v>9</v>
      </c>
      <c r="T556" s="144" t="s">
        <v>1176</v>
      </c>
      <c r="U556" s="90">
        <f>SUMIF('Avoided Costs 2009-2017'!$A:$A,Actuals!T556&amp;Actuals!S556,'Avoided Costs 2009-2017'!$E:$E)*J556</f>
        <v>103655.05806167648</v>
      </c>
      <c r="V556" s="90">
        <f>SUMIF('Avoided Costs 2009-2017'!$A:$A,Actuals!T556&amp;Actuals!S556,'Avoided Costs 2009-2017'!$K:$K)*N556</f>
        <v>0</v>
      </c>
      <c r="W556" s="90">
        <f>SUMIF('Avoided Costs 2009-2017'!$A:$A,Actuals!T556&amp;Actuals!S556,'Avoided Costs 2009-2017'!$M:$M)*R556</f>
        <v>0</v>
      </c>
      <c r="X556" s="90">
        <f t="shared" si="189"/>
        <v>103655.05806167648</v>
      </c>
      <c r="Y556" s="148">
        <v>60795</v>
      </c>
      <c r="Z556" s="149">
        <f t="shared" si="190"/>
        <v>48636</v>
      </c>
      <c r="AA556" s="148"/>
      <c r="AB556" s="145"/>
      <c r="AC556" s="145"/>
      <c r="AD556" s="148">
        <f t="shared" si="191"/>
        <v>48636</v>
      </c>
      <c r="AE556" s="122">
        <f t="shared" si="192"/>
        <v>55019.058061676478</v>
      </c>
      <c r="AF556" s="167">
        <f t="shared" si="193"/>
        <v>418768.41600000003</v>
      </c>
    </row>
    <row r="557" spans="1:32" s="150" customFormat="1" x14ac:dyDescent="0.2">
      <c r="A557" s="144" t="s">
        <v>564</v>
      </c>
      <c r="B557" s="144"/>
      <c r="C557" s="144"/>
      <c r="D557" s="145">
        <v>1</v>
      </c>
      <c r="E557" s="122"/>
      <c r="F557" s="146">
        <v>0.2</v>
      </c>
      <c r="G557" s="146"/>
      <c r="H557" s="122">
        <v>52983</v>
      </c>
      <c r="I557" s="122">
        <f t="shared" si="183"/>
        <v>51287.544000000002</v>
      </c>
      <c r="J557" s="147">
        <f t="shared" si="184"/>
        <v>41030.035200000006</v>
      </c>
      <c r="K557" s="122"/>
      <c r="L557" s="122">
        <v>96351</v>
      </c>
      <c r="M557" s="122">
        <f t="shared" si="185"/>
        <v>86619.548999999999</v>
      </c>
      <c r="N557" s="122">
        <f t="shared" si="186"/>
        <v>69295.639200000005</v>
      </c>
      <c r="O557" s="122"/>
      <c r="P557" s="122">
        <v>0</v>
      </c>
      <c r="Q557" s="122">
        <f t="shared" si="187"/>
        <v>0</v>
      </c>
      <c r="R557" s="147">
        <f t="shared" si="188"/>
        <v>0</v>
      </c>
      <c r="S557" s="145">
        <v>15</v>
      </c>
      <c r="T557" s="144" t="s">
        <v>213</v>
      </c>
      <c r="U557" s="90">
        <f>SUMIF('Avoided Costs 2009-2017'!$A:$A,Actuals!T557&amp;Actuals!S557,'Avoided Costs 2009-2017'!$E:$E)*J557</f>
        <v>138772.01474246412</v>
      </c>
      <c r="V557" s="90">
        <f>SUMIF('Avoided Costs 2009-2017'!$A:$A,Actuals!T557&amp;Actuals!S557,'Avoided Costs 2009-2017'!$K:$K)*N557</f>
        <v>51731.424354508948</v>
      </c>
      <c r="W557" s="90">
        <f>SUMIF('Avoided Costs 2009-2017'!$A:$A,Actuals!T557&amp;Actuals!S557,'Avoided Costs 2009-2017'!$M:$M)*R557</f>
        <v>0</v>
      </c>
      <c r="X557" s="90">
        <f t="shared" si="189"/>
        <v>190503.43909697307</v>
      </c>
      <c r="Y557" s="148">
        <v>11700</v>
      </c>
      <c r="Z557" s="149">
        <f t="shared" si="190"/>
        <v>9360</v>
      </c>
      <c r="AA557" s="148"/>
      <c r="AB557" s="145"/>
      <c r="AC557" s="145"/>
      <c r="AD557" s="148">
        <f t="shared" si="191"/>
        <v>9360</v>
      </c>
      <c r="AE557" s="122">
        <f t="shared" si="192"/>
        <v>181143.43909697307</v>
      </c>
      <c r="AF557" s="167">
        <f t="shared" si="193"/>
        <v>615450.52800000005</v>
      </c>
    </row>
    <row r="558" spans="1:32" s="150" customFormat="1" x14ac:dyDescent="0.2">
      <c r="A558" s="144" t="s">
        <v>565</v>
      </c>
      <c r="B558" s="144"/>
      <c r="C558" s="144"/>
      <c r="D558" s="145">
        <v>1</v>
      </c>
      <c r="E558" s="122"/>
      <c r="F558" s="146">
        <v>0.2</v>
      </c>
      <c r="G558" s="146"/>
      <c r="H558" s="122">
        <v>51460</v>
      </c>
      <c r="I558" s="122">
        <f t="shared" si="183"/>
        <v>49813.279999999999</v>
      </c>
      <c r="J558" s="147">
        <f t="shared" si="184"/>
        <v>39850.624000000003</v>
      </c>
      <c r="K558" s="122"/>
      <c r="L558" s="122">
        <v>69339</v>
      </c>
      <c r="M558" s="122">
        <f t="shared" si="185"/>
        <v>62335.760999999999</v>
      </c>
      <c r="N558" s="122">
        <f t="shared" si="186"/>
        <v>49868.608800000002</v>
      </c>
      <c r="O558" s="122"/>
      <c r="P558" s="122">
        <v>0</v>
      </c>
      <c r="Q558" s="122">
        <f t="shared" si="187"/>
        <v>0</v>
      </c>
      <c r="R558" s="147">
        <f t="shared" si="188"/>
        <v>0</v>
      </c>
      <c r="S558" s="145">
        <v>15</v>
      </c>
      <c r="T558" s="144" t="s">
        <v>213</v>
      </c>
      <c r="U558" s="90">
        <f>SUMIF('Avoided Costs 2009-2017'!$A:$A,Actuals!T558&amp;Actuals!S558,'Avoided Costs 2009-2017'!$E:$E)*J558</f>
        <v>134783.00357939722</v>
      </c>
      <c r="V558" s="90">
        <f>SUMIF('Avoided Costs 2009-2017'!$A:$A,Actuals!T558&amp;Actuals!S558,'Avoided Costs 2009-2017'!$K:$K)*N558</f>
        <v>37228.521066904294</v>
      </c>
      <c r="W558" s="90">
        <f>SUMIF('Avoided Costs 2009-2017'!$A:$A,Actuals!T558&amp;Actuals!S558,'Avoided Costs 2009-2017'!$M:$M)*R558</f>
        <v>0</v>
      </c>
      <c r="X558" s="90">
        <f t="shared" si="189"/>
        <v>172011.52464630152</v>
      </c>
      <c r="Y558" s="148">
        <v>39500</v>
      </c>
      <c r="Z558" s="149">
        <f t="shared" si="190"/>
        <v>31600</v>
      </c>
      <c r="AA558" s="148"/>
      <c r="AB558" s="145"/>
      <c r="AC558" s="145"/>
      <c r="AD558" s="148">
        <f t="shared" si="191"/>
        <v>31600</v>
      </c>
      <c r="AE558" s="122">
        <f t="shared" si="192"/>
        <v>140411.52464630152</v>
      </c>
      <c r="AF558" s="167">
        <f t="shared" si="193"/>
        <v>597759.3600000001</v>
      </c>
    </row>
    <row r="559" spans="1:32" s="150" customFormat="1" x14ac:dyDescent="0.2">
      <c r="A559" s="144" t="s">
        <v>566</v>
      </c>
      <c r="B559" s="144"/>
      <c r="C559" s="144"/>
      <c r="D559" s="145">
        <v>1</v>
      </c>
      <c r="E559" s="122"/>
      <c r="F559" s="146">
        <v>0.2</v>
      </c>
      <c r="G559" s="146"/>
      <c r="H559" s="122">
        <v>25936</v>
      </c>
      <c r="I559" s="122">
        <f t="shared" si="183"/>
        <v>25106.047999999999</v>
      </c>
      <c r="J559" s="147">
        <f t="shared" si="184"/>
        <v>20084.838400000001</v>
      </c>
      <c r="K559" s="122"/>
      <c r="L559" s="122">
        <v>0</v>
      </c>
      <c r="M559" s="122">
        <f t="shared" si="185"/>
        <v>0</v>
      </c>
      <c r="N559" s="122">
        <f t="shared" si="186"/>
        <v>0</v>
      </c>
      <c r="O559" s="122"/>
      <c r="P559" s="122">
        <v>0</v>
      </c>
      <c r="Q559" s="122">
        <f t="shared" si="187"/>
        <v>0</v>
      </c>
      <c r="R559" s="147">
        <f t="shared" si="188"/>
        <v>0</v>
      </c>
      <c r="S559" s="145">
        <v>15</v>
      </c>
      <c r="T559" s="144" t="s">
        <v>213</v>
      </c>
      <c r="U559" s="90">
        <f>SUMIF('Avoided Costs 2009-2017'!$A:$A,Actuals!T559&amp;Actuals!S559,'Avoided Costs 2009-2017'!$E:$E)*J559</f>
        <v>67931.052872818618</v>
      </c>
      <c r="V559" s="90">
        <f>SUMIF('Avoided Costs 2009-2017'!$A:$A,Actuals!T559&amp;Actuals!S559,'Avoided Costs 2009-2017'!$K:$K)*N559</f>
        <v>0</v>
      </c>
      <c r="W559" s="90">
        <f>SUMIF('Avoided Costs 2009-2017'!$A:$A,Actuals!T559&amp;Actuals!S559,'Avoided Costs 2009-2017'!$M:$M)*R559</f>
        <v>0</v>
      </c>
      <c r="X559" s="90">
        <f t="shared" si="189"/>
        <v>67931.052872818618</v>
      </c>
      <c r="Y559" s="148">
        <v>13547</v>
      </c>
      <c r="Z559" s="149">
        <f t="shared" si="190"/>
        <v>10837.6</v>
      </c>
      <c r="AA559" s="148"/>
      <c r="AB559" s="145"/>
      <c r="AC559" s="145"/>
      <c r="AD559" s="148">
        <f t="shared" si="191"/>
        <v>10837.6</v>
      </c>
      <c r="AE559" s="122">
        <f t="shared" si="192"/>
        <v>57093.45287281862</v>
      </c>
      <c r="AF559" s="167">
        <f t="shared" si="193"/>
        <v>301272.576</v>
      </c>
    </row>
    <row r="560" spans="1:32" s="150" customFormat="1" x14ac:dyDescent="0.2">
      <c r="A560" s="144" t="s">
        <v>567</v>
      </c>
      <c r="B560" s="144"/>
      <c r="C560" s="144"/>
      <c r="D560" s="145">
        <v>0</v>
      </c>
      <c r="E560" s="122"/>
      <c r="F560" s="146">
        <v>0.2</v>
      </c>
      <c r="G560" s="146"/>
      <c r="H560" s="122">
        <v>102589</v>
      </c>
      <c r="I560" s="122">
        <f t="shared" ref="I560:I623" si="194">+$H$68*H560</f>
        <v>99306.152000000002</v>
      </c>
      <c r="J560" s="147">
        <f t="shared" ref="J560:J623" si="195">I560*(1-F560)</f>
        <v>79444.921600000001</v>
      </c>
      <c r="K560" s="122"/>
      <c r="L560" s="122">
        <v>55886</v>
      </c>
      <c r="M560" s="122">
        <f t="shared" ref="M560:M623" si="196">+$L$68*L560</f>
        <v>50241.514000000003</v>
      </c>
      <c r="N560" s="122">
        <f t="shared" ref="N560:N623" si="197">M560*(1-F560)</f>
        <v>40193.211200000005</v>
      </c>
      <c r="O560" s="122"/>
      <c r="P560" s="122">
        <v>0</v>
      </c>
      <c r="Q560" s="122">
        <f t="shared" ref="Q560:Q623" si="198">+P560*$P$68</f>
        <v>0</v>
      </c>
      <c r="R560" s="147">
        <f t="shared" ref="R560:R623" si="199">Q560*(1-F560)</f>
        <v>0</v>
      </c>
      <c r="S560" s="145">
        <v>15</v>
      </c>
      <c r="T560" s="144" t="s">
        <v>213</v>
      </c>
      <c r="U560" s="90">
        <f>SUMIF('Avoided Costs 2009-2017'!$A:$A,Actuals!T560&amp;Actuals!S560,'Avoided Costs 2009-2017'!$E:$E)*J560</f>
        <v>268699.05857378122</v>
      </c>
      <c r="V560" s="90">
        <f>SUMIF('Avoided Costs 2009-2017'!$A:$A,Actuals!T560&amp;Actuals!S560,'Avoided Costs 2009-2017'!$K:$K)*N560</f>
        <v>30005.525437993248</v>
      </c>
      <c r="W560" s="90">
        <f>SUMIF('Avoided Costs 2009-2017'!$A:$A,Actuals!T560&amp;Actuals!S560,'Avoided Costs 2009-2017'!$M:$M)*R560</f>
        <v>0</v>
      </c>
      <c r="X560" s="90">
        <f t="shared" ref="X560:X623" si="200">SUM(U560:W560)</f>
        <v>298704.58401177445</v>
      </c>
      <c r="Y560" s="148">
        <v>27600</v>
      </c>
      <c r="Z560" s="149">
        <f t="shared" ref="Z560:Z623" si="201">Y560*(1-F560)</f>
        <v>22080</v>
      </c>
      <c r="AA560" s="148"/>
      <c r="AB560" s="145"/>
      <c r="AC560" s="145"/>
      <c r="AD560" s="148">
        <f t="shared" ref="AD560:AD623" si="202">Z560+AB560</f>
        <v>22080</v>
      </c>
      <c r="AE560" s="122">
        <f t="shared" ref="AE560:AE623" si="203">X560-AD560</f>
        <v>276624.58401177445</v>
      </c>
      <c r="AF560" s="167">
        <f t="shared" ref="AF560:AF623" si="204">J560*S560</f>
        <v>1191673.824</v>
      </c>
    </row>
    <row r="561" spans="1:32" s="150" customFormat="1" x14ac:dyDescent="0.2">
      <c r="A561" s="144" t="s">
        <v>568</v>
      </c>
      <c r="B561" s="144"/>
      <c r="C561" s="144"/>
      <c r="D561" s="145">
        <v>1</v>
      </c>
      <c r="E561" s="122"/>
      <c r="F561" s="146">
        <v>0.2</v>
      </c>
      <c r="G561" s="146"/>
      <c r="H561" s="122">
        <v>119882</v>
      </c>
      <c r="I561" s="122">
        <f t="shared" si="194"/>
        <v>116045.776</v>
      </c>
      <c r="J561" s="147">
        <f t="shared" si="195"/>
        <v>92836.620800000004</v>
      </c>
      <c r="K561" s="122"/>
      <c r="L561" s="122">
        <v>0</v>
      </c>
      <c r="M561" s="122">
        <f t="shared" si="196"/>
        <v>0</v>
      </c>
      <c r="N561" s="122">
        <f t="shared" si="197"/>
        <v>0</v>
      </c>
      <c r="O561" s="122"/>
      <c r="P561" s="122">
        <v>0</v>
      </c>
      <c r="Q561" s="122">
        <f t="shared" si="198"/>
        <v>0</v>
      </c>
      <c r="R561" s="147">
        <f t="shared" si="199"/>
        <v>0</v>
      </c>
      <c r="S561" s="145">
        <v>11</v>
      </c>
      <c r="T561" s="144" t="s">
        <v>213</v>
      </c>
      <c r="U561" s="90">
        <f>SUMIF('Avoided Costs 2009-2017'!$A:$A,Actuals!T561&amp;Actuals!S561,'Avoided Costs 2009-2017'!$E:$E)*J561</f>
        <v>259821.01683981341</v>
      </c>
      <c r="V561" s="90">
        <f>SUMIF('Avoided Costs 2009-2017'!$A:$A,Actuals!T561&amp;Actuals!S561,'Avoided Costs 2009-2017'!$K:$K)*N561</f>
        <v>0</v>
      </c>
      <c r="W561" s="90">
        <f>SUMIF('Avoided Costs 2009-2017'!$A:$A,Actuals!T561&amp;Actuals!S561,'Avoided Costs 2009-2017'!$M:$M)*R561</f>
        <v>0</v>
      </c>
      <c r="X561" s="90">
        <f t="shared" si="200"/>
        <v>259821.01683981341</v>
      </c>
      <c r="Y561" s="148">
        <v>135033</v>
      </c>
      <c r="Z561" s="149">
        <f t="shared" si="201"/>
        <v>108026.40000000001</v>
      </c>
      <c r="AA561" s="148"/>
      <c r="AB561" s="145"/>
      <c r="AC561" s="145"/>
      <c r="AD561" s="148">
        <f t="shared" si="202"/>
        <v>108026.40000000001</v>
      </c>
      <c r="AE561" s="122">
        <f t="shared" si="203"/>
        <v>151794.61683981342</v>
      </c>
      <c r="AF561" s="167">
        <f t="shared" si="204"/>
        <v>1021202.8288</v>
      </c>
    </row>
    <row r="562" spans="1:32" s="150" customFormat="1" x14ac:dyDescent="0.2">
      <c r="A562" s="144" t="s">
        <v>569</v>
      </c>
      <c r="B562" s="144"/>
      <c r="C562" s="144"/>
      <c r="D562" s="145">
        <v>0</v>
      </c>
      <c r="E562" s="122"/>
      <c r="F562" s="146">
        <v>0.2</v>
      </c>
      <c r="G562" s="146"/>
      <c r="H562" s="122">
        <v>67595</v>
      </c>
      <c r="I562" s="122">
        <f t="shared" si="194"/>
        <v>65431.96</v>
      </c>
      <c r="J562" s="147">
        <f t="shared" si="195"/>
        <v>52345.567999999999</v>
      </c>
      <c r="K562" s="122"/>
      <c r="L562" s="122">
        <v>36277</v>
      </c>
      <c r="M562" s="122">
        <f t="shared" si="196"/>
        <v>32613.023000000001</v>
      </c>
      <c r="N562" s="122">
        <f t="shared" si="197"/>
        <v>26090.418400000002</v>
      </c>
      <c r="O562" s="122"/>
      <c r="P562" s="122">
        <v>0</v>
      </c>
      <c r="Q562" s="122">
        <f t="shared" si="198"/>
        <v>0</v>
      </c>
      <c r="R562" s="147">
        <f t="shared" si="199"/>
        <v>0</v>
      </c>
      <c r="S562" s="145">
        <v>15</v>
      </c>
      <c r="T562" s="144" t="s">
        <v>213</v>
      </c>
      <c r="U562" s="90">
        <f>SUMIF('Avoided Costs 2009-2017'!$A:$A,Actuals!T562&amp;Actuals!S562,'Avoided Costs 2009-2017'!$E:$E)*J562</f>
        <v>177043.47312377291</v>
      </c>
      <c r="V562" s="90">
        <f>SUMIF('Avoided Costs 2009-2017'!$A:$A,Actuals!T562&amp;Actuals!S562,'Avoided Costs 2009-2017'!$K:$K)*N562</f>
        <v>19477.336834163852</v>
      </c>
      <c r="W562" s="90">
        <f>SUMIF('Avoided Costs 2009-2017'!$A:$A,Actuals!T562&amp;Actuals!S562,'Avoided Costs 2009-2017'!$M:$M)*R562</f>
        <v>0</v>
      </c>
      <c r="X562" s="90">
        <f t="shared" si="200"/>
        <v>196520.80995793676</v>
      </c>
      <c r="Y562" s="148">
        <v>31000</v>
      </c>
      <c r="Z562" s="149">
        <f t="shared" si="201"/>
        <v>24800</v>
      </c>
      <c r="AA562" s="148"/>
      <c r="AB562" s="145"/>
      <c r="AC562" s="145"/>
      <c r="AD562" s="148">
        <f t="shared" si="202"/>
        <v>24800</v>
      </c>
      <c r="AE562" s="122">
        <f t="shared" si="203"/>
        <v>171720.80995793676</v>
      </c>
      <c r="AF562" s="167">
        <f t="shared" si="204"/>
        <v>785183.52</v>
      </c>
    </row>
    <row r="563" spans="1:32" s="150" customFormat="1" x14ac:dyDescent="0.2">
      <c r="A563" s="144" t="s">
        <v>570</v>
      </c>
      <c r="B563" s="144"/>
      <c r="C563" s="144"/>
      <c r="D563" s="145">
        <v>1</v>
      </c>
      <c r="E563" s="122"/>
      <c r="F563" s="146">
        <v>0.2</v>
      </c>
      <c r="G563" s="146"/>
      <c r="H563" s="122">
        <v>55800</v>
      </c>
      <c r="I563" s="122">
        <f t="shared" si="194"/>
        <v>54014.400000000001</v>
      </c>
      <c r="J563" s="147">
        <f t="shared" si="195"/>
        <v>43211.520000000004</v>
      </c>
      <c r="K563" s="122"/>
      <c r="L563" s="122">
        <v>0</v>
      </c>
      <c r="M563" s="122">
        <f t="shared" si="196"/>
        <v>0</v>
      </c>
      <c r="N563" s="122">
        <f t="shared" si="197"/>
        <v>0</v>
      </c>
      <c r="O563" s="122"/>
      <c r="P563" s="122">
        <v>0</v>
      </c>
      <c r="Q563" s="122">
        <f t="shared" si="198"/>
        <v>0</v>
      </c>
      <c r="R563" s="147">
        <f t="shared" si="199"/>
        <v>0</v>
      </c>
      <c r="S563" s="145">
        <v>9</v>
      </c>
      <c r="T563" s="144" t="s">
        <v>1176</v>
      </c>
      <c r="U563" s="90">
        <f>SUMIF('Avoided Costs 2009-2017'!$A:$A,Actuals!T563&amp;Actuals!S563,'Avoided Costs 2009-2017'!$E:$E)*J563</f>
        <v>96262.831652518071</v>
      </c>
      <c r="V563" s="90">
        <f>SUMIF('Avoided Costs 2009-2017'!$A:$A,Actuals!T563&amp;Actuals!S563,'Avoided Costs 2009-2017'!$K:$K)*N563</f>
        <v>0</v>
      </c>
      <c r="W563" s="90">
        <f>SUMIF('Avoided Costs 2009-2017'!$A:$A,Actuals!T563&amp;Actuals!S563,'Avoided Costs 2009-2017'!$M:$M)*R563</f>
        <v>0</v>
      </c>
      <c r="X563" s="90">
        <f t="shared" si="200"/>
        <v>96262.831652518071</v>
      </c>
      <c r="Y563" s="148">
        <v>60795</v>
      </c>
      <c r="Z563" s="149">
        <f t="shared" si="201"/>
        <v>48636</v>
      </c>
      <c r="AA563" s="148"/>
      <c r="AB563" s="145"/>
      <c r="AC563" s="145"/>
      <c r="AD563" s="148">
        <f t="shared" si="202"/>
        <v>48636</v>
      </c>
      <c r="AE563" s="122">
        <f t="shared" si="203"/>
        <v>47626.831652518071</v>
      </c>
      <c r="AF563" s="167">
        <f t="shared" si="204"/>
        <v>388903.68000000005</v>
      </c>
    </row>
    <row r="564" spans="1:32" s="150" customFormat="1" x14ac:dyDescent="0.2">
      <c r="A564" s="144" t="s">
        <v>571</v>
      </c>
      <c r="B564" s="144"/>
      <c r="C564" s="144"/>
      <c r="D564" s="145">
        <v>1</v>
      </c>
      <c r="E564" s="122"/>
      <c r="F564" s="146">
        <v>0.2</v>
      </c>
      <c r="G564" s="146"/>
      <c r="H564" s="122">
        <v>80771</v>
      </c>
      <c r="I564" s="122">
        <f t="shared" si="194"/>
        <v>78186.327999999994</v>
      </c>
      <c r="J564" s="147">
        <f t="shared" si="195"/>
        <v>62549.062399999995</v>
      </c>
      <c r="K564" s="122"/>
      <c r="L564" s="122">
        <v>108780</v>
      </c>
      <c r="M564" s="122">
        <f t="shared" si="196"/>
        <v>97793.22</v>
      </c>
      <c r="N564" s="122">
        <f t="shared" si="197"/>
        <v>78234.576000000001</v>
      </c>
      <c r="O564" s="122"/>
      <c r="P564" s="122">
        <v>0</v>
      </c>
      <c r="Q564" s="122">
        <f t="shared" si="198"/>
        <v>0</v>
      </c>
      <c r="R564" s="147">
        <f t="shared" si="199"/>
        <v>0</v>
      </c>
      <c r="S564" s="145">
        <v>15</v>
      </c>
      <c r="T564" s="144" t="s">
        <v>213</v>
      </c>
      <c r="U564" s="90">
        <f>SUMIF('Avoided Costs 2009-2017'!$A:$A,Actuals!T564&amp;Actuals!S564,'Avoided Costs 2009-2017'!$E:$E)*J564</f>
        <v>211553.78900333252</v>
      </c>
      <c r="V564" s="90">
        <f>SUMIF('Avoided Costs 2009-2017'!$A:$A,Actuals!T564&amp;Actuals!S564,'Avoided Costs 2009-2017'!$K:$K)*N564</f>
        <v>58404.628299482967</v>
      </c>
      <c r="W564" s="90">
        <f>SUMIF('Avoided Costs 2009-2017'!$A:$A,Actuals!T564&amp;Actuals!S564,'Avoided Costs 2009-2017'!$M:$M)*R564</f>
        <v>0</v>
      </c>
      <c r="X564" s="90">
        <f t="shared" si="200"/>
        <v>269958.41730281548</v>
      </c>
      <c r="Y564" s="148">
        <v>13060</v>
      </c>
      <c r="Z564" s="149">
        <f t="shared" si="201"/>
        <v>10448</v>
      </c>
      <c r="AA564" s="148"/>
      <c r="AB564" s="145"/>
      <c r="AC564" s="145"/>
      <c r="AD564" s="148">
        <f t="shared" si="202"/>
        <v>10448</v>
      </c>
      <c r="AE564" s="122">
        <f t="shared" si="203"/>
        <v>259510.41730281548</v>
      </c>
      <c r="AF564" s="167">
        <f t="shared" si="204"/>
        <v>938235.93599999999</v>
      </c>
    </row>
    <row r="565" spans="1:32" s="150" customFormat="1" x14ac:dyDescent="0.2">
      <c r="A565" s="144" t="s">
        <v>572</v>
      </c>
      <c r="B565" s="144"/>
      <c r="C565" s="144"/>
      <c r="D565" s="145">
        <v>0</v>
      </c>
      <c r="E565" s="122"/>
      <c r="F565" s="146">
        <v>0.2</v>
      </c>
      <c r="G565" s="146"/>
      <c r="H565" s="122">
        <v>60402</v>
      </c>
      <c r="I565" s="122">
        <f t="shared" si="194"/>
        <v>58469.135999999999</v>
      </c>
      <c r="J565" s="147">
        <f t="shared" si="195"/>
        <v>46775.308799999999</v>
      </c>
      <c r="K565" s="122"/>
      <c r="L565" s="122">
        <v>51668</v>
      </c>
      <c r="M565" s="122">
        <f t="shared" si="196"/>
        <v>46449.531999999999</v>
      </c>
      <c r="N565" s="122">
        <f t="shared" si="197"/>
        <v>37159.625599999999</v>
      </c>
      <c r="O565" s="122"/>
      <c r="P565" s="122">
        <v>0</v>
      </c>
      <c r="Q565" s="122">
        <f t="shared" si="198"/>
        <v>0</v>
      </c>
      <c r="R565" s="147">
        <f t="shared" si="199"/>
        <v>0</v>
      </c>
      <c r="S565" s="145">
        <v>15</v>
      </c>
      <c r="T565" s="144" t="s">
        <v>213</v>
      </c>
      <c r="U565" s="90">
        <f>SUMIF('Avoided Costs 2009-2017'!$A:$A,Actuals!T565&amp;Actuals!S565,'Avoided Costs 2009-2017'!$E:$E)*J565</f>
        <v>158203.71127482996</v>
      </c>
      <c r="V565" s="90">
        <f>SUMIF('Avoided Costs 2009-2017'!$A:$A,Actuals!T565&amp;Actuals!S565,'Avoided Costs 2009-2017'!$K:$K)*N565</f>
        <v>27740.856177401045</v>
      </c>
      <c r="W565" s="90">
        <f>SUMIF('Avoided Costs 2009-2017'!$A:$A,Actuals!T565&amp;Actuals!S565,'Avoided Costs 2009-2017'!$M:$M)*R565</f>
        <v>0</v>
      </c>
      <c r="X565" s="90">
        <f t="shared" si="200"/>
        <v>185944.56745223101</v>
      </c>
      <c r="Y565" s="148">
        <v>71909</v>
      </c>
      <c r="Z565" s="149">
        <f t="shared" si="201"/>
        <v>57527.200000000004</v>
      </c>
      <c r="AA565" s="148"/>
      <c r="AB565" s="145"/>
      <c r="AC565" s="145"/>
      <c r="AD565" s="148">
        <f t="shared" si="202"/>
        <v>57527.200000000004</v>
      </c>
      <c r="AE565" s="122">
        <f t="shared" si="203"/>
        <v>128417.367452231</v>
      </c>
      <c r="AF565" s="167">
        <f t="shared" si="204"/>
        <v>701629.63199999998</v>
      </c>
    </row>
    <row r="566" spans="1:32" s="150" customFormat="1" x14ac:dyDescent="0.2">
      <c r="A566" s="144" t="s">
        <v>573</v>
      </c>
      <c r="B566" s="144"/>
      <c r="C566" s="144"/>
      <c r="D566" s="145">
        <v>1</v>
      </c>
      <c r="E566" s="122"/>
      <c r="F566" s="146">
        <v>0.2</v>
      </c>
      <c r="G566" s="146"/>
      <c r="H566" s="122">
        <v>98342</v>
      </c>
      <c r="I566" s="122">
        <f t="shared" si="194"/>
        <v>95195.055999999997</v>
      </c>
      <c r="J566" s="147">
        <f t="shared" si="195"/>
        <v>76156.044800000003</v>
      </c>
      <c r="K566" s="122"/>
      <c r="L566" s="122">
        <v>0</v>
      </c>
      <c r="M566" s="122">
        <f t="shared" si="196"/>
        <v>0</v>
      </c>
      <c r="N566" s="122">
        <f t="shared" si="197"/>
        <v>0</v>
      </c>
      <c r="O566" s="122"/>
      <c r="P566" s="122">
        <v>0</v>
      </c>
      <c r="Q566" s="122">
        <f t="shared" si="198"/>
        <v>0</v>
      </c>
      <c r="R566" s="147">
        <f t="shared" si="199"/>
        <v>0</v>
      </c>
      <c r="S566" s="145">
        <v>11</v>
      </c>
      <c r="T566" s="144" t="s">
        <v>213</v>
      </c>
      <c r="U566" s="90">
        <f>SUMIF('Avoided Costs 2009-2017'!$A:$A,Actuals!T566&amp;Actuals!S566,'Avoided Costs 2009-2017'!$E:$E)*J566</f>
        <v>213137.23860179953</v>
      </c>
      <c r="V566" s="90">
        <f>SUMIF('Avoided Costs 2009-2017'!$A:$A,Actuals!T566&amp;Actuals!S566,'Avoided Costs 2009-2017'!$K:$K)*N566</f>
        <v>0</v>
      </c>
      <c r="W566" s="90">
        <f>SUMIF('Avoided Costs 2009-2017'!$A:$A,Actuals!T566&amp;Actuals!S566,'Avoided Costs 2009-2017'!$M:$M)*R566</f>
        <v>0</v>
      </c>
      <c r="X566" s="90">
        <f t="shared" si="200"/>
        <v>213137.23860179953</v>
      </c>
      <c r="Y566" s="148">
        <v>137418</v>
      </c>
      <c r="Z566" s="149">
        <f t="shared" si="201"/>
        <v>109934.40000000001</v>
      </c>
      <c r="AA566" s="148"/>
      <c r="AB566" s="145"/>
      <c r="AC566" s="145"/>
      <c r="AD566" s="148">
        <f t="shared" si="202"/>
        <v>109934.40000000001</v>
      </c>
      <c r="AE566" s="122">
        <f t="shared" si="203"/>
        <v>103202.83860179952</v>
      </c>
      <c r="AF566" s="167">
        <f t="shared" si="204"/>
        <v>837716.49280000001</v>
      </c>
    </row>
    <row r="567" spans="1:32" s="150" customFormat="1" x14ac:dyDescent="0.2">
      <c r="A567" s="144" t="s">
        <v>574</v>
      </c>
      <c r="B567" s="144"/>
      <c r="C567" s="144"/>
      <c r="D567" s="145">
        <v>1</v>
      </c>
      <c r="E567" s="122"/>
      <c r="F567" s="146">
        <v>0.2</v>
      </c>
      <c r="G567" s="146"/>
      <c r="H567" s="122">
        <v>170148</v>
      </c>
      <c r="I567" s="122">
        <f t="shared" si="194"/>
        <v>164703.264</v>
      </c>
      <c r="J567" s="147">
        <f t="shared" si="195"/>
        <v>131762.61120000001</v>
      </c>
      <c r="K567" s="122"/>
      <c r="L567" s="122">
        <v>0</v>
      </c>
      <c r="M567" s="122">
        <f t="shared" si="196"/>
        <v>0</v>
      </c>
      <c r="N567" s="122">
        <f t="shared" si="197"/>
        <v>0</v>
      </c>
      <c r="O567" s="122"/>
      <c r="P567" s="122">
        <v>0</v>
      </c>
      <c r="Q567" s="122">
        <f t="shared" si="198"/>
        <v>0</v>
      </c>
      <c r="R567" s="147">
        <f t="shared" si="199"/>
        <v>0</v>
      </c>
      <c r="S567" s="145">
        <v>11</v>
      </c>
      <c r="T567" s="144" t="s">
        <v>213</v>
      </c>
      <c r="U567" s="90">
        <f>SUMIF('Avoided Costs 2009-2017'!$A:$A,Actuals!T567&amp;Actuals!S567,'Avoided Costs 2009-2017'!$E:$E)*J567</f>
        <v>368762.83656646183</v>
      </c>
      <c r="V567" s="90">
        <f>SUMIF('Avoided Costs 2009-2017'!$A:$A,Actuals!T567&amp;Actuals!S567,'Avoided Costs 2009-2017'!$K:$K)*N567</f>
        <v>0</v>
      </c>
      <c r="W567" s="90">
        <f>SUMIF('Avoided Costs 2009-2017'!$A:$A,Actuals!T567&amp;Actuals!S567,'Avoided Costs 2009-2017'!$M:$M)*R567</f>
        <v>0</v>
      </c>
      <c r="X567" s="90">
        <f t="shared" si="200"/>
        <v>368762.83656646183</v>
      </c>
      <c r="Y567" s="148">
        <v>119250</v>
      </c>
      <c r="Z567" s="149">
        <f t="shared" si="201"/>
        <v>95400</v>
      </c>
      <c r="AA567" s="148"/>
      <c r="AB567" s="145"/>
      <c r="AC567" s="145"/>
      <c r="AD567" s="148">
        <f t="shared" si="202"/>
        <v>95400</v>
      </c>
      <c r="AE567" s="122">
        <f t="shared" si="203"/>
        <v>273362.83656646183</v>
      </c>
      <c r="AF567" s="167">
        <f t="shared" si="204"/>
        <v>1449388.7232000001</v>
      </c>
    </row>
    <row r="568" spans="1:32" s="150" customFormat="1" x14ac:dyDescent="0.2">
      <c r="A568" s="144" t="s">
        <v>575</v>
      </c>
      <c r="B568" s="144"/>
      <c r="C568" s="144"/>
      <c r="D568" s="145">
        <v>0</v>
      </c>
      <c r="E568" s="122"/>
      <c r="F568" s="146">
        <v>0.2</v>
      </c>
      <c r="G568" s="146"/>
      <c r="H568" s="122">
        <v>44372</v>
      </c>
      <c r="I568" s="122">
        <f t="shared" si="194"/>
        <v>42952.095999999998</v>
      </c>
      <c r="J568" s="147">
        <f t="shared" si="195"/>
        <v>34361.676800000001</v>
      </c>
      <c r="K568" s="122"/>
      <c r="L568" s="122">
        <v>0</v>
      </c>
      <c r="M568" s="122">
        <f t="shared" si="196"/>
        <v>0</v>
      </c>
      <c r="N568" s="122">
        <f t="shared" si="197"/>
        <v>0</v>
      </c>
      <c r="O568" s="122"/>
      <c r="P568" s="122">
        <v>0</v>
      </c>
      <c r="Q568" s="122">
        <f t="shared" si="198"/>
        <v>0</v>
      </c>
      <c r="R568" s="147">
        <f t="shared" si="199"/>
        <v>0</v>
      </c>
      <c r="S568" s="145">
        <v>8</v>
      </c>
      <c r="T568" s="144" t="s">
        <v>1176</v>
      </c>
      <c r="U568" s="90">
        <f>SUMIF('Avoided Costs 2009-2017'!$A:$A,Actuals!T568&amp;Actuals!S568,'Avoided Costs 2009-2017'!$E:$E)*J568</f>
        <v>70400.322981941994</v>
      </c>
      <c r="V568" s="90">
        <f>SUMIF('Avoided Costs 2009-2017'!$A:$A,Actuals!T568&amp;Actuals!S568,'Avoided Costs 2009-2017'!$K:$K)*N568</f>
        <v>0</v>
      </c>
      <c r="W568" s="90">
        <f>SUMIF('Avoided Costs 2009-2017'!$A:$A,Actuals!T568&amp;Actuals!S568,'Avoided Costs 2009-2017'!$M:$M)*R568</f>
        <v>0</v>
      </c>
      <c r="X568" s="90">
        <f t="shared" si="200"/>
        <v>70400.322981941994</v>
      </c>
      <c r="Y568" s="148">
        <v>31997</v>
      </c>
      <c r="Z568" s="149">
        <f t="shared" si="201"/>
        <v>25597.600000000002</v>
      </c>
      <c r="AA568" s="148"/>
      <c r="AB568" s="145"/>
      <c r="AC568" s="145"/>
      <c r="AD568" s="148">
        <f t="shared" si="202"/>
        <v>25597.600000000002</v>
      </c>
      <c r="AE568" s="122">
        <f t="shared" si="203"/>
        <v>44802.722981941988</v>
      </c>
      <c r="AF568" s="167">
        <f t="shared" si="204"/>
        <v>274893.41440000001</v>
      </c>
    </row>
    <row r="569" spans="1:32" s="150" customFormat="1" x14ac:dyDescent="0.2">
      <c r="A569" s="144" t="s">
        <v>576</v>
      </c>
      <c r="B569" s="144"/>
      <c r="C569" s="144"/>
      <c r="D569" s="145">
        <v>0</v>
      </c>
      <c r="E569" s="122"/>
      <c r="F569" s="146">
        <v>0.2</v>
      </c>
      <c r="G569" s="146"/>
      <c r="H569" s="122">
        <v>67839</v>
      </c>
      <c r="I569" s="122">
        <f t="shared" si="194"/>
        <v>65668.152000000002</v>
      </c>
      <c r="J569" s="147">
        <f t="shared" si="195"/>
        <v>52534.521600000007</v>
      </c>
      <c r="K569" s="122"/>
      <c r="L569" s="122">
        <v>80715</v>
      </c>
      <c r="M569" s="122">
        <f t="shared" si="196"/>
        <v>72562.785000000003</v>
      </c>
      <c r="N569" s="122">
        <f t="shared" si="197"/>
        <v>58050.228000000003</v>
      </c>
      <c r="O569" s="122"/>
      <c r="P569" s="122">
        <v>0</v>
      </c>
      <c r="Q569" s="122">
        <f t="shared" si="198"/>
        <v>0</v>
      </c>
      <c r="R569" s="147">
        <f t="shared" si="199"/>
        <v>0</v>
      </c>
      <c r="S569" s="145">
        <v>15</v>
      </c>
      <c r="T569" s="144" t="s">
        <v>213</v>
      </c>
      <c r="U569" s="90">
        <f>SUMIF('Avoided Costs 2009-2017'!$A:$A,Actuals!T569&amp;Actuals!S569,'Avoided Costs 2009-2017'!$E:$E)*J569</f>
        <v>177682.55304746851</v>
      </c>
      <c r="V569" s="90">
        <f>SUMIF('Avoided Costs 2009-2017'!$A:$A,Actuals!T569&amp;Actuals!S569,'Avoided Costs 2009-2017'!$K:$K)*N569</f>
        <v>43336.363055642287</v>
      </c>
      <c r="W569" s="90">
        <f>SUMIF('Avoided Costs 2009-2017'!$A:$A,Actuals!T569&amp;Actuals!S569,'Avoided Costs 2009-2017'!$M:$M)*R569</f>
        <v>0</v>
      </c>
      <c r="X569" s="90">
        <f t="shared" si="200"/>
        <v>221018.91610311079</v>
      </c>
      <c r="Y569" s="148">
        <v>59917</v>
      </c>
      <c r="Z569" s="149">
        <f t="shared" si="201"/>
        <v>47933.600000000006</v>
      </c>
      <c r="AA569" s="148"/>
      <c r="AB569" s="145"/>
      <c r="AC569" s="145"/>
      <c r="AD569" s="148">
        <f t="shared" si="202"/>
        <v>47933.600000000006</v>
      </c>
      <c r="AE569" s="122">
        <f t="shared" si="203"/>
        <v>173085.31610311079</v>
      </c>
      <c r="AF569" s="167">
        <f t="shared" si="204"/>
        <v>788017.82400000014</v>
      </c>
    </row>
    <row r="570" spans="1:32" s="150" customFormat="1" x14ac:dyDescent="0.2">
      <c r="A570" s="144" t="s">
        <v>577</v>
      </c>
      <c r="B570" s="144"/>
      <c r="C570" s="144"/>
      <c r="D570" s="145">
        <v>1</v>
      </c>
      <c r="E570" s="122"/>
      <c r="F570" s="146">
        <v>0.2</v>
      </c>
      <c r="G570" s="146"/>
      <c r="H570" s="122">
        <v>33669</v>
      </c>
      <c r="I570" s="122">
        <f t="shared" si="194"/>
        <v>32591.592000000001</v>
      </c>
      <c r="J570" s="147">
        <f t="shared" si="195"/>
        <v>26073.2736</v>
      </c>
      <c r="K570" s="122"/>
      <c r="L570" s="122">
        <v>0</v>
      </c>
      <c r="M570" s="122">
        <f t="shared" si="196"/>
        <v>0</v>
      </c>
      <c r="N570" s="122">
        <f t="shared" si="197"/>
        <v>0</v>
      </c>
      <c r="O570" s="122"/>
      <c r="P570" s="122">
        <v>0</v>
      </c>
      <c r="Q570" s="122">
        <f t="shared" si="198"/>
        <v>0</v>
      </c>
      <c r="R570" s="147">
        <f t="shared" si="199"/>
        <v>0</v>
      </c>
      <c r="S570" s="145">
        <v>11</v>
      </c>
      <c r="T570" s="144" t="s">
        <v>213</v>
      </c>
      <c r="U570" s="90">
        <f>SUMIF('Avoided Costs 2009-2017'!$A:$A,Actuals!T570&amp;Actuals!S570,'Avoided Costs 2009-2017'!$E:$E)*J570</f>
        <v>72971.036652538969</v>
      </c>
      <c r="V570" s="90">
        <f>SUMIF('Avoided Costs 2009-2017'!$A:$A,Actuals!T570&amp;Actuals!S570,'Avoided Costs 2009-2017'!$K:$K)*N570</f>
        <v>0</v>
      </c>
      <c r="W570" s="90">
        <f>SUMIF('Avoided Costs 2009-2017'!$A:$A,Actuals!T570&amp;Actuals!S570,'Avoided Costs 2009-2017'!$M:$M)*R570</f>
        <v>0</v>
      </c>
      <c r="X570" s="90">
        <f t="shared" si="200"/>
        <v>72971.036652538969</v>
      </c>
      <c r="Y570" s="148">
        <v>84872</v>
      </c>
      <c r="Z570" s="149">
        <f t="shared" si="201"/>
        <v>67897.600000000006</v>
      </c>
      <c r="AA570" s="148"/>
      <c r="AB570" s="145"/>
      <c r="AC570" s="145"/>
      <c r="AD570" s="148">
        <f t="shared" si="202"/>
        <v>67897.600000000006</v>
      </c>
      <c r="AE570" s="122">
        <f t="shared" si="203"/>
        <v>5073.4366525389632</v>
      </c>
      <c r="AF570" s="167">
        <f t="shared" si="204"/>
        <v>286806.00959999999</v>
      </c>
    </row>
    <row r="571" spans="1:32" s="150" customFormat="1" x14ac:dyDescent="0.2">
      <c r="A571" s="144" t="s">
        <v>578</v>
      </c>
      <c r="B571" s="144"/>
      <c r="C571" s="144"/>
      <c r="D571" s="145">
        <v>0</v>
      </c>
      <c r="E571" s="122"/>
      <c r="F571" s="146">
        <v>0.2</v>
      </c>
      <c r="G571" s="146"/>
      <c r="H571" s="122">
        <v>79278</v>
      </c>
      <c r="I571" s="122">
        <f t="shared" si="194"/>
        <v>76741.103999999992</v>
      </c>
      <c r="J571" s="147">
        <f t="shared" si="195"/>
        <v>61392.883199999997</v>
      </c>
      <c r="K571" s="122"/>
      <c r="L571" s="122">
        <v>0</v>
      </c>
      <c r="M571" s="122">
        <f t="shared" si="196"/>
        <v>0</v>
      </c>
      <c r="N571" s="122">
        <f t="shared" si="197"/>
        <v>0</v>
      </c>
      <c r="O571" s="122"/>
      <c r="P571" s="122">
        <v>0</v>
      </c>
      <c r="Q571" s="122">
        <f t="shared" si="198"/>
        <v>0</v>
      </c>
      <c r="R571" s="147">
        <f t="shared" si="199"/>
        <v>0</v>
      </c>
      <c r="S571" s="145">
        <v>8</v>
      </c>
      <c r="T571" s="144" t="s">
        <v>1176</v>
      </c>
      <c r="U571" s="90">
        <f>SUMIF('Avoided Costs 2009-2017'!$A:$A,Actuals!T571&amp;Actuals!S571,'Avoided Costs 2009-2017'!$E:$E)*J571</f>
        <v>125781.95270356073</v>
      </c>
      <c r="V571" s="90">
        <f>SUMIF('Avoided Costs 2009-2017'!$A:$A,Actuals!T571&amp;Actuals!S571,'Avoided Costs 2009-2017'!$K:$K)*N571</f>
        <v>0</v>
      </c>
      <c r="W571" s="90">
        <f>SUMIF('Avoided Costs 2009-2017'!$A:$A,Actuals!T571&amp;Actuals!S571,'Avoided Costs 2009-2017'!$M:$M)*R571</f>
        <v>0</v>
      </c>
      <c r="X571" s="90">
        <f t="shared" si="200"/>
        <v>125781.95270356073</v>
      </c>
      <c r="Y571" s="148">
        <v>29680</v>
      </c>
      <c r="Z571" s="149">
        <f t="shared" si="201"/>
        <v>23744</v>
      </c>
      <c r="AA571" s="148"/>
      <c r="AB571" s="145"/>
      <c r="AC571" s="145"/>
      <c r="AD571" s="148">
        <f t="shared" si="202"/>
        <v>23744</v>
      </c>
      <c r="AE571" s="122">
        <f t="shared" si="203"/>
        <v>102037.95270356073</v>
      </c>
      <c r="AF571" s="167">
        <f t="shared" si="204"/>
        <v>491143.06559999997</v>
      </c>
    </row>
    <row r="572" spans="1:32" s="150" customFormat="1" x14ac:dyDescent="0.2">
      <c r="A572" s="144" t="s">
        <v>579</v>
      </c>
      <c r="B572" s="144"/>
      <c r="C572" s="144"/>
      <c r="D572" s="145">
        <v>0</v>
      </c>
      <c r="E572" s="122"/>
      <c r="F572" s="146">
        <v>0.2</v>
      </c>
      <c r="G572" s="146"/>
      <c r="H572" s="122">
        <v>69115</v>
      </c>
      <c r="I572" s="122">
        <f t="shared" si="194"/>
        <v>66903.319999999992</v>
      </c>
      <c r="J572" s="147">
        <f t="shared" si="195"/>
        <v>53522.655999999995</v>
      </c>
      <c r="K572" s="122"/>
      <c r="L572" s="122">
        <v>108140</v>
      </c>
      <c r="M572" s="122">
        <f t="shared" si="196"/>
        <v>97217.86</v>
      </c>
      <c r="N572" s="122">
        <f t="shared" si="197"/>
        <v>77774.288</v>
      </c>
      <c r="O572" s="122"/>
      <c r="P572" s="122">
        <v>0</v>
      </c>
      <c r="Q572" s="122">
        <f t="shared" si="198"/>
        <v>0</v>
      </c>
      <c r="R572" s="147">
        <f t="shared" si="199"/>
        <v>0</v>
      </c>
      <c r="S572" s="145">
        <v>15</v>
      </c>
      <c r="T572" s="144" t="s">
        <v>213</v>
      </c>
      <c r="U572" s="90">
        <f>SUMIF('Avoided Costs 2009-2017'!$A:$A,Actuals!T572&amp;Actuals!S572,'Avoided Costs 2009-2017'!$E:$E)*J572</f>
        <v>181024.62674679435</v>
      </c>
      <c r="V572" s="90">
        <f>SUMIF('Avoided Costs 2009-2017'!$A:$A,Actuals!T572&amp;Actuals!S572,'Avoided Costs 2009-2017'!$K:$K)*N572</f>
        <v>58061.008497022318</v>
      </c>
      <c r="W572" s="90">
        <f>SUMIF('Avoided Costs 2009-2017'!$A:$A,Actuals!T572&amp;Actuals!S572,'Avoided Costs 2009-2017'!$M:$M)*R572</f>
        <v>0</v>
      </c>
      <c r="X572" s="90">
        <f t="shared" si="200"/>
        <v>239085.63524381668</v>
      </c>
      <c r="Y572" s="148">
        <v>16800</v>
      </c>
      <c r="Z572" s="149">
        <f t="shared" si="201"/>
        <v>13440</v>
      </c>
      <c r="AA572" s="148"/>
      <c r="AB572" s="145"/>
      <c r="AC572" s="145"/>
      <c r="AD572" s="148">
        <f t="shared" si="202"/>
        <v>13440</v>
      </c>
      <c r="AE572" s="122">
        <f t="shared" si="203"/>
        <v>225645.63524381668</v>
      </c>
      <c r="AF572" s="167">
        <f t="shared" si="204"/>
        <v>802839.84</v>
      </c>
    </row>
    <row r="573" spans="1:32" s="150" customFormat="1" x14ac:dyDescent="0.2">
      <c r="A573" s="144" t="s">
        <v>580</v>
      </c>
      <c r="B573" s="144"/>
      <c r="C573" s="144"/>
      <c r="D573" s="145">
        <v>1</v>
      </c>
      <c r="E573" s="122"/>
      <c r="F573" s="146">
        <v>0.2</v>
      </c>
      <c r="G573" s="146"/>
      <c r="H573" s="122">
        <v>111098</v>
      </c>
      <c r="I573" s="122">
        <f t="shared" si="194"/>
        <v>107542.864</v>
      </c>
      <c r="J573" s="147">
        <f t="shared" si="195"/>
        <v>86034.291200000007</v>
      </c>
      <c r="K573" s="122"/>
      <c r="L573" s="122">
        <v>0</v>
      </c>
      <c r="M573" s="122">
        <f t="shared" si="196"/>
        <v>0</v>
      </c>
      <c r="N573" s="122">
        <f t="shared" si="197"/>
        <v>0</v>
      </c>
      <c r="O573" s="122"/>
      <c r="P573" s="122">
        <v>0</v>
      </c>
      <c r="Q573" s="122">
        <f t="shared" si="198"/>
        <v>0</v>
      </c>
      <c r="R573" s="147">
        <f t="shared" si="199"/>
        <v>0</v>
      </c>
      <c r="S573" s="145">
        <v>11</v>
      </c>
      <c r="T573" s="144" t="s">
        <v>213</v>
      </c>
      <c r="U573" s="90">
        <f>SUMIF('Avoided Costs 2009-2017'!$A:$A,Actuals!T573&amp;Actuals!S573,'Avoided Costs 2009-2017'!$E:$E)*J573</f>
        <v>240783.39808202724</v>
      </c>
      <c r="V573" s="90">
        <f>SUMIF('Avoided Costs 2009-2017'!$A:$A,Actuals!T573&amp;Actuals!S573,'Avoided Costs 2009-2017'!$K:$K)*N573</f>
        <v>0</v>
      </c>
      <c r="W573" s="90">
        <f>SUMIF('Avoided Costs 2009-2017'!$A:$A,Actuals!T573&amp;Actuals!S573,'Avoided Costs 2009-2017'!$M:$M)*R573</f>
        <v>0</v>
      </c>
      <c r="X573" s="90">
        <f t="shared" si="200"/>
        <v>240783.39808202724</v>
      </c>
      <c r="Y573" s="148">
        <v>55438</v>
      </c>
      <c r="Z573" s="149">
        <f t="shared" si="201"/>
        <v>44350.400000000001</v>
      </c>
      <c r="AA573" s="148"/>
      <c r="AB573" s="145"/>
      <c r="AC573" s="145"/>
      <c r="AD573" s="148">
        <f t="shared" si="202"/>
        <v>44350.400000000001</v>
      </c>
      <c r="AE573" s="122">
        <f t="shared" si="203"/>
        <v>196432.99808202725</v>
      </c>
      <c r="AF573" s="167">
        <f t="shared" si="204"/>
        <v>946377.20320000011</v>
      </c>
    </row>
    <row r="574" spans="1:32" s="150" customFormat="1" x14ac:dyDescent="0.2">
      <c r="A574" s="144" t="s">
        <v>581</v>
      </c>
      <c r="B574" s="144"/>
      <c r="C574" s="144"/>
      <c r="D574" s="145">
        <v>0</v>
      </c>
      <c r="E574" s="122"/>
      <c r="F574" s="146">
        <v>0.2</v>
      </c>
      <c r="G574" s="146"/>
      <c r="H574" s="122">
        <v>46599</v>
      </c>
      <c r="I574" s="122">
        <f>+H574</f>
        <v>46599</v>
      </c>
      <c r="J574" s="147">
        <f t="shared" si="195"/>
        <v>37279.200000000004</v>
      </c>
      <c r="K574" s="122"/>
      <c r="L574" s="122">
        <v>0</v>
      </c>
      <c r="M574" s="122">
        <f t="shared" si="196"/>
        <v>0</v>
      </c>
      <c r="N574" s="122">
        <f t="shared" si="197"/>
        <v>0</v>
      </c>
      <c r="O574" s="122"/>
      <c r="P574" s="122">
        <v>0</v>
      </c>
      <c r="Q574" s="122">
        <f t="shared" si="198"/>
        <v>0</v>
      </c>
      <c r="R574" s="147">
        <f t="shared" si="199"/>
        <v>0</v>
      </c>
      <c r="S574" s="145">
        <v>8</v>
      </c>
      <c r="T574" s="144" t="s">
        <v>1176</v>
      </c>
      <c r="U574" s="90">
        <f>SUMIF('Avoided Costs 2009-2017'!$A:$A,Actuals!T574&amp;Actuals!S574,'Avoided Costs 2009-2017'!$E:$E)*J574</f>
        <v>76377.754664999709</v>
      </c>
      <c r="V574" s="90">
        <f>SUMIF('Avoided Costs 2009-2017'!$A:$A,Actuals!T574&amp;Actuals!S574,'Avoided Costs 2009-2017'!$K:$K)*N574</f>
        <v>0</v>
      </c>
      <c r="W574" s="90">
        <f>SUMIF('Avoided Costs 2009-2017'!$A:$A,Actuals!T574&amp;Actuals!S574,'Avoided Costs 2009-2017'!$M:$M)*R574</f>
        <v>0</v>
      </c>
      <c r="X574" s="90">
        <f t="shared" si="200"/>
        <v>76377.754664999709</v>
      </c>
      <c r="Y574" s="148">
        <v>74707</v>
      </c>
      <c r="Z574" s="149">
        <f t="shared" si="201"/>
        <v>59765.600000000006</v>
      </c>
      <c r="AA574" s="148"/>
      <c r="AB574" s="145"/>
      <c r="AC574" s="145"/>
      <c r="AD574" s="148">
        <f t="shared" si="202"/>
        <v>59765.600000000006</v>
      </c>
      <c r="AE574" s="122">
        <f t="shared" si="203"/>
        <v>16612.154664999704</v>
      </c>
      <c r="AF574" s="167">
        <f t="shared" si="204"/>
        <v>298233.60000000003</v>
      </c>
    </row>
    <row r="575" spans="1:32" s="150" customFormat="1" x14ac:dyDescent="0.2">
      <c r="A575" s="144" t="s">
        <v>582</v>
      </c>
      <c r="B575" s="144"/>
      <c r="C575" s="144"/>
      <c r="D575" s="145">
        <v>0</v>
      </c>
      <c r="E575" s="122"/>
      <c r="F575" s="146">
        <v>0.2</v>
      </c>
      <c r="G575" s="146"/>
      <c r="H575" s="122">
        <v>55793</v>
      </c>
      <c r="I575" s="122">
        <f>+H575</f>
        <v>55793</v>
      </c>
      <c r="J575" s="147">
        <f t="shared" si="195"/>
        <v>44634.400000000001</v>
      </c>
      <c r="K575" s="122"/>
      <c r="L575" s="122">
        <v>172853</v>
      </c>
      <c r="M575" s="122">
        <v>43246</v>
      </c>
      <c r="N575" s="122">
        <f t="shared" si="197"/>
        <v>34596.800000000003</v>
      </c>
      <c r="O575" s="122"/>
      <c r="P575" s="122">
        <v>0</v>
      </c>
      <c r="Q575" s="122">
        <f t="shared" si="198"/>
        <v>0</v>
      </c>
      <c r="R575" s="147">
        <f t="shared" si="199"/>
        <v>0</v>
      </c>
      <c r="S575" s="145">
        <v>15</v>
      </c>
      <c r="T575" s="144" t="s">
        <v>213</v>
      </c>
      <c r="U575" s="90">
        <f>SUMIF('Avoided Costs 2009-2017'!$A:$A,Actuals!T575&amp;Actuals!S575,'Avoided Costs 2009-2017'!$E:$E)*J575</f>
        <v>150962.71754651188</v>
      </c>
      <c r="V575" s="90">
        <f>SUMIF('Avoided Costs 2009-2017'!$A:$A,Actuals!T575&amp;Actuals!S575,'Avoided Costs 2009-2017'!$K:$K)*N575</f>
        <v>25827.624404221893</v>
      </c>
      <c r="W575" s="90">
        <f>SUMIF('Avoided Costs 2009-2017'!$A:$A,Actuals!T575&amp;Actuals!S575,'Avoided Costs 2009-2017'!$M:$M)*R575</f>
        <v>0</v>
      </c>
      <c r="X575" s="90">
        <f t="shared" si="200"/>
        <v>176790.34195073377</v>
      </c>
      <c r="Y575" s="148">
        <v>0</v>
      </c>
      <c r="Z575" s="149">
        <f t="shared" si="201"/>
        <v>0</v>
      </c>
      <c r="AA575" s="148"/>
      <c r="AB575" s="145"/>
      <c r="AC575" s="145"/>
      <c r="AD575" s="148">
        <f t="shared" si="202"/>
        <v>0</v>
      </c>
      <c r="AE575" s="122">
        <f t="shared" si="203"/>
        <v>176790.34195073377</v>
      </c>
      <c r="AF575" s="167">
        <f t="shared" si="204"/>
        <v>669516</v>
      </c>
    </row>
    <row r="576" spans="1:32" s="150" customFormat="1" x14ac:dyDescent="0.2">
      <c r="A576" s="144" t="s">
        <v>583</v>
      </c>
      <c r="B576" s="144"/>
      <c r="C576" s="144"/>
      <c r="D576" s="145">
        <v>0</v>
      </c>
      <c r="E576" s="122"/>
      <c r="F576" s="146">
        <v>0.2</v>
      </c>
      <c r="G576" s="146"/>
      <c r="H576" s="122">
        <v>7984</v>
      </c>
      <c r="I576" s="122">
        <f>+H576</f>
        <v>7984</v>
      </c>
      <c r="J576" s="147">
        <f t="shared" si="195"/>
        <v>6387.2000000000007</v>
      </c>
      <c r="K576" s="122"/>
      <c r="L576" s="122">
        <v>0</v>
      </c>
      <c r="M576" s="122">
        <f t="shared" si="196"/>
        <v>0</v>
      </c>
      <c r="N576" s="122">
        <f t="shared" si="197"/>
        <v>0</v>
      </c>
      <c r="O576" s="122"/>
      <c r="P576" s="122">
        <v>0</v>
      </c>
      <c r="Q576" s="122">
        <f t="shared" si="198"/>
        <v>0</v>
      </c>
      <c r="R576" s="147">
        <f t="shared" si="199"/>
        <v>0</v>
      </c>
      <c r="S576" s="145">
        <v>5</v>
      </c>
      <c r="T576" s="144" t="s">
        <v>213</v>
      </c>
      <c r="U576" s="90">
        <f>SUMIF('Avoided Costs 2009-2017'!$A:$A,Actuals!T576&amp;Actuals!S576,'Avoided Costs 2009-2017'!$E:$E)*J576</f>
        <v>9590.8620990770632</v>
      </c>
      <c r="V576" s="90">
        <f>SUMIF('Avoided Costs 2009-2017'!$A:$A,Actuals!T576&amp;Actuals!S576,'Avoided Costs 2009-2017'!$K:$K)*N576</f>
        <v>0</v>
      </c>
      <c r="W576" s="90">
        <f>SUMIF('Avoided Costs 2009-2017'!$A:$A,Actuals!T576&amp;Actuals!S576,'Avoided Costs 2009-2017'!$M:$M)*R576</f>
        <v>0</v>
      </c>
      <c r="X576" s="90">
        <f t="shared" si="200"/>
        <v>9590.8620990770632</v>
      </c>
      <c r="Y576" s="148">
        <v>109128</v>
      </c>
      <c r="Z576" s="149">
        <f t="shared" si="201"/>
        <v>87302.400000000009</v>
      </c>
      <c r="AA576" s="148"/>
      <c r="AB576" s="145"/>
      <c r="AC576" s="145"/>
      <c r="AD576" s="148">
        <f t="shared" si="202"/>
        <v>87302.400000000009</v>
      </c>
      <c r="AE576" s="122">
        <f t="shared" si="203"/>
        <v>-77711.537900922951</v>
      </c>
      <c r="AF576" s="167">
        <f t="shared" si="204"/>
        <v>31936.000000000004</v>
      </c>
    </row>
    <row r="577" spans="1:32" s="150" customFormat="1" x14ac:dyDescent="0.2">
      <c r="A577" s="144" t="s">
        <v>584</v>
      </c>
      <c r="B577" s="144"/>
      <c r="C577" s="144"/>
      <c r="D577" s="145">
        <v>1</v>
      </c>
      <c r="E577" s="122"/>
      <c r="F577" s="146">
        <v>0.2</v>
      </c>
      <c r="G577" s="146"/>
      <c r="H577" s="122">
        <v>137014</v>
      </c>
      <c r="I577" s="122">
        <f>+H577</f>
        <v>137014</v>
      </c>
      <c r="J577" s="147">
        <f t="shared" si="195"/>
        <v>109611.20000000001</v>
      </c>
      <c r="K577" s="122"/>
      <c r="L577" s="122">
        <v>0</v>
      </c>
      <c r="M577" s="122">
        <f t="shared" si="196"/>
        <v>0</v>
      </c>
      <c r="N577" s="122">
        <f t="shared" si="197"/>
        <v>0</v>
      </c>
      <c r="O577" s="122"/>
      <c r="P577" s="122">
        <v>0</v>
      </c>
      <c r="Q577" s="122">
        <f t="shared" si="198"/>
        <v>0</v>
      </c>
      <c r="R577" s="147">
        <f t="shared" si="199"/>
        <v>0</v>
      </c>
      <c r="S577" s="145">
        <v>11</v>
      </c>
      <c r="T577" s="144" t="s">
        <v>213</v>
      </c>
      <c r="U577" s="90">
        <f>SUMIF('Avoided Costs 2009-2017'!$A:$A,Actuals!T577&amp;Actuals!S577,'Avoided Costs 2009-2017'!$E:$E)*J577</f>
        <v>306767.88098939677</v>
      </c>
      <c r="V577" s="90">
        <f>SUMIF('Avoided Costs 2009-2017'!$A:$A,Actuals!T577&amp;Actuals!S577,'Avoided Costs 2009-2017'!$K:$K)*N577</f>
        <v>0</v>
      </c>
      <c r="W577" s="90">
        <f>SUMIF('Avoided Costs 2009-2017'!$A:$A,Actuals!T577&amp;Actuals!S577,'Avoided Costs 2009-2017'!$M:$M)*R577</f>
        <v>0</v>
      </c>
      <c r="X577" s="90">
        <f t="shared" si="200"/>
        <v>306767.88098939677</v>
      </c>
      <c r="Y577" s="148">
        <v>108446</v>
      </c>
      <c r="Z577" s="149">
        <f t="shared" si="201"/>
        <v>86756.800000000003</v>
      </c>
      <c r="AA577" s="148"/>
      <c r="AB577" s="145"/>
      <c r="AC577" s="145"/>
      <c r="AD577" s="148">
        <f t="shared" si="202"/>
        <v>86756.800000000003</v>
      </c>
      <c r="AE577" s="122">
        <f t="shared" si="203"/>
        <v>220011.08098939678</v>
      </c>
      <c r="AF577" s="167">
        <f t="shared" si="204"/>
        <v>1205723.2000000002</v>
      </c>
    </row>
    <row r="578" spans="1:32" s="150" customFormat="1" x14ac:dyDescent="0.2">
      <c r="A578" s="144" t="s">
        <v>585</v>
      </c>
      <c r="B578" s="144"/>
      <c r="C578" s="144"/>
      <c r="D578" s="145">
        <v>1</v>
      </c>
      <c r="E578" s="122"/>
      <c r="F578" s="146">
        <v>0.2</v>
      </c>
      <c r="G578" s="146"/>
      <c r="H578" s="122">
        <v>42922</v>
      </c>
      <c r="I578" s="122">
        <f t="shared" si="194"/>
        <v>41548.495999999999</v>
      </c>
      <c r="J578" s="147">
        <f t="shared" si="195"/>
        <v>33238.796800000004</v>
      </c>
      <c r="K578" s="122"/>
      <c r="L578" s="122">
        <v>69149</v>
      </c>
      <c r="M578" s="122">
        <f t="shared" si="196"/>
        <v>62164.951000000001</v>
      </c>
      <c r="N578" s="122">
        <f t="shared" si="197"/>
        <v>49731.960800000001</v>
      </c>
      <c r="O578" s="122"/>
      <c r="P578" s="122">
        <v>0</v>
      </c>
      <c r="Q578" s="122">
        <f t="shared" si="198"/>
        <v>0</v>
      </c>
      <c r="R578" s="147">
        <f t="shared" si="199"/>
        <v>0</v>
      </c>
      <c r="S578" s="145">
        <v>15</v>
      </c>
      <c r="T578" s="144" t="s">
        <v>213</v>
      </c>
      <c r="U578" s="90">
        <f>SUMIF('Avoided Costs 2009-2017'!$A:$A,Actuals!T578&amp;Actuals!S578,'Avoided Costs 2009-2017'!$E:$E)*J578</f>
        <v>112420.44461008332</v>
      </c>
      <c r="V578" s="90">
        <f>SUMIF('Avoided Costs 2009-2017'!$A:$A,Actuals!T578&amp;Actuals!S578,'Avoided Costs 2009-2017'!$K:$K)*N578</f>
        <v>37126.508938048792</v>
      </c>
      <c r="W578" s="90">
        <f>SUMIF('Avoided Costs 2009-2017'!$A:$A,Actuals!T578&amp;Actuals!S578,'Avoided Costs 2009-2017'!$M:$M)*R578</f>
        <v>0</v>
      </c>
      <c r="X578" s="90">
        <f t="shared" si="200"/>
        <v>149546.95354813209</v>
      </c>
      <c r="Y578" s="148">
        <v>50000</v>
      </c>
      <c r="Z578" s="149">
        <f t="shared" si="201"/>
        <v>40000</v>
      </c>
      <c r="AA578" s="148"/>
      <c r="AB578" s="145"/>
      <c r="AC578" s="145"/>
      <c r="AD578" s="148">
        <f t="shared" si="202"/>
        <v>40000</v>
      </c>
      <c r="AE578" s="122">
        <f t="shared" si="203"/>
        <v>109546.95354813209</v>
      </c>
      <c r="AF578" s="167">
        <f t="shared" si="204"/>
        <v>498581.95200000005</v>
      </c>
    </row>
    <row r="579" spans="1:32" s="150" customFormat="1" x14ac:dyDescent="0.2">
      <c r="A579" s="144" t="s">
        <v>586</v>
      </c>
      <c r="B579" s="144"/>
      <c r="C579" s="144"/>
      <c r="D579" s="145">
        <v>1</v>
      </c>
      <c r="E579" s="122"/>
      <c r="F579" s="146">
        <v>0.2</v>
      </c>
      <c r="G579" s="146"/>
      <c r="H579" s="122">
        <v>25126</v>
      </c>
      <c r="I579" s="122">
        <f t="shared" si="194"/>
        <v>24321.968000000001</v>
      </c>
      <c r="J579" s="147">
        <f t="shared" si="195"/>
        <v>19457.574400000001</v>
      </c>
      <c r="K579" s="122"/>
      <c r="L579" s="122">
        <v>0</v>
      </c>
      <c r="M579" s="122">
        <f t="shared" si="196"/>
        <v>0</v>
      </c>
      <c r="N579" s="122">
        <f t="shared" si="197"/>
        <v>0</v>
      </c>
      <c r="O579" s="122"/>
      <c r="P579" s="122">
        <v>0</v>
      </c>
      <c r="Q579" s="122">
        <f t="shared" si="198"/>
        <v>0</v>
      </c>
      <c r="R579" s="147">
        <f t="shared" si="199"/>
        <v>0</v>
      </c>
      <c r="S579" s="145">
        <v>11</v>
      </c>
      <c r="T579" s="144" t="s">
        <v>213</v>
      </c>
      <c r="U579" s="90">
        <f>SUMIF('Avoided Costs 2009-2017'!$A:$A,Actuals!T579&amp;Actuals!S579,'Avoided Costs 2009-2017'!$E:$E)*J579</f>
        <v>54455.738719050001</v>
      </c>
      <c r="V579" s="90">
        <f>SUMIF('Avoided Costs 2009-2017'!$A:$A,Actuals!T579&amp;Actuals!S579,'Avoided Costs 2009-2017'!$K:$K)*N579</f>
        <v>0</v>
      </c>
      <c r="W579" s="90">
        <f>SUMIF('Avoided Costs 2009-2017'!$A:$A,Actuals!T579&amp;Actuals!S579,'Avoided Costs 2009-2017'!$M:$M)*R579</f>
        <v>0</v>
      </c>
      <c r="X579" s="90">
        <f t="shared" si="200"/>
        <v>54455.738719050001</v>
      </c>
      <c r="Y579" s="148">
        <v>27507</v>
      </c>
      <c r="Z579" s="149">
        <f t="shared" si="201"/>
        <v>22005.600000000002</v>
      </c>
      <c r="AA579" s="148"/>
      <c r="AB579" s="145"/>
      <c r="AC579" s="145"/>
      <c r="AD579" s="148">
        <f t="shared" si="202"/>
        <v>22005.600000000002</v>
      </c>
      <c r="AE579" s="122">
        <f t="shared" si="203"/>
        <v>32450.138719049999</v>
      </c>
      <c r="AF579" s="167">
        <f t="shared" si="204"/>
        <v>214033.31840000002</v>
      </c>
    </row>
    <row r="580" spans="1:32" s="150" customFormat="1" x14ac:dyDescent="0.2">
      <c r="A580" s="144" t="s">
        <v>587</v>
      </c>
      <c r="B580" s="144"/>
      <c r="C580" s="144"/>
      <c r="D580" s="145">
        <v>1</v>
      </c>
      <c r="E580" s="122"/>
      <c r="F580" s="146">
        <v>0.2</v>
      </c>
      <c r="G580" s="146"/>
      <c r="H580" s="122">
        <v>30842</v>
      </c>
      <c r="I580" s="122">
        <f t="shared" si="194"/>
        <v>29855.056</v>
      </c>
      <c r="J580" s="147">
        <f t="shared" si="195"/>
        <v>23884.044800000003</v>
      </c>
      <c r="K580" s="122"/>
      <c r="L580" s="122">
        <v>0</v>
      </c>
      <c r="M580" s="122">
        <f t="shared" si="196"/>
        <v>0</v>
      </c>
      <c r="N580" s="122">
        <f t="shared" si="197"/>
        <v>0</v>
      </c>
      <c r="O580" s="122"/>
      <c r="P580" s="122">
        <v>0</v>
      </c>
      <c r="Q580" s="122">
        <f t="shared" si="198"/>
        <v>0</v>
      </c>
      <c r="R580" s="147">
        <f t="shared" si="199"/>
        <v>0</v>
      </c>
      <c r="S580" s="145">
        <v>15</v>
      </c>
      <c r="T580" s="144" t="s">
        <v>213</v>
      </c>
      <c r="U580" s="90">
        <f>SUMIF('Avoided Costs 2009-2017'!$A:$A,Actuals!T580&amp;Actuals!S580,'Avoided Costs 2009-2017'!$E:$E)*J580</f>
        <v>80780.750027123388</v>
      </c>
      <c r="V580" s="90">
        <f>SUMIF('Avoided Costs 2009-2017'!$A:$A,Actuals!T580&amp;Actuals!S580,'Avoided Costs 2009-2017'!$K:$K)*N580</f>
        <v>0</v>
      </c>
      <c r="W580" s="90">
        <f>SUMIF('Avoided Costs 2009-2017'!$A:$A,Actuals!T580&amp;Actuals!S580,'Avoided Costs 2009-2017'!$M:$M)*R580</f>
        <v>0</v>
      </c>
      <c r="X580" s="90">
        <f t="shared" si="200"/>
        <v>80780.750027123388</v>
      </c>
      <c r="Y580" s="148">
        <v>30850</v>
      </c>
      <c r="Z580" s="149">
        <f t="shared" si="201"/>
        <v>24680</v>
      </c>
      <c r="AA580" s="148"/>
      <c r="AB580" s="145"/>
      <c r="AC580" s="145"/>
      <c r="AD580" s="148">
        <f t="shared" si="202"/>
        <v>24680</v>
      </c>
      <c r="AE580" s="122">
        <f t="shared" si="203"/>
        <v>56100.750027123388</v>
      </c>
      <c r="AF580" s="167">
        <f t="shared" si="204"/>
        <v>358260.67200000002</v>
      </c>
    </row>
    <row r="581" spans="1:32" s="150" customFormat="1" x14ac:dyDescent="0.2">
      <c r="A581" s="144" t="s">
        <v>588</v>
      </c>
      <c r="B581" s="144"/>
      <c r="C581" s="144"/>
      <c r="D581" s="145">
        <v>1</v>
      </c>
      <c r="E581" s="122"/>
      <c r="F581" s="146">
        <v>0.2</v>
      </c>
      <c r="G581" s="146"/>
      <c r="H581" s="122">
        <v>13464</v>
      </c>
      <c r="I581" s="122">
        <f t="shared" si="194"/>
        <v>13033.152</v>
      </c>
      <c r="J581" s="147">
        <f t="shared" si="195"/>
        <v>10426.5216</v>
      </c>
      <c r="K581" s="122"/>
      <c r="L581" s="122">
        <v>0</v>
      </c>
      <c r="M581" s="122">
        <f t="shared" si="196"/>
        <v>0</v>
      </c>
      <c r="N581" s="122">
        <f t="shared" si="197"/>
        <v>0</v>
      </c>
      <c r="O581" s="122"/>
      <c r="P581" s="122">
        <v>0</v>
      </c>
      <c r="Q581" s="122">
        <f t="shared" si="198"/>
        <v>0</v>
      </c>
      <c r="R581" s="147">
        <f t="shared" si="199"/>
        <v>0</v>
      </c>
      <c r="S581" s="145">
        <v>15</v>
      </c>
      <c r="T581" s="144" t="s">
        <v>213</v>
      </c>
      <c r="U581" s="90">
        <f>SUMIF('Avoided Costs 2009-2017'!$A:$A,Actuals!T581&amp;Actuals!S581,'Avoided Costs 2009-2017'!$E:$E)*J581</f>
        <v>35264.639723921573</v>
      </c>
      <c r="V581" s="90">
        <f>SUMIF('Avoided Costs 2009-2017'!$A:$A,Actuals!T581&amp;Actuals!S581,'Avoided Costs 2009-2017'!$K:$K)*N581</f>
        <v>0</v>
      </c>
      <c r="W581" s="90">
        <f>SUMIF('Avoided Costs 2009-2017'!$A:$A,Actuals!T581&amp;Actuals!S581,'Avoided Costs 2009-2017'!$M:$M)*R581</f>
        <v>0</v>
      </c>
      <c r="X581" s="90">
        <f t="shared" si="200"/>
        <v>35264.639723921573</v>
      </c>
      <c r="Y581" s="148">
        <v>15395</v>
      </c>
      <c r="Z581" s="149">
        <f t="shared" si="201"/>
        <v>12316</v>
      </c>
      <c r="AA581" s="148"/>
      <c r="AB581" s="145"/>
      <c r="AC581" s="145"/>
      <c r="AD581" s="148">
        <f t="shared" si="202"/>
        <v>12316</v>
      </c>
      <c r="AE581" s="122">
        <f t="shared" si="203"/>
        <v>22948.639723921573</v>
      </c>
      <c r="AF581" s="167">
        <f t="shared" si="204"/>
        <v>156397.82399999999</v>
      </c>
    </row>
    <row r="582" spans="1:32" s="150" customFormat="1" x14ac:dyDescent="0.2">
      <c r="A582" s="144" t="s">
        <v>589</v>
      </c>
      <c r="B582" s="144"/>
      <c r="C582" s="144"/>
      <c r="D582" s="145">
        <v>0</v>
      </c>
      <c r="E582" s="122"/>
      <c r="F582" s="146">
        <v>0.2</v>
      </c>
      <c r="G582" s="146"/>
      <c r="H582" s="122">
        <v>46321</v>
      </c>
      <c r="I582" s="122">
        <f t="shared" si="194"/>
        <v>44838.727999999996</v>
      </c>
      <c r="J582" s="147">
        <f t="shared" si="195"/>
        <v>35870.982400000001</v>
      </c>
      <c r="K582" s="122"/>
      <c r="L582" s="122">
        <v>12960</v>
      </c>
      <c r="M582" s="122">
        <f t="shared" si="196"/>
        <v>11651.04</v>
      </c>
      <c r="N582" s="122">
        <f t="shared" si="197"/>
        <v>9320.8320000000003</v>
      </c>
      <c r="O582" s="122"/>
      <c r="P582" s="122">
        <v>0</v>
      </c>
      <c r="Q582" s="122">
        <f t="shared" si="198"/>
        <v>0</v>
      </c>
      <c r="R582" s="147">
        <f t="shared" si="199"/>
        <v>0</v>
      </c>
      <c r="S582" s="145">
        <v>15</v>
      </c>
      <c r="T582" s="144" t="s">
        <v>213</v>
      </c>
      <c r="U582" s="90">
        <f>SUMIF('Avoided Costs 2009-2017'!$A:$A,Actuals!T582&amp;Actuals!S582,'Avoided Costs 2009-2017'!$E:$E)*J582</f>
        <v>121323.03748156352</v>
      </c>
      <c r="V582" s="90">
        <f>SUMIF('Avoided Costs 2009-2017'!$A:$A,Actuals!T582&amp;Actuals!S582,'Avoided Costs 2009-2017'!$K:$K)*N582</f>
        <v>6958.3009998280868</v>
      </c>
      <c r="W582" s="90">
        <f>SUMIF('Avoided Costs 2009-2017'!$A:$A,Actuals!T582&amp;Actuals!S582,'Avoided Costs 2009-2017'!$M:$M)*R582</f>
        <v>0</v>
      </c>
      <c r="X582" s="90">
        <f t="shared" si="200"/>
        <v>128281.33848139161</v>
      </c>
      <c r="Y582" s="148">
        <v>47000</v>
      </c>
      <c r="Z582" s="149">
        <f t="shared" si="201"/>
        <v>37600</v>
      </c>
      <c r="AA582" s="148"/>
      <c r="AB582" s="145"/>
      <c r="AC582" s="145"/>
      <c r="AD582" s="148">
        <f t="shared" si="202"/>
        <v>37600</v>
      </c>
      <c r="AE582" s="122">
        <f t="shared" si="203"/>
        <v>90681.338481391605</v>
      </c>
      <c r="AF582" s="167">
        <f t="shared" si="204"/>
        <v>538064.73600000003</v>
      </c>
    </row>
    <row r="583" spans="1:32" s="150" customFormat="1" x14ac:dyDescent="0.2">
      <c r="A583" s="144" t="s">
        <v>590</v>
      </c>
      <c r="B583" s="144"/>
      <c r="C583" s="144"/>
      <c r="D583" s="145">
        <v>1</v>
      </c>
      <c r="E583" s="122"/>
      <c r="F583" s="146">
        <v>0.2</v>
      </c>
      <c r="G583" s="146"/>
      <c r="H583" s="122">
        <v>98715</v>
      </c>
      <c r="I583" s="122">
        <f t="shared" si="194"/>
        <v>95556.12</v>
      </c>
      <c r="J583" s="147">
        <f t="shared" si="195"/>
        <v>76444.895999999993</v>
      </c>
      <c r="K583" s="122"/>
      <c r="L583" s="122">
        <v>0</v>
      </c>
      <c r="M583" s="122">
        <f t="shared" si="196"/>
        <v>0</v>
      </c>
      <c r="N583" s="122">
        <f t="shared" si="197"/>
        <v>0</v>
      </c>
      <c r="O583" s="122"/>
      <c r="P583" s="122">
        <v>0</v>
      </c>
      <c r="Q583" s="122">
        <f t="shared" si="198"/>
        <v>0</v>
      </c>
      <c r="R583" s="147">
        <f t="shared" si="199"/>
        <v>0</v>
      </c>
      <c r="S583" s="145">
        <v>11</v>
      </c>
      <c r="T583" s="144" t="s">
        <v>213</v>
      </c>
      <c r="U583" s="90">
        <f>SUMIF('Avoided Costs 2009-2017'!$A:$A,Actuals!T583&amp;Actuals!S583,'Avoided Costs 2009-2017'!$E:$E)*J583</f>
        <v>213945.64386098145</v>
      </c>
      <c r="V583" s="90">
        <f>SUMIF('Avoided Costs 2009-2017'!$A:$A,Actuals!T583&amp;Actuals!S583,'Avoided Costs 2009-2017'!$K:$K)*N583</f>
        <v>0</v>
      </c>
      <c r="W583" s="90">
        <f>SUMIF('Avoided Costs 2009-2017'!$A:$A,Actuals!T583&amp;Actuals!S583,'Avoided Costs 2009-2017'!$M:$M)*R583</f>
        <v>0</v>
      </c>
      <c r="X583" s="90">
        <f t="shared" si="200"/>
        <v>213945.64386098145</v>
      </c>
      <c r="Y583" s="148">
        <v>192920</v>
      </c>
      <c r="Z583" s="149">
        <f t="shared" si="201"/>
        <v>154336</v>
      </c>
      <c r="AA583" s="148"/>
      <c r="AB583" s="145"/>
      <c r="AC583" s="145"/>
      <c r="AD583" s="148">
        <f t="shared" si="202"/>
        <v>154336</v>
      </c>
      <c r="AE583" s="122">
        <f t="shared" si="203"/>
        <v>59609.64386098145</v>
      </c>
      <c r="AF583" s="167">
        <f t="shared" si="204"/>
        <v>840893.85599999991</v>
      </c>
    </row>
    <row r="584" spans="1:32" s="150" customFormat="1" x14ac:dyDescent="0.2">
      <c r="A584" s="144" t="s">
        <v>591</v>
      </c>
      <c r="B584" s="144"/>
      <c r="C584" s="144"/>
      <c r="D584" s="145">
        <v>1</v>
      </c>
      <c r="E584" s="122"/>
      <c r="F584" s="146">
        <v>0.2</v>
      </c>
      <c r="G584" s="146"/>
      <c r="H584" s="122">
        <v>4066</v>
      </c>
      <c r="I584" s="122">
        <f t="shared" si="194"/>
        <v>3935.8879999999999</v>
      </c>
      <c r="J584" s="147">
        <f t="shared" si="195"/>
        <v>3148.7103999999999</v>
      </c>
      <c r="K584" s="122"/>
      <c r="L584" s="122">
        <v>0</v>
      </c>
      <c r="M584" s="122">
        <f t="shared" si="196"/>
        <v>0</v>
      </c>
      <c r="N584" s="122">
        <f t="shared" si="197"/>
        <v>0</v>
      </c>
      <c r="O584" s="122"/>
      <c r="P584" s="122">
        <v>0</v>
      </c>
      <c r="Q584" s="122">
        <f t="shared" si="198"/>
        <v>0</v>
      </c>
      <c r="R584" s="147">
        <f t="shared" si="199"/>
        <v>0</v>
      </c>
      <c r="S584" s="145">
        <v>15</v>
      </c>
      <c r="T584" s="144" t="s">
        <v>213</v>
      </c>
      <c r="U584" s="90">
        <f>SUMIF('Avoided Costs 2009-2017'!$A:$A,Actuals!T584&amp;Actuals!S584,'Avoided Costs 2009-2017'!$E:$E)*J584</f>
        <v>10649.585941582376</v>
      </c>
      <c r="V584" s="90">
        <f>SUMIF('Avoided Costs 2009-2017'!$A:$A,Actuals!T584&amp;Actuals!S584,'Avoided Costs 2009-2017'!$K:$K)*N584</f>
        <v>0</v>
      </c>
      <c r="W584" s="90">
        <f>SUMIF('Avoided Costs 2009-2017'!$A:$A,Actuals!T584&amp;Actuals!S584,'Avoided Costs 2009-2017'!$M:$M)*R584</f>
        <v>0</v>
      </c>
      <c r="X584" s="90">
        <f t="shared" si="200"/>
        <v>10649.585941582376</v>
      </c>
      <c r="Y584" s="148">
        <v>4672</v>
      </c>
      <c r="Z584" s="149">
        <f t="shared" si="201"/>
        <v>3737.6000000000004</v>
      </c>
      <c r="AA584" s="148"/>
      <c r="AB584" s="145"/>
      <c r="AC584" s="145"/>
      <c r="AD584" s="148">
        <f t="shared" si="202"/>
        <v>3737.6000000000004</v>
      </c>
      <c r="AE584" s="122">
        <f t="shared" si="203"/>
        <v>6911.9859415823757</v>
      </c>
      <c r="AF584" s="167">
        <f t="shared" si="204"/>
        <v>47230.656000000003</v>
      </c>
    </row>
    <row r="585" spans="1:32" s="150" customFormat="1" x14ac:dyDescent="0.2">
      <c r="A585" s="144" t="s">
        <v>592</v>
      </c>
      <c r="B585" s="144"/>
      <c r="C585" s="144"/>
      <c r="D585" s="145">
        <v>0</v>
      </c>
      <c r="E585" s="122"/>
      <c r="F585" s="146">
        <v>0.2</v>
      </c>
      <c r="G585" s="146"/>
      <c r="H585" s="122">
        <v>2162</v>
      </c>
      <c r="I585" s="122">
        <f t="shared" si="194"/>
        <v>2092.8159999999998</v>
      </c>
      <c r="J585" s="147">
        <f t="shared" si="195"/>
        <v>1674.2528</v>
      </c>
      <c r="K585" s="122"/>
      <c r="L585" s="122">
        <v>0</v>
      </c>
      <c r="M585" s="122">
        <f t="shared" si="196"/>
        <v>0</v>
      </c>
      <c r="N585" s="122">
        <f t="shared" si="197"/>
        <v>0</v>
      </c>
      <c r="O585" s="122"/>
      <c r="P585" s="122">
        <v>0</v>
      </c>
      <c r="Q585" s="122">
        <f t="shared" si="198"/>
        <v>0</v>
      </c>
      <c r="R585" s="147">
        <f t="shared" si="199"/>
        <v>0</v>
      </c>
      <c r="S585" s="145">
        <v>9</v>
      </c>
      <c r="T585" s="144" t="s">
        <v>1176</v>
      </c>
      <c r="U585" s="90">
        <f>SUMIF('Avoided Costs 2009-2017'!$A:$A,Actuals!T585&amp;Actuals!S585,'Avoided Costs 2009-2017'!$E:$E)*J585</f>
        <v>3729.7534414470256</v>
      </c>
      <c r="V585" s="90">
        <f>SUMIF('Avoided Costs 2009-2017'!$A:$A,Actuals!T585&amp;Actuals!S585,'Avoided Costs 2009-2017'!$K:$K)*N585</f>
        <v>0</v>
      </c>
      <c r="W585" s="90">
        <f>SUMIF('Avoided Costs 2009-2017'!$A:$A,Actuals!T585&amp;Actuals!S585,'Avoided Costs 2009-2017'!$M:$M)*R585</f>
        <v>0</v>
      </c>
      <c r="X585" s="90">
        <f t="shared" si="200"/>
        <v>3729.7534414470256</v>
      </c>
      <c r="Y585" s="148">
        <v>6294</v>
      </c>
      <c r="Z585" s="149">
        <f t="shared" si="201"/>
        <v>5035.2000000000007</v>
      </c>
      <c r="AA585" s="148"/>
      <c r="AB585" s="145"/>
      <c r="AC585" s="145"/>
      <c r="AD585" s="148">
        <f t="shared" si="202"/>
        <v>5035.2000000000007</v>
      </c>
      <c r="AE585" s="122">
        <f t="shared" si="203"/>
        <v>-1305.4465585529751</v>
      </c>
      <c r="AF585" s="167">
        <f t="shared" si="204"/>
        <v>15068.2752</v>
      </c>
    </row>
    <row r="586" spans="1:32" s="150" customFormat="1" x14ac:dyDescent="0.2">
      <c r="A586" s="144" t="s">
        <v>593</v>
      </c>
      <c r="B586" s="144"/>
      <c r="C586" s="144"/>
      <c r="D586" s="145">
        <v>1</v>
      </c>
      <c r="E586" s="122"/>
      <c r="F586" s="146">
        <v>0.2</v>
      </c>
      <c r="G586" s="146"/>
      <c r="H586" s="122">
        <v>15089</v>
      </c>
      <c r="I586" s="122">
        <f t="shared" si="194"/>
        <v>14606.152</v>
      </c>
      <c r="J586" s="147">
        <f t="shared" si="195"/>
        <v>11684.921600000001</v>
      </c>
      <c r="K586" s="122"/>
      <c r="L586" s="122">
        <v>0</v>
      </c>
      <c r="M586" s="122">
        <f t="shared" si="196"/>
        <v>0</v>
      </c>
      <c r="N586" s="122">
        <f t="shared" si="197"/>
        <v>0</v>
      </c>
      <c r="O586" s="122"/>
      <c r="P586" s="122">
        <v>0</v>
      </c>
      <c r="Q586" s="122">
        <f t="shared" si="198"/>
        <v>0</v>
      </c>
      <c r="R586" s="147">
        <f t="shared" si="199"/>
        <v>0</v>
      </c>
      <c r="S586" s="145">
        <v>11</v>
      </c>
      <c r="T586" s="144" t="s">
        <v>213</v>
      </c>
      <c r="U586" s="90">
        <f>SUMIF('Avoided Costs 2009-2017'!$A:$A,Actuals!T586&amp;Actuals!S586,'Avoided Costs 2009-2017'!$E:$E)*J586</f>
        <v>32702.485136183455</v>
      </c>
      <c r="V586" s="90">
        <f>SUMIF('Avoided Costs 2009-2017'!$A:$A,Actuals!T586&amp;Actuals!S586,'Avoided Costs 2009-2017'!$K:$K)*N586</f>
        <v>0</v>
      </c>
      <c r="W586" s="90">
        <f>SUMIF('Avoided Costs 2009-2017'!$A:$A,Actuals!T586&amp;Actuals!S586,'Avoided Costs 2009-2017'!$M:$M)*R586</f>
        <v>0</v>
      </c>
      <c r="X586" s="90">
        <f t="shared" si="200"/>
        <v>32702.485136183455</v>
      </c>
      <c r="Y586" s="148">
        <v>10595</v>
      </c>
      <c r="Z586" s="149">
        <f t="shared" si="201"/>
        <v>8476</v>
      </c>
      <c r="AA586" s="148"/>
      <c r="AB586" s="145"/>
      <c r="AC586" s="145"/>
      <c r="AD586" s="148">
        <f t="shared" si="202"/>
        <v>8476</v>
      </c>
      <c r="AE586" s="122">
        <f t="shared" si="203"/>
        <v>24226.485136183455</v>
      </c>
      <c r="AF586" s="167">
        <f t="shared" si="204"/>
        <v>128534.13760000002</v>
      </c>
    </row>
    <row r="587" spans="1:32" s="150" customFormat="1" x14ac:dyDescent="0.2">
      <c r="A587" s="144" t="s">
        <v>594</v>
      </c>
      <c r="B587" s="144"/>
      <c r="C587" s="144"/>
      <c r="D587" s="145">
        <v>0</v>
      </c>
      <c r="E587" s="122"/>
      <c r="F587" s="146">
        <v>0.2</v>
      </c>
      <c r="G587" s="146"/>
      <c r="H587" s="122">
        <v>14209</v>
      </c>
      <c r="I587" s="122">
        <f t="shared" si="194"/>
        <v>13754.312</v>
      </c>
      <c r="J587" s="147">
        <f t="shared" si="195"/>
        <v>11003.4496</v>
      </c>
      <c r="K587" s="122"/>
      <c r="L587" s="122">
        <v>0</v>
      </c>
      <c r="M587" s="122">
        <f t="shared" si="196"/>
        <v>0</v>
      </c>
      <c r="N587" s="122">
        <f t="shared" si="197"/>
        <v>0</v>
      </c>
      <c r="O587" s="122"/>
      <c r="P587" s="122">
        <v>0</v>
      </c>
      <c r="Q587" s="122">
        <f t="shared" si="198"/>
        <v>0</v>
      </c>
      <c r="R587" s="147">
        <f t="shared" si="199"/>
        <v>0</v>
      </c>
      <c r="S587" s="145">
        <v>9</v>
      </c>
      <c r="T587" s="144" t="s">
        <v>1176</v>
      </c>
      <c r="U587" s="90">
        <f>SUMIF('Avoided Costs 2009-2017'!$A:$A,Actuals!T587&amp;Actuals!S587,'Avoided Costs 2009-2017'!$E:$E)*J587</f>
        <v>24512.51926434819</v>
      </c>
      <c r="V587" s="90">
        <f>SUMIF('Avoided Costs 2009-2017'!$A:$A,Actuals!T587&amp;Actuals!S587,'Avoided Costs 2009-2017'!$K:$K)*N587</f>
        <v>0</v>
      </c>
      <c r="W587" s="90">
        <f>SUMIF('Avoided Costs 2009-2017'!$A:$A,Actuals!T587&amp;Actuals!S587,'Avoided Costs 2009-2017'!$M:$M)*R587</f>
        <v>0</v>
      </c>
      <c r="X587" s="90">
        <f t="shared" si="200"/>
        <v>24512.51926434819</v>
      </c>
      <c r="Y587" s="148">
        <v>12000</v>
      </c>
      <c r="Z587" s="149">
        <f t="shared" si="201"/>
        <v>9600</v>
      </c>
      <c r="AA587" s="148"/>
      <c r="AB587" s="145"/>
      <c r="AC587" s="145"/>
      <c r="AD587" s="148">
        <f t="shared" si="202"/>
        <v>9600</v>
      </c>
      <c r="AE587" s="122">
        <f t="shared" si="203"/>
        <v>14912.51926434819</v>
      </c>
      <c r="AF587" s="167">
        <f t="shared" si="204"/>
        <v>99031.046399999992</v>
      </c>
    </row>
    <row r="588" spans="1:32" s="150" customFormat="1" x14ac:dyDescent="0.2">
      <c r="A588" s="144" t="s">
        <v>595</v>
      </c>
      <c r="B588" s="144"/>
      <c r="C588" s="144"/>
      <c r="D588" s="145">
        <v>1</v>
      </c>
      <c r="E588" s="122"/>
      <c r="F588" s="146">
        <v>0.2</v>
      </c>
      <c r="G588" s="146"/>
      <c r="H588" s="122">
        <v>26793</v>
      </c>
      <c r="I588" s="122">
        <f t="shared" si="194"/>
        <v>25935.624</v>
      </c>
      <c r="J588" s="147">
        <f t="shared" si="195"/>
        <v>20748.499200000002</v>
      </c>
      <c r="K588" s="122"/>
      <c r="L588" s="122">
        <v>0</v>
      </c>
      <c r="M588" s="122">
        <f t="shared" si="196"/>
        <v>0</v>
      </c>
      <c r="N588" s="122">
        <f t="shared" si="197"/>
        <v>0</v>
      </c>
      <c r="O588" s="122"/>
      <c r="P588" s="122">
        <v>0</v>
      </c>
      <c r="Q588" s="122">
        <f t="shared" si="198"/>
        <v>0</v>
      </c>
      <c r="R588" s="147">
        <f t="shared" si="199"/>
        <v>0</v>
      </c>
      <c r="S588" s="145">
        <v>11</v>
      </c>
      <c r="T588" s="144" t="s">
        <v>213</v>
      </c>
      <c r="U588" s="90">
        <f>SUMIF('Avoided Costs 2009-2017'!$A:$A,Actuals!T588&amp;Actuals!S588,'Avoided Costs 2009-2017'!$E:$E)*J588</f>
        <v>58068.638362632599</v>
      </c>
      <c r="V588" s="90">
        <f>SUMIF('Avoided Costs 2009-2017'!$A:$A,Actuals!T588&amp;Actuals!S588,'Avoided Costs 2009-2017'!$K:$K)*N588</f>
        <v>0</v>
      </c>
      <c r="W588" s="90">
        <f>SUMIF('Avoided Costs 2009-2017'!$A:$A,Actuals!T588&amp;Actuals!S588,'Avoided Costs 2009-2017'!$M:$M)*R588</f>
        <v>0</v>
      </c>
      <c r="X588" s="90">
        <f t="shared" si="200"/>
        <v>58068.638362632599</v>
      </c>
      <c r="Y588" s="148">
        <v>20190</v>
      </c>
      <c r="Z588" s="149">
        <f t="shared" si="201"/>
        <v>16152</v>
      </c>
      <c r="AA588" s="148"/>
      <c r="AB588" s="145"/>
      <c r="AC588" s="145"/>
      <c r="AD588" s="148">
        <f t="shared" si="202"/>
        <v>16152</v>
      </c>
      <c r="AE588" s="122">
        <f t="shared" si="203"/>
        <v>41916.638362632599</v>
      </c>
      <c r="AF588" s="167">
        <f t="shared" si="204"/>
        <v>228233.49120000002</v>
      </c>
    </row>
    <row r="589" spans="1:32" s="150" customFormat="1" x14ac:dyDescent="0.2">
      <c r="A589" s="144" t="s">
        <v>596</v>
      </c>
      <c r="B589" s="144"/>
      <c r="C589" s="144"/>
      <c r="D589" s="145">
        <v>1</v>
      </c>
      <c r="E589" s="122"/>
      <c r="F589" s="146">
        <v>0.2</v>
      </c>
      <c r="G589" s="146"/>
      <c r="H589" s="122">
        <v>89137</v>
      </c>
      <c r="I589" s="122">
        <f t="shared" si="194"/>
        <v>86284.615999999995</v>
      </c>
      <c r="J589" s="147">
        <f t="shared" si="195"/>
        <v>69027.692800000004</v>
      </c>
      <c r="K589" s="122"/>
      <c r="L589" s="122">
        <v>107044</v>
      </c>
      <c r="M589" s="122">
        <f t="shared" si="196"/>
        <v>96232.555999999997</v>
      </c>
      <c r="N589" s="122">
        <f t="shared" si="197"/>
        <v>76986.044800000003</v>
      </c>
      <c r="O589" s="122"/>
      <c r="P589" s="122">
        <v>0</v>
      </c>
      <c r="Q589" s="122">
        <f t="shared" si="198"/>
        <v>0</v>
      </c>
      <c r="R589" s="147">
        <f t="shared" si="199"/>
        <v>0</v>
      </c>
      <c r="S589" s="145">
        <v>15</v>
      </c>
      <c r="T589" s="144" t="s">
        <v>213</v>
      </c>
      <c r="U589" s="90">
        <f>SUMIF('Avoided Costs 2009-2017'!$A:$A,Actuals!T589&amp;Actuals!S589,'Avoided Costs 2009-2017'!$E:$E)*J589</f>
        <v>233465.84901004139</v>
      </c>
      <c r="V589" s="90">
        <f>SUMIF('Avoided Costs 2009-2017'!$A:$A,Actuals!T589&amp;Actuals!S589,'Avoided Costs 2009-2017'!$K:$K)*N589</f>
        <v>57472.559585308467</v>
      </c>
      <c r="W589" s="90">
        <f>SUMIF('Avoided Costs 2009-2017'!$A:$A,Actuals!T589&amp;Actuals!S589,'Avoided Costs 2009-2017'!$M:$M)*R589</f>
        <v>0</v>
      </c>
      <c r="X589" s="90">
        <f t="shared" si="200"/>
        <v>290938.40859534987</v>
      </c>
      <c r="Y589" s="148">
        <v>23400</v>
      </c>
      <c r="Z589" s="149">
        <f t="shared" si="201"/>
        <v>18720</v>
      </c>
      <c r="AA589" s="148"/>
      <c r="AB589" s="145"/>
      <c r="AC589" s="145"/>
      <c r="AD589" s="148">
        <f t="shared" si="202"/>
        <v>18720</v>
      </c>
      <c r="AE589" s="122">
        <f t="shared" si="203"/>
        <v>272218.40859534987</v>
      </c>
      <c r="AF589" s="167">
        <f t="shared" si="204"/>
        <v>1035415.3920000001</v>
      </c>
    </row>
    <row r="590" spans="1:32" s="150" customFormat="1" x14ac:dyDescent="0.2">
      <c r="A590" s="144" t="s">
        <v>597</v>
      </c>
      <c r="B590" s="144"/>
      <c r="C590" s="144"/>
      <c r="D590" s="145">
        <v>1</v>
      </c>
      <c r="E590" s="122"/>
      <c r="F590" s="146">
        <v>0.2</v>
      </c>
      <c r="G590" s="146"/>
      <c r="H590" s="122">
        <v>35953</v>
      </c>
      <c r="I590" s="122">
        <f t="shared" si="194"/>
        <v>34802.504000000001</v>
      </c>
      <c r="J590" s="147">
        <f t="shared" si="195"/>
        <v>27842.003200000003</v>
      </c>
      <c r="K590" s="122"/>
      <c r="L590" s="122">
        <v>35681</v>
      </c>
      <c r="M590" s="122">
        <f t="shared" si="196"/>
        <v>32077.219000000001</v>
      </c>
      <c r="N590" s="122">
        <f t="shared" si="197"/>
        <v>25661.775200000004</v>
      </c>
      <c r="O590" s="122"/>
      <c r="P590" s="122">
        <v>0</v>
      </c>
      <c r="Q590" s="122">
        <f t="shared" si="198"/>
        <v>0</v>
      </c>
      <c r="R590" s="147">
        <f t="shared" si="199"/>
        <v>0</v>
      </c>
      <c r="S590" s="145">
        <v>15</v>
      </c>
      <c r="T590" s="144" t="s">
        <v>213</v>
      </c>
      <c r="U590" s="90">
        <f>SUMIF('Avoided Costs 2009-2017'!$A:$A,Actuals!T590&amp;Actuals!S590,'Avoided Costs 2009-2017'!$E:$E)*J590</f>
        <v>94167.379084533008</v>
      </c>
      <c r="V590" s="90">
        <f>SUMIF('Avoided Costs 2009-2017'!$A:$A,Actuals!T590&amp;Actuals!S590,'Avoided Costs 2009-2017'!$K:$K)*N590</f>
        <v>19157.340893122375</v>
      </c>
      <c r="W590" s="90">
        <f>SUMIF('Avoided Costs 2009-2017'!$A:$A,Actuals!T590&amp;Actuals!S590,'Avoided Costs 2009-2017'!$M:$M)*R590</f>
        <v>0</v>
      </c>
      <c r="X590" s="90">
        <f t="shared" si="200"/>
        <v>113324.71997765539</v>
      </c>
      <c r="Y590" s="148">
        <v>9055</v>
      </c>
      <c r="Z590" s="149">
        <f t="shared" si="201"/>
        <v>7244</v>
      </c>
      <c r="AA590" s="148"/>
      <c r="AB590" s="145"/>
      <c r="AC590" s="145"/>
      <c r="AD590" s="148">
        <f t="shared" si="202"/>
        <v>7244</v>
      </c>
      <c r="AE590" s="122">
        <f t="shared" si="203"/>
        <v>106080.71997765539</v>
      </c>
      <c r="AF590" s="167">
        <f t="shared" si="204"/>
        <v>417630.04800000007</v>
      </c>
    </row>
    <row r="591" spans="1:32" s="150" customFormat="1" x14ac:dyDescent="0.2">
      <c r="A591" s="144" t="s">
        <v>598</v>
      </c>
      <c r="B591" s="144"/>
      <c r="C591" s="144"/>
      <c r="D591" s="145">
        <v>1</v>
      </c>
      <c r="E591" s="122"/>
      <c r="F591" s="146">
        <v>0.2</v>
      </c>
      <c r="G591" s="146"/>
      <c r="H591" s="122">
        <v>73695</v>
      </c>
      <c r="I591" s="122">
        <f t="shared" si="194"/>
        <v>71336.759999999995</v>
      </c>
      <c r="J591" s="147">
        <f t="shared" si="195"/>
        <v>57069.407999999996</v>
      </c>
      <c r="K591" s="122"/>
      <c r="L591" s="122">
        <v>0</v>
      </c>
      <c r="M591" s="122">
        <f t="shared" si="196"/>
        <v>0</v>
      </c>
      <c r="N591" s="122">
        <f t="shared" si="197"/>
        <v>0</v>
      </c>
      <c r="O591" s="122"/>
      <c r="P591" s="122">
        <v>0</v>
      </c>
      <c r="Q591" s="122">
        <f t="shared" si="198"/>
        <v>0</v>
      </c>
      <c r="R591" s="147">
        <f t="shared" si="199"/>
        <v>0</v>
      </c>
      <c r="S591" s="145">
        <v>15</v>
      </c>
      <c r="T591" s="144" t="s">
        <v>213</v>
      </c>
      <c r="U591" s="90">
        <f>SUMIF('Avoided Costs 2009-2017'!$A:$A,Actuals!T591&amp;Actuals!S591,'Avoided Costs 2009-2017'!$E:$E)*J591</f>
        <v>193020.47121616162</v>
      </c>
      <c r="V591" s="90">
        <f>SUMIF('Avoided Costs 2009-2017'!$A:$A,Actuals!T591&amp;Actuals!S591,'Avoided Costs 2009-2017'!$K:$K)*N591</f>
        <v>0</v>
      </c>
      <c r="W591" s="90">
        <f>SUMIF('Avoided Costs 2009-2017'!$A:$A,Actuals!T591&amp;Actuals!S591,'Avoided Costs 2009-2017'!$M:$M)*R591</f>
        <v>0</v>
      </c>
      <c r="X591" s="90">
        <f t="shared" si="200"/>
        <v>193020.47121616162</v>
      </c>
      <c r="Y591" s="148">
        <v>132240</v>
      </c>
      <c r="Z591" s="149">
        <f t="shared" si="201"/>
        <v>105792</v>
      </c>
      <c r="AA591" s="148"/>
      <c r="AB591" s="145"/>
      <c r="AC591" s="145"/>
      <c r="AD591" s="148">
        <f t="shared" si="202"/>
        <v>105792</v>
      </c>
      <c r="AE591" s="122">
        <f t="shared" si="203"/>
        <v>87228.471216161619</v>
      </c>
      <c r="AF591" s="167">
        <f t="shared" si="204"/>
        <v>856041.11999999988</v>
      </c>
    </row>
    <row r="592" spans="1:32" s="150" customFormat="1" x14ac:dyDescent="0.2">
      <c r="A592" s="144" t="s">
        <v>599</v>
      </c>
      <c r="B592" s="144"/>
      <c r="C592" s="144"/>
      <c r="D592" s="145">
        <v>0</v>
      </c>
      <c r="E592" s="122"/>
      <c r="F592" s="146">
        <v>0.2</v>
      </c>
      <c r="G592" s="146"/>
      <c r="H592" s="122">
        <v>15782</v>
      </c>
      <c r="I592" s="122">
        <f t="shared" si="194"/>
        <v>15276.975999999999</v>
      </c>
      <c r="J592" s="147">
        <f t="shared" si="195"/>
        <v>12221.5808</v>
      </c>
      <c r="K592" s="122"/>
      <c r="L592" s="122">
        <v>0</v>
      </c>
      <c r="M592" s="122">
        <f t="shared" si="196"/>
        <v>0</v>
      </c>
      <c r="N592" s="122">
        <f t="shared" si="197"/>
        <v>0</v>
      </c>
      <c r="O592" s="122"/>
      <c r="P592" s="122">
        <v>0</v>
      </c>
      <c r="Q592" s="122">
        <f t="shared" si="198"/>
        <v>0</v>
      </c>
      <c r="R592" s="147">
        <f t="shared" si="199"/>
        <v>0</v>
      </c>
      <c r="S592" s="145">
        <v>8</v>
      </c>
      <c r="T592" s="144" t="s">
        <v>1176</v>
      </c>
      <c r="U592" s="90">
        <f>SUMIF('Avoided Costs 2009-2017'!$A:$A,Actuals!T592&amp;Actuals!S592,'Avoided Costs 2009-2017'!$E:$E)*J592</f>
        <v>25039.61726541532</v>
      </c>
      <c r="V592" s="90">
        <f>SUMIF('Avoided Costs 2009-2017'!$A:$A,Actuals!T592&amp;Actuals!S592,'Avoided Costs 2009-2017'!$K:$K)*N592</f>
        <v>0</v>
      </c>
      <c r="W592" s="90">
        <f>SUMIF('Avoided Costs 2009-2017'!$A:$A,Actuals!T592&amp;Actuals!S592,'Avoided Costs 2009-2017'!$M:$M)*R592</f>
        <v>0</v>
      </c>
      <c r="X592" s="90">
        <f t="shared" si="200"/>
        <v>25039.61726541532</v>
      </c>
      <c r="Y592" s="148">
        <v>35384</v>
      </c>
      <c r="Z592" s="149">
        <f t="shared" si="201"/>
        <v>28307.200000000001</v>
      </c>
      <c r="AA592" s="148"/>
      <c r="AB592" s="145"/>
      <c r="AC592" s="145"/>
      <c r="AD592" s="148">
        <f t="shared" si="202"/>
        <v>28307.200000000001</v>
      </c>
      <c r="AE592" s="122">
        <f t="shared" si="203"/>
        <v>-3267.582734584681</v>
      </c>
      <c r="AF592" s="167">
        <f t="shared" si="204"/>
        <v>97772.646399999998</v>
      </c>
    </row>
    <row r="593" spans="1:32" s="150" customFormat="1" x14ac:dyDescent="0.2">
      <c r="A593" s="144" t="s">
        <v>600</v>
      </c>
      <c r="B593" s="144"/>
      <c r="C593" s="144"/>
      <c r="D593" s="145">
        <v>0</v>
      </c>
      <c r="E593" s="122"/>
      <c r="F593" s="146">
        <v>0.2</v>
      </c>
      <c r="G593" s="146"/>
      <c r="H593" s="122">
        <v>61742</v>
      </c>
      <c r="I593" s="122">
        <f t="shared" si="194"/>
        <v>59766.256000000001</v>
      </c>
      <c r="J593" s="147">
        <f t="shared" si="195"/>
        <v>47813.004800000002</v>
      </c>
      <c r="K593" s="122"/>
      <c r="L593" s="122">
        <v>76032</v>
      </c>
      <c r="M593" s="122">
        <f t="shared" si="196"/>
        <v>68352.767999999996</v>
      </c>
      <c r="N593" s="122">
        <f t="shared" si="197"/>
        <v>54682.214399999997</v>
      </c>
      <c r="O593" s="122"/>
      <c r="P593" s="122">
        <v>0</v>
      </c>
      <c r="Q593" s="122">
        <f t="shared" si="198"/>
        <v>0</v>
      </c>
      <c r="R593" s="147">
        <f t="shared" si="199"/>
        <v>0</v>
      </c>
      <c r="S593" s="145">
        <v>15</v>
      </c>
      <c r="T593" s="144" t="s">
        <v>213</v>
      </c>
      <c r="U593" s="90">
        <f>SUMIF('Avoided Costs 2009-2017'!$A:$A,Actuals!T593&amp;Actuals!S593,'Avoided Costs 2009-2017'!$E:$E)*J593</f>
        <v>161713.4124951252</v>
      </c>
      <c r="V593" s="90">
        <f>SUMIF('Avoided Costs 2009-2017'!$A:$A,Actuals!T593&amp;Actuals!S593,'Avoided Costs 2009-2017'!$K:$K)*N593</f>
        <v>40822.032532324767</v>
      </c>
      <c r="W593" s="90">
        <f>SUMIF('Avoided Costs 2009-2017'!$A:$A,Actuals!T593&amp;Actuals!S593,'Avoided Costs 2009-2017'!$M:$M)*R593</f>
        <v>0</v>
      </c>
      <c r="X593" s="90">
        <f t="shared" si="200"/>
        <v>202535.44502744998</v>
      </c>
      <c r="Y593" s="148">
        <v>25677</v>
      </c>
      <c r="Z593" s="149">
        <f t="shared" si="201"/>
        <v>20541.600000000002</v>
      </c>
      <c r="AA593" s="148"/>
      <c r="AB593" s="145"/>
      <c r="AC593" s="145"/>
      <c r="AD593" s="148">
        <f t="shared" si="202"/>
        <v>20541.600000000002</v>
      </c>
      <c r="AE593" s="122">
        <f t="shared" si="203"/>
        <v>181993.84502744998</v>
      </c>
      <c r="AF593" s="167">
        <f t="shared" si="204"/>
        <v>717195.07200000004</v>
      </c>
    </row>
    <row r="594" spans="1:32" s="150" customFormat="1" x14ac:dyDescent="0.2">
      <c r="A594" s="144" t="s">
        <v>601</v>
      </c>
      <c r="B594" s="144"/>
      <c r="C594" s="144"/>
      <c r="D594" s="145">
        <v>1</v>
      </c>
      <c r="E594" s="122"/>
      <c r="F594" s="146">
        <v>0.2</v>
      </c>
      <c r="G594" s="146"/>
      <c r="H594" s="122">
        <v>18764</v>
      </c>
      <c r="I594" s="122">
        <f t="shared" si="194"/>
        <v>18163.552</v>
      </c>
      <c r="J594" s="147">
        <f t="shared" si="195"/>
        <v>14530.8416</v>
      </c>
      <c r="K594" s="122"/>
      <c r="L594" s="122">
        <v>0</v>
      </c>
      <c r="M594" s="122">
        <f t="shared" si="196"/>
        <v>0</v>
      </c>
      <c r="N594" s="122">
        <f t="shared" si="197"/>
        <v>0</v>
      </c>
      <c r="O594" s="122"/>
      <c r="P594" s="122">
        <v>0</v>
      </c>
      <c r="Q594" s="122">
        <f t="shared" si="198"/>
        <v>0</v>
      </c>
      <c r="R594" s="147">
        <f t="shared" si="199"/>
        <v>0</v>
      </c>
      <c r="S594" s="145">
        <v>11</v>
      </c>
      <c r="T594" s="144" t="s">
        <v>213</v>
      </c>
      <c r="U594" s="90">
        <f>SUMIF('Avoided Costs 2009-2017'!$A:$A,Actuals!T594&amp;Actuals!S594,'Avoided Costs 2009-2017'!$E:$E)*J594</f>
        <v>40667.335880134284</v>
      </c>
      <c r="V594" s="90">
        <f>SUMIF('Avoided Costs 2009-2017'!$A:$A,Actuals!T594&amp;Actuals!S594,'Avoided Costs 2009-2017'!$K:$K)*N594</f>
        <v>0</v>
      </c>
      <c r="W594" s="90">
        <f>SUMIF('Avoided Costs 2009-2017'!$A:$A,Actuals!T594&amp;Actuals!S594,'Avoided Costs 2009-2017'!$M:$M)*R594</f>
        <v>0</v>
      </c>
      <c r="X594" s="90">
        <f t="shared" si="200"/>
        <v>40667.335880134284</v>
      </c>
      <c r="Y594" s="148">
        <v>63661</v>
      </c>
      <c r="Z594" s="149">
        <f t="shared" si="201"/>
        <v>50928.800000000003</v>
      </c>
      <c r="AA594" s="148"/>
      <c r="AB594" s="145"/>
      <c r="AC594" s="145"/>
      <c r="AD594" s="148">
        <f t="shared" si="202"/>
        <v>50928.800000000003</v>
      </c>
      <c r="AE594" s="122">
        <f t="shared" si="203"/>
        <v>-10261.464119865719</v>
      </c>
      <c r="AF594" s="167">
        <f t="shared" si="204"/>
        <v>159839.25760000001</v>
      </c>
    </row>
    <row r="595" spans="1:32" s="150" customFormat="1" x14ac:dyDescent="0.2">
      <c r="A595" s="144" t="s">
        <v>602</v>
      </c>
      <c r="B595" s="144"/>
      <c r="C595" s="144"/>
      <c r="D595" s="145">
        <v>0</v>
      </c>
      <c r="E595" s="122"/>
      <c r="F595" s="146">
        <v>0.2</v>
      </c>
      <c r="G595" s="146"/>
      <c r="H595" s="122">
        <v>33314</v>
      </c>
      <c r="I595" s="122">
        <f t="shared" si="194"/>
        <v>32247.951999999997</v>
      </c>
      <c r="J595" s="147">
        <f t="shared" si="195"/>
        <v>25798.3616</v>
      </c>
      <c r="K595" s="122"/>
      <c r="L595" s="122">
        <v>0</v>
      </c>
      <c r="M595" s="122">
        <f t="shared" si="196"/>
        <v>0</v>
      </c>
      <c r="N595" s="122">
        <f t="shared" si="197"/>
        <v>0</v>
      </c>
      <c r="O595" s="122"/>
      <c r="P595" s="122">
        <v>0</v>
      </c>
      <c r="Q595" s="122">
        <f t="shared" si="198"/>
        <v>0</v>
      </c>
      <c r="R595" s="147">
        <f t="shared" si="199"/>
        <v>0</v>
      </c>
      <c r="S595" s="145">
        <v>8</v>
      </c>
      <c r="T595" s="144" t="s">
        <v>1176</v>
      </c>
      <c r="U595" s="90">
        <f>SUMIF('Avoided Costs 2009-2017'!$A:$A,Actuals!T595&amp;Actuals!S595,'Avoided Costs 2009-2017'!$E:$E)*J595</f>
        <v>52855.773005959061</v>
      </c>
      <c r="V595" s="90">
        <f>SUMIF('Avoided Costs 2009-2017'!$A:$A,Actuals!T595&amp;Actuals!S595,'Avoided Costs 2009-2017'!$K:$K)*N595</f>
        <v>0</v>
      </c>
      <c r="W595" s="90">
        <f>SUMIF('Avoided Costs 2009-2017'!$A:$A,Actuals!T595&amp;Actuals!S595,'Avoided Costs 2009-2017'!$M:$M)*R595</f>
        <v>0</v>
      </c>
      <c r="X595" s="90">
        <f t="shared" si="200"/>
        <v>52855.773005959061</v>
      </c>
      <c r="Y595" s="148">
        <v>71934</v>
      </c>
      <c r="Z595" s="149">
        <f t="shared" si="201"/>
        <v>57547.200000000004</v>
      </c>
      <c r="AA595" s="148"/>
      <c r="AB595" s="145"/>
      <c r="AC595" s="145"/>
      <c r="AD595" s="148">
        <f t="shared" si="202"/>
        <v>57547.200000000004</v>
      </c>
      <c r="AE595" s="122">
        <f t="shared" si="203"/>
        <v>-4691.4269940409431</v>
      </c>
      <c r="AF595" s="167">
        <f t="shared" si="204"/>
        <v>206386.8928</v>
      </c>
    </row>
    <row r="596" spans="1:32" s="150" customFormat="1" x14ac:dyDescent="0.2">
      <c r="A596" s="144" t="s">
        <v>603</v>
      </c>
      <c r="B596" s="144"/>
      <c r="C596" s="144"/>
      <c r="D596" s="145">
        <v>0</v>
      </c>
      <c r="E596" s="122"/>
      <c r="F596" s="146">
        <v>0.2</v>
      </c>
      <c r="G596" s="146"/>
      <c r="H596" s="122">
        <v>136325</v>
      </c>
      <c r="I596" s="122">
        <f t="shared" si="194"/>
        <v>131962.6</v>
      </c>
      <c r="J596" s="147">
        <f t="shared" si="195"/>
        <v>105570.08000000002</v>
      </c>
      <c r="K596" s="122"/>
      <c r="L596" s="122">
        <v>134473</v>
      </c>
      <c r="M596" s="122">
        <f t="shared" si="196"/>
        <v>120891.227</v>
      </c>
      <c r="N596" s="122">
        <f t="shared" si="197"/>
        <v>96712.981599999999</v>
      </c>
      <c r="O596" s="122"/>
      <c r="P596" s="122">
        <v>0</v>
      </c>
      <c r="Q596" s="122">
        <f t="shared" si="198"/>
        <v>0</v>
      </c>
      <c r="R596" s="147">
        <f t="shared" si="199"/>
        <v>0</v>
      </c>
      <c r="S596" s="145">
        <v>15</v>
      </c>
      <c r="T596" s="144" t="s">
        <v>213</v>
      </c>
      <c r="U596" s="90">
        <f>SUMIF('Avoided Costs 2009-2017'!$A:$A,Actuals!T596&amp;Actuals!S596,'Avoided Costs 2009-2017'!$E:$E)*J596</f>
        <v>357059.71556473628</v>
      </c>
      <c r="V596" s="90">
        <f>SUMIF('Avoided Costs 2009-2017'!$A:$A,Actuals!T596&amp;Actuals!S596,'Avoided Costs 2009-2017'!$K:$K)*N596</f>
        <v>72199.352650453875</v>
      </c>
      <c r="W596" s="90">
        <f>SUMIF('Avoided Costs 2009-2017'!$A:$A,Actuals!T596&amp;Actuals!S596,'Avoided Costs 2009-2017'!$M:$M)*R596</f>
        <v>0</v>
      </c>
      <c r="X596" s="90">
        <f t="shared" si="200"/>
        <v>429259.06821519014</v>
      </c>
      <c r="Y596" s="148">
        <v>17712</v>
      </c>
      <c r="Z596" s="149">
        <f t="shared" si="201"/>
        <v>14169.6</v>
      </c>
      <c r="AA596" s="148"/>
      <c r="AB596" s="145"/>
      <c r="AC596" s="145"/>
      <c r="AD596" s="148">
        <f t="shared" si="202"/>
        <v>14169.6</v>
      </c>
      <c r="AE596" s="122">
        <f t="shared" si="203"/>
        <v>415089.46821519017</v>
      </c>
      <c r="AF596" s="167">
        <f t="shared" si="204"/>
        <v>1583551.2000000002</v>
      </c>
    </row>
    <row r="597" spans="1:32" s="150" customFormat="1" x14ac:dyDescent="0.2">
      <c r="A597" s="144" t="s">
        <v>604</v>
      </c>
      <c r="B597" s="144"/>
      <c r="C597" s="144"/>
      <c r="D597" s="145">
        <v>1</v>
      </c>
      <c r="E597" s="122"/>
      <c r="F597" s="146">
        <v>0.2</v>
      </c>
      <c r="G597" s="146"/>
      <c r="H597" s="122">
        <v>30375</v>
      </c>
      <c r="I597" s="122">
        <f t="shared" si="194"/>
        <v>29403</v>
      </c>
      <c r="J597" s="147">
        <f t="shared" si="195"/>
        <v>23522.400000000001</v>
      </c>
      <c r="K597" s="122"/>
      <c r="L597" s="122">
        <v>0</v>
      </c>
      <c r="M597" s="122">
        <f t="shared" si="196"/>
        <v>0</v>
      </c>
      <c r="N597" s="122">
        <f t="shared" si="197"/>
        <v>0</v>
      </c>
      <c r="O597" s="122"/>
      <c r="P597" s="122">
        <v>0</v>
      </c>
      <c r="Q597" s="122">
        <f t="shared" si="198"/>
        <v>0</v>
      </c>
      <c r="R597" s="147">
        <f t="shared" si="199"/>
        <v>0</v>
      </c>
      <c r="S597" s="145">
        <v>11</v>
      </c>
      <c r="T597" s="144" t="s">
        <v>213</v>
      </c>
      <c r="U597" s="90">
        <f>SUMIF('Avoided Costs 2009-2017'!$A:$A,Actuals!T597&amp;Actuals!S597,'Avoided Costs 2009-2017'!$E:$E)*J597</f>
        <v>65831.929618369162</v>
      </c>
      <c r="V597" s="90">
        <f>SUMIF('Avoided Costs 2009-2017'!$A:$A,Actuals!T597&amp;Actuals!S597,'Avoided Costs 2009-2017'!$K:$K)*N597</f>
        <v>0</v>
      </c>
      <c r="W597" s="90">
        <f>SUMIF('Avoided Costs 2009-2017'!$A:$A,Actuals!T597&amp;Actuals!S597,'Avoided Costs 2009-2017'!$M:$M)*R597</f>
        <v>0</v>
      </c>
      <c r="X597" s="90">
        <f t="shared" si="200"/>
        <v>65831.929618369162</v>
      </c>
      <c r="Y597" s="148">
        <v>96740</v>
      </c>
      <c r="Z597" s="149">
        <f t="shared" si="201"/>
        <v>77392</v>
      </c>
      <c r="AA597" s="148"/>
      <c r="AB597" s="145"/>
      <c r="AC597" s="145"/>
      <c r="AD597" s="148">
        <f t="shared" si="202"/>
        <v>77392</v>
      </c>
      <c r="AE597" s="122">
        <f t="shared" si="203"/>
        <v>-11560.070381630838</v>
      </c>
      <c r="AF597" s="167">
        <f t="shared" si="204"/>
        <v>258746.40000000002</v>
      </c>
    </row>
    <row r="598" spans="1:32" s="150" customFormat="1" x14ac:dyDescent="0.2">
      <c r="A598" s="144" t="s">
        <v>605</v>
      </c>
      <c r="B598" s="144"/>
      <c r="C598" s="144"/>
      <c r="D598" s="145">
        <v>0</v>
      </c>
      <c r="E598" s="122"/>
      <c r="F598" s="146">
        <v>0.2</v>
      </c>
      <c r="G598" s="146"/>
      <c r="H598" s="122">
        <v>21547</v>
      </c>
      <c r="I598" s="122">
        <f t="shared" si="194"/>
        <v>20857.495999999999</v>
      </c>
      <c r="J598" s="147">
        <f t="shared" si="195"/>
        <v>16685.996800000001</v>
      </c>
      <c r="K598" s="122"/>
      <c r="L598" s="122">
        <v>0</v>
      </c>
      <c r="M598" s="122">
        <f t="shared" si="196"/>
        <v>0</v>
      </c>
      <c r="N598" s="122">
        <f t="shared" si="197"/>
        <v>0</v>
      </c>
      <c r="O598" s="122"/>
      <c r="P598" s="122">
        <v>0</v>
      </c>
      <c r="Q598" s="122">
        <f t="shared" si="198"/>
        <v>0</v>
      </c>
      <c r="R598" s="147">
        <f t="shared" si="199"/>
        <v>0</v>
      </c>
      <c r="S598" s="145">
        <v>8</v>
      </c>
      <c r="T598" s="144" t="s">
        <v>1176</v>
      </c>
      <c r="U598" s="90">
        <f>SUMIF('Avoided Costs 2009-2017'!$A:$A,Actuals!T598&amp;Actuals!S598,'Avoided Costs 2009-2017'!$E:$E)*J598</f>
        <v>34186.328299195535</v>
      </c>
      <c r="V598" s="90">
        <f>SUMIF('Avoided Costs 2009-2017'!$A:$A,Actuals!T598&amp;Actuals!S598,'Avoided Costs 2009-2017'!$K:$K)*N598</f>
        <v>0</v>
      </c>
      <c r="W598" s="90">
        <f>SUMIF('Avoided Costs 2009-2017'!$A:$A,Actuals!T598&amp;Actuals!S598,'Avoided Costs 2009-2017'!$M:$M)*R598</f>
        <v>0</v>
      </c>
      <c r="X598" s="90">
        <f t="shared" si="200"/>
        <v>34186.328299195535</v>
      </c>
      <c r="Y598" s="148">
        <v>7579</v>
      </c>
      <c r="Z598" s="149">
        <f t="shared" si="201"/>
        <v>6063.2000000000007</v>
      </c>
      <c r="AA598" s="148"/>
      <c r="AB598" s="145"/>
      <c r="AC598" s="145"/>
      <c r="AD598" s="148">
        <f t="shared" si="202"/>
        <v>6063.2000000000007</v>
      </c>
      <c r="AE598" s="122">
        <f t="shared" si="203"/>
        <v>28123.128299195534</v>
      </c>
      <c r="AF598" s="167">
        <f t="shared" si="204"/>
        <v>133487.97440000001</v>
      </c>
    </row>
    <row r="599" spans="1:32" s="150" customFormat="1" x14ac:dyDescent="0.2">
      <c r="A599" s="144" t="s">
        <v>606</v>
      </c>
      <c r="B599" s="144"/>
      <c r="C599" s="144"/>
      <c r="D599" s="145">
        <v>0</v>
      </c>
      <c r="E599" s="122"/>
      <c r="F599" s="146">
        <v>0.2</v>
      </c>
      <c r="G599" s="146"/>
      <c r="H599" s="122">
        <v>20241</v>
      </c>
      <c r="I599" s="122">
        <f t="shared" si="194"/>
        <v>19593.288</v>
      </c>
      <c r="J599" s="147">
        <f t="shared" si="195"/>
        <v>15674.630400000002</v>
      </c>
      <c r="K599" s="122"/>
      <c r="L599" s="122">
        <v>0</v>
      </c>
      <c r="M599" s="122">
        <f t="shared" si="196"/>
        <v>0</v>
      </c>
      <c r="N599" s="122">
        <f t="shared" si="197"/>
        <v>0</v>
      </c>
      <c r="O599" s="122"/>
      <c r="P599" s="122">
        <v>0</v>
      </c>
      <c r="Q599" s="122">
        <f t="shared" si="198"/>
        <v>0</v>
      </c>
      <c r="R599" s="147">
        <f t="shared" si="199"/>
        <v>0</v>
      </c>
      <c r="S599" s="145">
        <v>15</v>
      </c>
      <c r="T599" s="144" t="s">
        <v>213</v>
      </c>
      <c r="U599" s="90">
        <f>SUMIF('Avoided Costs 2009-2017'!$A:$A,Actuals!T599&amp;Actuals!S599,'Avoided Costs 2009-2017'!$E:$E)*J599</f>
        <v>53014.822686563923</v>
      </c>
      <c r="V599" s="90">
        <f>SUMIF('Avoided Costs 2009-2017'!$A:$A,Actuals!T599&amp;Actuals!S599,'Avoided Costs 2009-2017'!$K:$K)*N599</f>
        <v>0</v>
      </c>
      <c r="W599" s="90">
        <f>SUMIF('Avoided Costs 2009-2017'!$A:$A,Actuals!T599&amp;Actuals!S599,'Avoided Costs 2009-2017'!$M:$M)*R599</f>
        <v>0</v>
      </c>
      <c r="X599" s="90">
        <f t="shared" si="200"/>
        <v>53014.822686563923</v>
      </c>
      <c r="Y599" s="148">
        <v>13170</v>
      </c>
      <c r="Z599" s="149">
        <f t="shared" si="201"/>
        <v>10536</v>
      </c>
      <c r="AA599" s="148"/>
      <c r="AB599" s="145"/>
      <c r="AC599" s="145"/>
      <c r="AD599" s="148">
        <f t="shared" si="202"/>
        <v>10536</v>
      </c>
      <c r="AE599" s="122">
        <f t="shared" si="203"/>
        <v>42478.822686563923</v>
      </c>
      <c r="AF599" s="167">
        <f t="shared" si="204"/>
        <v>235119.45600000003</v>
      </c>
    </row>
    <row r="600" spans="1:32" s="150" customFormat="1" x14ac:dyDescent="0.2">
      <c r="A600" s="144" t="s">
        <v>607</v>
      </c>
      <c r="B600" s="144"/>
      <c r="C600" s="144"/>
      <c r="D600" s="145">
        <v>1</v>
      </c>
      <c r="E600" s="122"/>
      <c r="F600" s="146">
        <v>0.2</v>
      </c>
      <c r="G600" s="146"/>
      <c r="H600" s="122">
        <v>87074</v>
      </c>
      <c r="I600" s="122">
        <f t="shared" si="194"/>
        <v>84287.631999999998</v>
      </c>
      <c r="J600" s="147">
        <f t="shared" si="195"/>
        <v>67430.105599999995</v>
      </c>
      <c r="K600" s="122"/>
      <c r="L600" s="122">
        <v>0</v>
      </c>
      <c r="M600" s="122">
        <f t="shared" si="196"/>
        <v>0</v>
      </c>
      <c r="N600" s="122">
        <f t="shared" si="197"/>
        <v>0</v>
      </c>
      <c r="O600" s="122"/>
      <c r="P600" s="122">
        <v>0</v>
      </c>
      <c r="Q600" s="122">
        <f t="shared" si="198"/>
        <v>0</v>
      </c>
      <c r="R600" s="147">
        <f t="shared" si="199"/>
        <v>0</v>
      </c>
      <c r="S600" s="145">
        <v>11</v>
      </c>
      <c r="T600" s="144" t="s">
        <v>213</v>
      </c>
      <c r="U600" s="90">
        <f>SUMIF('Avoided Costs 2009-2017'!$A:$A,Actuals!T600&amp;Actuals!S600,'Avoided Costs 2009-2017'!$E:$E)*J600</f>
        <v>188716.03093300003</v>
      </c>
      <c r="V600" s="90">
        <f>SUMIF('Avoided Costs 2009-2017'!$A:$A,Actuals!T600&amp;Actuals!S600,'Avoided Costs 2009-2017'!$K:$K)*N600</f>
        <v>0</v>
      </c>
      <c r="W600" s="90">
        <f>SUMIF('Avoided Costs 2009-2017'!$A:$A,Actuals!T600&amp;Actuals!S600,'Avoided Costs 2009-2017'!$M:$M)*R600</f>
        <v>0</v>
      </c>
      <c r="X600" s="90">
        <f t="shared" si="200"/>
        <v>188716.03093300003</v>
      </c>
      <c r="Y600" s="148">
        <v>46826</v>
      </c>
      <c r="Z600" s="149">
        <f t="shared" si="201"/>
        <v>37460.800000000003</v>
      </c>
      <c r="AA600" s="148"/>
      <c r="AB600" s="145"/>
      <c r="AC600" s="145"/>
      <c r="AD600" s="148">
        <f t="shared" si="202"/>
        <v>37460.800000000003</v>
      </c>
      <c r="AE600" s="122">
        <f t="shared" si="203"/>
        <v>151255.23093300004</v>
      </c>
      <c r="AF600" s="167">
        <f t="shared" si="204"/>
        <v>741731.16159999999</v>
      </c>
    </row>
    <row r="601" spans="1:32" s="150" customFormat="1" x14ac:dyDescent="0.2">
      <c r="A601" s="144" t="s">
        <v>608</v>
      </c>
      <c r="B601" s="144"/>
      <c r="C601" s="144"/>
      <c r="D601" s="145">
        <v>0</v>
      </c>
      <c r="E601" s="122"/>
      <c r="F601" s="146">
        <v>0.2</v>
      </c>
      <c r="G601" s="146"/>
      <c r="H601" s="122">
        <v>9529</v>
      </c>
      <c r="I601" s="122">
        <f t="shared" si="194"/>
        <v>9224.0720000000001</v>
      </c>
      <c r="J601" s="147">
        <f t="shared" si="195"/>
        <v>7379.2576000000008</v>
      </c>
      <c r="K601" s="122"/>
      <c r="L601" s="122">
        <v>0</v>
      </c>
      <c r="M601" s="122">
        <f t="shared" si="196"/>
        <v>0</v>
      </c>
      <c r="N601" s="122">
        <f t="shared" si="197"/>
        <v>0</v>
      </c>
      <c r="O601" s="122"/>
      <c r="P601" s="122">
        <v>0</v>
      </c>
      <c r="Q601" s="122">
        <f t="shared" si="198"/>
        <v>0</v>
      </c>
      <c r="R601" s="147">
        <f t="shared" si="199"/>
        <v>0</v>
      </c>
      <c r="S601" s="145">
        <v>8</v>
      </c>
      <c r="T601" s="144" t="s">
        <v>1176</v>
      </c>
      <c r="U601" s="90">
        <f>SUMIF('Avoided Costs 2009-2017'!$A:$A,Actuals!T601&amp;Actuals!S601,'Avoided Costs 2009-2017'!$E:$E)*J601</f>
        <v>15118.648645427867</v>
      </c>
      <c r="V601" s="90">
        <f>SUMIF('Avoided Costs 2009-2017'!$A:$A,Actuals!T601&amp;Actuals!S601,'Avoided Costs 2009-2017'!$K:$K)*N601</f>
        <v>0</v>
      </c>
      <c r="W601" s="90">
        <f>SUMIF('Avoided Costs 2009-2017'!$A:$A,Actuals!T601&amp;Actuals!S601,'Avoided Costs 2009-2017'!$M:$M)*R601</f>
        <v>0</v>
      </c>
      <c r="X601" s="90">
        <f t="shared" si="200"/>
        <v>15118.648645427867</v>
      </c>
      <c r="Y601" s="148">
        <v>7288</v>
      </c>
      <c r="Z601" s="149">
        <f t="shared" si="201"/>
        <v>5830.4000000000005</v>
      </c>
      <c r="AA601" s="148"/>
      <c r="AB601" s="145"/>
      <c r="AC601" s="145"/>
      <c r="AD601" s="148">
        <f t="shared" si="202"/>
        <v>5830.4000000000005</v>
      </c>
      <c r="AE601" s="122">
        <f t="shared" si="203"/>
        <v>9288.248645427866</v>
      </c>
      <c r="AF601" s="167">
        <f t="shared" si="204"/>
        <v>59034.060800000007</v>
      </c>
    </row>
    <row r="602" spans="1:32" s="150" customFormat="1" x14ac:dyDescent="0.2">
      <c r="A602" s="144" t="s">
        <v>609</v>
      </c>
      <c r="B602" s="144"/>
      <c r="C602" s="144"/>
      <c r="D602" s="145">
        <v>0</v>
      </c>
      <c r="E602" s="122"/>
      <c r="F602" s="146">
        <v>0.2</v>
      </c>
      <c r="G602" s="146"/>
      <c r="H602" s="122">
        <v>8860</v>
      </c>
      <c r="I602" s="122">
        <f t="shared" si="194"/>
        <v>8576.48</v>
      </c>
      <c r="J602" s="147">
        <f t="shared" si="195"/>
        <v>6861.1840000000002</v>
      </c>
      <c r="K602" s="122"/>
      <c r="L602" s="122">
        <v>0</v>
      </c>
      <c r="M602" s="122">
        <f t="shared" si="196"/>
        <v>0</v>
      </c>
      <c r="N602" s="122">
        <f t="shared" si="197"/>
        <v>0</v>
      </c>
      <c r="O602" s="122"/>
      <c r="P602" s="122">
        <v>0</v>
      </c>
      <c r="Q602" s="122">
        <f t="shared" si="198"/>
        <v>0</v>
      </c>
      <c r="R602" s="147">
        <f t="shared" si="199"/>
        <v>0</v>
      </c>
      <c r="S602" s="145">
        <v>15</v>
      </c>
      <c r="T602" s="144" t="s">
        <v>213</v>
      </c>
      <c r="U602" s="90">
        <f>SUMIF('Avoided Costs 2009-2017'!$A:$A,Actuals!T602&amp;Actuals!S602,'Avoided Costs 2009-2017'!$E:$E)*J602</f>
        <v>23205.934934190816</v>
      </c>
      <c r="V602" s="90">
        <f>SUMIF('Avoided Costs 2009-2017'!$A:$A,Actuals!T602&amp;Actuals!S602,'Avoided Costs 2009-2017'!$K:$K)*N602</f>
        <v>0</v>
      </c>
      <c r="W602" s="90">
        <f>SUMIF('Avoided Costs 2009-2017'!$A:$A,Actuals!T602&amp;Actuals!S602,'Avoided Costs 2009-2017'!$M:$M)*R602</f>
        <v>0</v>
      </c>
      <c r="X602" s="90">
        <f t="shared" si="200"/>
        <v>23205.934934190816</v>
      </c>
      <c r="Y602" s="148">
        <v>10191</v>
      </c>
      <c r="Z602" s="149">
        <f t="shared" si="201"/>
        <v>8152.8</v>
      </c>
      <c r="AA602" s="148"/>
      <c r="AB602" s="145"/>
      <c r="AC602" s="145"/>
      <c r="AD602" s="148">
        <f t="shared" si="202"/>
        <v>8152.8</v>
      </c>
      <c r="AE602" s="122">
        <f t="shared" si="203"/>
        <v>15053.134934190817</v>
      </c>
      <c r="AF602" s="167">
        <f t="shared" si="204"/>
        <v>102917.76000000001</v>
      </c>
    </row>
    <row r="603" spans="1:32" s="150" customFormat="1" x14ac:dyDescent="0.2">
      <c r="A603" s="144" t="s">
        <v>610</v>
      </c>
      <c r="B603" s="144"/>
      <c r="C603" s="144"/>
      <c r="D603" s="145">
        <v>1</v>
      </c>
      <c r="E603" s="122"/>
      <c r="F603" s="146">
        <v>0.2</v>
      </c>
      <c r="G603" s="146"/>
      <c r="H603" s="122">
        <v>31626</v>
      </c>
      <c r="I603" s="122">
        <f t="shared" si="194"/>
        <v>30613.968000000001</v>
      </c>
      <c r="J603" s="147">
        <f t="shared" si="195"/>
        <v>24491.174400000004</v>
      </c>
      <c r="K603" s="122"/>
      <c r="L603" s="122">
        <v>0</v>
      </c>
      <c r="M603" s="122">
        <f t="shared" si="196"/>
        <v>0</v>
      </c>
      <c r="N603" s="122">
        <f t="shared" si="197"/>
        <v>0</v>
      </c>
      <c r="O603" s="122"/>
      <c r="P603" s="122">
        <v>0</v>
      </c>
      <c r="Q603" s="122">
        <f t="shared" si="198"/>
        <v>0</v>
      </c>
      <c r="R603" s="147">
        <f t="shared" si="199"/>
        <v>0</v>
      </c>
      <c r="S603" s="145">
        <v>11</v>
      </c>
      <c r="T603" s="144" t="s">
        <v>213</v>
      </c>
      <c r="U603" s="90">
        <f>SUMIF('Avoided Costs 2009-2017'!$A:$A,Actuals!T603&amp;Actuals!S603,'Avoided Costs 2009-2017'!$E:$E)*J603</f>
        <v>68543.229830799784</v>
      </c>
      <c r="V603" s="90">
        <f>SUMIF('Avoided Costs 2009-2017'!$A:$A,Actuals!T603&amp;Actuals!S603,'Avoided Costs 2009-2017'!$K:$K)*N603</f>
        <v>0</v>
      </c>
      <c r="W603" s="90">
        <f>SUMIF('Avoided Costs 2009-2017'!$A:$A,Actuals!T603&amp;Actuals!S603,'Avoided Costs 2009-2017'!$M:$M)*R603</f>
        <v>0</v>
      </c>
      <c r="X603" s="90">
        <f t="shared" si="200"/>
        <v>68543.229830799784</v>
      </c>
      <c r="Y603" s="148">
        <v>61083</v>
      </c>
      <c r="Z603" s="149">
        <f t="shared" si="201"/>
        <v>48866.400000000001</v>
      </c>
      <c r="AA603" s="148"/>
      <c r="AB603" s="145"/>
      <c r="AC603" s="145"/>
      <c r="AD603" s="148">
        <f t="shared" si="202"/>
        <v>48866.400000000001</v>
      </c>
      <c r="AE603" s="122">
        <f t="shared" si="203"/>
        <v>19676.829830799783</v>
      </c>
      <c r="AF603" s="167">
        <f t="shared" si="204"/>
        <v>269402.91840000002</v>
      </c>
    </row>
    <row r="604" spans="1:32" s="150" customFormat="1" x14ac:dyDescent="0.2">
      <c r="A604" s="144" t="s">
        <v>611</v>
      </c>
      <c r="B604" s="144"/>
      <c r="C604" s="144"/>
      <c r="D604" s="145">
        <v>0</v>
      </c>
      <c r="E604" s="122"/>
      <c r="F604" s="146">
        <v>0.2</v>
      </c>
      <c r="G604" s="146"/>
      <c r="H604" s="122">
        <v>19771</v>
      </c>
      <c r="I604" s="122">
        <f t="shared" si="194"/>
        <v>19138.327999999998</v>
      </c>
      <c r="J604" s="147">
        <f t="shared" si="195"/>
        <v>15310.662399999999</v>
      </c>
      <c r="K604" s="122"/>
      <c r="L604" s="122">
        <v>0</v>
      </c>
      <c r="M604" s="122">
        <f t="shared" si="196"/>
        <v>0</v>
      </c>
      <c r="N604" s="122">
        <f t="shared" si="197"/>
        <v>0</v>
      </c>
      <c r="O604" s="122"/>
      <c r="P604" s="122">
        <v>0</v>
      </c>
      <c r="Q604" s="122">
        <f t="shared" si="198"/>
        <v>0</v>
      </c>
      <c r="R604" s="147">
        <f t="shared" si="199"/>
        <v>0</v>
      </c>
      <c r="S604" s="145">
        <v>15</v>
      </c>
      <c r="T604" s="144" t="s">
        <v>213</v>
      </c>
      <c r="U604" s="90">
        <f>SUMIF('Avoided Costs 2009-2017'!$A:$A,Actuals!T604&amp;Actuals!S604,'Avoided Costs 2009-2017'!$E:$E)*J604</f>
        <v>51783.808079445436</v>
      </c>
      <c r="V604" s="90">
        <f>SUMIF('Avoided Costs 2009-2017'!$A:$A,Actuals!T604&amp;Actuals!S604,'Avoided Costs 2009-2017'!$K:$K)*N604</f>
        <v>0</v>
      </c>
      <c r="W604" s="90">
        <f>SUMIF('Avoided Costs 2009-2017'!$A:$A,Actuals!T604&amp;Actuals!S604,'Avoided Costs 2009-2017'!$M:$M)*R604</f>
        <v>0</v>
      </c>
      <c r="X604" s="90">
        <f t="shared" si="200"/>
        <v>51783.808079445436</v>
      </c>
      <c r="Y604" s="148">
        <v>35862</v>
      </c>
      <c r="Z604" s="149">
        <f t="shared" si="201"/>
        <v>28689.600000000002</v>
      </c>
      <c r="AA604" s="148"/>
      <c r="AB604" s="145"/>
      <c r="AC604" s="145"/>
      <c r="AD604" s="148">
        <f t="shared" si="202"/>
        <v>28689.600000000002</v>
      </c>
      <c r="AE604" s="122">
        <f t="shared" si="203"/>
        <v>23094.208079445434</v>
      </c>
      <c r="AF604" s="167">
        <f t="shared" si="204"/>
        <v>229659.93599999999</v>
      </c>
    </row>
    <row r="605" spans="1:32" s="150" customFormat="1" x14ac:dyDescent="0.2">
      <c r="A605" s="144" t="s">
        <v>612</v>
      </c>
      <c r="B605" s="144"/>
      <c r="C605" s="144"/>
      <c r="D605" s="145">
        <v>1</v>
      </c>
      <c r="E605" s="122"/>
      <c r="F605" s="146">
        <v>0.2</v>
      </c>
      <c r="G605" s="146"/>
      <c r="H605" s="122">
        <v>175523</v>
      </c>
      <c r="I605" s="122">
        <f t="shared" si="194"/>
        <v>169906.264</v>
      </c>
      <c r="J605" s="147">
        <f t="shared" si="195"/>
        <v>135925.01120000001</v>
      </c>
      <c r="K605" s="122"/>
      <c r="L605" s="122">
        <v>0</v>
      </c>
      <c r="M605" s="122">
        <f t="shared" si="196"/>
        <v>0</v>
      </c>
      <c r="N605" s="122">
        <f t="shared" si="197"/>
        <v>0</v>
      </c>
      <c r="O605" s="122"/>
      <c r="P605" s="122">
        <v>0</v>
      </c>
      <c r="Q605" s="122">
        <f t="shared" si="198"/>
        <v>0</v>
      </c>
      <c r="R605" s="147">
        <f t="shared" si="199"/>
        <v>0</v>
      </c>
      <c r="S605" s="145">
        <v>11</v>
      </c>
      <c r="T605" s="144" t="s">
        <v>213</v>
      </c>
      <c r="U605" s="90">
        <f>SUMIF('Avoided Costs 2009-2017'!$A:$A,Actuals!T605&amp;Actuals!S605,'Avoided Costs 2009-2017'!$E:$E)*J605</f>
        <v>380412.10806271643</v>
      </c>
      <c r="V605" s="90">
        <f>SUMIF('Avoided Costs 2009-2017'!$A:$A,Actuals!T605&amp;Actuals!S605,'Avoided Costs 2009-2017'!$K:$K)*N605</f>
        <v>0</v>
      </c>
      <c r="W605" s="90">
        <f>SUMIF('Avoided Costs 2009-2017'!$A:$A,Actuals!T605&amp;Actuals!S605,'Avoided Costs 2009-2017'!$M:$M)*R605</f>
        <v>0</v>
      </c>
      <c r="X605" s="90">
        <f t="shared" si="200"/>
        <v>380412.10806271643</v>
      </c>
      <c r="Y605" s="148">
        <v>211561</v>
      </c>
      <c r="Z605" s="149">
        <f t="shared" si="201"/>
        <v>169248.80000000002</v>
      </c>
      <c r="AA605" s="148"/>
      <c r="AB605" s="145"/>
      <c r="AC605" s="145"/>
      <c r="AD605" s="148">
        <f t="shared" si="202"/>
        <v>169248.80000000002</v>
      </c>
      <c r="AE605" s="122">
        <f t="shared" si="203"/>
        <v>211163.30806271642</v>
      </c>
      <c r="AF605" s="167">
        <f t="shared" si="204"/>
        <v>1495175.1232</v>
      </c>
    </row>
    <row r="606" spans="1:32" s="150" customFormat="1" x14ac:dyDescent="0.2">
      <c r="A606" s="144" t="s">
        <v>613</v>
      </c>
      <c r="B606" s="144"/>
      <c r="C606" s="144"/>
      <c r="D606" s="145">
        <v>1</v>
      </c>
      <c r="E606" s="122"/>
      <c r="F606" s="146">
        <v>0.2</v>
      </c>
      <c r="G606" s="146"/>
      <c r="H606" s="122">
        <v>9156</v>
      </c>
      <c r="I606" s="122">
        <f t="shared" si="194"/>
        <v>8863.0079999999998</v>
      </c>
      <c r="J606" s="147">
        <f t="shared" si="195"/>
        <v>7090.4063999999998</v>
      </c>
      <c r="K606" s="122"/>
      <c r="L606" s="122">
        <v>0</v>
      </c>
      <c r="M606" s="122">
        <f t="shared" si="196"/>
        <v>0</v>
      </c>
      <c r="N606" s="122">
        <f t="shared" si="197"/>
        <v>0</v>
      </c>
      <c r="O606" s="122"/>
      <c r="P606" s="122">
        <v>0</v>
      </c>
      <c r="Q606" s="122">
        <f t="shared" si="198"/>
        <v>0</v>
      </c>
      <c r="R606" s="147">
        <f t="shared" si="199"/>
        <v>0</v>
      </c>
      <c r="S606" s="145">
        <v>25</v>
      </c>
      <c r="T606" s="144" t="s">
        <v>213</v>
      </c>
      <c r="U606" s="90">
        <f>SUMIF('Avoided Costs 2009-2017'!$A:$A,Actuals!T606&amp;Actuals!S606,'Avoided Costs 2009-2017'!$E:$E)*J606</f>
        <v>30526.12817243288</v>
      </c>
      <c r="V606" s="90">
        <f>SUMIF('Avoided Costs 2009-2017'!$A:$A,Actuals!T606&amp;Actuals!S606,'Avoided Costs 2009-2017'!$K:$K)*N606</f>
        <v>0</v>
      </c>
      <c r="W606" s="90">
        <f>SUMIF('Avoided Costs 2009-2017'!$A:$A,Actuals!T606&amp;Actuals!S606,'Avoided Costs 2009-2017'!$M:$M)*R606</f>
        <v>0</v>
      </c>
      <c r="X606" s="90">
        <f t="shared" si="200"/>
        <v>30526.12817243288</v>
      </c>
      <c r="Y606" s="148">
        <v>19000</v>
      </c>
      <c r="Z606" s="149">
        <f t="shared" si="201"/>
        <v>15200</v>
      </c>
      <c r="AA606" s="148"/>
      <c r="AB606" s="145"/>
      <c r="AC606" s="145"/>
      <c r="AD606" s="148">
        <f t="shared" si="202"/>
        <v>15200</v>
      </c>
      <c r="AE606" s="122">
        <f t="shared" si="203"/>
        <v>15326.12817243288</v>
      </c>
      <c r="AF606" s="167">
        <f t="shared" si="204"/>
        <v>177260.16</v>
      </c>
    </row>
    <row r="607" spans="1:32" s="150" customFormat="1" x14ac:dyDescent="0.2">
      <c r="A607" s="144" t="s">
        <v>518</v>
      </c>
      <c r="B607" s="144"/>
      <c r="C607" s="144"/>
      <c r="D607" s="145">
        <v>1</v>
      </c>
      <c r="E607" s="122"/>
      <c r="F607" s="146">
        <v>0.2</v>
      </c>
      <c r="G607" s="146"/>
      <c r="H607" s="122">
        <v>8783</v>
      </c>
      <c r="I607" s="122">
        <f t="shared" si="194"/>
        <v>8501.9439999999995</v>
      </c>
      <c r="J607" s="147">
        <f t="shared" si="195"/>
        <v>6801.5551999999998</v>
      </c>
      <c r="K607" s="122"/>
      <c r="L607" s="122">
        <v>0</v>
      </c>
      <c r="M607" s="122">
        <f t="shared" si="196"/>
        <v>0</v>
      </c>
      <c r="N607" s="122">
        <f t="shared" si="197"/>
        <v>0</v>
      </c>
      <c r="O607" s="122"/>
      <c r="P607" s="122">
        <v>0</v>
      </c>
      <c r="Q607" s="122">
        <f t="shared" si="198"/>
        <v>0</v>
      </c>
      <c r="R607" s="147">
        <f t="shared" si="199"/>
        <v>0</v>
      </c>
      <c r="S607" s="145">
        <v>25</v>
      </c>
      <c r="T607" s="144" t="s">
        <v>213</v>
      </c>
      <c r="U607" s="90">
        <f>SUMIF('Avoided Costs 2009-2017'!$A:$A,Actuals!T607&amp;Actuals!S607,'Avoided Costs 2009-2017'!$E:$E)*J607</f>
        <v>29282.545187688727</v>
      </c>
      <c r="V607" s="90">
        <f>SUMIF('Avoided Costs 2009-2017'!$A:$A,Actuals!T607&amp;Actuals!S607,'Avoided Costs 2009-2017'!$K:$K)*N607</f>
        <v>0</v>
      </c>
      <c r="W607" s="90">
        <f>SUMIF('Avoided Costs 2009-2017'!$A:$A,Actuals!T607&amp;Actuals!S607,'Avoided Costs 2009-2017'!$M:$M)*R607</f>
        <v>0</v>
      </c>
      <c r="X607" s="90">
        <f t="shared" si="200"/>
        <v>29282.545187688727</v>
      </c>
      <c r="Y607" s="148">
        <v>19000</v>
      </c>
      <c r="Z607" s="149">
        <f t="shared" si="201"/>
        <v>15200</v>
      </c>
      <c r="AA607" s="148"/>
      <c r="AB607" s="145"/>
      <c r="AC607" s="145"/>
      <c r="AD607" s="148">
        <f t="shared" si="202"/>
        <v>15200</v>
      </c>
      <c r="AE607" s="122">
        <f t="shared" si="203"/>
        <v>14082.545187688727</v>
      </c>
      <c r="AF607" s="167">
        <f t="shared" si="204"/>
        <v>170038.88</v>
      </c>
    </row>
    <row r="608" spans="1:32" s="150" customFormat="1" x14ac:dyDescent="0.2">
      <c r="A608" s="144" t="s">
        <v>519</v>
      </c>
      <c r="B608" s="144"/>
      <c r="C608" s="144"/>
      <c r="D608" s="145">
        <v>1</v>
      </c>
      <c r="E608" s="122"/>
      <c r="F608" s="146">
        <v>0.2</v>
      </c>
      <c r="G608" s="146"/>
      <c r="H608" s="122">
        <v>18614</v>
      </c>
      <c r="I608" s="122">
        <f t="shared" si="194"/>
        <v>18018.351999999999</v>
      </c>
      <c r="J608" s="147">
        <f t="shared" si="195"/>
        <v>14414.6816</v>
      </c>
      <c r="K608" s="122"/>
      <c r="L608" s="122">
        <v>0</v>
      </c>
      <c r="M608" s="122">
        <f t="shared" si="196"/>
        <v>0</v>
      </c>
      <c r="N608" s="122">
        <f t="shared" si="197"/>
        <v>0</v>
      </c>
      <c r="O608" s="122"/>
      <c r="P608" s="122">
        <v>0</v>
      </c>
      <c r="Q608" s="122">
        <f t="shared" si="198"/>
        <v>0</v>
      </c>
      <c r="R608" s="147">
        <f t="shared" si="199"/>
        <v>0</v>
      </c>
      <c r="S608" s="145">
        <v>11</v>
      </c>
      <c r="T608" s="144" t="s">
        <v>213</v>
      </c>
      <c r="U608" s="90">
        <f>SUMIF('Avoided Costs 2009-2017'!$A:$A,Actuals!T608&amp;Actuals!S608,'Avoided Costs 2009-2017'!$E:$E)*J608</f>
        <v>40342.2399314016</v>
      </c>
      <c r="V608" s="90">
        <f>SUMIF('Avoided Costs 2009-2017'!$A:$A,Actuals!T608&amp;Actuals!S608,'Avoided Costs 2009-2017'!$K:$K)*N608</f>
        <v>0</v>
      </c>
      <c r="W608" s="90">
        <f>SUMIF('Avoided Costs 2009-2017'!$A:$A,Actuals!T608&amp;Actuals!S608,'Avoided Costs 2009-2017'!$M:$M)*R608</f>
        <v>0</v>
      </c>
      <c r="X608" s="90">
        <f t="shared" si="200"/>
        <v>40342.2399314016</v>
      </c>
      <c r="Y608" s="148">
        <v>47397</v>
      </c>
      <c r="Z608" s="149">
        <f t="shared" si="201"/>
        <v>37917.599999999999</v>
      </c>
      <c r="AA608" s="148"/>
      <c r="AB608" s="145"/>
      <c r="AC608" s="145"/>
      <c r="AD608" s="148">
        <f t="shared" si="202"/>
        <v>37917.599999999999</v>
      </c>
      <c r="AE608" s="122">
        <f t="shared" si="203"/>
        <v>2424.6399314016016</v>
      </c>
      <c r="AF608" s="167">
        <f t="shared" si="204"/>
        <v>158561.4976</v>
      </c>
    </row>
    <row r="609" spans="1:32" s="150" customFormat="1" x14ac:dyDescent="0.2">
      <c r="A609" s="144" t="s">
        <v>520</v>
      </c>
      <c r="B609" s="144"/>
      <c r="C609" s="144"/>
      <c r="D609" s="145">
        <v>0</v>
      </c>
      <c r="E609" s="122"/>
      <c r="F609" s="146">
        <v>0.2</v>
      </c>
      <c r="G609" s="146"/>
      <c r="H609" s="122">
        <v>10829</v>
      </c>
      <c r="I609" s="122">
        <f t="shared" si="194"/>
        <v>10482.472</v>
      </c>
      <c r="J609" s="147">
        <f t="shared" si="195"/>
        <v>8385.9776000000002</v>
      </c>
      <c r="K609" s="122"/>
      <c r="L609" s="122">
        <v>0</v>
      </c>
      <c r="M609" s="122">
        <f t="shared" si="196"/>
        <v>0</v>
      </c>
      <c r="N609" s="122">
        <f t="shared" si="197"/>
        <v>0</v>
      </c>
      <c r="O609" s="122"/>
      <c r="P609" s="122">
        <v>0</v>
      </c>
      <c r="Q609" s="122">
        <f t="shared" si="198"/>
        <v>0</v>
      </c>
      <c r="R609" s="147">
        <f t="shared" si="199"/>
        <v>0</v>
      </c>
      <c r="S609" s="145">
        <v>8</v>
      </c>
      <c r="T609" s="144" t="s">
        <v>1176</v>
      </c>
      <c r="U609" s="90">
        <f>SUMIF('Avoided Costs 2009-2017'!$A:$A,Actuals!T609&amp;Actuals!S609,'Avoided Costs 2009-2017'!$E:$E)*J609</f>
        <v>17181.220084094697</v>
      </c>
      <c r="V609" s="90">
        <f>SUMIF('Avoided Costs 2009-2017'!$A:$A,Actuals!T609&amp;Actuals!S609,'Avoided Costs 2009-2017'!$K:$K)*N609</f>
        <v>0</v>
      </c>
      <c r="W609" s="90">
        <f>SUMIF('Avoided Costs 2009-2017'!$A:$A,Actuals!T609&amp;Actuals!S609,'Avoided Costs 2009-2017'!$M:$M)*R609</f>
        <v>0</v>
      </c>
      <c r="X609" s="90">
        <f t="shared" si="200"/>
        <v>17181.220084094697</v>
      </c>
      <c r="Y609" s="148">
        <v>7288</v>
      </c>
      <c r="Z609" s="149">
        <f t="shared" si="201"/>
        <v>5830.4000000000005</v>
      </c>
      <c r="AA609" s="148"/>
      <c r="AB609" s="145"/>
      <c r="AC609" s="145"/>
      <c r="AD609" s="148">
        <f t="shared" si="202"/>
        <v>5830.4000000000005</v>
      </c>
      <c r="AE609" s="122">
        <f t="shared" si="203"/>
        <v>11350.820084094696</v>
      </c>
      <c r="AF609" s="167">
        <f t="shared" si="204"/>
        <v>67087.820800000001</v>
      </c>
    </row>
    <row r="610" spans="1:32" s="150" customFormat="1" x14ac:dyDescent="0.2">
      <c r="A610" s="144" t="s">
        <v>521</v>
      </c>
      <c r="B610" s="144"/>
      <c r="C610" s="144"/>
      <c r="D610" s="145">
        <v>0</v>
      </c>
      <c r="E610" s="122"/>
      <c r="F610" s="146">
        <v>0.2</v>
      </c>
      <c r="G610" s="146"/>
      <c r="H610" s="122">
        <v>7921</v>
      </c>
      <c r="I610" s="122">
        <f t="shared" si="194"/>
        <v>7667.5279999999993</v>
      </c>
      <c r="J610" s="147">
        <f t="shared" si="195"/>
        <v>6134.0223999999998</v>
      </c>
      <c r="K610" s="122"/>
      <c r="L610" s="122">
        <v>0</v>
      </c>
      <c r="M610" s="122">
        <f t="shared" si="196"/>
        <v>0</v>
      </c>
      <c r="N610" s="122">
        <f t="shared" si="197"/>
        <v>0</v>
      </c>
      <c r="O610" s="122"/>
      <c r="P610" s="122">
        <v>0</v>
      </c>
      <c r="Q610" s="122">
        <f t="shared" si="198"/>
        <v>0</v>
      </c>
      <c r="R610" s="147">
        <f t="shared" si="199"/>
        <v>0</v>
      </c>
      <c r="S610" s="145">
        <v>15</v>
      </c>
      <c r="T610" s="144" t="s">
        <v>213</v>
      </c>
      <c r="U610" s="90">
        <f>SUMIF('Avoided Costs 2009-2017'!$A:$A,Actuals!T610&amp;Actuals!S610,'Avoided Costs 2009-2017'!$E:$E)*J610</f>
        <v>20746.524899969012</v>
      </c>
      <c r="V610" s="90">
        <f>SUMIF('Avoided Costs 2009-2017'!$A:$A,Actuals!T610&amp;Actuals!S610,'Avoided Costs 2009-2017'!$K:$K)*N610</f>
        <v>0</v>
      </c>
      <c r="W610" s="90">
        <f>SUMIF('Avoided Costs 2009-2017'!$A:$A,Actuals!T610&amp;Actuals!S610,'Avoided Costs 2009-2017'!$M:$M)*R610</f>
        <v>0</v>
      </c>
      <c r="X610" s="90">
        <f t="shared" si="200"/>
        <v>20746.524899969012</v>
      </c>
      <c r="Y610" s="148">
        <v>6188</v>
      </c>
      <c r="Z610" s="149">
        <f t="shared" si="201"/>
        <v>4950.4000000000005</v>
      </c>
      <c r="AA610" s="148"/>
      <c r="AB610" s="145"/>
      <c r="AC610" s="145"/>
      <c r="AD610" s="148">
        <f t="shared" si="202"/>
        <v>4950.4000000000005</v>
      </c>
      <c r="AE610" s="122">
        <f t="shared" si="203"/>
        <v>15796.124899969011</v>
      </c>
      <c r="AF610" s="167">
        <f t="shared" si="204"/>
        <v>92010.335999999996</v>
      </c>
    </row>
    <row r="611" spans="1:32" s="150" customFormat="1" x14ac:dyDescent="0.2">
      <c r="A611" s="144" t="s">
        <v>522</v>
      </c>
      <c r="B611" s="144"/>
      <c r="C611" s="144"/>
      <c r="D611" s="145">
        <v>1</v>
      </c>
      <c r="E611" s="122"/>
      <c r="F611" s="146">
        <v>0.2</v>
      </c>
      <c r="G611" s="146"/>
      <c r="H611" s="122">
        <v>29467</v>
      </c>
      <c r="I611" s="122">
        <f t="shared" si="194"/>
        <v>28524.056</v>
      </c>
      <c r="J611" s="147">
        <f t="shared" si="195"/>
        <v>22819.2448</v>
      </c>
      <c r="K611" s="122"/>
      <c r="L611" s="122">
        <v>0</v>
      </c>
      <c r="M611" s="122">
        <f t="shared" si="196"/>
        <v>0</v>
      </c>
      <c r="N611" s="122">
        <f t="shared" si="197"/>
        <v>0</v>
      </c>
      <c r="O611" s="122"/>
      <c r="P611" s="122">
        <v>0</v>
      </c>
      <c r="Q611" s="122">
        <f t="shared" si="198"/>
        <v>0</v>
      </c>
      <c r="R611" s="147">
        <f t="shared" si="199"/>
        <v>0</v>
      </c>
      <c r="S611" s="145">
        <v>11</v>
      </c>
      <c r="T611" s="144" t="s">
        <v>213</v>
      </c>
      <c r="U611" s="90">
        <f>SUMIF('Avoided Costs 2009-2017'!$A:$A,Actuals!T611&amp;Actuals!S611,'Avoided Costs 2009-2017'!$E:$E)*J611</f>
        <v>63864.015475373963</v>
      </c>
      <c r="V611" s="90">
        <f>SUMIF('Avoided Costs 2009-2017'!$A:$A,Actuals!T611&amp;Actuals!S611,'Avoided Costs 2009-2017'!$K:$K)*N611</f>
        <v>0</v>
      </c>
      <c r="W611" s="90">
        <f>SUMIF('Avoided Costs 2009-2017'!$A:$A,Actuals!T611&amp;Actuals!S611,'Avoided Costs 2009-2017'!$M:$M)*R611</f>
        <v>0</v>
      </c>
      <c r="X611" s="90">
        <f t="shared" si="200"/>
        <v>63864.015475373963</v>
      </c>
      <c r="Y611" s="148">
        <v>43858</v>
      </c>
      <c r="Z611" s="149">
        <f t="shared" si="201"/>
        <v>35086.400000000001</v>
      </c>
      <c r="AA611" s="148"/>
      <c r="AB611" s="145"/>
      <c r="AC611" s="145"/>
      <c r="AD611" s="148">
        <f t="shared" si="202"/>
        <v>35086.400000000001</v>
      </c>
      <c r="AE611" s="122">
        <f t="shared" si="203"/>
        <v>28777.615475373961</v>
      </c>
      <c r="AF611" s="167">
        <f t="shared" si="204"/>
        <v>251011.69280000002</v>
      </c>
    </row>
    <row r="612" spans="1:32" s="150" customFormat="1" x14ac:dyDescent="0.2">
      <c r="A612" s="144" t="s">
        <v>523</v>
      </c>
      <c r="B612" s="144"/>
      <c r="C612" s="144"/>
      <c r="D612" s="145">
        <v>1</v>
      </c>
      <c r="E612" s="122"/>
      <c r="F612" s="146">
        <v>0.2</v>
      </c>
      <c r="G612" s="146"/>
      <c r="H612" s="122">
        <v>22525</v>
      </c>
      <c r="I612" s="122">
        <f t="shared" si="194"/>
        <v>21804.2</v>
      </c>
      <c r="J612" s="147">
        <f t="shared" si="195"/>
        <v>17443.36</v>
      </c>
      <c r="K612" s="122"/>
      <c r="L612" s="122">
        <v>0</v>
      </c>
      <c r="M612" s="122">
        <f t="shared" si="196"/>
        <v>0</v>
      </c>
      <c r="N612" s="122">
        <f t="shared" si="197"/>
        <v>0</v>
      </c>
      <c r="O612" s="122"/>
      <c r="P612" s="122">
        <v>0</v>
      </c>
      <c r="Q612" s="122">
        <f t="shared" si="198"/>
        <v>0</v>
      </c>
      <c r="R612" s="147">
        <f t="shared" si="199"/>
        <v>0</v>
      </c>
      <c r="S612" s="145">
        <v>11</v>
      </c>
      <c r="T612" s="144" t="s">
        <v>213</v>
      </c>
      <c r="U612" s="90">
        <f>SUMIF('Avoided Costs 2009-2017'!$A:$A,Actuals!T612&amp;Actuals!S612,'Avoided Costs 2009-2017'!$E:$E)*J612</f>
        <v>48818.574968025197</v>
      </c>
      <c r="V612" s="90">
        <f>SUMIF('Avoided Costs 2009-2017'!$A:$A,Actuals!T612&amp;Actuals!S612,'Avoided Costs 2009-2017'!$K:$K)*N612</f>
        <v>0</v>
      </c>
      <c r="W612" s="90">
        <f>SUMIF('Avoided Costs 2009-2017'!$A:$A,Actuals!T612&amp;Actuals!S612,'Avoided Costs 2009-2017'!$M:$M)*R612</f>
        <v>0</v>
      </c>
      <c r="X612" s="90">
        <f t="shared" si="200"/>
        <v>48818.574968025197</v>
      </c>
      <c r="Y612" s="148">
        <v>8885</v>
      </c>
      <c r="Z612" s="149">
        <f t="shared" si="201"/>
        <v>7108</v>
      </c>
      <c r="AA612" s="148"/>
      <c r="AB612" s="145"/>
      <c r="AC612" s="145"/>
      <c r="AD612" s="148">
        <f t="shared" si="202"/>
        <v>7108</v>
      </c>
      <c r="AE612" s="122">
        <f t="shared" si="203"/>
        <v>41710.574968025197</v>
      </c>
      <c r="AF612" s="167">
        <f t="shared" si="204"/>
        <v>191876.96000000002</v>
      </c>
    </row>
    <row r="613" spans="1:32" s="150" customFormat="1" x14ac:dyDescent="0.2">
      <c r="A613" s="144" t="s">
        <v>524</v>
      </c>
      <c r="B613" s="144"/>
      <c r="C613" s="144"/>
      <c r="D613" s="145">
        <v>1</v>
      </c>
      <c r="E613" s="122"/>
      <c r="F613" s="146">
        <v>0.2</v>
      </c>
      <c r="G613" s="146"/>
      <c r="H613" s="122">
        <v>24644</v>
      </c>
      <c r="I613" s="122">
        <f t="shared" si="194"/>
        <v>23855.392</v>
      </c>
      <c r="J613" s="147">
        <f t="shared" si="195"/>
        <v>19084.313600000001</v>
      </c>
      <c r="K613" s="122"/>
      <c r="L613" s="122">
        <v>0</v>
      </c>
      <c r="M613" s="122">
        <f t="shared" si="196"/>
        <v>0</v>
      </c>
      <c r="N613" s="122">
        <f t="shared" si="197"/>
        <v>0</v>
      </c>
      <c r="O613" s="122"/>
      <c r="P613" s="122">
        <v>0</v>
      </c>
      <c r="Q613" s="122">
        <f t="shared" si="198"/>
        <v>0</v>
      </c>
      <c r="R613" s="147">
        <f t="shared" si="199"/>
        <v>0</v>
      </c>
      <c r="S613" s="145">
        <v>11</v>
      </c>
      <c r="T613" s="144" t="s">
        <v>213</v>
      </c>
      <c r="U613" s="90">
        <f>SUMIF('Avoided Costs 2009-2017'!$A:$A,Actuals!T613&amp;Actuals!S613,'Avoided Costs 2009-2017'!$E:$E)*J613</f>
        <v>53411.097070455631</v>
      </c>
      <c r="V613" s="90">
        <f>SUMIF('Avoided Costs 2009-2017'!$A:$A,Actuals!T613&amp;Actuals!S613,'Avoided Costs 2009-2017'!$K:$K)*N613</f>
        <v>0</v>
      </c>
      <c r="W613" s="90">
        <f>SUMIF('Avoided Costs 2009-2017'!$A:$A,Actuals!T613&amp;Actuals!S613,'Avoided Costs 2009-2017'!$M:$M)*R613</f>
        <v>0</v>
      </c>
      <c r="X613" s="90">
        <f t="shared" si="200"/>
        <v>53411.097070455631</v>
      </c>
      <c r="Y613" s="148">
        <v>8885</v>
      </c>
      <c r="Z613" s="149">
        <f t="shared" si="201"/>
        <v>7108</v>
      </c>
      <c r="AA613" s="148"/>
      <c r="AB613" s="145"/>
      <c r="AC613" s="145"/>
      <c r="AD613" s="148">
        <f t="shared" si="202"/>
        <v>7108</v>
      </c>
      <c r="AE613" s="122">
        <f t="shared" si="203"/>
        <v>46303.097070455631</v>
      </c>
      <c r="AF613" s="167">
        <f t="shared" si="204"/>
        <v>209927.44960000002</v>
      </c>
    </row>
    <row r="614" spans="1:32" s="150" customFormat="1" x14ac:dyDescent="0.2">
      <c r="A614" s="144" t="s">
        <v>525</v>
      </c>
      <c r="B614" s="144"/>
      <c r="C614" s="144"/>
      <c r="D614" s="145">
        <v>1</v>
      </c>
      <c r="E614" s="122"/>
      <c r="F614" s="146">
        <v>0.2</v>
      </c>
      <c r="G614" s="146"/>
      <c r="H614" s="122">
        <v>147286</v>
      </c>
      <c r="I614" s="122">
        <f t="shared" si="194"/>
        <v>142572.848</v>
      </c>
      <c r="J614" s="147">
        <f t="shared" si="195"/>
        <v>114058.27840000001</v>
      </c>
      <c r="K614" s="122"/>
      <c r="L614" s="122">
        <v>0</v>
      </c>
      <c r="M614" s="122">
        <f t="shared" si="196"/>
        <v>0</v>
      </c>
      <c r="N614" s="122">
        <f t="shared" si="197"/>
        <v>0</v>
      </c>
      <c r="O614" s="122"/>
      <c r="P614" s="122">
        <v>0</v>
      </c>
      <c r="Q614" s="122">
        <f t="shared" si="198"/>
        <v>0</v>
      </c>
      <c r="R614" s="147">
        <f t="shared" si="199"/>
        <v>0</v>
      </c>
      <c r="S614" s="145">
        <v>11</v>
      </c>
      <c r="T614" s="144" t="s">
        <v>213</v>
      </c>
      <c r="U614" s="90">
        <f>SUMIF('Avoided Costs 2009-2017'!$A:$A,Actuals!T614&amp;Actuals!S614,'Avoided Costs 2009-2017'!$E:$E)*J614</f>
        <v>319213.87936695048</v>
      </c>
      <c r="V614" s="90">
        <f>SUMIF('Avoided Costs 2009-2017'!$A:$A,Actuals!T614&amp;Actuals!S614,'Avoided Costs 2009-2017'!$K:$K)*N614</f>
        <v>0</v>
      </c>
      <c r="W614" s="90">
        <f>SUMIF('Avoided Costs 2009-2017'!$A:$A,Actuals!T614&amp;Actuals!S614,'Avoided Costs 2009-2017'!$M:$M)*R614</f>
        <v>0</v>
      </c>
      <c r="X614" s="90">
        <f t="shared" si="200"/>
        <v>319213.87936695048</v>
      </c>
      <c r="Y614" s="148">
        <v>148000</v>
      </c>
      <c r="Z614" s="149">
        <f t="shared" si="201"/>
        <v>118400</v>
      </c>
      <c r="AA614" s="148"/>
      <c r="AB614" s="145"/>
      <c r="AC614" s="145"/>
      <c r="AD614" s="148">
        <f t="shared" si="202"/>
        <v>118400</v>
      </c>
      <c r="AE614" s="122">
        <f t="shared" si="203"/>
        <v>200813.87936695048</v>
      </c>
      <c r="AF614" s="167">
        <f t="shared" si="204"/>
        <v>1254641.0624000002</v>
      </c>
    </row>
    <row r="615" spans="1:32" s="150" customFormat="1" x14ac:dyDescent="0.2">
      <c r="A615" s="144" t="s">
        <v>526</v>
      </c>
      <c r="B615" s="144"/>
      <c r="C615" s="144"/>
      <c r="D615" s="145">
        <v>1</v>
      </c>
      <c r="E615" s="122"/>
      <c r="F615" s="146">
        <v>0.2</v>
      </c>
      <c r="G615" s="146"/>
      <c r="H615" s="122">
        <v>54512</v>
      </c>
      <c r="I615" s="122">
        <f t="shared" si="194"/>
        <v>52767.616000000002</v>
      </c>
      <c r="J615" s="147">
        <f t="shared" si="195"/>
        <v>42214.092800000006</v>
      </c>
      <c r="K615" s="122"/>
      <c r="L615" s="122">
        <v>0</v>
      </c>
      <c r="M615" s="122">
        <f t="shared" si="196"/>
        <v>0</v>
      </c>
      <c r="N615" s="122">
        <f t="shared" si="197"/>
        <v>0</v>
      </c>
      <c r="O615" s="122"/>
      <c r="P615" s="122">
        <v>0</v>
      </c>
      <c r="Q615" s="122">
        <f t="shared" si="198"/>
        <v>0</v>
      </c>
      <c r="R615" s="147">
        <f t="shared" si="199"/>
        <v>0</v>
      </c>
      <c r="S615" s="145">
        <v>15</v>
      </c>
      <c r="T615" s="144" t="s">
        <v>213</v>
      </c>
      <c r="U615" s="90">
        <f>SUMIF('Avoided Costs 2009-2017'!$A:$A,Actuals!T615&amp;Actuals!S615,'Avoided Costs 2009-2017'!$E:$E)*J615</f>
        <v>142776.74098562187</v>
      </c>
      <c r="V615" s="90">
        <f>SUMIF('Avoided Costs 2009-2017'!$A:$A,Actuals!T615&amp;Actuals!S615,'Avoided Costs 2009-2017'!$K:$K)*N615</f>
        <v>0</v>
      </c>
      <c r="W615" s="90">
        <f>SUMIF('Avoided Costs 2009-2017'!$A:$A,Actuals!T615&amp;Actuals!S615,'Avoided Costs 2009-2017'!$M:$M)*R615</f>
        <v>0</v>
      </c>
      <c r="X615" s="90">
        <f t="shared" si="200"/>
        <v>142776.74098562187</v>
      </c>
      <c r="Y615" s="148">
        <v>21557</v>
      </c>
      <c r="Z615" s="149">
        <f t="shared" si="201"/>
        <v>17245.600000000002</v>
      </c>
      <c r="AA615" s="148"/>
      <c r="AB615" s="145"/>
      <c r="AC615" s="145"/>
      <c r="AD615" s="148">
        <f t="shared" si="202"/>
        <v>17245.600000000002</v>
      </c>
      <c r="AE615" s="122">
        <f t="shared" si="203"/>
        <v>125531.14098562187</v>
      </c>
      <c r="AF615" s="167">
        <f t="shared" si="204"/>
        <v>633211.39200000011</v>
      </c>
    </row>
    <row r="616" spans="1:32" s="150" customFormat="1" x14ac:dyDescent="0.2">
      <c r="A616" s="144" t="s">
        <v>527</v>
      </c>
      <c r="B616" s="144"/>
      <c r="C616" s="144"/>
      <c r="D616" s="145">
        <v>1</v>
      </c>
      <c r="E616" s="122"/>
      <c r="F616" s="146">
        <v>0.2</v>
      </c>
      <c r="G616" s="146"/>
      <c r="H616" s="122">
        <v>25542</v>
      </c>
      <c r="I616" s="122">
        <f>+H616</f>
        <v>25542</v>
      </c>
      <c r="J616" s="147">
        <f t="shared" si="195"/>
        <v>20433.600000000002</v>
      </c>
      <c r="K616" s="122"/>
      <c r="L616" s="122">
        <v>0</v>
      </c>
      <c r="M616" s="122">
        <f t="shared" si="196"/>
        <v>0</v>
      </c>
      <c r="N616" s="122">
        <f t="shared" si="197"/>
        <v>0</v>
      </c>
      <c r="O616" s="122"/>
      <c r="P616" s="122">
        <v>0</v>
      </c>
      <c r="Q616" s="122">
        <f t="shared" si="198"/>
        <v>0</v>
      </c>
      <c r="R616" s="147">
        <f t="shared" si="199"/>
        <v>0</v>
      </c>
      <c r="S616" s="145">
        <v>15</v>
      </c>
      <c r="T616" s="144" t="s">
        <v>213</v>
      </c>
      <c r="U616" s="90">
        <f>SUMIF('Avoided Costs 2009-2017'!$A:$A,Actuals!T616&amp;Actuals!S616,'Avoided Costs 2009-2017'!$E:$E)*J616</f>
        <v>69110.636308730609</v>
      </c>
      <c r="V616" s="90">
        <f>SUMIF('Avoided Costs 2009-2017'!$A:$A,Actuals!T616&amp;Actuals!S616,'Avoided Costs 2009-2017'!$K:$K)*N616</f>
        <v>0</v>
      </c>
      <c r="W616" s="90">
        <f>SUMIF('Avoided Costs 2009-2017'!$A:$A,Actuals!T616&amp;Actuals!S616,'Avoided Costs 2009-2017'!$M:$M)*R616</f>
        <v>0</v>
      </c>
      <c r="X616" s="90">
        <f t="shared" si="200"/>
        <v>69110.636308730609</v>
      </c>
      <c r="Y616" s="148">
        <v>8303</v>
      </c>
      <c r="Z616" s="149">
        <f t="shared" si="201"/>
        <v>6642.4000000000005</v>
      </c>
      <c r="AA616" s="148"/>
      <c r="AB616" s="145"/>
      <c r="AC616" s="145"/>
      <c r="AD616" s="148">
        <f t="shared" si="202"/>
        <v>6642.4000000000005</v>
      </c>
      <c r="AE616" s="122">
        <f t="shared" si="203"/>
        <v>62468.236308730608</v>
      </c>
      <c r="AF616" s="167">
        <f t="shared" si="204"/>
        <v>306504.00000000006</v>
      </c>
    </row>
    <row r="617" spans="1:32" s="150" customFormat="1" x14ac:dyDescent="0.2">
      <c r="A617" s="144" t="s">
        <v>528</v>
      </c>
      <c r="B617" s="144"/>
      <c r="C617" s="144"/>
      <c r="D617" s="145">
        <v>0</v>
      </c>
      <c r="E617" s="122"/>
      <c r="F617" s="146">
        <v>0.2</v>
      </c>
      <c r="G617" s="146"/>
      <c r="H617" s="122">
        <v>30185</v>
      </c>
      <c r="I617" s="122">
        <f t="shared" si="194"/>
        <v>29219.079999999998</v>
      </c>
      <c r="J617" s="147">
        <f t="shared" si="195"/>
        <v>23375.263999999999</v>
      </c>
      <c r="K617" s="122"/>
      <c r="L617" s="122">
        <v>0</v>
      </c>
      <c r="M617" s="122">
        <f t="shared" si="196"/>
        <v>0</v>
      </c>
      <c r="N617" s="122">
        <f t="shared" si="197"/>
        <v>0</v>
      </c>
      <c r="O617" s="122"/>
      <c r="P617" s="122">
        <v>0</v>
      </c>
      <c r="Q617" s="122">
        <f t="shared" si="198"/>
        <v>0</v>
      </c>
      <c r="R617" s="147">
        <f t="shared" si="199"/>
        <v>0</v>
      </c>
      <c r="S617" s="145">
        <v>8</v>
      </c>
      <c r="T617" s="144" t="s">
        <v>1176</v>
      </c>
      <c r="U617" s="90">
        <f>SUMIF('Avoided Costs 2009-2017'!$A:$A,Actuals!T617&amp;Actuals!S617,'Avoided Costs 2009-2017'!$E:$E)*J617</f>
        <v>47891.322212429441</v>
      </c>
      <c r="V617" s="90">
        <f>SUMIF('Avoided Costs 2009-2017'!$A:$A,Actuals!T617&amp;Actuals!S617,'Avoided Costs 2009-2017'!$K:$K)*N617</f>
        <v>0</v>
      </c>
      <c r="W617" s="90">
        <f>SUMIF('Avoided Costs 2009-2017'!$A:$A,Actuals!T617&amp;Actuals!S617,'Avoided Costs 2009-2017'!$M:$M)*R617</f>
        <v>0</v>
      </c>
      <c r="X617" s="90">
        <f t="shared" si="200"/>
        <v>47891.322212429441</v>
      </c>
      <c r="Y617" s="148">
        <v>31800</v>
      </c>
      <c r="Z617" s="149">
        <f t="shared" si="201"/>
        <v>25440</v>
      </c>
      <c r="AA617" s="148"/>
      <c r="AB617" s="145"/>
      <c r="AC617" s="145"/>
      <c r="AD617" s="148">
        <f t="shared" si="202"/>
        <v>25440</v>
      </c>
      <c r="AE617" s="122">
        <f t="shared" si="203"/>
        <v>22451.322212429441</v>
      </c>
      <c r="AF617" s="167">
        <f t="shared" si="204"/>
        <v>187002.11199999999</v>
      </c>
    </row>
    <row r="618" spans="1:32" s="150" customFormat="1" x14ac:dyDescent="0.2">
      <c r="A618" s="144" t="s">
        <v>529</v>
      </c>
      <c r="B618" s="144"/>
      <c r="C618" s="144"/>
      <c r="D618" s="145">
        <v>0</v>
      </c>
      <c r="E618" s="122"/>
      <c r="F618" s="146">
        <v>0.2</v>
      </c>
      <c r="G618" s="146"/>
      <c r="H618" s="122">
        <v>17129</v>
      </c>
      <c r="I618" s="122">
        <f t="shared" si="194"/>
        <v>16580.871999999999</v>
      </c>
      <c r="J618" s="147">
        <f t="shared" si="195"/>
        <v>13264.6976</v>
      </c>
      <c r="K618" s="122"/>
      <c r="L618" s="122">
        <v>12253</v>
      </c>
      <c r="M618" s="122">
        <f t="shared" si="196"/>
        <v>11015.447</v>
      </c>
      <c r="N618" s="122">
        <f t="shared" si="197"/>
        <v>8812.3576000000012</v>
      </c>
      <c r="O618" s="122"/>
      <c r="P618" s="122">
        <v>0</v>
      </c>
      <c r="Q618" s="122">
        <f t="shared" si="198"/>
        <v>0</v>
      </c>
      <c r="R618" s="147">
        <f t="shared" si="199"/>
        <v>0</v>
      </c>
      <c r="S618" s="145">
        <v>15</v>
      </c>
      <c r="T618" s="144" t="s">
        <v>213</v>
      </c>
      <c r="U618" s="90">
        <f>SUMIF('Avoided Costs 2009-2017'!$A:$A,Actuals!T618&amp;Actuals!S618,'Avoided Costs 2009-2017'!$E:$E)*J618</f>
        <v>44863.934479430522</v>
      </c>
      <c r="V618" s="90">
        <f>SUMIF('Avoided Costs 2009-2017'!$A:$A,Actuals!T618&amp;Actuals!S618,'Avoided Costs 2009-2017'!$K:$K)*N618</f>
        <v>6578.7084992973423</v>
      </c>
      <c r="W618" s="90">
        <f>SUMIF('Avoided Costs 2009-2017'!$A:$A,Actuals!T618&amp;Actuals!S618,'Avoided Costs 2009-2017'!$M:$M)*R618</f>
        <v>0</v>
      </c>
      <c r="X618" s="90">
        <f t="shared" si="200"/>
        <v>51442.642978727861</v>
      </c>
      <c r="Y618" s="148">
        <v>32250</v>
      </c>
      <c r="Z618" s="149">
        <f t="shared" si="201"/>
        <v>25800</v>
      </c>
      <c r="AA618" s="148"/>
      <c r="AB618" s="145"/>
      <c r="AC618" s="145"/>
      <c r="AD618" s="148">
        <f t="shared" si="202"/>
        <v>25800</v>
      </c>
      <c r="AE618" s="122">
        <f t="shared" si="203"/>
        <v>25642.642978727861</v>
      </c>
      <c r="AF618" s="167">
        <f t="shared" si="204"/>
        <v>198970.46399999998</v>
      </c>
    </row>
    <row r="619" spans="1:32" s="150" customFormat="1" x14ac:dyDescent="0.2">
      <c r="A619" s="144" t="s">
        <v>530</v>
      </c>
      <c r="B619" s="144"/>
      <c r="C619" s="144"/>
      <c r="D619" s="145">
        <v>1</v>
      </c>
      <c r="E619" s="122"/>
      <c r="F619" s="146">
        <v>0.2</v>
      </c>
      <c r="G619" s="146"/>
      <c r="H619" s="122">
        <v>93069</v>
      </c>
      <c r="I619" s="122">
        <f t="shared" si="194"/>
        <v>90090.792000000001</v>
      </c>
      <c r="J619" s="147">
        <f t="shared" si="195"/>
        <v>72072.633600000001</v>
      </c>
      <c r="K619" s="122"/>
      <c r="L619" s="122">
        <v>0</v>
      </c>
      <c r="M619" s="122">
        <f t="shared" si="196"/>
        <v>0</v>
      </c>
      <c r="N619" s="122">
        <f t="shared" si="197"/>
        <v>0</v>
      </c>
      <c r="O619" s="122"/>
      <c r="P619" s="122">
        <v>0</v>
      </c>
      <c r="Q619" s="122">
        <f t="shared" si="198"/>
        <v>0</v>
      </c>
      <c r="R619" s="147">
        <f t="shared" si="199"/>
        <v>0</v>
      </c>
      <c r="S619" s="145">
        <v>11</v>
      </c>
      <c r="T619" s="144" t="s">
        <v>213</v>
      </c>
      <c r="U619" s="90">
        <f>SUMIF('Avoided Costs 2009-2017'!$A:$A,Actuals!T619&amp;Actuals!S619,'Avoided Costs 2009-2017'!$E:$E)*J619</f>
        <v>201709.03235068312</v>
      </c>
      <c r="V619" s="90">
        <f>SUMIF('Avoided Costs 2009-2017'!$A:$A,Actuals!T619&amp;Actuals!S619,'Avoided Costs 2009-2017'!$K:$K)*N619</f>
        <v>0</v>
      </c>
      <c r="W619" s="90">
        <f>SUMIF('Avoided Costs 2009-2017'!$A:$A,Actuals!T619&amp;Actuals!S619,'Avoided Costs 2009-2017'!$M:$M)*R619</f>
        <v>0</v>
      </c>
      <c r="X619" s="90">
        <f t="shared" si="200"/>
        <v>201709.03235068312</v>
      </c>
      <c r="Y619" s="148">
        <v>84800</v>
      </c>
      <c r="Z619" s="149">
        <f t="shared" si="201"/>
        <v>67840</v>
      </c>
      <c r="AA619" s="148"/>
      <c r="AB619" s="145"/>
      <c r="AC619" s="145"/>
      <c r="AD619" s="148">
        <f t="shared" si="202"/>
        <v>67840</v>
      </c>
      <c r="AE619" s="122">
        <f t="shared" si="203"/>
        <v>133869.03235068312</v>
      </c>
      <c r="AF619" s="167">
        <f t="shared" si="204"/>
        <v>792798.96959999995</v>
      </c>
    </row>
    <row r="620" spans="1:32" s="150" customFormat="1" x14ac:dyDescent="0.2">
      <c r="A620" s="144" t="s">
        <v>531</v>
      </c>
      <c r="B620" s="144"/>
      <c r="C620" s="144"/>
      <c r="D620" s="145">
        <v>0</v>
      </c>
      <c r="E620" s="122"/>
      <c r="F620" s="146">
        <v>0.2</v>
      </c>
      <c r="G620" s="146"/>
      <c r="H620" s="122">
        <v>85199</v>
      </c>
      <c r="I620" s="122">
        <f t="shared" si="194"/>
        <v>82472.631999999998</v>
      </c>
      <c r="J620" s="147">
        <f t="shared" si="195"/>
        <v>65978.105599999995</v>
      </c>
      <c r="K620" s="122"/>
      <c r="L620" s="122">
        <v>112883</v>
      </c>
      <c r="M620" s="122">
        <f t="shared" si="196"/>
        <v>101481.817</v>
      </c>
      <c r="N620" s="122">
        <f t="shared" si="197"/>
        <v>81185.453600000008</v>
      </c>
      <c r="O620" s="122"/>
      <c r="P620" s="122">
        <v>0</v>
      </c>
      <c r="Q620" s="122">
        <f t="shared" si="198"/>
        <v>0</v>
      </c>
      <c r="R620" s="147">
        <f t="shared" si="199"/>
        <v>0</v>
      </c>
      <c r="S620" s="145">
        <v>15</v>
      </c>
      <c r="T620" s="144" t="s">
        <v>213</v>
      </c>
      <c r="U620" s="90">
        <f>SUMIF('Avoided Costs 2009-2017'!$A:$A,Actuals!T620&amp;Actuals!S620,'Avoided Costs 2009-2017'!$E:$E)*J620</f>
        <v>223151.51811039762</v>
      </c>
      <c r="V620" s="90">
        <f>SUMIF('Avoided Costs 2009-2017'!$A:$A,Actuals!T620&amp;Actuals!S620,'Avoided Costs 2009-2017'!$K:$K)*N620</f>
        <v>60607.55337682052</v>
      </c>
      <c r="W620" s="90">
        <f>SUMIF('Avoided Costs 2009-2017'!$A:$A,Actuals!T620&amp;Actuals!S620,'Avoided Costs 2009-2017'!$M:$M)*R620</f>
        <v>0</v>
      </c>
      <c r="X620" s="90">
        <f t="shared" si="200"/>
        <v>283759.07148721814</v>
      </c>
      <c r="Y620" s="148">
        <v>20000</v>
      </c>
      <c r="Z620" s="149">
        <f t="shared" si="201"/>
        <v>16000</v>
      </c>
      <c r="AA620" s="148"/>
      <c r="AB620" s="145"/>
      <c r="AC620" s="145"/>
      <c r="AD620" s="148">
        <f t="shared" si="202"/>
        <v>16000</v>
      </c>
      <c r="AE620" s="122">
        <f t="shared" si="203"/>
        <v>267759.07148721814</v>
      </c>
      <c r="AF620" s="167">
        <f t="shared" si="204"/>
        <v>989671.58399999992</v>
      </c>
    </row>
    <row r="621" spans="1:32" s="150" customFormat="1" x14ac:dyDescent="0.2">
      <c r="A621" s="144" t="s">
        <v>532</v>
      </c>
      <c r="B621" s="144"/>
      <c r="C621" s="144"/>
      <c r="D621" s="145">
        <v>1</v>
      </c>
      <c r="E621" s="122"/>
      <c r="F621" s="146">
        <v>0.2</v>
      </c>
      <c r="G621" s="146"/>
      <c r="H621" s="122">
        <v>34047</v>
      </c>
      <c r="I621" s="122">
        <f t="shared" si="194"/>
        <v>32957.495999999999</v>
      </c>
      <c r="J621" s="147">
        <f t="shared" si="195"/>
        <v>26365.996800000001</v>
      </c>
      <c r="K621" s="122"/>
      <c r="L621" s="122">
        <v>0</v>
      </c>
      <c r="M621" s="122">
        <f t="shared" si="196"/>
        <v>0</v>
      </c>
      <c r="N621" s="122">
        <f t="shared" si="197"/>
        <v>0</v>
      </c>
      <c r="O621" s="122"/>
      <c r="P621" s="122">
        <v>0</v>
      </c>
      <c r="Q621" s="122">
        <f t="shared" si="198"/>
        <v>0</v>
      </c>
      <c r="R621" s="147">
        <f t="shared" si="199"/>
        <v>0</v>
      </c>
      <c r="S621" s="145">
        <v>11</v>
      </c>
      <c r="T621" s="144" t="s">
        <v>213</v>
      </c>
      <c r="U621" s="90">
        <f>SUMIF('Avoided Costs 2009-2017'!$A:$A,Actuals!T621&amp;Actuals!S621,'Avoided Costs 2009-2017'!$E:$E)*J621</f>
        <v>73790.278443345349</v>
      </c>
      <c r="V621" s="90">
        <f>SUMIF('Avoided Costs 2009-2017'!$A:$A,Actuals!T621&amp;Actuals!S621,'Avoided Costs 2009-2017'!$K:$K)*N621</f>
        <v>0</v>
      </c>
      <c r="W621" s="90">
        <f>SUMIF('Avoided Costs 2009-2017'!$A:$A,Actuals!T621&amp;Actuals!S621,'Avoided Costs 2009-2017'!$M:$M)*R621</f>
        <v>0</v>
      </c>
      <c r="X621" s="90">
        <f t="shared" si="200"/>
        <v>73790.278443345349</v>
      </c>
      <c r="Y621" s="148">
        <v>74730</v>
      </c>
      <c r="Z621" s="149">
        <f t="shared" si="201"/>
        <v>59784</v>
      </c>
      <c r="AA621" s="148"/>
      <c r="AB621" s="145"/>
      <c r="AC621" s="145"/>
      <c r="AD621" s="148">
        <f t="shared" si="202"/>
        <v>59784</v>
      </c>
      <c r="AE621" s="122">
        <f t="shared" si="203"/>
        <v>14006.278443345349</v>
      </c>
      <c r="AF621" s="167">
        <f t="shared" si="204"/>
        <v>290025.96480000002</v>
      </c>
    </row>
    <row r="622" spans="1:32" s="150" customFormat="1" x14ac:dyDescent="0.2">
      <c r="A622" s="144" t="s">
        <v>533</v>
      </c>
      <c r="B622" s="144"/>
      <c r="C622" s="144"/>
      <c r="D622" s="145">
        <v>1</v>
      </c>
      <c r="E622" s="122"/>
      <c r="F622" s="146">
        <v>0.2</v>
      </c>
      <c r="G622" s="146"/>
      <c r="H622" s="122">
        <v>73028</v>
      </c>
      <c r="I622" s="122">
        <f t="shared" si="194"/>
        <v>70691.103999999992</v>
      </c>
      <c r="J622" s="147">
        <f t="shared" si="195"/>
        <v>56552.883199999997</v>
      </c>
      <c r="K622" s="122"/>
      <c r="L622" s="122">
        <v>122645</v>
      </c>
      <c r="M622" s="122">
        <f t="shared" si="196"/>
        <v>110257.855</v>
      </c>
      <c r="N622" s="122">
        <f t="shared" si="197"/>
        <v>88206.284</v>
      </c>
      <c r="O622" s="122"/>
      <c r="P622" s="122">
        <v>0</v>
      </c>
      <c r="Q622" s="122">
        <f t="shared" si="198"/>
        <v>0</v>
      </c>
      <c r="R622" s="147">
        <f t="shared" si="199"/>
        <v>0</v>
      </c>
      <c r="S622" s="145">
        <v>15</v>
      </c>
      <c r="T622" s="144" t="s">
        <v>213</v>
      </c>
      <c r="U622" s="90">
        <f>SUMIF('Avoided Costs 2009-2017'!$A:$A,Actuals!T622&amp;Actuals!S622,'Avoided Costs 2009-2017'!$E:$E)*J622</f>
        <v>191273.47814605944</v>
      </c>
      <c r="V622" s="90">
        <f>SUMIF('Avoided Costs 2009-2017'!$A:$A,Actuals!T622&amp;Actuals!S622,'Avoided Costs 2009-2017'!$K:$K)*N622</f>
        <v>65848.829176228057</v>
      </c>
      <c r="W622" s="90">
        <f>SUMIF('Avoided Costs 2009-2017'!$A:$A,Actuals!T622&amp;Actuals!S622,'Avoided Costs 2009-2017'!$M:$M)*R622</f>
        <v>0</v>
      </c>
      <c r="X622" s="90">
        <f t="shared" si="200"/>
        <v>257122.3073222875</v>
      </c>
      <c r="Y622" s="148">
        <v>37810</v>
      </c>
      <c r="Z622" s="149">
        <f t="shared" si="201"/>
        <v>30248</v>
      </c>
      <c r="AA622" s="148"/>
      <c r="AB622" s="145"/>
      <c r="AC622" s="145"/>
      <c r="AD622" s="148">
        <f t="shared" si="202"/>
        <v>30248</v>
      </c>
      <c r="AE622" s="122">
        <f t="shared" si="203"/>
        <v>226874.3073222875</v>
      </c>
      <c r="AF622" s="167">
        <f t="shared" si="204"/>
        <v>848293.24799999991</v>
      </c>
    </row>
    <row r="623" spans="1:32" s="150" customFormat="1" x14ac:dyDescent="0.2">
      <c r="A623" s="144" t="s">
        <v>534</v>
      </c>
      <c r="B623" s="144"/>
      <c r="C623" s="144"/>
      <c r="D623" s="145">
        <v>0</v>
      </c>
      <c r="E623" s="122"/>
      <c r="F623" s="146">
        <v>0.2</v>
      </c>
      <c r="G623" s="146"/>
      <c r="H623" s="122">
        <v>44168</v>
      </c>
      <c r="I623" s="122">
        <f t="shared" si="194"/>
        <v>42754.623999999996</v>
      </c>
      <c r="J623" s="147">
        <f t="shared" si="195"/>
        <v>34203.699199999995</v>
      </c>
      <c r="K623" s="122"/>
      <c r="L623" s="122">
        <v>0</v>
      </c>
      <c r="M623" s="122">
        <f t="shared" si="196"/>
        <v>0</v>
      </c>
      <c r="N623" s="122">
        <f t="shared" si="197"/>
        <v>0</v>
      </c>
      <c r="O623" s="122"/>
      <c r="P623" s="122">
        <v>0</v>
      </c>
      <c r="Q623" s="122">
        <f t="shared" si="198"/>
        <v>0</v>
      </c>
      <c r="R623" s="147">
        <f t="shared" si="199"/>
        <v>0</v>
      </c>
      <c r="S623" s="145">
        <v>8</v>
      </c>
      <c r="T623" s="144" t="s">
        <v>1176</v>
      </c>
      <c r="U623" s="90">
        <f>SUMIF('Avoided Costs 2009-2017'!$A:$A,Actuals!T623&amp;Actuals!S623,'Avoided Costs 2009-2017'!$E:$E)*J623</f>
        <v>70076.657925412728</v>
      </c>
      <c r="V623" s="90">
        <f>SUMIF('Avoided Costs 2009-2017'!$A:$A,Actuals!T623&amp;Actuals!S623,'Avoided Costs 2009-2017'!$K:$K)*N623</f>
        <v>0</v>
      </c>
      <c r="W623" s="90">
        <f>SUMIF('Avoided Costs 2009-2017'!$A:$A,Actuals!T623&amp;Actuals!S623,'Avoided Costs 2009-2017'!$M:$M)*R623</f>
        <v>0</v>
      </c>
      <c r="X623" s="90">
        <f t="shared" si="200"/>
        <v>70076.657925412728</v>
      </c>
      <c r="Y623" s="148">
        <v>31800</v>
      </c>
      <c r="Z623" s="149">
        <f t="shared" si="201"/>
        <v>25440</v>
      </c>
      <c r="AA623" s="148"/>
      <c r="AB623" s="145"/>
      <c r="AC623" s="145"/>
      <c r="AD623" s="148">
        <f t="shared" si="202"/>
        <v>25440</v>
      </c>
      <c r="AE623" s="122">
        <f t="shared" si="203"/>
        <v>44636.657925412728</v>
      </c>
      <c r="AF623" s="167">
        <f t="shared" si="204"/>
        <v>273629.59359999996</v>
      </c>
    </row>
    <row r="624" spans="1:32" s="150" customFormat="1" x14ac:dyDescent="0.2">
      <c r="A624" s="144" t="s">
        <v>535</v>
      </c>
      <c r="B624" s="144"/>
      <c r="C624" s="144"/>
      <c r="D624" s="145">
        <v>0</v>
      </c>
      <c r="E624" s="122"/>
      <c r="F624" s="146">
        <v>0.2</v>
      </c>
      <c r="G624" s="146"/>
      <c r="H624" s="122">
        <v>17129</v>
      </c>
      <c r="I624" s="122">
        <f t="shared" ref="I624:I687" si="205">+$H$68*H624</f>
        <v>16580.871999999999</v>
      </c>
      <c r="J624" s="147">
        <f t="shared" ref="J624:J687" si="206">I624*(1-F624)</f>
        <v>13264.6976</v>
      </c>
      <c r="K624" s="122"/>
      <c r="L624" s="122">
        <v>12253</v>
      </c>
      <c r="M624" s="122">
        <f t="shared" ref="M624:M687" si="207">+$L$68*L624</f>
        <v>11015.447</v>
      </c>
      <c r="N624" s="122">
        <f t="shared" ref="N624:N687" si="208">M624*(1-F624)</f>
        <v>8812.3576000000012</v>
      </c>
      <c r="O624" s="122"/>
      <c r="P624" s="122">
        <v>0</v>
      </c>
      <c r="Q624" s="122">
        <f t="shared" ref="Q624:Q687" si="209">+P624*$P$68</f>
        <v>0</v>
      </c>
      <c r="R624" s="147">
        <f t="shared" ref="R624:R687" si="210">Q624*(1-F624)</f>
        <v>0</v>
      </c>
      <c r="S624" s="145">
        <v>15</v>
      </c>
      <c r="T624" s="144" t="s">
        <v>213</v>
      </c>
      <c r="U624" s="90">
        <f>SUMIF('Avoided Costs 2009-2017'!$A:$A,Actuals!T624&amp;Actuals!S624,'Avoided Costs 2009-2017'!$E:$E)*J624</f>
        <v>44863.934479430522</v>
      </c>
      <c r="V624" s="90">
        <f>SUMIF('Avoided Costs 2009-2017'!$A:$A,Actuals!T624&amp;Actuals!S624,'Avoided Costs 2009-2017'!$K:$K)*N624</f>
        <v>6578.7084992973423</v>
      </c>
      <c r="W624" s="90">
        <f>SUMIF('Avoided Costs 2009-2017'!$A:$A,Actuals!T624&amp;Actuals!S624,'Avoided Costs 2009-2017'!$M:$M)*R624</f>
        <v>0</v>
      </c>
      <c r="X624" s="90">
        <f t="shared" ref="X624:X687" si="211">SUM(U624:W624)</f>
        <v>51442.642978727861</v>
      </c>
      <c r="Y624" s="148">
        <v>32250</v>
      </c>
      <c r="Z624" s="149">
        <f t="shared" ref="Z624:Z687" si="212">Y624*(1-F624)</f>
        <v>25800</v>
      </c>
      <c r="AA624" s="148"/>
      <c r="AB624" s="145"/>
      <c r="AC624" s="145"/>
      <c r="AD624" s="148">
        <f t="shared" ref="AD624:AD687" si="213">Z624+AB624</f>
        <v>25800</v>
      </c>
      <c r="AE624" s="122">
        <f t="shared" ref="AE624:AE687" si="214">X624-AD624</f>
        <v>25642.642978727861</v>
      </c>
      <c r="AF624" s="167">
        <f t="shared" ref="AF624:AF687" si="215">J624*S624</f>
        <v>198970.46399999998</v>
      </c>
    </row>
    <row r="625" spans="1:32" s="150" customFormat="1" x14ac:dyDescent="0.2">
      <c r="A625" s="144" t="s">
        <v>536</v>
      </c>
      <c r="B625" s="144"/>
      <c r="C625" s="144"/>
      <c r="D625" s="145">
        <v>1</v>
      </c>
      <c r="E625" s="122"/>
      <c r="F625" s="146">
        <v>0.2</v>
      </c>
      <c r="G625" s="146"/>
      <c r="H625" s="122">
        <v>90784</v>
      </c>
      <c r="I625" s="122">
        <f t="shared" si="205"/>
        <v>87878.911999999997</v>
      </c>
      <c r="J625" s="147">
        <f t="shared" si="206"/>
        <v>70303.1296</v>
      </c>
      <c r="K625" s="122"/>
      <c r="L625" s="122">
        <v>0</v>
      </c>
      <c r="M625" s="122">
        <f t="shared" si="207"/>
        <v>0</v>
      </c>
      <c r="N625" s="122">
        <f t="shared" si="208"/>
        <v>0</v>
      </c>
      <c r="O625" s="122"/>
      <c r="P625" s="122">
        <v>0</v>
      </c>
      <c r="Q625" s="122">
        <f t="shared" si="209"/>
        <v>0</v>
      </c>
      <c r="R625" s="147">
        <f t="shared" si="210"/>
        <v>0</v>
      </c>
      <c r="S625" s="145">
        <v>11</v>
      </c>
      <c r="T625" s="144" t="s">
        <v>213</v>
      </c>
      <c r="U625" s="90">
        <f>SUMIF('Avoided Costs 2009-2017'!$A:$A,Actuals!T625&amp;Actuals!S625,'Avoided Costs 2009-2017'!$E:$E)*J625</f>
        <v>196756.73739832186</v>
      </c>
      <c r="V625" s="90">
        <f>SUMIF('Avoided Costs 2009-2017'!$A:$A,Actuals!T625&amp;Actuals!S625,'Avoided Costs 2009-2017'!$K:$K)*N625</f>
        <v>0</v>
      </c>
      <c r="W625" s="90">
        <f>SUMIF('Avoided Costs 2009-2017'!$A:$A,Actuals!T625&amp;Actuals!S625,'Avoided Costs 2009-2017'!$M:$M)*R625</f>
        <v>0</v>
      </c>
      <c r="X625" s="90">
        <f t="shared" si="211"/>
        <v>196756.73739832186</v>
      </c>
      <c r="Y625" s="148">
        <v>84800</v>
      </c>
      <c r="Z625" s="149">
        <f t="shared" si="212"/>
        <v>67840</v>
      </c>
      <c r="AA625" s="148"/>
      <c r="AB625" s="145"/>
      <c r="AC625" s="145"/>
      <c r="AD625" s="148">
        <f t="shared" si="213"/>
        <v>67840</v>
      </c>
      <c r="AE625" s="122">
        <f t="shared" si="214"/>
        <v>128916.73739832186</v>
      </c>
      <c r="AF625" s="167">
        <f t="shared" si="215"/>
        <v>773334.42559999996</v>
      </c>
    </row>
    <row r="626" spans="1:32" s="150" customFormat="1" x14ac:dyDescent="0.2">
      <c r="A626" s="144" t="s">
        <v>537</v>
      </c>
      <c r="B626" s="144"/>
      <c r="C626" s="144"/>
      <c r="D626" s="145">
        <v>1</v>
      </c>
      <c r="E626" s="122"/>
      <c r="F626" s="146">
        <v>0.2</v>
      </c>
      <c r="G626" s="146"/>
      <c r="H626" s="122">
        <v>26542</v>
      </c>
      <c r="I626" s="122">
        <f t="shared" si="205"/>
        <v>25692.655999999999</v>
      </c>
      <c r="J626" s="147">
        <f t="shared" si="206"/>
        <v>20554.124800000001</v>
      </c>
      <c r="K626" s="122"/>
      <c r="L626" s="122">
        <v>87153</v>
      </c>
      <c r="M626" s="122">
        <f t="shared" si="207"/>
        <v>78350.547000000006</v>
      </c>
      <c r="N626" s="122">
        <f t="shared" si="208"/>
        <v>62680.437600000005</v>
      </c>
      <c r="O626" s="122"/>
      <c r="P626" s="122">
        <v>0</v>
      </c>
      <c r="Q626" s="122">
        <f t="shared" si="209"/>
        <v>0</v>
      </c>
      <c r="R626" s="147">
        <f t="shared" si="210"/>
        <v>0</v>
      </c>
      <c r="S626" s="145">
        <v>15</v>
      </c>
      <c r="T626" s="144" t="s">
        <v>213</v>
      </c>
      <c r="U626" s="90">
        <f>SUMIF('Avoided Costs 2009-2017'!$A:$A,Actuals!T626&amp;Actuals!S626,'Avoided Costs 2009-2017'!$E:$E)*J626</f>
        <v>69518.275961996915</v>
      </c>
      <c r="V626" s="90">
        <f>SUMIF('Avoided Costs 2009-2017'!$A:$A,Actuals!T626&amp;Actuals!S626,'Avoided Costs 2009-2017'!$K:$K)*N626</f>
        <v>46792.963506019849</v>
      </c>
      <c r="W626" s="90">
        <f>SUMIF('Avoided Costs 2009-2017'!$A:$A,Actuals!T626&amp;Actuals!S626,'Avoided Costs 2009-2017'!$M:$M)*R626</f>
        <v>0</v>
      </c>
      <c r="X626" s="90">
        <f t="shared" si="211"/>
        <v>116311.23946801676</v>
      </c>
      <c r="Y626" s="148">
        <v>53350</v>
      </c>
      <c r="Z626" s="149">
        <f t="shared" si="212"/>
        <v>42680</v>
      </c>
      <c r="AA626" s="148"/>
      <c r="AB626" s="145"/>
      <c r="AC626" s="145"/>
      <c r="AD626" s="148">
        <f t="shared" si="213"/>
        <v>42680</v>
      </c>
      <c r="AE626" s="122">
        <f t="shared" si="214"/>
        <v>73631.239468016764</v>
      </c>
      <c r="AF626" s="167">
        <f t="shared" si="215"/>
        <v>308311.87200000003</v>
      </c>
    </row>
    <row r="627" spans="1:32" s="150" customFormat="1" x14ac:dyDescent="0.2">
      <c r="A627" s="144" t="s">
        <v>538</v>
      </c>
      <c r="B627" s="144"/>
      <c r="C627" s="144"/>
      <c r="D627" s="145">
        <v>1</v>
      </c>
      <c r="E627" s="122"/>
      <c r="F627" s="146">
        <v>0.2</v>
      </c>
      <c r="G627" s="146"/>
      <c r="H627" s="122">
        <v>15596</v>
      </c>
      <c r="I627" s="122">
        <f t="shared" si="205"/>
        <v>15096.928</v>
      </c>
      <c r="J627" s="147">
        <f t="shared" si="206"/>
        <v>12077.5424</v>
      </c>
      <c r="K627" s="122"/>
      <c r="L627" s="122">
        <v>46481</v>
      </c>
      <c r="M627" s="122">
        <f t="shared" si="207"/>
        <v>41786.419000000002</v>
      </c>
      <c r="N627" s="122">
        <f t="shared" si="208"/>
        <v>33429.135200000004</v>
      </c>
      <c r="O627" s="122"/>
      <c r="P627" s="122">
        <v>0</v>
      </c>
      <c r="Q627" s="122">
        <f t="shared" si="209"/>
        <v>0</v>
      </c>
      <c r="R627" s="147">
        <f t="shared" si="210"/>
        <v>0</v>
      </c>
      <c r="S627" s="145">
        <v>15</v>
      </c>
      <c r="T627" s="144" t="s">
        <v>213</v>
      </c>
      <c r="U627" s="90">
        <f>SUMIF('Avoided Costs 2009-2017'!$A:$A,Actuals!T627&amp;Actuals!S627,'Avoided Costs 2009-2017'!$E:$E)*J627</f>
        <v>40848.731516212181</v>
      </c>
      <c r="V627" s="90">
        <f>SUMIF('Avoided Costs 2009-2017'!$A:$A,Actuals!T627&amp;Actuals!S627,'Avoided Costs 2009-2017'!$K:$K)*N627</f>
        <v>24955.925059645782</v>
      </c>
      <c r="W627" s="90">
        <f>SUMIF('Avoided Costs 2009-2017'!$A:$A,Actuals!T627&amp;Actuals!S627,'Avoided Costs 2009-2017'!$M:$M)*R627</f>
        <v>0</v>
      </c>
      <c r="X627" s="90">
        <f t="shared" si="211"/>
        <v>65804.656575857967</v>
      </c>
      <c r="Y627" s="148">
        <v>33736</v>
      </c>
      <c r="Z627" s="149">
        <f t="shared" si="212"/>
        <v>26988.800000000003</v>
      </c>
      <c r="AA627" s="148"/>
      <c r="AB627" s="145"/>
      <c r="AC627" s="145"/>
      <c r="AD627" s="148">
        <f t="shared" si="213"/>
        <v>26988.800000000003</v>
      </c>
      <c r="AE627" s="122">
        <f t="shared" si="214"/>
        <v>38815.856575857964</v>
      </c>
      <c r="AF627" s="167">
        <f t="shared" si="215"/>
        <v>181163.136</v>
      </c>
    </row>
    <row r="628" spans="1:32" s="150" customFormat="1" x14ac:dyDescent="0.2">
      <c r="A628" s="144" t="s">
        <v>620</v>
      </c>
      <c r="B628" s="144"/>
      <c r="C628" s="144"/>
      <c r="D628" s="145">
        <v>0</v>
      </c>
      <c r="E628" s="122"/>
      <c r="F628" s="146">
        <v>0.2</v>
      </c>
      <c r="G628" s="146"/>
      <c r="H628" s="122">
        <v>61250</v>
      </c>
      <c r="I628" s="122">
        <f t="shared" si="205"/>
        <v>59290</v>
      </c>
      <c r="J628" s="147">
        <f t="shared" si="206"/>
        <v>47432</v>
      </c>
      <c r="K628" s="122"/>
      <c r="L628" s="122">
        <v>0</v>
      </c>
      <c r="M628" s="122">
        <f t="shared" si="207"/>
        <v>0</v>
      </c>
      <c r="N628" s="122">
        <f t="shared" si="208"/>
        <v>0</v>
      </c>
      <c r="O628" s="122"/>
      <c r="P628" s="122">
        <v>0</v>
      </c>
      <c r="Q628" s="122">
        <f t="shared" si="209"/>
        <v>0</v>
      </c>
      <c r="R628" s="147">
        <f t="shared" si="210"/>
        <v>0</v>
      </c>
      <c r="S628" s="145">
        <v>15</v>
      </c>
      <c r="T628" s="144" t="s">
        <v>213</v>
      </c>
      <c r="U628" s="90">
        <f>SUMIF('Avoided Costs 2009-2017'!$A:$A,Actuals!T628&amp;Actuals!S628,'Avoided Costs 2009-2017'!$E:$E)*J628</f>
        <v>160424.77592767353</v>
      </c>
      <c r="V628" s="90">
        <f>SUMIF('Avoided Costs 2009-2017'!$A:$A,Actuals!T628&amp;Actuals!S628,'Avoided Costs 2009-2017'!$K:$K)*N628</f>
        <v>0</v>
      </c>
      <c r="W628" s="90">
        <f>SUMIF('Avoided Costs 2009-2017'!$A:$A,Actuals!T628&amp;Actuals!S628,'Avoided Costs 2009-2017'!$M:$M)*R628</f>
        <v>0</v>
      </c>
      <c r="X628" s="90">
        <f t="shared" si="211"/>
        <v>160424.77592767353</v>
      </c>
      <c r="Y628" s="148">
        <v>6000</v>
      </c>
      <c r="Z628" s="149">
        <f t="shared" si="212"/>
        <v>4800</v>
      </c>
      <c r="AA628" s="148"/>
      <c r="AB628" s="145"/>
      <c r="AC628" s="145"/>
      <c r="AD628" s="148">
        <f t="shared" si="213"/>
        <v>4800</v>
      </c>
      <c r="AE628" s="122">
        <f t="shared" si="214"/>
        <v>155624.77592767353</v>
      </c>
      <c r="AF628" s="167">
        <f t="shared" si="215"/>
        <v>711480</v>
      </c>
    </row>
    <row r="629" spans="1:32" s="150" customFormat="1" x14ac:dyDescent="0.2">
      <c r="A629" s="144" t="s">
        <v>621</v>
      </c>
      <c r="B629" s="144"/>
      <c r="C629" s="144"/>
      <c r="D629" s="145">
        <v>0</v>
      </c>
      <c r="E629" s="122"/>
      <c r="F629" s="146">
        <v>0.2</v>
      </c>
      <c r="G629" s="146"/>
      <c r="H629" s="122">
        <v>11215</v>
      </c>
      <c r="I629" s="122">
        <f t="shared" si="205"/>
        <v>10856.119999999999</v>
      </c>
      <c r="J629" s="147">
        <f t="shared" si="206"/>
        <v>8684.8959999999988</v>
      </c>
      <c r="K629" s="122"/>
      <c r="L629" s="122">
        <v>0</v>
      </c>
      <c r="M629" s="122">
        <f t="shared" si="207"/>
        <v>0</v>
      </c>
      <c r="N629" s="122">
        <f t="shared" si="208"/>
        <v>0</v>
      </c>
      <c r="O629" s="122"/>
      <c r="P629" s="122">
        <v>0</v>
      </c>
      <c r="Q629" s="122">
        <f t="shared" si="209"/>
        <v>0</v>
      </c>
      <c r="R629" s="147">
        <f t="shared" si="210"/>
        <v>0</v>
      </c>
      <c r="S629" s="145">
        <v>8</v>
      </c>
      <c r="T629" s="144" t="s">
        <v>1176</v>
      </c>
      <c r="U629" s="90">
        <f>SUMIF('Avoided Costs 2009-2017'!$A:$A,Actuals!T629&amp;Actuals!S629,'Avoided Costs 2009-2017'!$E:$E)*J629</f>
        <v>17793.645142037305</v>
      </c>
      <c r="V629" s="90">
        <f>SUMIF('Avoided Costs 2009-2017'!$A:$A,Actuals!T629&amp;Actuals!S629,'Avoided Costs 2009-2017'!$K:$K)*N629</f>
        <v>0</v>
      </c>
      <c r="W629" s="90">
        <f>SUMIF('Avoided Costs 2009-2017'!$A:$A,Actuals!T629&amp;Actuals!S629,'Avoided Costs 2009-2017'!$M:$M)*R629</f>
        <v>0</v>
      </c>
      <c r="X629" s="90">
        <f t="shared" si="211"/>
        <v>17793.645142037305</v>
      </c>
      <c r="Y629" s="148">
        <v>13250</v>
      </c>
      <c r="Z629" s="149">
        <f t="shared" si="212"/>
        <v>10600</v>
      </c>
      <c r="AA629" s="148"/>
      <c r="AB629" s="145"/>
      <c r="AC629" s="145"/>
      <c r="AD629" s="148">
        <f t="shared" si="213"/>
        <v>10600</v>
      </c>
      <c r="AE629" s="122">
        <f t="shared" si="214"/>
        <v>7193.645142037305</v>
      </c>
      <c r="AF629" s="167">
        <f t="shared" si="215"/>
        <v>69479.167999999991</v>
      </c>
    </row>
    <row r="630" spans="1:32" s="150" customFormat="1" x14ac:dyDescent="0.2">
      <c r="A630" s="144" t="s">
        <v>622</v>
      </c>
      <c r="B630" s="144"/>
      <c r="C630" s="144"/>
      <c r="D630" s="145">
        <v>0</v>
      </c>
      <c r="E630" s="122"/>
      <c r="F630" s="146">
        <v>0.2</v>
      </c>
      <c r="G630" s="146"/>
      <c r="H630" s="122">
        <v>46745</v>
      </c>
      <c r="I630" s="122">
        <f t="shared" si="205"/>
        <v>45249.159999999996</v>
      </c>
      <c r="J630" s="147">
        <f t="shared" si="206"/>
        <v>36199.328000000001</v>
      </c>
      <c r="K630" s="122"/>
      <c r="L630" s="122">
        <v>19719</v>
      </c>
      <c r="M630" s="122">
        <f t="shared" si="207"/>
        <v>17727.381000000001</v>
      </c>
      <c r="N630" s="122">
        <f t="shared" si="208"/>
        <v>14181.904800000002</v>
      </c>
      <c r="O630" s="122"/>
      <c r="P630" s="122">
        <v>0</v>
      </c>
      <c r="Q630" s="122">
        <f t="shared" si="209"/>
        <v>0</v>
      </c>
      <c r="R630" s="147">
        <f t="shared" si="210"/>
        <v>0</v>
      </c>
      <c r="S630" s="145">
        <v>15</v>
      </c>
      <c r="T630" s="144" t="s">
        <v>213</v>
      </c>
      <c r="U630" s="90">
        <f>SUMIF('Avoided Costs 2009-2017'!$A:$A,Actuals!T630&amp;Actuals!S630,'Avoided Costs 2009-2017'!$E:$E)*J630</f>
        <v>122433.56980798529</v>
      </c>
      <c r="V630" s="90">
        <f>SUMIF('Avoided Costs 2009-2017'!$A:$A,Actuals!T630&amp;Actuals!S630,'Avoided Costs 2009-2017'!$K:$K)*N630</f>
        <v>10587.24825737732</v>
      </c>
      <c r="W630" s="90">
        <f>SUMIF('Avoided Costs 2009-2017'!$A:$A,Actuals!T630&amp;Actuals!S630,'Avoided Costs 2009-2017'!$M:$M)*R630</f>
        <v>0</v>
      </c>
      <c r="X630" s="90">
        <f t="shared" si="211"/>
        <v>133020.8180653626</v>
      </c>
      <c r="Y630" s="148">
        <v>20000</v>
      </c>
      <c r="Z630" s="149">
        <f t="shared" si="212"/>
        <v>16000</v>
      </c>
      <c r="AA630" s="148"/>
      <c r="AB630" s="145"/>
      <c r="AC630" s="145"/>
      <c r="AD630" s="148">
        <f t="shared" si="213"/>
        <v>16000</v>
      </c>
      <c r="AE630" s="122">
        <f t="shared" si="214"/>
        <v>117020.8180653626</v>
      </c>
      <c r="AF630" s="167">
        <f t="shared" si="215"/>
        <v>542989.92000000004</v>
      </c>
    </row>
    <row r="631" spans="1:32" s="150" customFormat="1" x14ac:dyDescent="0.2">
      <c r="A631" s="144" t="s">
        <v>623</v>
      </c>
      <c r="B631" s="144"/>
      <c r="C631" s="144"/>
      <c r="D631" s="145">
        <v>1</v>
      </c>
      <c r="E631" s="122"/>
      <c r="F631" s="146">
        <v>0.2</v>
      </c>
      <c r="G631" s="146"/>
      <c r="H631" s="122">
        <v>52350</v>
      </c>
      <c r="I631" s="122">
        <f t="shared" si="205"/>
        <v>50674.799999999996</v>
      </c>
      <c r="J631" s="147">
        <f t="shared" si="206"/>
        <v>40539.839999999997</v>
      </c>
      <c r="K631" s="122"/>
      <c r="L631" s="122">
        <v>0</v>
      </c>
      <c r="M631" s="122">
        <f t="shared" si="207"/>
        <v>0</v>
      </c>
      <c r="N631" s="122">
        <f t="shared" si="208"/>
        <v>0</v>
      </c>
      <c r="O631" s="122"/>
      <c r="P631" s="122">
        <v>0</v>
      </c>
      <c r="Q631" s="122">
        <f t="shared" si="209"/>
        <v>0</v>
      </c>
      <c r="R631" s="147">
        <f t="shared" si="210"/>
        <v>0</v>
      </c>
      <c r="S631" s="145">
        <v>11</v>
      </c>
      <c r="T631" s="144" t="s">
        <v>213</v>
      </c>
      <c r="U631" s="90">
        <f>SUMIF('Avoided Costs 2009-2017'!$A:$A,Actuals!T631&amp;Actuals!S631,'Avoided Costs 2009-2017'!$E:$E)*J631</f>
        <v>113458.48610770784</v>
      </c>
      <c r="V631" s="90">
        <f>SUMIF('Avoided Costs 2009-2017'!$A:$A,Actuals!T631&amp;Actuals!S631,'Avoided Costs 2009-2017'!$K:$K)*N631</f>
        <v>0</v>
      </c>
      <c r="W631" s="90">
        <f>SUMIF('Avoided Costs 2009-2017'!$A:$A,Actuals!T631&amp;Actuals!S631,'Avoided Costs 2009-2017'!$M:$M)*R631</f>
        <v>0</v>
      </c>
      <c r="X631" s="90">
        <f t="shared" si="211"/>
        <v>113458.48610770784</v>
      </c>
      <c r="Y631" s="148">
        <v>103350</v>
      </c>
      <c r="Z631" s="149">
        <f t="shared" si="212"/>
        <v>82680</v>
      </c>
      <c r="AA631" s="148"/>
      <c r="AB631" s="145"/>
      <c r="AC631" s="145"/>
      <c r="AD631" s="148">
        <f t="shared" si="213"/>
        <v>82680</v>
      </c>
      <c r="AE631" s="122">
        <f t="shared" si="214"/>
        <v>30778.486107707839</v>
      </c>
      <c r="AF631" s="167">
        <f t="shared" si="215"/>
        <v>445938.24</v>
      </c>
    </row>
    <row r="632" spans="1:32" s="150" customFormat="1" x14ac:dyDescent="0.2">
      <c r="A632" s="144" t="s">
        <v>624</v>
      </c>
      <c r="B632" s="144"/>
      <c r="C632" s="144"/>
      <c r="D632" s="145">
        <v>0</v>
      </c>
      <c r="E632" s="122"/>
      <c r="F632" s="146">
        <v>0.2</v>
      </c>
      <c r="G632" s="146"/>
      <c r="H632" s="122">
        <v>74935</v>
      </c>
      <c r="I632" s="122">
        <f t="shared" si="205"/>
        <v>72537.08</v>
      </c>
      <c r="J632" s="147">
        <f t="shared" si="206"/>
        <v>58029.664000000004</v>
      </c>
      <c r="K632" s="122"/>
      <c r="L632" s="122">
        <v>196094</v>
      </c>
      <c r="M632" s="122">
        <f t="shared" si="207"/>
        <v>176288.50599999999</v>
      </c>
      <c r="N632" s="122">
        <f t="shared" si="208"/>
        <v>141030.80480000001</v>
      </c>
      <c r="O632" s="122"/>
      <c r="P632" s="122">
        <v>0</v>
      </c>
      <c r="Q632" s="122">
        <f t="shared" si="209"/>
        <v>0</v>
      </c>
      <c r="R632" s="147">
        <f t="shared" si="210"/>
        <v>0</v>
      </c>
      <c r="S632" s="145">
        <v>15</v>
      </c>
      <c r="T632" s="144" t="s">
        <v>213</v>
      </c>
      <c r="U632" s="90">
        <f>SUMIF('Avoided Costs 2009-2017'!$A:$A,Actuals!T632&amp;Actuals!S632,'Avoided Costs 2009-2017'!$E:$E)*J632</f>
        <v>196268.2544349423</v>
      </c>
      <c r="V632" s="90">
        <f>SUMIF('Avoided Costs 2009-2017'!$A:$A,Actuals!T632&amp;Actuals!S632,'Avoided Costs 2009-2017'!$K:$K)*N632</f>
        <v>105284.03366205933</v>
      </c>
      <c r="W632" s="90">
        <f>SUMIF('Avoided Costs 2009-2017'!$A:$A,Actuals!T632&amp;Actuals!S632,'Avoided Costs 2009-2017'!$M:$M)*R632</f>
        <v>0</v>
      </c>
      <c r="X632" s="90">
        <f t="shared" si="211"/>
        <v>301552.28809700161</v>
      </c>
      <c r="Y632" s="148">
        <v>95736</v>
      </c>
      <c r="Z632" s="149">
        <f t="shared" si="212"/>
        <v>76588.800000000003</v>
      </c>
      <c r="AA632" s="148"/>
      <c r="AB632" s="145"/>
      <c r="AC632" s="145"/>
      <c r="AD632" s="148">
        <f t="shared" si="213"/>
        <v>76588.800000000003</v>
      </c>
      <c r="AE632" s="122">
        <f t="shared" si="214"/>
        <v>224963.48809700162</v>
      </c>
      <c r="AF632" s="167">
        <f t="shared" si="215"/>
        <v>870444.96000000008</v>
      </c>
    </row>
    <row r="633" spans="1:32" s="150" customFormat="1" x14ac:dyDescent="0.2">
      <c r="A633" s="144" t="s">
        <v>625</v>
      </c>
      <c r="B633" s="144"/>
      <c r="C633" s="144"/>
      <c r="D633" s="145">
        <v>0</v>
      </c>
      <c r="E633" s="122"/>
      <c r="F633" s="146">
        <v>0.2</v>
      </c>
      <c r="G633" s="146"/>
      <c r="H633" s="122">
        <v>45998</v>
      </c>
      <c r="I633" s="122">
        <f t="shared" si="205"/>
        <v>44526.063999999998</v>
      </c>
      <c r="J633" s="147">
        <f t="shared" si="206"/>
        <v>35620.851199999997</v>
      </c>
      <c r="K633" s="122"/>
      <c r="L633" s="122">
        <v>0</v>
      </c>
      <c r="M633" s="122">
        <f t="shared" si="207"/>
        <v>0</v>
      </c>
      <c r="N633" s="122">
        <f t="shared" si="208"/>
        <v>0</v>
      </c>
      <c r="O633" s="122"/>
      <c r="P633" s="122">
        <v>0</v>
      </c>
      <c r="Q633" s="122">
        <f t="shared" si="209"/>
        <v>0</v>
      </c>
      <c r="R633" s="147">
        <f t="shared" si="210"/>
        <v>0</v>
      </c>
      <c r="S633" s="145">
        <v>8</v>
      </c>
      <c r="T633" s="144" t="s">
        <v>1176</v>
      </c>
      <c r="U633" s="90">
        <f>SUMIF('Avoided Costs 2009-2017'!$A:$A,Actuals!T633&amp;Actuals!S633,'Avoided Costs 2009-2017'!$E:$E)*J633</f>
        <v>72980.123873689881</v>
      </c>
      <c r="V633" s="90">
        <f>SUMIF('Avoided Costs 2009-2017'!$A:$A,Actuals!T633&amp;Actuals!S633,'Avoided Costs 2009-2017'!$K:$K)*N633</f>
        <v>0</v>
      </c>
      <c r="W633" s="90">
        <f>SUMIF('Avoided Costs 2009-2017'!$A:$A,Actuals!T633&amp;Actuals!S633,'Avoided Costs 2009-2017'!$M:$M)*R633</f>
        <v>0</v>
      </c>
      <c r="X633" s="90">
        <f t="shared" si="211"/>
        <v>72980.123873689881</v>
      </c>
      <c r="Y633" s="148">
        <v>65539</v>
      </c>
      <c r="Z633" s="149">
        <f t="shared" si="212"/>
        <v>52431.200000000004</v>
      </c>
      <c r="AA633" s="148"/>
      <c r="AB633" s="145"/>
      <c r="AC633" s="145"/>
      <c r="AD633" s="148">
        <f t="shared" si="213"/>
        <v>52431.200000000004</v>
      </c>
      <c r="AE633" s="122">
        <f t="shared" si="214"/>
        <v>20548.923873689877</v>
      </c>
      <c r="AF633" s="167">
        <f t="shared" si="215"/>
        <v>284966.80959999998</v>
      </c>
    </row>
    <row r="634" spans="1:32" s="150" customFormat="1" x14ac:dyDescent="0.2">
      <c r="A634" s="144" t="s">
        <v>626</v>
      </c>
      <c r="B634" s="144"/>
      <c r="C634" s="144"/>
      <c r="D634" s="145">
        <v>1</v>
      </c>
      <c r="E634" s="122"/>
      <c r="F634" s="146">
        <v>0.2</v>
      </c>
      <c r="G634" s="146"/>
      <c r="H634" s="122">
        <v>79789</v>
      </c>
      <c r="I634" s="122">
        <f t="shared" si="205"/>
        <v>77235.751999999993</v>
      </c>
      <c r="J634" s="147">
        <f t="shared" si="206"/>
        <v>61788.601599999995</v>
      </c>
      <c r="K634" s="122"/>
      <c r="L634" s="122">
        <v>0</v>
      </c>
      <c r="M634" s="122">
        <f t="shared" si="207"/>
        <v>0</v>
      </c>
      <c r="N634" s="122">
        <f t="shared" si="208"/>
        <v>0</v>
      </c>
      <c r="O634" s="122"/>
      <c r="P634" s="122">
        <v>0</v>
      </c>
      <c r="Q634" s="122">
        <f t="shared" si="209"/>
        <v>0</v>
      </c>
      <c r="R634" s="147">
        <f t="shared" si="210"/>
        <v>0</v>
      </c>
      <c r="S634" s="145">
        <v>11</v>
      </c>
      <c r="T634" s="144" t="s">
        <v>213</v>
      </c>
      <c r="U634" s="90">
        <f>SUMIF('Avoided Costs 2009-2017'!$A:$A,Actuals!T634&amp;Actuals!S634,'Avoided Costs 2009-2017'!$E:$E)*J634</f>
        <v>172927.20435621587</v>
      </c>
      <c r="V634" s="90">
        <f>SUMIF('Avoided Costs 2009-2017'!$A:$A,Actuals!T634&amp;Actuals!S634,'Avoided Costs 2009-2017'!$K:$K)*N634</f>
        <v>0</v>
      </c>
      <c r="W634" s="90">
        <f>SUMIF('Avoided Costs 2009-2017'!$A:$A,Actuals!T634&amp;Actuals!S634,'Avoided Costs 2009-2017'!$M:$M)*R634</f>
        <v>0</v>
      </c>
      <c r="X634" s="90">
        <f t="shared" si="211"/>
        <v>172927.20435621587</v>
      </c>
      <c r="Y634" s="148">
        <v>95138</v>
      </c>
      <c r="Z634" s="149">
        <f t="shared" si="212"/>
        <v>76110.400000000009</v>
      </c>
      <c r="AA634" s="148"/>
      <c r="AB634" s="145"/>
      <c r="AC634" s="145"/>
      <c r="AD634" s="148">
        <f t="shared" si="213"/>
        <v>76110.400000000009</v>
      </c>
      <c r="AE634" s="122">
        <f t="shared" si="214"/>
        <v>96816.804356215856</v>
      </c>
      <c r="AF634" s="167">
        <f t="shared" si="215"/>
        <v>679674.6176</v>
      </c>
    </row>
    <row r="635" spans="1:32" s="150" customFormat="1" x14ac:dyDescent="0.2">
      <c r="A635" s="144" t="s">
        <v>627</v>
      </c>
      <c r="B635" s="144"/>
      <c r="C635" s="144"/>
      <c r="D635" s="145">
        <v>1</v>
      </c>
      <c r="E635" s="122"/>
      <c r="F635" s="146">
        <v>0.2</v>
      </c>
      <c r="G635" s="146"/>
      <c r="H635" s="122">
        <v>32707</v>
      </c>
      <c r="I635" s="122">
        <f t="shared" si="205"/>
        <v>31660.376</v>
      </c>
      <c r="J635" s="147">
        <f t="shared" si="206"/>
        <v>25328.300800000001</v>
      </c>
      <c r="K635" s="122"/>
      <c r="L635" s="122">
        <v>42541</v>
      </c>
      <c r="M635" s="122">
        <f t="shared" si="207"/>
        <v>38244.359000000004</v>
      </c>
      <c r="N635" s="122">
        <f t="shared" si="208"/>
        <v>30595.487200000003</v>
      </c>
      <c r="O635" s="122"/>
      <c r="P635" s="122">
        <v>0</v>
      </c>
      <c r="Q635" s="122">
        <f t="shared" si="209"/>
        <v>0</v>
      </c>
      <c r="R635" s="147">
        <f t="shared" si="210"/>
        <v>0</v>
      </c>
      <c r="S635" s="145">
        <v>15</v>
      </c>
      <c r="T635" s="144" t="s">
        <v>213</v>
      </c>
      <c r="U635" s="90">
        <f>SUMIF('Avoided Costs 2009-2017'!$A:$A,Actuals!T635&amp;Actuals!S635,'Avoided Costs 2009-2017'!$E:$E)*J635</f>
        <v>85665.520755370089</v>
      </c>
      <c r="V635" s="90">
        <f>SUMIF('Avoided Costs 2009-2017'!$A:$A,Actuals!T635&amp;Actuals!S635,'Avoided Costs 2009-2017'!$K:$K)*N635</f>
        <v>22840.515650747428</v>
      </c>
      <c r="W635" s="90">
        <f>SUMIF('Avoided Costs 2009-2017'!$A:$A,Actuals!T635&amp;Actuals!S635,'Avoided Costs 2009-2017'!$M:$M)*R635</f>
        <v>0</v>
      </c>
      <c r="X635" s="90">
        <f t="shared" si="211"/>
        <v>108506.03640611752</v>
      </c>
      <c r="Y635" s="148">
        <v>9500</v>
      </c>
      <c r="Z635" s="149">
        <f t="shared" si="212"/>
        <v>7600</v>
      </c>
      <c r="AA635" s="148"/>
      <c r="AB635" s="145"/>
      <c r="AC635" s="145"/>
      <c r="AD635" s="148">
        <f t="shared" si="213"/>
        <v>7600</v>
      </c>
      <c r="AE635" s="122">
        <f t="shared" si="214"/>
        <v>100906.03640611752</v>
      </c>
      <c r="AF635" s="167">
        <f t="shared" si="215"/>
        <v>379924.51199999999</v>
      </c>
    </row>
    <row r="636" spans="1:32" s="150" customFormat="1" x14ac:dyDescent="0.2">
      <c r="A636" s="144" t="s">
        <v>628</v>
      </c>
      <c r="B636" s="144"/>
      <c r="C636" s="144"/>
      <c r="D636" s="145">
        <v>1</v>
      </c>
      <c r="E636" s="122"/>
      <c r="F636" s="146">
        <v>0.2</v>
      </c>
      <c r="G636" s="146"/>
      <c r="H636" s="122">
        <v>28996</v>
      </c>
      <c r="I636" s="122">
        <f t="shared" si="205"/>
        <v>28068.128000000001</v>
      </c>
      <c r="J636" s="147">
        <f t="shared" si="206"/>
        <v>22454.502400000001</v>
      </c>
      <c r="K636" s="122"/>
      <c r="L636" s="122">
        <v>42541</v>
      </c>
      <c r="M636" s="122">
        <f t="shared" si="207"/>
        <v>38244.359000000004</v>
      </c>
      <c r="N636" s="122">
        <f t="shared" si="208"/>
        <v>30595.487200000003</v>
      </c>
      <c r="O636" s="122"/>
      <c r="P636" s="122">
        <v>0</v>
      </c>
      <c r="Q636" s="122">
        <f t="shared" si="209"/>
        <v>0</v>
      </c>
      <c r="R636" s="147">
        <f t="shared" si="210"/>
        <v>0</v>
      </c>
      <c r="S636" s="145">
        <v>15</v>
      </c>
      <c r="T636" s="144" t="s">
        <v>213</v>
      </c>
      <c r="U636" s="90">
        <f>SUMIF('Avoided Costs 2009-2017'!$A:$A,Actuals!T636&amp;Actuals!S636,'Avoided Costs 2009-2017'!$E:$E)*J636</f>
        <v>75945.743719164428</v>
      </c>
      <c r="V636" s="90">
        <f>SUMIF('Avoided Costs 2009-2017'!$A:$A,Actuals!T636&amp;Actuals!S636,'Avoided Costs 2009-2017'!$K:$K)*N636</f>
        <v>22840.515650747428</v>
      </c>
      <c r="W636" s="90">
        <f>SUMIF('Avoided Costs 2009-2017'!$A:$A,Actuals!T636&amp;Actuals!S636,'Avoided Costs 2009-2017'!$M:$M)*R636</f>
        <v>0</v>
      </c>
      <c r="X636" s="90">
        <f t="shared" si="211"/>
        <v>98786.259369911859</v>
      </c>
      <c r="Y636" s="148">
        <v>9000</v>
      </c>
      <c r="Z636" s="149">
        <f t="shared" si="212"/>
        <v>7200</v>
      </c>
      <c r="AA636" s="148"/>
      <c r="AB636" s="145"/>
      <c r="AC636" s="145"/>
      <c r="AD636" s="148">
        <f t="shared" si="213"/>
        <v>7200</v>
      </c>
      <c r="AE636" s="122">
        <f t="shared" si="214"/>
        <v>91586.259369911859</v>
      </c>
      <c r="AF636" s="167">
        <f t="shared" si="215"/>
        <v>336817.53600000002</v>
      </c>
    </row>
    <row r="637" spans="1:32" s="150" customFormat="1" x14ac:dyDescent="0.2">
      <c r="A637" s="144" t="s">
        <v>629</v>
      </c>
      <c r="B637" s="144"/>
      <c r="C637" s="144"/>
      <c r="D637" s="145">
        <v>1</v>
      </c>
      <c r="E637" s="122"/>
      <c r="F637" s="146">
        <v>0.2</v>
      </c>
      <c r="G637" s="146"/>
      <c r="H637" s="122">
        <v>20936</v>
      </c>
      <c r="I637" s="122">
        <f t="shared" si="205"/>
        <v>20266.047999999999</v>
      </c>
      <c r="J637" s="147">
        <f t="shared" si="206"/>
        <v>16212.838400000001</v>
      </c>
      <c r="K637" s="122"/>
      <c r="L637" s="122">
        <v>45781</v>
      </c>
      <c r="M637" s="122">
        <f t="shared" si="207"/>
        <v>41157.118999999999</v>
      </c>
      <c r="N637" s="122">
        <f t="shared" si="208"/>
        <v>32925.695200000002</v>
      </c>
      <c r="O637" s="122"/>
      <c r="P637" s="122">
        <v>0</v>
      </c>
      <c r="Q637" s="122">
        <f t="shared" si="209"/>
        <v>0</v>
      </c>
      <c r="R637" s="147">
        <f t="shared" si="210"/>
        <v>0</v>
      </c>
      <c r="S637" s="145">
        <v>15</v>
      </c>
      <c r="T637" s="144" t="s">
        <v>213</v>
      </c>
      <c r="U637" s="90">
        <f>SUMIF('Avoided Costs 2009-2017'!$A:$A,Actuals!T637&amp;Actuals!S637,'Avoided Costs 2009-2017'!$E:$E)*J637</f>
        <v>54835.152797090166</v>
      </c>
      <c r="V637" s="90">
        <f>SUMIF('Avoided Costs 2009-2017'!$A:$A,Actuals!T637&amp;Actuals!S637,'Avoided Costs 2009-2017'!$K:$K)*N637</f>
        <v>24580.090900704447</v>
      </c>
      <c r="W637" s="90">
        <f>SUMIF('Avoided Costs 2009-2017'!$A:$A,Actuals!T637&amp;Actuals!S637,'Avoided Costs 2009-2017'!$M:$M)*R637</f>
        <v>0</v>
      </c>
      <c r="X637" s="90">
        <f t="shared" si="211"/>
        <v>79415.24369779462</v>
      </c>
      <c r="Y637" s="148">
        <v>5990</v>
      </c>
      <c r="Z637" s="149">
        <f t="shared" si="212"/>
        <v>4792</v>
      </c>
      <c r="AA637" s="148"/>
      <c r="AB637" s="145"/>
      <c r="AC637" s="145"/>
      <c r="AD637" s="148">
        <f t="shared" si="213"/>
        <v>4792</v>
      </c>
      <c r="AE637" s="122">
        <f t="shared" si="214"/>
        <v>74623.24369779462</v>
      </c>
      <c r="AF637" s="167">
        <f t="shared" si="215"/>
        <v>243192.576</v>
      </c>
    </row>
    <row r="638" spans="1:32" s="150" customFormat="1" x14ac:dyDescent="0.2">
      <c r="A638" s="144" t="s">
        <v>630</v>
      </c>
      <c r="B638" s="144"/>
      <c r="C638" s="144"/>
      <c r="D638" s="145">
        <v>1</v>
      </c>
      <c r="E638" s="122"/>
      <c r="F638" s="146">
        <v>0.2</v>
      </c>
      <c r="G638" s="146"/>
      <c r="H638" s="122">
        <v>9438</v>
      </c>
      <c r="I638" s="122">
        <f t="shared" si="205"/>
        <v>9135.9840000000004</v>
      </c>
      <c r="J638" s="147">
        <f t="shared" si="206"/>
        <v>7308.7872000000007</v>
      </c>
      <c r="K638" s="122"/>
      <c r="L638" s="122">
        <v>45461</v>
      </c>
      <c r="M638" s="122">
        <f t="shared" si="207"/>
        <v>40869.438999999998</v>
      </c>
      <c r="N638" s="122">
        <f t="shared" si="208"/>
        <v>32695.551200000002</v>
      </c>
      <c r="O638" s="122"/>
      <c r="P638" s="122">
        <v>0</v>
      </c>
      <c r="Q638" s="122">
        <f t="shared" si="209"/>
        <v>0</v>
      </c>
      <c r="R638" s="147">
        <f t="shared" si="210"/>
        <v>0</v>
      </c>
      <c r="S638" s="145">
        <v>15</v>
      </c>
      <c r="T638" s="144" t="s">
        <v>213</v>
      </c>
      <c r="U638" s="90">
        <f>SUMIF('Avoided Costs 2009-2017'!$A:$A,Actuals!T638&amp;Actuals!S638,'Avoided Costs 2009-2017'!$E:$E)*J638</f>
        <v>24719.820982945024</v>
      </c>
      <c r="V638" s="90">
        <f>SUMIF('Avoided Costs 2009-2017'!$A:$A,Actuals!T638&amp;Actuals!S638,'Avoided Costs 2009-2017'!$K:$K)*N638</f>
        <v>24408.280999474126</v>
      </c>
      <c r="W638" s="90">
        <f>SUMIF('Avoided Costs 2009-2017'!$A:$A,Actuals!T638&amp;Actuals!S638,'Avoided Costs 2009-2017'!$M:$M)*R638</f>
        <v>0</v>
      </c>
      <c r="X638" s="90">
        <f t="shared" si="211"/>
        <v>49128.101982419146</v>
      </c>
      <c r="Y638" s="148">
        <v>24215</v>
      </c>
      <c r="Z638" s="149">
        <f t="shared" si="212"/>
        <v>19372</v>
      </c>
      <c r="AA638" s="148"/>
      <c r="AB638" s="145"/>
      <c r="AC638" s="145"/>
      <c r="AD638" s="148">
        <f t="shared" si="213"/>
        <v>19372</v>
      </c>
      <c r="AE638" s="122">
        <f t="shared" si="214"/>
        <v>29756.101982419146</v>
      </c>
      <c r="AF638" s="167">
        <f t="shared" si="215"/>
        <v>109631.808</v>
      </c>
    </row>
    <row r="639" spans="1:32" s="150" customFormat="1" x14ac:dyDescent="0.2">
      <c r="A639" s="144" t="s">
        <v>631</v>
      </c>
      <c r="B639" s="144"/>
      <c r="C639" s="144"/>
      <c r="D639" s="145">
        <v>1</v>
      </c>
      <c r="E639" s="122"/>
      <c r="F639" s="146">
        <v>0.2</v>
      </c>
      <c r="G639" s="146"/>
      <c r="H639" s="122">
        <v>25513</v>
      </c>
      <c r="I639" s="122">
        <f t="shared" si="205"/>
        <v>24696.583999999999</v>
      </c>
      <c r="J639" s="147">
        <f t="shared" si="206"/>
        <v>19757.267200000002</v>
      </c>
      <c r="K639" s="122"/>
      <c r="L639" s="122">
        <v>42541</v>
      </c>
      <c r="M639" s="122">
        <f t="shared" si="207"/>
        <v>38244.359000000004</v>
      </c>
      <c r="N639" s="122">
        <f t="shared" si="208"/>
        <v>30595.487200000003</v>
      </c>
      <c r="O639" s="122"/>
      <c r="P639" s="122">
        <v>0</v>
      </c>
      <c r="Q639" s="122">
        <f t="shared" si="209"/>
        <v>0</v>
      </c>
      <c r="R639" s="147">
        <f t="shared" si="210"/>
        <v>0</v>
      </c>
      <c r="S639" s="145">
        <v>15</v>
      </c>
      <c r="T639" s="144" t="s">
        <v>213</v>
      </c>
      <c r="U639" s="90">
        <f>SUMIF('Avoided Costs 2009-2017'!$A:$A,Actuals!T639&amp;Actuals!S639,'Avoided Costs 2009-2017'!$E:$E)*J639</f>
        <v>66823.139726412002</v>
      </c>
      <c r="V639" s="90">
        <f>SUMIF('Avoided Costs 2009-2017'!$A:$A,Actuals!T639&amp;Actuals!S639,'Avoided Costs 2009-2017'!$K:$K)*N639</f>
        <v>22840.515650747428</v>
      </c>
      <c r="W639" s="90">
        <f>SUMIF('Avoided Costs 2009-2017'!$A:$A,Actuals!T639&amp;Actuals!S639,'Avoided Costs 2009-2017'!$M:$M)*R639</f>
        <v>0</v>
      </c>
      <c r="X639" s="90">
        <f t="shared" si="211"/>
        <v>89663.655377159434</v>
      </c>
      <c r="Y639" s="148">
        <v>10527</v>
      </c>
      <c r="Z639" s="149">
        <f t="shared" si="212"/>
        <v>8421.6</v>
      </c>
      <c r="AA639" s="148"/>
      <c r="AB639" s="145"/>
      <c r="AC639" s="145"/>
      <c r="AD639" s="148">
        <f t="shared" si="213"/>
        <v>8421.6</v>
      </c>
      <c r="AE639" s="122">
        <f t="shared" si="214"/>
        <v>81242.055377159428</v>
      </c>
      <c r="AF639" s="167">
        <f t="shared" si="215"/>
        <v>296359.00800000003</v>
      </c>
    </row>
    <row r="640" spans="1:32" s="150" customFormat="1" x14ac:dyDescent="0.2">
      <c r="A640" s="144" t="s">
        <v>632</v>
      </c>
      <c r="B640" s="144"/>
      <c r="C640" s="144"/>
      <c r="D640" s="145">
        <v>0</v>
      </c>
      <c r="E640" s="122"/>
      <c r="F640" s="146">
        <v>0.2</v>
      </c>
      <c r="G640" s="146"/>
      <c r="H640" s="122">
        <v>14980</v>
      </c>
      <c r="I640" s="122">
        <f t="shared" si="205"/>
        <v>14500.64</v>
      </c>
      <c r="J640" s="147">
        <f t="shared" si="206"/>
        <v>11600.512000000001</v>
      </c>
      <c r="K640" s="122"/>
      <c r="L640" s="122">
        <v>0</v>
      </c>
      <c r="M640" s="122">
        <f t="shared" si="207"/>
        <v>0</v>
      </c>
      <c r="N640" s="122">
        <f t="shared" si="208"/>
        <v>0</v>
      </c>
      <c r="O640" s="122"/>
      <c r="P640" s="122">
        <v>0</v>
      </c>
      <c r="Q640" s="122">
        <f t="shared" si="209"/>
        <v>0</v>
      </c>
      <c r="R640" s="147">
        <f t="shared" si="210"/>
        <v>0</v>
      </c>
      <c r="S640" s="145">
        <v>8</v>
      </c>
      <c r="T640" s="144" t="s">
        <v>1176</v>
      </c>
      <c r="U640" s="90">
        <f>SUMIF('Avoided Costs 2009-2017'!$A:$A,Actuals!T640&amp;Actuals!S640,'Avoided Costs 2009-2017'!$E:$E)*J640</f>
        <v>23767.169347099323</v>
      </c>
      <c r="V640" s="90">
        <f>SUMIF('Avoided Costs 2009-2017'!$A:$A,Actuals!T640&amp;Actuals!S640,'Avoided Costs 2009-2017'!$K:$K)*N640</f>
        <v>0</v>
      </c>
      <c r="W640" s="90">
        <f>SUMIF('Avoided Costs 2009-2017'!$A:$A,Actuals!T640&amp;Actuals!S640,'Avoided Costs 2009-2017'!$M:$M)*R640</f>
        <v>0</v>
      </c>
      <c r="X640" s="90">
        <f t="shared" si="211"/>
        <v>23767.169347099323</v>
      </c>
      <c r="Y640" s="148">
        <v>18020</v>
      </c>
      <c r="Z640" s="149">
        <f t="shared" si="212"/>
        <v>14416</v>
      </c>
      <c r="AA640" s="148"/>
      <c r="AB640" s="145"/>
      <c r="AC640" s="145"/>
      <c r="AD640" s="148">
        <f t="shared" si="213"/>
        <v>14416</v>
      </c>
      <c r="AE640" s="122">
        <f t="shared" si="214"/>
        <v>9351.1693470993232</v>
      </c>
      <c r="AF640" s="167">
        <f t="shared" si="215"/>
        <v>92804.096000000005</v>
      </c>
    </row>
    <row r="641" spans="1:32" s="150" customFormat="1" x14ac:dyDescent="0.2">
      <c r="A641" s="144" t="s">
        <v>633</v>
      </c>
      <c r="B641" s="144"/>
      <c r="C641" s="144"/>
      <c r="D641" s="145">
        <v>1</v>
      </c>
      <c r="E641" s="122"/>
      <c r="F641" s="146">
        <v>0.2</v>
      </c>
      <c r="G641" s="146"/>
      <c r="H641" s="122">
        <v>90654</v>
      </c>
      <c r="I641" s="122">
        <f t="shared" si="205"/>
        <v>87753.072</v>
      </c>
      <c r="J641" s="147">
        <f t="shared" si="206"/>
        <v>70202.457600000009</v>
      </c>
      <c r="K641" s="122"/>
      <c r="L641" s="122">
        <v>0</v>
      </c>
      <c r="M641" s="122">
        <f t="shared" si="207"/>
        <v>0</v>
      </c>
      <c r="N641" s="122">
        <f t="shared" si="208"/>
        <v>0</v>
      </c>
      <c r="O641" s="122"/>
      <c r="P641" s="122">
        <v>0</v>
      </c>
      <c r="Q641" s="122">
        <f t="shared" si="209"/>
        <v>0</v>
      </c>
      <c r="R641" s="147">
        <f t="shared" si="210"/>
        <v>0</v>
      </c>
      <c r="S641" s="145">
        <v>11</v>
      </c>
      <c r="T641" s="144" t="s">
        <v>213</v>
      </c>
      <c r="U641" s="90">
        <f>SUMIF('Avoided Costs 2009-2017'!$A:$A,Actuals!T641&amp;Actuals!S641,'Avoided Costs 2009-2017'!$E:$E)*J641</f>
        <v>196474.98757608689</v>
      </c>
      <c r="V641" s="90">
        <f>SUMIF('Avoided Costs 2009-2017'!$A:$A,Actuals!T641&amp;Actuals!S641,'Avoided Costs 2009-2017'!$K:$K)*N641</f>
        <v>0</v>
      </c>
      <c r="W641" s="90">
        <f>SUMIF('Avoided Costs 2009-2017'!$A:$A,Actuals!T641&amp;Actuals!S641,'Avoided Costs 2009-2017'!$M:$M)*R641</f>
        <v>0</v>
      </c>
      <c r="X641" s="90">
        <f t="shared" si="211"/>
        <v>196474.98757608689</v>
      </c>
      <c r="Y641" s="148">
        <v>71552</v>
      </c>
      <c r="Z641" s="149">
        <f t="shared" si="212"/>
        <v>57241.600000000006</v>
      </c>
      <c r="AA641" s="148"/>
      <c r="AB641" s="145"/>
      <c r="AC641" s="145"/>
      <c r="AD641" s="148">
        <f t="shared" si="213"/>
        <v>57241.600000000006</v>
      </c>
      <c r="AE641" s="122">
        <f t="shared" si="214"/>
        <v>139233.38757608688</v>
      </c>
      <c r="AF641" s="167">
        <f t="shared" si="215"/>
        <v>772227.03360000008</v>
      </c>
    </row>
    <row r="642" spans="1:32" s="150" customFormat="1" x14ac:dyDescent="0.2">
      <c r="A642" s="144" t="s">
        <v>634</v>
      </c>
      <c r="B642" s="144"/>
      <c r="C642" s="144"/>
      <c r="D642" s="145">
        <v>0</v>
      </c>
      <c r="E642" s="122"/>
      <c r="F642" s="146">
        <v>0.2</v>
      </c>
      <c r="G642" s="146"/>
      <c r="H642" s="122">
        <v>64667</v>
      </c>
      <c r="I642" s="122">
        <f t="shared" si="205"/>
        <v>62597.655999999995</v>
      </c>
      <c r="J642" s="147">
        <f t="shared" si="206"/>
        <v>50078.124799999998</v>
      </c>
      <c r="K642" s="122"/>
      <c r="L642" s="122">
        <v>0</v>
      </c>
      <c r="M642" s="122">
        <f t="shared" si="207"/>
        <v>0</v>
      </c>
      <c r="N642" s="122">
        <f t="shared" si="208"/>
        <v>0</v>
      </c>
      <c r="O642" s="122"/>
      <c r="P642" s="122">
        <v>0</v>
      </c>
      <c r="Q642" s="122">
        <f t="shared" si="209"/>
        <v>0</v>
      </c>
      <c r="R642" s="147">
        <f t="shared" si="210"/>
        <v>0</v>
      </c>
      <c r="S642" s="145">
        <v>9</v>
      </c>
      <c r="T642" s="144" t="s">
        <v>1176</v>
      </c>
      <c r="U642" s="90">
        <f>SUMIF('Avoided Costs 2009-2017'!$A:$A,Actuals!T642&amp;Actuals!S642,'Avoided Costs 2009-2017'!$E:$E)*J642</f>
        <v>111559.65115543701</v>
      </c>
      <c r="V642" s="90">
        <f>SUMIF('Avoided Costs 2009-2017'!$A:$A,Actuals!T642&amp;Actuals!S642,'Avoided Costs 2009-2017'!$K:$K)*N642</f>
        <v>0</v>
      </c>
      <c r="W642" s="90">
        <f>SUMIF('Avoided Costs 2009-2017'!$A:$A,Actuals!T642&amp;Actuals!S642,'Avoided Costs 2009-2017'!$M:$M)*R642</f>
        <v>0</v>
      </c>
      <c r="X642" s="90">
        <f t="shared" si="211"/>
        <v>111559.65115543701</v>
      </c>
      <c r="Y642" s="148">
        <v>60907</v>
      </c>
      <c r="Z642" s="149">
        <f t="shared" si="212"/>
        <v>48725.600000000006</v>
      </c>
      <c r="AA642" s="148"/>
      <c r="AB642" s="145"/>
      <c r="AC642" s="145"/>
      <c r="AD642" s="148">
        <f t="shared" si="213"/>
        <v>48725.600000000006</v>
      </c>
      <c r="AE642" s="122">
        <f t="shared" si="214"/>
        <v>62834.051155437002</v>
      </c>
      <c r="AF642" s="167">
        <f t="shared" si="215"/>
        <v>450703.12319999997</v>
      </c>
    </row>
    <row r="643" spans="1:32" s="150" customFormat="1" x14ac:dyDescent="0.2">
      <c r="A643" s="144" t="s">
        <v>635</v>
      </c>
      <c r="B643" s="144"/>
      <c r="C643" s="144"/>
      <c r="D643" s="145">
        <v>0</v>
      </c>
      <c r="E643" s="122"/>
      <c r="F643" s="146">
        <v>0.2</v>
      </c>
      <c r="G643" s="146"/>
      <c r="H643" s="122">
        <v>27672</v>
      </c>
      <c r="I643" s="122">
        <f t="shared" si="205"/>
        <v>26786.495999999999</v>
      </c>
      <c r="J643" s="147">
        <f t="shared" si="206"/>
        <v>21429.196800000002</v>
      </c>
      <c r="K643" s="122"/>
      <c r="L643" s="122">
        <v>34828</v>
      </c>
      <c r="M643" s="122">
        <f t="shared" si="207"/>
        <v>31310.371999999999</v>
      </c>
      <c r="N643" s="122">
        <f t="shared" si="208"/>
        <v>25048.297600000002</v>
      </c>
      <c r="O643" s="122"/>
      <c r="P643" s="122">
        <v>0</v>
      </c>
      <c r="Q643" s="122">
        <f t="shared" si="209"/>
        <v>0</v>
      </c>
      <c r="R643" s="147">
        <f t="shared" si="210"/>
        <v>0</v>
      </c>
      <c r="S643" s="145">
        <v>15</v>
      </c>
      <c r="T643" s="144" t="s">
        <v>213</v>
      </c>
      <c r="U643" s="90">
        <f>SUMIF('Avoided Costs 2009-2017'!$A:$A,Actuals!T643&amp;Actuals!S643,'Avoided Costs 2009-2017'!$E:$E)*J643</f>
        <v>72477.949379111538</v>
      </c>
      <c r="V643" s="90">
        <f>SUMIF('Avoided Costs 2009-2017'!$A:$A,Actuals!T643&amp;Actuals!S643,'Avoided Costs 2009-2017'!$K:$K)*N643</f>
        <v>18699.360125155294</v>
      </c>
      <c r="W643" s="90">
        <f>SUMIF('Avoided Costs 2009-2017'!$A:$A,Actuals!T643&amp;Actuals!S643,'Avoided Costs 2009-2017'!$M:$M)*R643</f>
        <v>0</v>
      </c>
      <c r="X643" s="90">
        <f t="shared" si="211"/>
        <v>91177.309504266828</v>
      </c>
      <c r="Y643" s="148">
        <v>9540</v>
      </c>
      <c r="Z643" s="149">
        <f t="shared" si="212"/>
        <v>7632</v>
      </c>
      <c r="AA643" s="148"/>
      <c r="AB643" s="145"/>
      <c r="AC643" s="145"/>
      <c r="AD643" s="148">
        <f t="shared" si="213"/>
        <v>7632</v>
      </c>
      <c r="AE643" s="122">
        <f t="shared" si="214"/>
        <v>83545.309504266828</v>
      </c>
      <c r="AF643" s="167">
        <f t="shared" si="215"/>
        <v>321437.95200000005</v>
      </c>
    </row>
    <row r="644" spans="1:32" s="150" customFormat="1" x14ac:dyDescent="0.2">
      <c r="A644" s="144" t="s">
        <v>636</v>
      </c>
      <c r="B644" s="144"/>
      <c r="C644" s="144"/>
      <c r="D644" s="145">
        <v>1</v>
      </c>
      <c r="E644" s="122"/>
      <c r="F644" s="146">
        <v>0.2</v>
      </c>
      <c r="G644" s="146"/>
      <c r="H644" s="122">
        <v>48922</v>
      </c>
      <c r="I644" s="122">
        <f t="shared" si="205"/>
        <v>47356.495999999999</v>
      </c>
      <c r="J644" s="147">
        <f t="shared" si="206"/>
        <v>37885.196799999998</v>
      </c>
      <c r="K644" s="122"/>
      <c r="L644" s="122">
        <v>0</v>
      </c>
      <c r="M644" s="122">
        <f t="shared" si="207"/>
        <v>0</v>
      </c>
      <c r="N644" s="122">
        <f t="shared" si="208"/>
        <v>0</v>
      </c>
      <c r="O644" s="122"/>
      <c r="P644" s="122">
        <v>0</v>
      </c>
      <c r="Q644" s="122">
        <f t="shared" si="209"/>
        <v>0</v>
      </c>
      <c r="R644" s="147">
        <f t="shared" si="210"/>
        <v>0</v>
      </c>
      <c r="S644" s="145">
        <v>11</v>
      </c>
      <c r="T644" s="144" t="s">
        <v>213</v>
      </c>
      <c r="U644" s="90">
        <f>SUMIF('Avoided Costs 2009-2017'!$A:$A,Actuals!T644&amp;Actuals!S644,'Avoided Costs 2009-2017'!$E:$E)*J644</f>
        <v>106028.96002600349</v>
      </c>
      <c r="V644" s="90">
        <f>SUMIF('Avoided Costs 2009-2017'!$A:$A,Actuals!T644&amp;Actuals!S644,'Avoided Costs 2009-2017'!$K:$K)*N644</f>
        <v>0</v>
      </c>
      <c r="W644" s="90">
        <f>SUMIF('Avoided Costs 2009-2017'!$A:$A,Actuals!T644&amp;Actuals!S644,'Avoided Costs 2009-2017'!$M:$M)*R644</f>
        <v>0</v>
      </c>
      <c r="X644" s="90">
        <f t="shared" si="211"/>
        <v>106028.96002600349</v>
      </c>
      <c r="Y644" s="148">
        <v>146016</v>
      </c>
      <c r="Z644" s="149">
        <f t="shared" si="212"/>
        <v>116812.8</v>
      </c>
      <c r="AA644" s="148"/>
      <c r="AB644" s="145"/>
      <c r="AC644" s="145"/>
      <c r="AD644" s="148">
        <f t="shared" si="213"/>
        <v>116812.8</v>
      </c>
      <c r="AE644" s="122">
        <f t="shared" si="214"/>
        <v>-10783.83997399651</v>
      </c>
      <c r="AF644" s="167">
        <f t="shared" si="215"/>
        <v>416737.16479999997</v>
      </c>
    </row>
    <row r="645" spans="1:32" s="150" customFormat="1" x14ac:dyDescent="0.2">
      <c r="A645" s="144" t="s">
        <v>637</v>
      </c>
      <c r="B645" s="144"/>
      <c r="C645" s="144"/>
      <c r="D645" s="145">
        <v>0</v>
      </c>
      <c r="E645" s="122"/>
      <c r="F645" s="146">
        <v>0.2</v>
      </c>
      <c r="G645" s="146"/>
      <c r="H645" s="122">
        <v>36748</v>
      </c>
      <c r="I645" s="122">
        <f t="shared" si="205"/>
        <v>35572.063999999998</v>
      </c>
      <c r="J645" s="147">
        <f t="shared" si="206"/>
        <v>28457.6512</v>
      </c>
      <c r="K645" s="122"/>
      <c r="L645" s="122">
        <v>0</v>
      </c>
      <c r="M645" s="122">
        <f t="shared" si="207"/>
        <v>0</v>
      </c>
      <c r="N645" s="122">
        <f t="shared" si="208"/>
        <v>0</v>
      </c>
      <c r="O645" s="122"/>
      <c r="P645" s="122">
        <v>0</v>
      </c>
      <c r="Q645" s="122">
        <f t="shared" si="209"/>
        <v>0</v>
      </c>
      <c r="R645" s="147">
        <f t="shared" si="210"/>
        <v>0</v>
      </c>
      <c r="S645" s="145">
        <v>9</v>
      </c>
      <c r="T645" s="144" t="s">
        <v>1176</v>
      </c>
      <c r="U645" s="90">
        <f>SUMIF('Avoided Costs 2009-2017'!$A:$A,Actuals!T645&amp;Actuals!S645,'Avoided Costs 2009-2017'!$E:$E)*J645</f>
        <v>63395.457662486268</v>
      </c>
      <c r="V645" s="90">
        <f>SUMIF('Avoided Costs 2009-2017'!$A:$A,Actuals!T645&amp;Actuals!S645,'Avoided Costs 2009-2017'!$K:$K)*N645</f>
        <v>0</v>
      </c>
      <c r="W645" s="90">
        <f>SUMIF('Avoided Costs 2009-2017'!$A:$A,Actuals!T645&amp;Actuals!S645,'Avoided Costs 2009-2017'!$M:$M)*R645</f>
        <v>0</v>
      </c>
      <c r="X645" s="90">
        <f t="shared" si="211"/>
        <v>63395.457662486268</v>
      </c>
      <c r="Y645" s="148">
        <v>35028</v>
      </c>
      <c r="Z645" s="149">
        <f t="shared" si="212"/>
        <v>28022.400000000001</v>
      </c>
      <c r="AA645" s="148"/>
      <c r="AB645" s="145"/>
      <c r="AC645" s="145"/>
      <c r="AD645" s="148">
        <f t="shared" si="213"/>
        <v>28022.400000000001</v>
      </c>
      <c r="AE645" s="122">
        <f t="shared" si="214"/>
        <v>35373.057662486266</v>
      </c>
      <c r="AF645" s="167">
        <f t="shared" si="215"/>
        <v>256118.86079999999</v>
      </c>
    </row>
    <row r="646" spans="1:32" s="150" customFormat="1" x14ac:dyDescent="0.2">
      <c r="A646" s="144" t="s">
        <v>638</v>
      </c>
      <c r="B646" s="144"/>
      <c r="C646" s="144"/>
      <c r="D646" s="145">
        <v>0</v>
      </c>
      <c r="E646" s="122"/>
      <c r="F646" s="146">
        <v>0.2</v>
      </c>
      <c r="G646" s="146"/>
      <c r="H646" s="122">
        <v>31803</v>
      </c>
      <c r="I646" s="122">
        <f t="shared" si="205"/>
        <v>30785.304</v>
      </c>
      <c r="J646" s="147">
        <f t="shared" si="206"/>
        <v>24628.243200000001</v>
      </c>
      <c r="K646" s="122"/>
      <c r="L646" s="122">
        <v>48921</v>
      </c>
      <c r="M646" s="122">
        <f t="shared" si="207"/>
        <v>43979.978999999999</v>
      </c>
      <c r="N646" s="122">
        <f t="shared" si="208"/>
        <v>35183.983200000002</v>
      </c>
      <c r="O646" s="122"/>
      <c r="P646" s="122">
        <v>0</v>
      </c>
      <c r="Q646" s="122">
        <f t="shared" si="209"/>
        <v>0</v>
      </c>
      <c r="R646" s="147">
        <f t="shared" si="210"/>
        <v>0</v>
      </c>
      <c r="S646" s="145">
        <v>15</v>
      </c>
      <c r="T646" s="144" t="s">
        <v>213</v>
      </c>
      <c r="U646" s="90">
        <f>SUMIF('Avoided Costs 2009-2017'!$A:$A,Actuals!T646&amp;Actuals!S646,'Avoided Costs 2009-2017'!$E:$E)*J646</f>
        <v>83297.782021678388</v>
      </c>
      <c r="V646" s="90">
        <f>SUMIF('Avoided Costs 2009-2017'!$A:$A,Actuals!T646&amp;Actuals!S646,'Avoided Costs 2009-2017'!$K:$K)*N646</f>
        <v>26265.975556526992</v>
      </c>
      <c r="W646" s="90">
        <f>SUMIF('Avoided Costs 2009-2017'!$A:$A,Actuals!T646&amp;Actuals!S646,'Avoided Costs 2009-2017'!$M:$M)*R646</f>
        <v>0</v>
      </c>
      <c r="X646" s="90">
        <f t="shared" si="211"/>
        <v>109563.75757820538</v>
      </c>
      <c r="Y646" s="148">
        <v>16244</v>
      </c>
      <c r="Z646" s="149">
        <f t="shared" si="212"/>
        <v>12995.2</v>
      </c>
      <c r="AA646" s="148"/>
      <c r="AB646" s="145"/>
      <c r="AC646" s="145"/>
      <c r="AD646" s="148">
        <f t="shared" si="213"/>
        <v>12995.2</v>
      </c>
      <c r="AE646" s="122">
        <f t="shared" si="214"/>
        <v>96568.557578205378</v>
      </c>
      <c r="AF646" s="167">
        <f t="shared" si="215"/>
        <v>369423.64799999999</v>
      </c>
    </row>
    <row r="647" spans="1:32" s="150" customFormat="1" x14ac:dyDescent="0.2">
      <c r="A647" s="144" t="s">
        <v>639</v>
      </c>
      <c r="B647" s="144"/>
      <c r="C647" s="144"/>
      <c r="D647" s="145">
        <v>1</v>
      </c>
      <c r="E647" s="122"/>
      <c r="F647" s="146">
        <v>0.2</v>
      </c>
      <c r="G647" s="146"/>
      <c r="H647" s="122">
        <v>92115</v>
      </c>
      <c r="I647" s="122">
        <f t="shared" si="205"/>
        <v>89167.319999999992</v>
      </c>
      <c r="J647" s="147">
        <f t="shared" si="206"/>
        <v>71333.856</v>
      </c>
      <c r="K647" s="122"/>
      <c r="L647" s="122">
        <v>0</v>
      </c>
      <c r="M647" s="122">
        <f t="shared" si="207"/>
        <v>0</v>
      </c>
      <c r="N647" s="122">
        <f t="shared" si="208"/>
        <v>0</v>
      </c>
      <c r="O647" s="122"/>
      <c r="P647" s="122">
        <v>0</v>
      </c>
      <c r="Q647" s="122">
        <f t="shared" si="209"/>
        <v>0</v>
      </c>
      <c r="R647" s="147">
        <f t="shared" si="210"/>
        <v>0</v>
      </c>
      <c r="S647" s="145">
        <v>11</v>
      </c>
      <c r="T647" s="144" t="s">
        <v>213</v>
      </c>
      <c r="U647" s="90">
        <f>SUMIF('Avoided Costs 2009-2017'!$A:$A,Actuals!T647&amp;Actuals!S647,'Avoided Costs 2009-2017'!$E:$E)*J647</f>
        <v>199641.42211674323</v>
      </c>
      <c r="V647" s="90">
        <f>SUMIF('Avoided Costs 2009-2017'!$A:$A,Actuals!T647&amp;Actuals!S647,'Avoided Costs 2009-2017'!$K:$K)*N647</f>
        <v>0</v>
      </c>
      <c r="W647" s="90">
        <f>SUMIF('Avoided Costs 2009-2017'!$A:$A,Actuals!T647&amp;Actuals!S647,'Avoided Costs 2009-2017'!$M:$M)*R647</f>
        <v>0</v>
      </c>
      <c r="X647" s="90">
        <f t="shared" si="211"/>
        <v>199641.42211674323</v>
      </c>
      <c r="Y647" s="148">
        <v>44202</v>
      </c>
      <c r="Z647" s="149">
        <f t="shared" si="212"/>
        <v>35361.599999999999</v>
      </c>
      <c r="AA647" s="148"/>
      <c r="AB647" s="145"/>
      <c r="AC647" s="145"/>
      <c r="AD647" s="148">
        <f t="shared" si="213"/>
        <v>35361.599999999999</v>
      </c>
      <c r="AE647" s="122">
        <f t="shared" si="214"/>
        <v>164279.82211674322</v>
      </c>
      <c r="AF647" s="167">
        <f t="shared" si="215"/>
        <v>784672.41599999997</v>
      </c>
    </row>
    <row r="648" spans="1:32" s="150" customFormat="1" x14ac:dyDescent="0.2">
      <c r="A648" s="144" t="s">
        <v>640</v>
      </c>
      <c r="B648" s="144"/>
      <c r="C648" s="144"/>
      <c r="D648" s="145">
        <v>0</v>
      </c>
      <c r="E648" s="122"/>
      <c r="F648" s="146">
        <v>0.2</v>
      </c>
      <c r="G648" s="146"/>
      <c r="H648" s="122">
        <v>77706</v>
      </c>
      <c r="I648" s="122">
        <f t="shared" si="205"/>
        <v>75219.407999999996</v>
      </c>
      <c r="J648" s="147">
        <f t="shared" si="206"/>
        <v>60175.526400000002</v>
      </c>
      <c r="K648" s="122"/>
      <c r="L648" s="122">
        <v>0</v>
      </c>
      <c r="M648" s="122">
        <f t="shared" si="207"/>
        <v>0</v>
      </c>
      <c r="N648" s="122">
        <f t="shared" si="208"/>
        <v>0</v>
      </c>
      <c r="O648" s="122"/>
      <c r="P648" s="122">
        <v>0</v>
      </c>
      <c r="Q648" s="122">
        <f t="shared" si="209"/>
        <v>0</v>
      </c>
      <c r="R648" s="147">
        <f t="shared" si="210"/>
        <v>0</v>
      </c>
      <c r="S648" s="145">
        <v>9</v>
      </c>
      <c r="T648" s="144" t="s">
        <v>1176</v>
      </c>
      <c r="U648" s="90">
        <f>SUMIF('Avoided Costs 2009-2017'!$A:$A,Actuals!T648&amp;Actuals!S648,'Avoided Costs 2009-2017'!$E:$E)*J648</f>
        <v>134053.75620771627</v>
      </c>
      <c r="V648" s="90">
        <f>SUMIF('Avoided Costs 2009-2017'!$A:$A,Actuals!T648&amp;Actuals!S648,'Avoided Costs 2009-2017'!$K:$K)*N648</f>
        <v>0</v>
      </c>
      <c r="W648" s="90">
        <f>SUMIF('Avoided Costs 2009-2017'!$A:$A,Actuals!T648&amp;Actuals!S648,'Avoided Costs 2009-2017'!$M:$M)*R648</f>
        <v>0</v>
      </c>
      <c r="X648" s="90">
        <f t="shared" si="211"/>
        <v>134053.75620771627</v>
      </c>
      <c r="Y648" s="148">
        <v>67064</v>
      </c>
      <c r="Z648" s="149">
        <f t="shared" si="212"/>
        <v>53651.200000000004</v>
      </c>
      <c r="AA648" s="148"/>
      <c r="AB648" s="145"/>
      <c r="AC648" s="145"/>
      <c r="AD648" s="148">
        <f t="shared" si="213"/>
        <v>53651.200000000004</v>
      </c>
      <c r="AE648" s="122">
        <f t="shared" si="214"/>
        <v>80402.556207716261</v>
      </c>
      <c r="AF648" s="167">
        <f t="shared" si="215"/>
        <v>541579.73759999999</v>
      </c>
    </row>
    <row r="649" spans="1:32" s="150" customFormat="1" x14ac:dyDescent="0.2">
      <c r="A649" s="144" t="s">
        <v>641</v>
      </c>
      <c r="B649" s="144"/>
      <c r="C649" s="144"/>
      <c r="D649" s="145">
        <v>1</v>
      </c>
      <c r="E649" s="122"/>
      <c r="F649" s="146">
        <v>0.2</v>
      </c>
      <c r="G649" s="146"/>
      <c r="H649" s="122">
        <v>82032</v>
      </c>
      <c r="I649" s="122">
        <f t="shared" si="205"/>
        <v>79406.975999999995</v>
      </c>
      <c r="J649" s="147">
        <f t="shared" si="206"/>
        <v>63525.580799999996</v>
      </c>
      <c r="K649" s="122"/>
      <c r="L649" s="122">
        <v>0</v>
      </c>
      <c r="M649" s="122">
        <f t="shared" si="207"/>
        <v>0</v>
      </c>
      <c r="N649" s="122">
        <f t="shared" si="208"/>
        <v>0</v>
      </c>
      <c r="O649" s="122"/>
      <c r="P649" s="122">
        <v>0</v>
      </c>
      <c r="Q649" s="122">
        <f t="shared" si="209"/>
        <v>0</v>
      </c>
      <c r="R649" s="147">
        <f t="shared" si="210"/>
        <v>0</v>
      </c>
      <c r="S649" s="145">
        <v>11</v>
      </c>
      <c r="T649" s="144" t="s">
        <v>213</v>
      </c>
      <c r="U649" s="90">
        <f>SUMIF('Avoided Costs 2009-2017'!$A:$A,Actuals!T649&amp;Actuals!S649,'Avoided Costs 2009-2017'!$E:$E)*J649</f>
        <v>177788.47244293199</v>
      </c>
      <c r="V649" s="90">
        <f>SUMIF('Avoided Costs 2009-2017'!$A:$A,Actuals!T649&amp;Actuals!S649,'Avoided Costs 2009-2017'!$K:$K)*N649</f>
        <v>0</v>
      </c>
      <c r="W649" s="90">
        <f>SUMIF('Avoided Costs 2009-2017'!$A:$A,Actuals!T649&amp;Actuals!S649,'Avoided Costs 2009-2017'!$M:$M)*R649</f>
        <v>0</v>
      </c>
      <c r="X649" s="90">
        <f t="shared" si="211"/>
        <v>177788.47244293199</v>
      </c>
      <c r="Y649" s="148">
        <v>59387</v>
      </c>
      <c r="Z649" s="149">
        <f t="shared" si="212"/>
        <v>47509.600000000006</v>
      </c>
      <c r="AA649" s="148"/>
      <c r="AB649" s="145"/>
      <c r="AC649" s="145"/>
      <c r="AD649" s="148">
        <f t="shared" si="213"/>
        <v>47509.600000000006</v>
      </c>
      <c r="AE649" s="122">
        <f t="shared" si="214"/>
        <v>130278.87244293198</v>
      </c>
      <c r="AF649" s="167">
        <f t="shared" si="215"/>
        <v>698781.38879999996</v>
      </c>
    </row>
    <row r="650" spans="1:32" s="150" customFormat="1" x14ac:dyDescent="0.2">
      <c r="A650" s="144" t="s">
        <v>642</v>
      </c>
      <c r="B650" s="144"/>
      <c r="C650" s="144"/>
      <c r="D650" s="145">
        <v>1</v>
      </c>
      <c r="E650" s="122"/>
      <c r="F650" s="146">
        <v>0.2</v>
      </c>
      <c r="G650" s="146"/>
      <c r="H650" s="122">
        <v>53765</v>
      </c>
      <c r="I650" s="122">
        <f t="shared" si="205"/>
        <v>52044.52</v>
      </c>
      <c r="J650" s="147">
        <f t="shared" si="206"/>
        <v>41635.616000000002</v>
      </c>
      <c r="K650" s="122"/>
      <c r="L650" s="122">
        <v>0</v>
      </c>
      <c r="M650" s="122">
        <f t="shared" si="207"/>
        <v>0</v>
      </c>
      <c r="N650" s="122">
        <f t="shared" si="208"/>
        <v>0</v>
      </c>
      <c r="O650" s="122"/>
      <c r="P650" s="122">
        <v>0</v>
      </c>
      <c r="Q650" s="122">
        <f t="shared" si="209"/>
        <v>0</v>
      </c>
      <c r="R650" s="147">
        <f t="shared" si="210"/>
        <v>0</v>
      </c>
      <c r="S650" s="145">
        <v>9</v>
      </c>
      <c r="T650" s="144" t="s">
        <v>1176</v>
      </c>
      <c r="U650" s="90">
        <f>SUMIF('Avoided Costs 2009-2017'!$A:$A,Actuals!T650&amp;Actuals!S650,'Avoided Costs 2009-2017'!$E:$E)*J650</f>
        <v>92752.171035799882</v>
      </c>
      <c r="V650" s="90">
        <f>SUMIF('Avoided Costs 2009-2017'!$A:$A,Actuals!T650&amp;Actuals!S650,'Avoided Costs 2009-2017'!$K:$K)*N650</f>
        <v>0</v>
      </c>
      <c r="W650" s="90">
        <f>SUMIF('Avoided Costs 2009-2017'!$A:$A,Actuals!T650&amp;Actuals!S650,'Avoided Costs 2009-2017'!$M:$M)*R650</f>
        <v>0</v>
      </c>
      <c r="X650" s="90">
        <f t="shared" si="211"/>
        <v>92752.171035799882</v>
      </c>
      <c r="Y650" s="148">
        <v>40619</v>
      </c>
      <c r="Z650" s="149">
        <f t="shared" si="212"/>
        <v>32495.200000000001</v>
      </c>
      <c r="AA650" s="148"/>
      <c r="AB650" s="145"/>
      <c r="AC650" s="145"/>
      <c r="AD650" s="148">
        <f t="shared" si="213"/>
        <v>32495.200000000001</v>
      </c>
      <c r="AE650" s="122">
        <f t="shared" si="214"/>
        <v>60256.971035799885</v>
      </c>
      <c r="AF650" s="167">
        <f t="shared" si="215"/>
        <v>374720.54399999999</v>
      </c>
    </row>
    <row r="651" spans="1:32" s="150" customFormat="1" x14ac:dyDescent="0.2">
      <c r="A651" s="144" t="s">
        <v>643</v>
      </c>
      <c r="B651" s="144"/>
      <c r="C651" s="144"/>
      <c r="D651" s="145">
        <v>1</v>
      </c>
      <c r="E651" s="122"/>
      <c r="F651" s="146">
        <v>0.2</v>
      </c>
      <c r="G651" s="146"/>
      <c r="H651" s="122">
        <v>33608</v>
      </c>
      <c r="I651" s="122">
        <f t="shared" si="205"/>
        <v>32532.543999999998</v>
      </c>
      <c r="J651" s="147">
        <f t="shared" si="206"/>
        <v>26026.035199999998</v>
      </c>
      <c r="K651" s="122"/>
      <c r="L651" s="122">
        <v>0</v>
      </c>
      <c r="M651" s="122">
        <f t="shared" si="207"/>
        <v>0</v>
      </c>
      <c r="N651" s="122">
        <f t="shared" si="208"/>
        <v>0</v>
      </c>
      <c r="O651" s="122"/>
      <c r="P651" s="122">
        <v>0</v>
      </c>
      <c r="Q651" s="122">
        <f t="shared" si="209"/>
        <v>0</v>
      </c>
      <c r="R651" s="147">
        <f t="shared" si="210"/>
        <v>0</v>
      </c>
      <c r="S651" s="145">
        <v>8</v>
      </c>
      <c r="T651" s="144" t="s">
        <v>1176</v>
      </c>
      <c r="U651" s="90">
        <f>SUMIF('Avoided Costs 2009-2017'!$A:$A,Actuals!T651&amp;Actuals!S651,'Avoided Costs 2009-2017'!$E:$E)*J651</f>
        <v>53322.231469780636</v>
      </c>
      <c r="V651" s="90">
        <f>SUMIF('Avoided Costs 2009-2017'!$A:$A,Actuals!T651&amp;Actuals!S651,'Avoided Costs 2009-2017'!$K:$K)*N651</f>
        <v>0</v>
      </c>
      <c r="W651" s="90">
        <f>SUMIF('Avoided Costs 2009-2017'!$A:$A,Actuals!T651&amp;Actuals!S651,'Avoided Costs 2009-2017'!$M:$M)*R651</f>
        <v>0</v>
      </c>
      <c r="X651" s="90">
        <f t="shared" si="211"/>
        <v>53322.231469780636</v>
      </c>
      <c r="Y651" s="148">
        <v>44520</v>
      </c>
      <c r="Z651" s="149">
        <f t="shared" si="212"/>
        <v>35616</v>
      </c>
      <c r="AA651" s="148"/>
      <c r="AB651" s="145"/>
      <c r="AC651" s="145"/>
      <c r="AD651" s="148">
        <f t="shared" si="213"/>
        <v>35616</v>
      </c>
      <c r="AE651" s="122">
        <f t="shared" si="214"/>
        <v>17706.231469780636</v>
      </c>
      <c r="AF651" s="167">
        <f t="shared" si="215"/>
        <v>208208.28159999999</v>
      </c>
    </row>
    <row r="652" spans="1:32" s="150" customFormat="1" x14ac:dyDescent="0.2">
      <c r="A652" s="144" t="s">
        <v>644</v>
      </c>
      <c r="B652" s="144"/>
      <c r="C652" s="144"/>
      <c r="D652" s="145">
        <v>0</v>
      </c>
      <c r="E652" s="122"/>
      <c r="F652" s="146">
        <v>0.2</v>
      </c>
      <c r="G652" s="146"/>
      <c r="H652" s="122">
        <v>59240</v>
      </c>
      <c r="I652" s="122">
        <f t="shared" si="205"/>
        <v>57344.32</v>
      </c>
      <c r="J652" s="147">
        <f t="shared" si="206"/>
        <v>45875.456000000006</v>
      </c>
      <c r="K652" s="122"/>
      <c r="L652" s="122">
        <v>0</v>
      </c>
      <c r="M652" s="122">
        <f t="shared" si="207"/>
        <v>0</v>
      </c>
      <c r="N652" s="122">
        <f t="shared" si="208"/>
        <v>0</v>
      </c>
      <c r="O652" s="122"/>
      <c r="P652" s="122">
        <v>0</v>
      </c>
      <c r="Q652" s="122">
        <f t="shared" si="209"/>
        <v>0</v>
      </c>
      <c r="R652" s="147">
        <f t="shared" si="210"/>
        <v>0</v>
      </c>
      <c r="S652" s="145">
        <v>8</v>
      </c>
      <c r="T652" s="144" t="s">
        <v>1176</v>
      </c>
      <c r="U652" s="90">
        <f>SUMIF('Avoided Costs 2009-2017'!$A:$A,Actuals!T652&amp;Actuals!S652,'Avoided Costs 2009-2017'!$E:$E)*J652</f>
        <v>93989.793866633103</v>
      </c>
      <c r="V652" s="90">
        <f>SUMIF('Avoided Costs 2009-2017'!$A:$A,Actuals!T652&amp;Actuals!S652,'Avoided Costs 2009-2017'!$K:$K)*N652</f>
        <v>0</v>
      </c>
      <c r="W652" s="90">
        <f>SUMIF('Avoided Costs 2009-2017'!$A:$A,Actuals!T652&amp;Actuals!S652,'Avoided Costs 2009-2017'!$M:$M)*R652</f>
        <v>0</v>
      </c>
      <c r="X652" s="90">
        <f t="shared" si="211"/>
        <v>93989.793866633103</v>
      </c>
      <c r="Y652" s="148">
        <v>30170</v>
      </c>
      <c r="Z652" s="149">
        <f t="shared" si="212"/>
        <v>24136</v>
      </c>
      <c r="AA652" s="148"/>
      <c r="AB652" s="145"/>
      <c r="AC652" s="145"/>
      <c r="AD652" s="148">
        <f t="shared" si="213"/>
        <v>24136</v>
      </c>
      <c r="AE652" s="122">
        <f t="shared" si="214"/>
        <v>69853.793866633103</v>
      </c>
      <c r="AF652" s="167">
        <f t="shared" si="215"/>
        <v>367003.64800000004</v>
      </c>
    </row>
    <row r="653" spans="1:32" s="150" customFormat="1" x14ac:dyDescent="0.2">
      <c r="A653" s="144" t="s">
        <v>645</v>
      </c>
      <c r="B653" s="144"/>
      <c r="C653" s="144"/>
      <c r="D653" s="145">
        <v>1</v>
      </c>
      <c r="E653" s="122"/>
      <c r="F653" s="146">
        <v>0.2</v>
      </c>
      <c r="G653" s="146"/>
      <c r="H653" s="122">
        <v>15951</v>
      </c>
      <c r="I653" s="122">
        <f t="shared" si="205"/>
        <v>15440.567999999999</v>
      </c>
      <c r="J653" s="147">
        <f t="shared" si="206"/>
        <v>12352.454400000001</v>
      </c>
      <c r="K653" s="122"/>
      <c r="L653" s="122">
        <v>0</v>
      </c>
      <c r="M653" s="122">
        <f t="shared" si="207"/>
        <v>0</v>
      </c>
      <c r="N653" s="122">
        <f t="shared" si="208"/>
        <v>0</v>
      </c>
      <c r="O653" s="122"/>
      <c r="P653" s="122">
        <v>0</v>
      </c>
      <c r="Q653" s="122">
        <f t="shared" si="209"/>
        <v>0</v>
      </c>
      <c r="R653" s="147">
        <f t="shared" si="210"/>
        <v>0</v>
      </c>
      <c r="S653" s="145">
        <v>11</v>
      </c>
      <c r="T653" s="144" t="s">
        <v>213</v>
      </c>
      <c r="U653" s="90">
        <f>SUMIF('Avoided Costs 2009-2017'!$A:$A,Actuals!T653&amp;Actuals!S653,'Avoided Costs 2009-2017'!$E:$E)*J653</f>
        <v>34570.703188233958</v>
      </c>
      <c r="V653" s="90">
        <f>SUMIF('Avoided Costs 2009-2017'!$A:$A,Actuals!T653&amp;Actuals!S653,'Avoided Costs 2009-2017'!$K:$K)*N653</f>
        <v>0</v>
      </c>
      <c r="W653" s="90">
        <f>SUMIF('Avoided Costs 2009-2017'!$A:$A,Actuals!T653&amp;Actuals!S653,'Avoided Costs 2009-2017'!$M:$M)*R653</f>
        <v>0</v>
      </c>
      <c r="X653" s="90">
        <f t="shared" si="211"/>
        <v>34570.703188233958</v>
      </c>
      <c r="Y653" s="148">
        <v>10057</v>
      </c>
      <c r="Z653" s="149">
        <f t="shared" si="212"/>
        <v>8045.6</v>
      </c>
      <c r="AA653" s="148"/>
      <c r="AB653" s="145"/>
      <c r="AC653" s="145"/>
      <c r="AD653" s="148">
        <f t="shared" si="213"/>
        <v>8045.6</v>
      </c>
      <c r="AE653" s="122">
        <f t="shared" si="214"/>
        <v>26525.103188233959</v>
      </c>
      <c r="AF653" s="167">
        <f t="shared" si="215"/>
        <v>135876.99840000001</v>
      </c>
    </row>
    <row r="654" spans="1:32" s="150" customFormat="1" x14ac:dyDescent="0.2">
      <c r="A654" s="144" t="s">
        <v>646</v>
      </c>
      <c r="B654" s="144"/>
      <c r="C654" s="144"/>
      <c r="D654" s="145">
        <v>0</v>
      </c>
      <c r="E654" s="122"/>
      <c r="F654" s="146">
        <v>0.2</v>
      </c>
      <c r="G654" s="146"/>
      <c r="H654" s="122">
        <v>8931</v>
      </c>
      <c r="I654" s="122">
        <f t="shared" si="205"/>
        <v>8645.2080000000005</v>
      </c>
      <c r="J654" s="147">
        <f t="shared" si="206"/>
        <v>6916.166400000001</v>
      </c>
      <c r="K654" s="122"/>
      <c r="L654" s="122">
        <v>0</v>
      </c>
      <c r="M654" s="122">
        <f t="shared" si="207"/>
        <v>0</v>
      </c>
      <c r="N654" s="122">
        <f t="shared" si="208"/>
        <v>0</v>
      </c>
      <c r="O654" s="122"/>
      <c r="P654" s="122">
        <v>0</v>
      </c>
      <c r="Q654" s="122">
        <f t="shared" si="209"/>
        <v>0</v>
      </c>
      <c r="R654" s="147">
        <f t="shared" si="210"/>
        <v>0</v>
      </c>
      <c r="S654" s="145">
        <v>8</v>
      </c>
      <c r="T654" s="144" t="s">
        <v>1176</v>
      </c>
      <c r="U654" s="90">
        <f>SUMIF('Avoided Costs 2009-2017'!$A:$A,Actuals!T654&amp;Actuals!S654,'Avoided Costs 2009-2017'!$E:$E)*J654</f>
        <v>14169.865783641126</v>
      </c>
      <c r="V654" s="90">
        <f>SUMIF('Avoided Costs 2009-2017'!$A:$A,Actuals!T654&amp;Actuals!S654,'Avoided Costs 2009-2017'!$K:$K)*N654</f>
        <v>0</v>
      </c>
      <c r="W654" s="90">
        <f>SUMIF('Avoided Costs 2009-2017'!$A:$A,Actuals!T654&amp;Actuals!S654,'Avoided Costs 2009-2017'!$M:$M)*R654</f>
        <v>0</v>
      </c>
      <c r="X654" s="90">
        <f t="shared" si="211"/>
        <v>14169.865783641126</v>
      </c>
      <c r="Y654" s="148">
        <v>15900</v>
      </c>
      <c r="Z654" s="149">
        <f t="shared" si="212"/>
        <v>12720</v>
      </c>
      <c r="AA654" s="148"/>
      <c r="AB654" s="145"/>
      <c r="AC654" s="145"/>
      <c r="AD654" s="148">
        <f t="shared" si="213"/>
        <v>12720</v>
      </c>
      <c r="AE654" s="122">
        <f t="shared" si="214"/>
        <v>1449.8657836411257</v>
      </c>
      <c r="AF654" s="167">
        <f t="shared" si="215"/>
        <v>55329.331200000008</v>
      </c>
    </row>
    <row r="655" spans="1:32" s="150" customFormat="1" x14ac:dyDescent="0.2">
      <c r="A655" s="144" t="s">
        <v>647</v>
      </c>
      <c r="B655" s="144"/>
      <c r="C655" s="144"/>
      <c r="D655" s="145">
        <v>0</v>
      </c>
      <c r="E655" s="122"/>
      <c r="F655" s="146">
        <v>0.2</v>
      </c>
      <c r="G655" s="146"/>
      <c r="H655" s="122">
        <v>44614</v>
      </c>
      <c r="I655" s="122">
        <f t="shared" si="205"/>
        <v>43186.351999999999</v>
      </c>
      <c r="J655" s="147">
        <f t="shared" si="206"/>
        <v>34549.081599999998</v>
      </c>
      <c r="K655" s="122"/>
      <c r="L655" s="122">
        <v>11475</v>
      </c>
      <c r="M655" s="122">
        <f t="shared" si="207"/>
        <v>10316.025</v>
      </c>
      <c r="N655" s="122">
        <f t="shared" si="208"/>
        <v>8252.82</v>
      </c>
      <c r="O655" s="122"/>
      <c r="P655" s="122">
        <v>0</v>
      </c>
      <c r="Q655" s="122">
        <f t="shared" si="209"/>
        <v>0</v>
      </c>
      <c r="R655" s="147">
        <f t="shared" si="210"/>
        <v>0</v>
      </c>
      <c r="S655" s="145">
        <v>15</v>
      </c>
      <c r="T655" s="144" t="s">
        <v>213</v>
      </c>
      <c r="U655" s="90">
        <f>SUMIF('Avoided Costs 2009-2017'!$A:$A,Actuals!T655&amp;Actuals!S655,'Avoided Costs 2009-2017'!$E:$E)*J655</f>
        <v>116852.09719570981</v>
      </c>
      <c r="V655" s="90">
        <f>SUMIF('Avoided Costs 2009-2017'!$A:$A,Actuals!T655&amp;Actuals!S655,'Avoided Costs 2009-2017'!$K:$K)*N655</f>
        <v>6160.9956769311175</v>
      </c>
      <c r="W655" s="90">
        <f>SUMIF('Avoided Costs 2009-2017'!$A:$A,Actuals!T655&amp;Actuals!S655,'Avoided Costs 2009-2017'!$M:$M)*R655</f>
        <v>0</v>
      </c>
      <c r="X655" s="90">
        <f t="shared" si="211"/>
        <v>123013.09287264093</v>
      </c>
      <c r="Y655" s="148">
        <v>5000</v>
      </c>
      <c r="Z655" s="149">
        <f t="shared" si="212"/>
        <v>4000</v>
      </c>
      <c r="AA655" s="148"/>
      <c r="AB655" s="145"/>
      <c r="AC655" s="145"/>
      <c r="AD655" s="148">
        <f t="shared" si="213"/>
        <v>4000</v>
      </c>
      <c r="AE655" s="122">
        <f t="shared" si="214"/>
        <v>119013.09287264093</v>
      </c>
      <c r="AF655" s="167">
        <f t="shared" si="215"/>
        <v>518236.22399999999</v>
      </c>
    </row>
    <row r="656" spans="1:32" s="150" customFormat="1" x14ac:dyDescent="0.2">
      <c r="A656" s="144" t="s">
        <v>648</v>
      </c>
      <c r="B656" s="144"/>
      <c r="C656" s="144"/>
      <c r="D656" s="145">
        <v>1</v>
      </c>
      <c r="E656" s="122"/>
      <c r="F656" s="146">
        <v>0.2</v>
      </c>
      <c r="G656" s="146"/>
      <c r="H656" s="122">
        <v>33180</v>
      </c>
      <c r="I656" s="122">
        <f t="shared" si="205"/>
        <v>32118.239999999998</v>
      </c>
      <c r="J656" s="147">
        <f t="shared" si="206"/>
        <v>25694.592000000001</v>
      </c>
      <c r="K656" s="122"/>
      <c r="L656" s="122">
        <v>0</v>
      </c>
      <c r="M656" s="122">
        <f t="shared" si="207"/>
        <v>0</v>
      </c>
      <c r="N656" s="122">
        <f t="shared" si="208"/>
        <v>0</v>
      </c>
      <c r="O656" s="122"/>
      <c r="P656" s="122">
        <v>0</v>
      </c>
      <c r="Q656" s="122">
        <f t="shared" si="209"/>
        <v>0</v>
      </c>
      <c r="R656" s="147">
        <f t="shared" si="210"/>
        <v>0</v>
      </c>
      <c r="S656" s="145">
        <v>11</v>
      </c>
      <c r="T656" s="144" t="s">
        <v>213</v>
      </c>
      <c r="U656" s="90">
        <f>SUMIF('Avoided Costs 2009-2017'!$A:$A,Actuals!T656&amp;Actuals!S656,'Avoided Costs 2009-2017'!$E:$E)*J656</f>
        <v>71911.223859670412</v>
      </c>
      <c r="V656" s="90">
        <f>SUMIF('Avoided Costs 2009-2017'!$A:$A,Actuals!T656&amp;Actuals!S656,'Avoided Costs 2009-2017'!$K:$K)*N656</f>
        <v>0</v>
      </c>
      <c r="W656" s="90">
        <f>SUMIF('Avoided Costs 2009-2017'!$A:$A,Actuals!T656&amp;Actuals!S656,'Avoided Costs 2009-2017'!$M:$M)*R656</f>
        <v>0</v>
      </c>
      <c r="X656" s="90">
        <f t="shared" si="211"/>
        <v>71911.223859670412</v>
      </c>
      <c r="Y656" s="148">
        <v>45050</v>
      </c>
      <c r="Z656" s="149">
        <f t="shared" si="212"/>
        <v>36040</v>
      </c>
      <c r="AA656" s="148"/>
      <c r="AB656" s="145"/>
      <c r="AC656" s="145"/>
      <c r="AD656" s="148">
        <f t="shared" si="213"/>
        <v>36040</v>
      </c>
      <c r="AE656" s="122">
        <f t="shared" si="214"/>
        <v>35871.223859670412</v>
      </c>
      <c r="AF656" s="167">
        <f t="shared" si="215"/>
        <v>282640.51199999999</v>
      </c>
    </row>
    <row r="657" spans="1:32" s="150" customFormat="1" x14ac:dyDescent="0.2">
      <c r="A657" s="144" t="s">
        <v>649</v>
      </c>
      <c r="B657" s="144"/>
      <c r="C657" s="144"/>
      <c r="D657" s="145">
        <v>0</v>
      </c>
      <c r="E657" s="122"/>
      <c r="F657" s="146">
        <v>0.2</v>
      </c>
      <c r="G657" s="146"/>
      <c r="H657" s="122">
        <v>20007</v>
      </c>
      <c r="I657" s="122">
        <f t="shared" si="205"/>
        <v>19366.775999999998</v>
      </c>
      <c r="J657" s="147">
        <f t="shared" si="206"/>
        <v>15493.4208</v>
      </c>
      <c r="K657" s="122"/>
      <c r="L657" s="122">
        <v>0</v>
      </c>
      <c r="M657" s="122">
        <f t="shared" si="207"/>
        <v>0</v>
      </c>
      <c r="N657" s="122">
        <f t="shared" si="208"/>
        <v>0</v>
      </c>
      <c r="O657" s="122"/>
      <c r="P657" s="122">
        <v>0</v>
      </c>
      <c r="Q657" s="122">
        <f t="shared" si="209"/>
        <v>0</v>
      </c>
      <c r="R657" s="147">
        <f t="shared" si="210"/>
        <v>0</v>
      </c>
      <c r="S657" s="145">
        <v>8</v>
      </c>
      <c r="T657" s="144" t="s">
        <v>1176</v>
      </c>
      <c r="U657" s="90">
        <f>SUMIF('Avoided Costs 2009-2017'!$A:$A,Actuals!T657&amp;Actuals!S657,'Avoided Costs 2009-2017'!$E:$E)*J657</f>
        <v>31742.974441082519</v>
      </c>
      <c r="V657" s="90">
        <f>SUMIF('Avoided Costs 2009-2017'!$A:$A,Actuals!T657&amp;Actuals!S657,'Avoided Costs 2009-2017'!$K:$K)*N657</f>
        <v>0</v>
      </c>
      <c r="W657" s="90">
        <f>SUMIF('Avoided Costs 2009-2017'!$A:$A,Actuals!T657&amp;Actuals!S657,'Avoided Costs 2009-2017'!$M:$M)*R657</f>
        <v>0</v>
      </c>
      <c r="X657" s="90">
        <f t="shared" si="211"/>
        <v>31742.974441082519</v>
      </c>
      <c r="Y657" s="148">
        <v>20074</v>
      </c>
      <c r="Z657" s="149">
        <f t="shared" si="212"/>
        <v>16059.2</v>
      </c>
      <c r="AA657" s="148"/>
      <c r="AB657" s="145"/>
      <c r="AC657" s="145"/>
      <c r="AD657" s="148">
        <f t="shared" si="213"/>
        <v>16059.2</v>
      </c>
      <c r="AE657" s="122">
        <f t="shared" si="214"/>
        <v>15683.774441082518</v>
      </c>
      <c r="AF657" s="167">
        <f t="shared" si="215"/>
        <v>123947.3664</v>
      </c>
    </row>
    <row r="658" spans="1:32" s="150" customFormat="1" x14ac:dyDescent="0.2">
      <c r="A658" s="144" t="s">
        <v>650</v>
      </c>
      <c r="B658" s="144"/>
      <c r="C658" s="144"/>
      <c r="D658" s="145">
        <v>1</v>
      </c>
      <c r="E658" s="122"/>
      <c r="F658" s="146">
        <v>0.2</v>
      </c>
      <c r="G658" s="146"/>
      <c r="H658" s="122">
        <v>58662</v>
      </c>
      <c r="I658" s="122">
        <f t="shared" si="205"/>
        <v>56784.815999999999</v>
      </c>
      <c r="J658" s="147">
        <f t="shared" si="206"/>
        <v>45427.852800000001</v>
      </c>
      <c r="K658" s="122"/>
      <c r="L658" s="122">
        <v>0</v>
      </c>
      <c r="M658" s="122">
        <f t="shared" si="207"/>
        <v>0</v>
      </c>
      <c r="N658" s="122">
        <f t="shared" si="208"/>
        <v>0</v>
      </c>
      <c r="O658" s="122"/>
      <c r="P658" s="122">
        <v>0</v>
      </c>
      <c r="Q658" s="122">
        <f t="shared" si="209"/>
        <v>0</v>
      </c>
      <c r="R658" s="147">
        <f t="shared" si="210"/>
        <v>0</v>
      </c>
      <c r="S658" s="145">
        <v>11</v>
      </c>
      <c r="T658" s="144" t="s">
        <v>213</v>
      </c>
      <c r="U658" s="90">
        <f>SUMIF('Avoided Costs 2009-2017'!$A:$A,Actuals!T658&amp;Actuals!S658,'Avoided Costs 2009-2017'!$E:$E)*J658</f>
        <v>127138.52363037932</v>
      </c>
      <c r="V658" s="90">
        <f>SUMIF('Avoided Costs 2009-2017'!$A:$A,Actuals!T658&amp;Actuals!S658,'Avoided Costs 2009-2017'!$K:$K)*N658</f>
        <v>0</v>
      </c>
      <c r="W658" s="90">
        <f>SUMIF('Avoided Costs 2009-2017'!$A:$A,Actuals!T658&amp;Actuals!S658,'Avoided Costs 2009-2017'!$M:$M)*R658</f>
        <v>0</v>
      </c>
      <c r="X658" s="90">
        <f t="shared" si="211"/>
        <v>127138.52363037932</v>
      </c>
      <c r="Y658" s="148">
        <v>39021</v>
      </c>
      <c r="Z658" s="149">
        <f t="shared" si="212"/>
        <v>31216.800000000003</v>
      </c>
      <c r="AA658" s="148"/>
      <c r="AB658" s="145"/>
      <c r="AC658" s="145"/>
      <c r="AD658" s="148">
        <f t="shared" si="213"/>
        <v>31216.800000000003</v>
      </c>
      <c r="AE658" s="122">
        <f t="shared" si="214"/>
        <v>95921.723630379318</v>
      </c>
      <c r="AF658" s="167">
        <f t="shared" si="215"/>
        <v>499706.38079999998</v>
      </c>
    </row>
    <row r="659" spans="1:32" s="150" customFormat="1" x14ac:dyDescent="0.2">
      <c r="A659" s="144" t="s">
        <v>651</v>
      </c>
      <c r="B659" s="144"/>
      <c r="C659" s="144"/>
      <c r="D659" s="145">
        <v>0</v>
      </c>
      <c r="E659" s="122"/>
      <c r="F659" s="146">
        <v>0.2</v>
      </c>
      <c r="G659" s="146"/>
      <c r="H659" s="122">
        <v>118298</v>
      </c>
      <c r="I659" s="122">
        <f t="shared" si="205"/>
        <v>114512.46399999999</v>
      </c>
      <c r="J659" s="147">
        <f t="shared" si="206"/>
        <v>91609.9712</v>
      </c>
      <c r="K659" s="122"/>
      <c r="L659" s="122">
        <v>0</v>
      </c>
      <c r="M659" s="122">
        <f t="shared" si="207"/>
        <v>0</v>
      </c>
      <c r="N659" s="122">
        <f t="shared" si="208"/>
        <v>0</v>
      </c>
      <c r="O659" s="122"/>
      <c r="P659" s="122">
        <v>0</v>
      </c>
      <c r="Q659" s="122">
        <f t="shared" si="209"/>
        <v>0</v>
      </c>
      <c r="R659" s="147">
        <f t="shared" si="210"/>
        <v>0</v>
      </c>
      <c r="S659" s="145">
        <v>9</v>
      </c>
      <c r="T659" s="144" t="s">
        <v>1176</v>
      </c>
      <c r="U659" s="90">
        <f>SUMIF('Avoided Costs 2009-2017'!$A:$A,Actuals!T659&amp;Actuals!S659,'Avoided Costs 2009-2017'!$E:$E)*J659</f>
        <v>204080.65338404267</v>
      </c>
      <c r="V659" s="90">
        <f>SUMIF('Avoided Costs 2009-2017'!$A:$A,Actuals!T659&amp;Actuals!S659,'Avoided Costs 2009-2017'!$K:$K)*N659</f>
        <v>0</v>
      </c>
      <c r="W659" s="90">
        <f>SUMIF('Avoided Costs 2009-2017'!$A:$A,Actuals!T659&amp;Actuals!S659,'Avoided Costs 2009-2017'!$M:$M)*R659</f>
        <v>0</v>
      </c>
      <c r="X659" s="90">
        <f t="shared" si="211"/>
        <v>204080.65338404267</v>
      </c>
      <c r="Y659" s="148">
        <v>107496</v>
      </c>
      <c r="Z659" s="149">
        <f t="shared" si="212"/>
        <v>85996.800000000003</v>
      </c>
      <c r="AA659" s="148"/>
      <c r="AB659" s="145"/>
      <c r="AC659" s="145"/>
      <c r="AD659" s="148">
        <f t="shared" si="213"/>
        <v>85996.800000000003</v>
      </c>
      <c r="AE659" s="122">
        <f t="shared" si="214"/>
        <v>118083.85338404267</v>
      </c>
      <c r="AF659" s="167">
        <f t="shared" si="215"/>
        <v>824489.74080000003</v>
      </c>
    </row>
    <row r="660" spans="1:32" s="150" customFormat="1" x14ac:dyDescent="0.2">
      <c r="A660" s="144" t="s">
        <v>652</v>
      </c>
      <c r="B660" s="144"/>
      <c r="C660" s="144"/>
      <c r="D660" s="145">
        <v>0</v>
      </c>
      <c r="E660" s="122"/>
      <c r="F660" s="146">
        <v>0.2</v>
      </c>
      <c r="G660" s="146"/>
      <c r="H660" s="122">
        <v>21966</v>
      </c>
      <c r="I660" s="122">
        <f t="shared" si="205"/>
        <v>21263.088</v>
      </c>
      <c r="J660" s="147">
        <f t="shared" si="206"/>
        <v>17010.470400000002</v>
      </c>
      <c r="K660" s="122"/>
      <c r="L660" s="122">
        <v>21431</v>
      </c>
      <c r="M660" s="122">
        <f t="shared" si="207"/>
        <v>19266.469000000001</v>
      </c>
      <c r="N660" s="122">
        <f t="shared" si="208"/>
        <v>15413.175200000001</v>
      </c>
      <c r="O660" s="122"/>
      <c r="P660" s="122">
        <v>0</v>
      </c>
      <c r="Q660" s="122">
        <f t="shared" si="209"/>
        <v>0</v>
      </c>
      <c r="R660" s="147">
        <f t="shared" si="210"/>
        <v>0</v>
      </c>
      <c r="S660" s="145">
        <v>15</v>
      </c>
      <c r="T660" s="144" t="s">
        <v>213</v>
      </c>
      <c r="U660" s="90">
        <f>SUMIF('Avoided Costs 2009-2017'!$A:$A,Actuals!T660&amp;Actuals!S660,'Avoided Costs 2009-2017'!$E:$E)*J660</f>
        <v>57532.908212690236</v>
      </c>
      <c r="V660" s="90">
        <f>SUMIF('Avoided Costs 2009-2017'!$A:$A,Actuals!T660&amp;Actuals!S660,'Avoided Costs 2009-2017'!$K:$K)*N660</f>
        <v>11506.431228959547</v>
      </c>
      <c r="W660" s="90">
        <f>SUMIF('Avoided Costs 2009-2017'!$A:$A,Actuals!T660&amp;Actuals!S660,'Avoided Costs 2009-2017'!$M:$M)*R660</f>
        <v>0</v>
      </c>
      <c r="X660" s="90">
        <f t="shared" si="211"/>
        <v>69039.33944164979</v>
      </c>
      <c r="Y660" s="148">
        <v>13600</v>
      </c>
      <c r="Z660" s="149">
        <f t="shared" si="212"/>
        <v>10880</v>
      </c>
      <c r="AA660" s="148"/>
      <c r="AB660" s="145"/>
      <c r="AC660" s="145"/>
      <c r="AD660" s="148">
        <f t="shared" si="213"/>
        <v>10880</v>
      </c>
      <c r="AE660" s="122">
        <f t="shared" si="214"/>
        <v>58159.33944164979</v>
      </c>
      <c r="AF660" s="167">
        <f t="shared" si="215"/>
        <v>255157.05600000004</v>
      </c>
    </row>
    <row r="661" spans="1:32" s="150" customFormat="1" x14ac:dyDescent="0.2">
      <c r="A661" s="144" t="s">
        <v>653</v>
      </c>
      <c r="B661" s="144"/>
      <c r="C661" s="144"/>
      <c r="D661" s="145">
        <v>0</v>
      </c>
      <c r="E661" s="122"/>
      <c r="F661" s="146">
        <v>0.2</v>
      </c>
      <c r="G661" s="146"/>
      <c r="H661" s="122">
        <v>9358</v>
      </c>
      <c r="I661" s="122">
        <f t="shared" si="205"/>
        <v>9058.5439999999999</v>
      </c>
      <c r="J661" s="147">
        <f t="shared" si="206"/>
        <v>7246.8352000000004</v>
      </c>
      <c r="K661" s="122"/>
      <c r="L661" s="122">
        <v>10716</v>
      </c>
      <c r="M661" s="122">
        <f t="shared" si="207"/>
        <v>9633.6840000000011</v>
      </c>
      <c r="N661" s="122">
        <f t="shared" si="208"/>
        <v>7706.9472000000014</v>
      </c>
      <c r="O661" s="122"/>
      <c r="P661" s="122">
        <v>0</v>
      </c>
      <c r="Q661" s="122">
        <f t="shared" si="209"/>
        <v>0</v>
      </c>
      <c r="R661" s="147">
        <f t="shared" si="210"/>
        <v>0</v>
      </c>
      <c r="S661" s="145">
        <v>15</v>
      </c>
      <c r="T661" s="144" t="s">
        <v>213</v>
      </c>
      <c r="U661" s="90">
        <f>SUMIF('Avoided Costs 2009-2017'!$A:$A,Actuals!T661&amp;Actuals!S661,'Avoided Costs 2009-2017'!$E:$E)*J661</f>
        <v>24510.28658173337</v>
      </c>
      <c r="V661" s="90">
        <f>SUMIF('Avoided Costs 2009-2017'!$A:$A,Actuals!T661&amp;Actuals!S661,'Avoided Costs 2009-2017'!$K:$K)*N661</f>
        <v>5753.4840674504467</v>
      </c>
      <c r="W661" s="90">
        <f>SUMIF('Avoided Costs 2009-2017'!$A:$A,Actuals!T661&amp;Actuals!S661,'Avoided Costs 2009-2017'!$M:$M)*R661</f>
        <v>0</v>
      </c>
      <c r="X661" s="90">
        <f t="shared" si="211"/>
        <v>30263.770649183818</v>
      </c>
      <c r="Y661" s="148">
        <v>7650</v>
      </c>
      <c r="Z661" s="149">
        <f t="shared" si="212"/>
        <v>6120</v>
      </c>
      <c r="AA661" s="148"/>
      <c r="AB661" s="145"/>
      <c r="AC661" s="145"/>
      <c r="AD661" s="148">
        <f t="shared" si="213"/>
        <v>6120</v>
      </c>
      <c r="AE661" s="122">
        <f t="shared" si="214"/>
        <v>24143.770649183818</v>
      </c>
      <c r="AF661" s="167">
        <f t="shared" si="215"/>
        <v>108702.52800000001</v>
      </c>
    </row>
    <row r="662" spans="1:32" s="150" customFormat="1" x14ac:dyDescent="0.2">
      <c r="A662" s="144" t="s">
        <v>654</v>
      </c>
      <c r="B662" s="144"/>
      <c r="C662" s="144"/>
      <c r="D662" s="145">
        <v>1</v>
      </c>
      <c r="E662" s="122"/>
      <c r="F662" s="146">
        <v>0.2</v>
      </c>
      <c r="G662" s="146"/>
      <c r="H662" s="122">
        <v>162448</v>
      </c>
      <c r="I662" s="122">
        <f t="shared" si="205"/>
        <v>157249.66399999999</v>
      </c>
      <c r="J662" s="147">
        <f t="shared" si="206"/>
        <v>125799.73119999999</v>
      </c>
      <c r="K662" s="122"/>
      <c r="L662" s="122">
        <v>0</v>
      </c>
      <c r="M662" s="122">
        <f t="shared" si="207"/>
        <v>0</v>
      </c>
      <c r="N662" s="122">
        <f t="shared" si="208"/>
        <v>0</v>
      </c>
      <c r="O662" s="122"/>
      <c r="P662" s="122">
        <v>0</v>
      </c>
      <c r="Q662" s="122">
        <f t="shared" si="209"/>
        <v>0</v>
      </c>
      <c r="R662" s="147">
        <f t="shared" si="210"/>
        <v>0</v>
      </c>
      <c r="S662" s="145">
        <v>11</v>
      </c>
      <c r="T662" s="144" t="s">
        <v>213</v>
      </c>
      <c r="U662" s="90">
        <f>SUMIF('Avoided Costs 2009-2017'!$A:$A,Actuals!T662&amp;Actuals!S662,'Avoided Costs 2009-2017'!$E:$E)*J662</f>
        <v>352074.57786485046</v>
      </c>
      <c r="V662" s="90">
        <f>SUMIF('Avoided Costs 2009-2017'!$A:$A,Actuals!T662&amp;Actuals!S662,'Avoided Costs 2009-2017'!$K:$K)*N662</f>
        <v>0</v>
      </c>
      <c r="W662" s="90">
        <f>SUMIF('Avoided Costs 2009-2017'!$A:$A,Actuals!T662&amp;Actuals!S662,'Avoided Costs 2009-2017'!$M:$M)*R662</f>
        <v>0</v>
      </c>
      <c r="X662" s="90">
        <f t="shared" si="211"/>
        <v>352074.57786485046</v>
      </c>
      <c r="Y662" s="148">
        <v>118095</v>
      </c>
      <c r="Z662" s="149">
        <f t="shared" si="212"/>
        <v>94476</v>
      </c>
      <c r="AA662" s="148"/>
      <c r="AB662" s="145"/>
      <c r="AC662" s="145"/>
      <c r="AD662" s="148">
        <f t="shared" si="213"/>
        <v>94476</v>
      </c>
      <c r="AE662" s="122">
        <f t="shared" si="214"/>
        <v>257598.57786485046</v>
      </c>
      <c r="AF662" s="167">
        <f t="shared" si="215"/>
        <v>1383797.0432</v>
      </c>
    </row>
    <row r="663" spans="1:32" s="150" customFormat="1" x14ac:dyDescent="0.2">
      <c r="A663" s="144" t="s">
        <v>655</v>
      </c>
      <c r="B663" s="144"/>
      <c r="C663" s="144"/>
      <c r="D663" s="145">
        <v>1</v>
      </c>
      <c r="E663" s="122"/>
      <c r="F663" s="146">
        <v>0.2</v>
      </c>
      <c r="G663" s="146"/>
      <c r="H663" s="122">
        <v>5431</v>
      </c>
      <c r="I663" s="122">
        <f t="shared" si="205"/>
        <v>5257.2079999999996</v>
      </c>
      <c r="J663" s="147">
        <f t="shared" si="206"/>
        <v>4205.7663999999995</v>
      </c>
      <c r="K663" s="122"/>
      <c r="L663" s="122">
        <v>0</v>
      </c>
      <c r="M663" s="122">
        <f t="shared" si="207"/>
        <v>0</v>
      </c>
      <c r="N663" s="122">
        <f t="shared" si="208"/>
        <v>0</v>
      </c>
      <c r="O663" s="122"/>
      <c r="P663" s="122">
        <v>0</v>
      </c>
      <c r="Q663" s="122">
        <f t="shared" si="209"/>
        <v>0</v>
      </c>
      <c r="R663" s="147">
        <f t="shared" si="210"/>
        <v>0</v>
      </c>
      <c r="S663" s="145">
        <v>11</v>
      </c>
      <c r="T663" s="144" t="s">
        <v>213</v>
      </c>
      <c r="U663" s="90">
        <f>SUMIF('Avoided Costs 2009-2017'!$A:$A,Actuals!T663&amp;Actuals!S663,'Avoided Costs 2009-2017'!$E:$E)*J663</f>
        <v>11770.64065044816</v>
      </c>
      <c r="V663" s="90">
        <f>SUMIF('Avoided Costs 2009-2017'!$A:$A,Actuals!T663&amp;Actuals!S663,'Avoided Costs 2009-2017'!$K:$K)*N663</f>
        <v>0</v>
      </c>
      <c r="W663" s="90">
        <f>SUMIF('Avoided Costs 2009-2017'!$A:$A,Actuals!T663&amp;Actuals!S663,'Avoided Costs 2009-2017'!$M:$M)*R663</f>
        <v>0</v>
      </c>
      <c r="X663" s="90">
        <f t="shared" si="211"/>
        <v>11770.64065044816</v>
      </c>
      <c r="Y663" s="148">
        <v>10245</v>
      </c>
      <c r="Z663" s="149">
        <f t="shared" si="212"/>
        <v>8196</v>
      </c>
      <c r="AA663" s="148"/>
      <c r="AB663" s="145"/>
      <c r="AC663" s="145"/>
      <c r="AD663" s="148">
        <f t="shared" si="213"/>
        <v>8196</v>
      </c>
      <c r="AE663" s="122">
        <f t="shared" si="214"/>
        <v>3574.6406504481602</v>
      </c>
      <c r="AF663" s="167">
        <f t="shared" si="215"/>
        <v>46263.430399999997</v>
      </c>
    </row>
    <row r="664" spans="1:32" s="150" customFormat="1" x14ac:dyDescent="0.2">
      <c r="A664" s="144" t="s">
        <v>656</v>
      </c>
      <c r="B664" s="144"/>
      <c r="C664" s="144"/>
      <c r="D664" s="145">
        <v>1</v>
      </c>
      <c r="E664" s="122"/>
      <c r="F664" s="146">
        <v>0.2</v>
      </c>
      <c r="G664" s="146"/>
      <c r="H664" s="122">
        <v>5914</v>
      </c>
      <c r="I664" s="122">
        <f t="shared" si="205"/>
        <v>5724.7519999999995</v>
      </c>
      <c r="J664" s="147">
        <f t="shared" si="206"/>
        <v>4579.8015999999998</v>
      </c>
      <c r="K664" s="122"/>
      <c r="L664" s="122">
        <v>0</v>
      </c>
      <c r="M664" s="122">
        <f t="shared" si="207"/>
        <v>0</v>
      </c>
      <c r="N664" s="122">
        <f t="shared" si="208"/>
        <v>0</v>
      </c>
      <c r="O664" s="122"/>
      <c r="P664" s="122">
        <v>0</v>
      </c>
      <c r="Q664" s="122">
        <f t="shared" si="209"/>
        <v>0</v>
      </c>
      <c r="R664" s="147">
        <f t="shared" si="210"/>
        <v>0</v>
      </c>
      <c r="S664" s="145">
        <v>25</v>
      </c>
      <c r="T664" s="144" t="s">
        <v>213</v>
      </c>
      <c r="U664" s="90">
        <f>SUMIF('Avoided Costs 2009-2017'!$A:$A,Actuals!T664&amp;Actuals!S664,'Avoided Costs 2009-2017'!$E:$E)*J664</f>
        <v>19717.29161334295</v>
      </c>
      <c r="V664" s="90">
        <f>SUMIF('Avoided Costs 2009-2017'!$A:$A,Actuals!T664&amp;Actuals!S664,'Avoided Costs 2009-2017'!$K:$K)*N664</f>
        <v>0</v>
      </c>
      <c r="W664" s="90">
        <f>SUMIF('Avoided Costs 2009-2017'!$A:$A,Actuals!T664&amp;Actuals!S664,'Avoided Costs 2009-2017'!$M:$M)*R664</f>
        <v>0</v>
      </c>
      <c r="X664" s="90">
        <f t="shared" si="211"/>
        <v>19717.29161334295</v>
      </c>
      <c r="Y664" s="148">
        <v>2770</v>
      </c>
      <c r="Z664" s="149">
        <f t="shared" si="212"/>
        <v>2216</v>
      </c>
      <c r="AA664" s="148"/>
      <c r="AB664" s="145"/>
      <c r="AC664" s="145"/>
      <c r="AD664" s="148">
        <f t="shared" si="213"/>
        <v>2216</v>
      </c>
      <c r="AE664" s="122">
        <f t="shared" si="214"/>
        <v>17501.29161334295</v>
      </c>
      <c r="AF664" s="167">
        <f t="shared" si="215"/>
        <v>114495.03999999999</v>
      </c>
    </row>
    <row r="665" spans="1:32" s="150" customFormat="1" x14ac:dyDescent="0.2">
      <c r="A665" s="144" t="s">
        <v>657</v>
      </c>
      <c r="B665" s="144"/>
      <c r="C665" s="144"/>
      <c r="D665" s="145">
        <v>0</v>
      </c>
      <c r="E665" s="122"/>
      <c r="F665" s="146">
        <v>0.2</v>
      </c>
      <c r="G665" s="146"/>
      <c r="H665" s="122">
        <v>9970</v>
      </c>
      <c r="I665" s="122">
        <f t="shared" si="205"/>
        <v>9650.9599999999991</v>
      </c>
      <c r="J665" s="147">
        <f t="shared" si="206"/>
        <v>7720.768</v>
      </c>
      <c r="K665" s="122"/>
      <c r="L665" s="122">
        <v>0</v>
      </c>
      <c r="M665" s="122">
        <f t="shared" si="207"/>
        <v>0</v>
      </c>
      <c r="N665" s="122">
        <f t="shared" si="208"/>
        <v>0</v>
      </c>
      <c r="O665" s="122"/>
      <c r="P665" s="122">
        <v>0</v>
      </c>
      <c r="Q665" s="122">
        <f t="shared" si="209"/>
        <v>0</v>
      </c>
      <c r="R665" s="147">
        <f t="shared" si="210"/>
        <v>0</v>
      </c>
      <c r="S665" s="145">
        <v>15</v>
      </c>
      <c r="T665" s="144" t="s">
        <v>1176</v>
      </c>
      <c r="U665" s="90">
        <f>SUMIF('Avoided Costs 2009-2017'!$A:$A,Actuals!T665&amp;Actuals!S665,'Avoided Costs 2009-2017'!$E:$E)*J665</f>
        <v>23783.732366541179</v>
      </c>
      <c r="V665" s="90">
        <f>SUMIF('Avoided Costs 2009-2017'!$A:$A,Actuals!T665&amp;Actuals!S665,'Avoided Costs 2009-2017'!$K:$K)*N665</f>
        <v>0</v>
      </c>
      <c r="W665" s="90">
        <f>SUMIF('Avoided Costs 2009-2017'!$A:$A,Actuals!T665&amp;Actuals!S665,'Avoided Costs 2009-2017'!$M:$M)*R665</f>
        <v>0</v>
      </c>
      <c r="X665" s="90">
        <f t="shared" si="211"/>
        <v>23783.732366541179</v>
      </c>
      <c r="Y665" s="148">
        <v>0</v>
      </c>
      <c r="Z665" s="149">
        <f t="shared" si="212"/>
        <v>0</v>
      </c>
      <c r="AA665" s="148"/>
      <c r="AB665" s="145"/>
      <c r="AC665" s="145"/>
      <c r="AD665" s="148">
        <f t="shared" si="213"/>
        <v>0</v>
      </c>
      <c r="AE665" s="122">
        <f t="shared" si="214"/>
        <v>23783.732366541179</v>
      </c>
      <c r="AF665" s="167">
        <f t="shared" si="215"/>
        <v>115811.52</v>
      </c>
    </row>
    <row r="666" spans="1:32" s="150" customFormat="1" x14ac:dyDescent="0.2">
      <c r="A666" s="144" t="s">
        <v>658</v>
      </c>
      <c r="B666" s="144"/>
      <c r="C666" s="144"/>
      <c r="D666" s="145">
        <v>0</v>
      </c>
      <c r="E666" s="122"/>
      <c r="F666" s="146">
        <v>0.2</v>
      </c>
      <c r="G666" s="146"/>
      <c r="H666" s="122">
        <v>17672</v>
      </c>
      <c r="I666" s="122">
        <f t="shared" si="205"/>
        <v>17106.495999999999</v>
      </c>
      <c r="J666" s="147">
        <f t="shared" si="206"/>
        <v>13685.1968</v>
      </c>
      <c r="K666" s="122"/>
      <c r="L666" s="122">
        <v>0</v>
      </c>
      <c r="M666" s="122">
        <f t="shared" si="207"/>
        <v>0</v>
      </c>
      <c r="N666" s="122">
        <f t="shared" si="208"/>
        <v>0</v>
      </c>
      <c r="O666" s="122"/>
      <c r="P666" s="122">
        <v>0</v>
      </c>
      <c r="Q666" s="122">
        <f t="shared" si="209"/>
        <v>0</v>
      </c>
      <c r="R666" s="147">
        <f t="shared" si="210"/>
        <v>0</v>
      </c>
      <c r="S666" s="145">
        <v>15</v>
      </c>
      <c r="T666" s="144" t="s">
        <v>213</v>
      </c>
      <c r="U666" s="90">
        <f>SUMIF('Avoided Costs 2009-2017'!$A:$A,Actuals!T666&amp;Actuals!S666,'Avoided Costs 2009-2017'!$E:$E)*J666</f>
        <v>46286.149227654634</v>
      </c>
      <c r="V666" s="90">
        <f>SUMIF('Avoided Costs 2009-2017'!$A:$A,Actuals!T666&amp;Actuals!S666,'Avoided Costs 2009-2017'!$K:$K)*N666</f>
        <v>0</v>
      </c>
      <c r="W666" s="90">
        <f>SUMIF('Avoided Costs 2009-2017'!$A:$A,Actuals!T666&amp;Actuals!S666,'Avoided Costs 2009-2017'!$M:$M)*R666</f>
        <v>0</v>
      </c>
      <c r="X666" s="90">
        <f t="shared" si="211"/>
        <v>46286.149227654634</v>
      </c>
      <c r="Y666" s="148">
        <v>0</v>
      </c>
      <c r="Z666" s="149">
        <f t="shared" si="212"/>
        <v>0</v>
      </c>
      <c r="AA666" s="148"/>
      <c r="AB666" s="145"/>
      <c r="AC666" s="145"/>
      <c r="AD666" s="148">
        <f t="shared" si="213"/>
        <v>0</v>
      </c>
      <c r="AE666" s="122">
        <f t="shared" si="214"/>
        <v>46286.149227654634</v>
      </c>
      <c r="AF666" s="167">
        <f t="shared" si="215"/>
        <v>205277.95199999999</v>
      </c>
    </row>
    <row r="667" spans="1:32" s="150" customFormat="1" x14ac:dyDescent="0.2">
      <c r="A667" s="144" t="s">
        <v>659</v>
      </c>
      <c r="B667" s="144"/>
      <c r="C667" s="144"/>
      <c r="D667" s="145">
        <v>1</v>
      </c>
      <c r="E667" s="122"/>
      <c r="F667" s="146">
        <v>0.2</v>
      </c>
      <c r="G667" s="146"/>
      <c r="H667" s="122">
        <v>19833</v>
      </c>
      <c r="I667" s="122">
        <f t="shared" si="205"/>
        <v>19198.344000000001</v>
      </c>
      <c r="J667" s="147">
        <f t="shared" si="206"/>
        <v>15358.675200000001</v>
      </c>
      <c r="K667" s="122"/>
      <c r="L667" s="122">
        <v>159780</v>
      </c>
      <c r="M667" s="122">
        <f t="shared" si="207"/>
        <v>143642.22</v>
      </c>
      <c r="N667" s="122">
        <f t="shared" si="208"/>
        <v>114913.77600000001</v>
      </c>
      <c r="O667" s="122"/>
      <c r="P667" s="122">
        <v>0</v>
      </c>
      <c r="Q667" s="122">
        <f t="shared" si="209"/>
        <v>0</v>
      </c>
      <c r="R667" s="147">
        <f t="shared" si="210"/>
        <v>0</v>
      </c>
      <c r="S667" s="145">
        <v>15</v>
      </c>
      <c r="T667" s="144" t="s">
        <v>213</v>
      </c>
      <c r="U667" s="90">
        <f>SUMIF('Avoided Costs 2009-2017'!$A:$A,Actuals!T667&amp;Actuals!S667,'Avoided Costs 2009-2017'!$E:$E)*J667</f>
        <v>51946.197240384477</v>
      </c>
      <c r="V667" s="90">
        <f>SUMIF('Avoided Costs 2009-2017'!$A:$A,Actuals!T667&amp;Actuals!S667,'Avoided Costs 2009-2017'!$K:$K)*N667</f>
        <v>85786.831308065724</v>
      </c>
      <c r="W667" s="90">
        <f>SUMIF('Avoided Costs 2009-2017'!$A:$A,Actuals!T667&amp;Actuals!S667,'Avoided Costs 2009-2017'!$M:$M)*R667</f>
        <v>0</v>
      </c>
      <c r="X667" s="90">
        <f t="shared" si="211"/>
        <v>137733.02854845021</v>
      </c>
      <c r="Y667" s="148">
        <v>32125</v>
      </c>
      <c r="Z667" s="149">
        <f t="shared" si="212"/>
        <v>25700</v>
      </c>
      <c r="AA667" s="148"/>
      <c r="AB667" s="145"/>
      <c r="AC667" s="145"/>
      <c r="AD667" s="148">
        <f t="shared" si="213"/>
        <v>25700</v>
      </c>
      <c r="AE667" s="122">
        <f t="shared" si="214"/>
        <v>112033.02854845021</v>
      </c>
      <c r="AF667" s="167">
        <f t="shared" si="215"/>
        <v>230380.12800000003</v>
      </c>
    </row>
    <row r="668" spans="1:32" s="150" customFormat="1" x14ac:dyDescent="0.2">
      <c r="A668" s="144" t="s">
        <v>660</v>
      </c>
      <c r="B668" s="144"/>
      <c r="C668" s="144"/>
      <c r="D668" s="145">
        <v>0</v>
      </c>
      <c r="E668" s="122"/>
      <c r="F668" s="146">
        <v>0.2</v>
      </c>
      <c r="G668" s="146"/>
      <c r="H668" s="122">
        <v>168637</v>
      </c>
      <c r="I668" s="122">
        <v>189332</v>
      </c>
      <c r="J668" s="147">
        <f t="shared" si="206"/>
        <v>151465.60000000001</v>
      </c>
      <c r="K668" s="122"/>
      <c r="L668" s="122">
        <v>360957</v>
      </c>
      <c r="M668" s="122">
        <v>136319</v>
      </c>
      <c r="N668" s="122">
        <f t="shared" si="208"/>
        <v>109055.20000000001</v>
      </c>
      <c r="O668" s="122"/>
      <c r="P668" s="122">
        <v>0</v>
      </c>
      <c r="Q668" s="122">
        <f t="shared" si="209"/>
        <v>0</v>
      </c>
      <c r="R668" s="147">
        <f t="shared" si="210"/>
        <v>0</v>
      </c>
      <c r="S668" s="145">
        <v>15</v>
      </c>
      <c r="T668" s="144" t="s">
        <v>213</v>
      </c>
      <c r="U668" s="90">
        <f>SUMIF('Avoided Costs 2009-2017'!$A:$A,Actuals!T668&amp;Actuals!S668,'Avoided Costs 2009-2017'!$E:$E)*J668</f>
        <v>512287.80023508659</v>
      </c>
      <c r="V668" s="90">
        <f>SUMIF('Avoided Costs 2009-2017'!$A:$A,Actuals!T668&amp;Actuals!S668,'Avoided Costs 2009-2017'!$K:$K)*N668</f>
        <v>81413.215815546515</v>
      </c>
      <c r="W668" s="90">
        <f>SUMIF('Avoided Costs 2009-2017'!$A:$A,Actuals!T668&amp;Actuals!S668,'Avoided Costs 2009-2017'!$M:$M)*R668</f>
        <v>0</v>
      </c>
      <c r="X668" s="90">
        <f t="shared" si="211"/>
        <v>593701.01605063304</v>
      </c>
      <c r="Y668" s="148">
        <v>112660</v>
      </c>
      <c r="Z668" s="149">
        <f t="shared" si="212"/>
        <v>90128</v>
      </c>
      <c r="AA668" s="148"/>
      <c r="AB668" s="145"/>
      <c r="AC668" s="145"/>
      <c r="AD668" s="148">
        <f t="shared" si="213"/>
        <v>90128</v>
      </c>
      <c r="AE668" s="122">
        <f t="shared" si="214"/>
        <v>503573.01605063304</v>
      </c>
      <c r="AF668" s="167">
        <f t="shared" si="215"/>
        <v>2271984</v>
      </c>
    </row>
    <row r="669" spans="1:32" s="150" customFormat="1" x14ac:dyDescent="0.2">
      <c r="A669" s="144" t="s">
        <v>661</v>
      </c>
      <c r="B669" s="144"/>
      <c r="C669" s="144"/>
      <c r="D669" s="145">
        <v>1</v>
      </c>
      <c r="E669" s="122"/>
      <c r="F669" s="146">
        <v>0.2</v>
      </c>
      <c r="G669" s="146"/>
      <c r="H669" s="122">
        <v>32485</v>
      </c>
      <c r="I669" s="122"/>
      <c r="J669" s="147">
        <f t="shared" si="206"/>
        <v>0</v>
      </c>
      <c r="K669" s="122"/>
      <c r="L669" s="122">
        <v>0</v>
      </c>
      <c r="M669" s="122">
        <f t="shared" si="207"/>
        <v>0</v>
      </c>
      <c r="N669" s="122">
        <f t="shared" si="208"/>
        <v>0</v>
      </c>
      <c r="O669" s="122"/>
      <c r="P669" s="122">
        <v>0</v>
      </c>
      <c r="Q669" s="122">
        <f t="shared" si="209"/>
        <v>0</v>
      </c>
      <c r="R669" s="147">
        <f t="shared" si="210"/>
        <v>0</v>
      </c>
      <c r="S669" s="145">
        <v>11</v>
      </c>
      <c r="T669" s="144" t="s">
        <v>213</v>
      </c>
      <c r="U669" s="90">
        <f>SUMIF('Avoided Costs 2009-2017'!$A:$A,Actuals!T669&amp;Actuals!S669,'Avoided Costs 2009-2017'!$E:$E)*J669</f>
        <v>0</v>
      </c>
      <c r="V669" s="90">
        <f>SUMIF('Avoided Costs 2009-2017'!$A:$A,Actuals!T669&amp;Actuals!S669,'Avoided Costs 2009-2017'!$K:$K)*N669</f>
        <v>0</v>
      </c>
      <c r="W669" s="90">
        <f>SUMIF('Avoided Costs 2009-2017'!$A:$A,Actuals!T669&amp;Actuals!S669,'Avoided Costs 2009-2017'!$M:$M)*R669</f>
        <v>0</v>
      </c>
      <c r="X669" s="90">
        <f t="shared" si="211"/>
        <v>0</v>
      </c>
      <c r="Y669" s="148">
        <v>88484</v>
      </c>
      <c r="Z669" s="149">
        <f t="shared" si="212"/>
        <v>70787.199999999997</v>
      </c>
      <c r="AA669" s="148"/>
      <c r="AB669" s="145"/>
      <c r="AC669" s="145"/>
      <c r="AD669" s="148">
        <f t="shared" si="213"/>
        <v>70787.199999999997</v>
      </c>
      <c r="AE669" s="122">
        <f t="shared" si="214"/>
        <v>-70787.199999999997</v>
      </c>
      <c r="AF669" s="167">
        <f t="shared" si="215"/>
        <v>0</v>
      </c>
    </row>
    <row r="670" spans="1:32" s="150" customFormat="1" x14ac:dyDescent="0.2">
      <c r="A670" s="144" t="s">
        <v>662</v>
      </c>
      <c r="B670" s="144"/>
      <c r="C670" s="144"/>
      <c r="D670" s="145">
        <v>0</v>
      </c>
      <c r="E670" s="122"/>
      <c r="F670" s="146">
        <v>0.2</v>
      </c>
      <c r="G670" s="146"/>
      <c r="H670" s="122">
        <v>95651</v>
      </c>
      <c r="I670" s="122">
        <f t="shared" si="205"/>
        <v>92590.167999999991</v>
      </c>
      <c r="J670" s="147">
        <f t="shared" si="206"/>
        <v>74072.134399999995</v>
      </c>
      <c r="K670" s="122"/>
      <c r="L670" s="122">
        <v>0</v>
      </c>
      <c r="M670" s="122">
        <f t="shared" si="207"/>
        <v>0</v>
      </c>
      <c r="N670" s="122">
        <f t="shared" si="208"/>
        <v>0</v>
      </c>
      <c r="O670" s="122"/>
      <c r="P670" s="122">
        <v>0</v>
      </c>
      <c r="Q670" s="122">
        <f t="shared" si="209"/>
        <v>0</v>
      </c>
      <c r="R670" s="147">
        <f t="shared" si="210"/>
        <v>0</v>
      </c>
      <c r="S670" s="145">
        <v>9</v>
      </c>
      <c r="T670" s="144" t="s">
        <v>1176</v>
      </c>
      <c r="U670" s="90">
        <f>SUMIF('Avoided Costs 2009-2017'!$A:$A,Actuals!T670&amp;Actuals!S670,'Avoided Costs 2009-2017'!$E:$E)*J670</f>
        <v>165011.39982786746</v>
      </c>
      <c r="V670" s="90">
        <f>SUMIF('Avoided Costs 2009-2017'!$A:$A,Actuals!T670&amp;Actuals!S670,'Avoided Costs 2009-2017'!$K:$K)*N670</f>
        <v>0</v>
      </c>
      <c r="W670" s="90">
        <f>SUMIF('Avoided Costs 2009-2017'!$A:$A,Actuals!T670&amp;Actuals!S670,'Avoided Costs 2009-2017'!$M:$M)*R670</f>
        <v>0</v>
      </c>
      <c r="X670" s="90">
        <f t="shared" si="211"/>
        <v>165011.39982786746</v>
      </c>
      <c r="Y670" s="148">
        <v>107414</v>
      </c>
      <c r="Z670" s="149">
        <f t="shared" si="212"/>
        <v>85931.200000000012</v>
      </c>
      <c r="AA670" s="148"/>
      <c r="AB670" s="145"/>
      <c r="AC670" s="145"/>
      <c r="AD670" s="148">
        <f t="shared" si="213"/>
        <v>85931.200000000012</v>
      </c>
      <c r="AE670" s="122">
        <f t="shared" si="214"/>
        <v>79080.199827867444</v>
      </c>
      <c r="AF670" s="167">
        <f t="shared" si="215"/>
        <v>666649.20959999994</v>
      </c>
    </row>
    <row r="671" spans="1:32" s="150" customFormat="1" x14ac:dyDescent="0.2">
      <c r="A671" s="144" t="s">
        <v>663</v>
      </c>
      <c r="B671" s="144"/>
      <c r="C671" s="144"/>
      <c r="D671" s="145">
        <v>0</v>
      </c>
      <c r="E671" s="122"/>
      <c r="F671" s="146">
        <v>0.2</v>
      </c>
      <c r="G671" s="146"/>
      <c r="H671" s="122">
        <v>23447</v>
      </c>
      <c r="I671" s="122">
        <f t="shared" si="205"/>
        <v>22696.696</v>
      </c>
      <c r="J671" s="147">
        <f t="shared" si="206"/>
        <v>18157.356800000001</v>
      </c>
      <c r="K671" s="122"/>
      <c r="L671" s="122">
        <v>12859</v>
      </c>
      <c r="M671" s="122">
        <f t="shared" si="207"/>
        <v>11560.241</v>
      </c>
      <c r="N671" s="122">
        <f t="shared" si="208"/>
        <v>9248.1928000000007</v>
      </c>
      <c r="O671" s="122"/>
      <c r="P671" s="122">
        <v>0</v>
      </c>
      <c r="Q671" s="122">
        <f t="shared" si="209"/>
        <v>0</v>
      </c>
      <c r="R671" s="147">
        <f t="shared" si="210"/>
        <v>0</v>
      </c>
      <c r="S671" s="145">
        <v>15</v>
      </c>
      <c r="T671" s="144" t="s">
        <v>213</v>
      </c>
      <c r="U671" s="90">
        <f>SUMIF('Avoided Costs 2009-2017'!$A:$A,Actuals!T671&amp;Actuals!S671,'Avoided Costs 2009-2017'!$E:$E)*J671</f>
        <v>61411.913815120999</v>
      </c>
      <c r="V671" s="90">
        <f>SUMIF('Avoided Costs 2009-2017'!$A:$A,Actuals!T671&amp;Actuals!S671,'Avoided Costs 2009-2017'!$K:$K)*N671</f>
        <v>6904.0734997522659</v>
      </c>
      <c r="W671" s="90">
        <f>SUMIF('Avoided Costs 2009-2017'!$A:$A,Actuals!T671&amp;Actuals!S671,'Avoided Costs 2009-2017'!$M:$M)*R671</f>
        <v>0</v>
      </c>
      <c r="X671" s="90">
        <f t="shared" si="211"/>
        <v>68315.987314873259</v>
      </c>
      <c r="Y671" s="148">
        <v>10750</v>
      </c>
      <c r="Z671" s="149">
        <f t="shared" si="212"/>
        <v>8600</v>
      </c>
      <c r="AA671" s="148"/>
      <c r="AB671" s="145"/>
      <c r="AC671" s="145"/>
      <c r="AD671" s="148">
        <f t="shared" si="213"/>
        <v>8600</v>
      </c>
      <c r="AE671" s="122">
        <f t="shared" si="214"/>
        <v>59715.987314873259</v>
      </c>
      <c r="AF671" s="167">
        <f t="shared" si="215"/>
        <v>272360.35200000001</v>
      </c>
    </row>
    <row r="672" spans="1:32" s="150" customFormat="1" x14ac:dyDescent="0.2">
      <c r="A672" s="144" t="s">
        <v>664</v>
      </c>
      <c r="B672" s="144"/>
      <c r="C672" s="144"/>
      <c r="D672" s="145">
        <v>0</v>
      </c>
      <c r="E672" s="122"/>
      <c r="F672" s="146">
        <v>0.2</v>
      </c>
      <c r="G672" s="146"/>
      <c r="H672" s="122">
        <v>6250</v>
      </c>
      <c r="I672" s="122">
        <f t="shared" si="205"/>
        <v>6050</v>
      </c>
      <c r="J672" s="147">
        <f t="shared" si="206"/>
        <v>4840</v>
      </c>
      <c r="K672" s="122"/>
      <c r="L672" s="122">
        <v>4286</v>
      </c>
      <c r="M672" s="122">
        <f t="shared" si="207"/>
        <v>3853.114</v>
      </c>
      <c r="N672" s="122">
        <f t="shared" si="208"/>
        <v>3082.4912000000004</v>
      </c>
      <c r="O672" s="122"/>
      <c r="P672" s="122">
        <v>0</v>
      </c>
      <c r="Q672" s="122">
        <f t="shared" si="209"/>
        <v>0</v>
      </c>
      <c r="R672" s="147">
        <f t="shared" si="210"/>
        <v>0</v>
      </c>
      <c r="S672" s="145">
        <v>15</v>
      </c>
      <c r="T672" s="144" t="s">
        <v>213</v>
      </c>
      <c r="U672" s="90">
        <f>SUMIF('Avoided Costs 2009-2017'!$A:$A,Actuals!T672&amp;Actuals!S672,'Avoided Costs 2009-2017'!$E:$E)*J672</f>
        <v>16369.875094660563</v>
      </c>
      <c r="V672" s="90">
        <f>SUMIF('Avoided Costs 2009-2017'!$A:$A,Actuals!T672&amp;Actuals!S672,'Avoided Costs 2009-2017'!$K:$K)*N672</f>
        <v>2301.1788646036407</v>
      </c>
      <c r="W672" s="90">
        <f>SUMIF('Avoided Costs 2009-2017'!$A:$A,Actuals!T672&amp;Actuals!S672,'Avoided Costs 2009-2017'!$M:$M)*R672</f>
        <v>0</v>
      </c>
      <c r="X672" s="90">
        <f t="shared" si="211"/>
        <v>18671.053959264205</v>
      </c>
      <c r="Y672" s="148">
        <v>3750</v>
      </c>
      <c r="Z672" s="149">
        <f t="shared" si="212"/>
        <v>3000</v>
      </c>
      <c r="AA672" s="148"/>
      <c r="AB672" s="145"/>
      <c r="AC672" s="145"/>
      <c r="AD672" s="148">
        <f t="shared" si="213"/>
        <v>3000</v>
      </c>
      <c r="AE672" s="122">
        <f t="shared" si="214"/>
        <v>15671.053959264205</v>
      </c>
      <c r="AF672" s="167">
        <f t="shared" si="215"/>
        <v>72600</v>
      </c>
    </row>
    <row r="673" spans="1:32" s="150" customFormat="1" x14ac:dyDescent="0.2">
      <c r="A673" s="144" t="s">
        <v>665</v>
      </c>
      <c r="B673" s="144"/>
      <c r="C673" s="144"/>
      <c r="D673" s="145">
        <v>1</v>
      </c>
      <c r="E673" s="122"/>
      <c r="F673" s="146">
        <v>0.2</v>
      </c>
      <c r="G673" s="146"/>
      <c r="H673" s="122">
        <v>63869</v>
      </c>
      <c r="I673" s="122">
        <f t="shared" si="205"/>
        <v>61825.191999999995</v>
      </c>
      <c r="J673" s="147">
        <f t="shared" si="206"/>
        <v>49460.153599999998</v>
      </c>
      <c r="K673" s="122"/>
      <c r="L673" s="122">
        <v>0</v>
      </c>
      <c r="M673" s="122">
        <f t="shared" si="207"/>
        <v>0</v>
      </c>
      <c r="N673" s="122">
        <f t="shared" si="208"/>
        <v>0</v>
      </c>
      <c r="O673" s="122"/>
      <c r="P673" s="122">
        <v>0</v>
      </c>
      <c r="Q673" s="122">
        <f t="shared" si="209"/>
        <v>0</v>
      </c>
      <c r="R673" s="147">
        <f t="shared" si="210"/>
        <v>0</v>
      </c>
      <c r="S673" s="145">
        <v>11</v>
      </c>
      <c r="T673" s="144" t="s">
        <v>213</v>
      </c>
      <c r="U673" s="90">
        <f>SUMIF('Avoided Costs 2009-2017'!$A:$A,Actuals!T673&amp;Actuals!S673,'Avoided Costs 2009-2017'!$E:$E)*J673</f>
        <v>138423.68766405332</v>
      </c>
      <c r="V673" s="90">
        <f>SUMIF('Avoided Costs 2009-2017'!$A:$A,Actuals!T673&amp;Actuals!S673,'Avoided Costs 2009-2017'!$K:$K)*N673</f>
        <v>0</v>
      </c>
      <c r="W673" s="90">
        <f>SUMIF('Avoided Costs 2009-2017'!$A:$A,Actuals!T673&amp;Actuals!S673,'Avoided Costs 2009-2017'!$M:$M)*R673</f>
        <v>0</v>
      </c>
      <c r="X673" s="90">
        <f t="shared" si="211"/>
        <v>138423.68766405332</v>
      </c>
      <c r="Y673" s="148">
        <v>80208</v>
      </c>
      <c r="Z673" s="149">
        <f t="shared" si="212"/>
        <v>64166.400000000001</v>
      </c>
      <c r="AA673" s="148"/>
      <c r="AB673" s="145"/>
      <c r="AC673" s="145"/>
      <c r="AD673" s="148">
        <f t="shared" si="213"/>
        <v>64166.400000000001</v>
      </c>
      <c r="AE673" s="122">
        <f t="shared" si="214"/>
        <v>74257.287664053321</v>
      </c>
      <c r="AF673" s="167">
        <f t="shared" si="215"/>
        <v>544061.68959999993</v>
      </c>
    </row>
    <row r="674" spans="1:32" s="150" customFormat="1" x14ac:dyDescent="0.2">
      <c r="A674" s="144" t="s">
        <v>666</v>
      </c>
      <c r="B674" s="144"/>
      <c r="C674" s="144"/>
      <c r="D674" s="145">
        <v>0</v>
      </c>
      <c r="E674" s="122"/>
      <c r="F674" s="146">
        <v>0.2</v>
      </c>
      <c r="G674" s="146"/>
      <c r="H674" s="122">
        <v>84887</v>
      </c>
      <c r="I674" s="122">
        <f t="shared" si="205"/>
        <v>82170.615999999995</v>
      </c>
      <c r="J674" s="147">
        <f t="shared" si="206"/>
        <v>65736.492799999993</v>
      </c>
      <c r="K674" s="122"/>
      <c r="L674" s="122">
        <v>0</v>
      </c>
      <c r="M674" s="122">
        <f t="shared" si="207"/>
        <v>0</v>
      </c>
      <c r="N674" s="122">
        <f t="shared" si="208"/>
        <v>0</v>
      </c>
      <c r="O674" s="122"/>
      <c r="P674" s="122">
        <v>0</v>
      </c>
      <c r="Q674" s="122">
        <f t="shared" si="209"/>
        <v>0</v>
      </c>
      <c r="R674" s="147">
        <f t="shared" si="210"/>
        <v>0</v>
      </c>
      <c r="S674" s="145">
        <v>9</v>
      </c>
      <c r="T674" s="144" t="s">
        <v>1176</v>
      </c>
      <c r="U674" s="90">
        <f>SUMIF('Avoided Costs 2009-2017'!$A:$A,Actuals!T674&amp;Actuals!S674,'Avoided Costs 2009-2017'!$E:$E)*J674</f>
        <v>146441.98907683333</v>
      </c>
      <c r="V674" s="90">
        <f>SUMIF('Avoided Costs 2009-2017'!$A:$A,Actuals!T674&amp;Actuals!S674,'Avoided Costs 2009-2017'!$K:$K)*N674</f>
        <v>0</v>
      </c>
      <c r="W674" s="90">
        <f>SUMIF('Avoided Costs 2009-2017'!$A:$A,Actuals!T674&amp;Actuals!S674,'Avoided Costs 2009-2017'!$M:$M)*R674</f>
        <v>0</v>
      </c>
      <c r="X674" s="90">
        <f t="shared" si="211"/>
        <v>146441.98907683333</v>
      </c>
      <c r="Y674" s="148">
        <v>107414</v>
      </c>
      <c r="Z674" s="149">
        <f t="shared" si="212"/>
        <v>85931.200000000012</v>
      </c>
      <c r="AA674" s="148"/>
      <c r="AB674" s="145"/>
      <c r="AC674" s="145"/>
      <c r="AD674" s="148">
        <f t="shared" si="213"/>
        <v>85931.200000000012</v>
      </c>
      <c r="AE674" s="122">
        <f t="shared" si="214"/>
        <v>60510.789076833316</v>
      </c>
      <c r="AF674" s="167">
        <f t="shared" si="215"/>
        <v>591628.43519999995</v>
      </c>
    </row>
    <row r="675" spans="1:32" s="150" customFormat="1" x14ac:dyDescent="0.2">
      <c r="A675" s="144" t="s">
        <v>667</v>
      </c>
      <c r="B675" s="144"/>
      <c r="C675" s="144"/>
      <c r="D675" s="145">
        <v>0</v>
      </c>
      <c r="E675" s="122"/>
      <c r="F675" s="146">
        <v>0.2</v>
      </c>
      <c r="G675" s="146"/>
      <c r="H675" s="122">
        <v>23447</v>
      </c>
      <c r="I675" s="122">
        <f t="shared" si="205"/>
        <v>22696.696</v>
      </c>
      <c r="J675" s="147">
        <f t="shared" si="206"/>
        <v>18157.356800000001</v>
      </c>
      <c r="K675" s="122"/>
      <c r="L675" s="122">
        <v>12859</v>
      </c>
      <c r="M675" s="122">
        <f t="shared" si="207"/>
        <v>11560.241</v>
      </c>
      <c r="N675" s="122">
        <f t="shared" si="208"/>
        <v>9248.1928000000007</v>
      </c>
      <c r="O675" s="122"/>
      <c r="P675" s="122">
        <v>0</v>
      </c>
      <c r="Q675" s="122">
        <f t="shared" si="209"/>
        <v>0</v>
      </c>
      <c r="R675" s="147">
        <f t="shared" si="210"/>
        <v>0</v>
      </c>
      <c r="S675" s="145">
        <v>15</v>
      </c>
      <c r="T675" s="144" t="s">
        <v>213</v>
      </c>
      <c r="U675" s="90">
        <f>SUMIF('Avoided Costs 2009-2017'!$A:$A,Actuals!T675&amp;Actuals!S675,'Avoided Costs 2009-2017'!$E:$E)*J675</f>
        <v>61411.913815120999</v>
      </c>
      <c r="V675" s="90">
        <f>SUMIF('Avoided Costs 2009-2017'!$A:$A,Actuals!T675&amp;Actuals!S675,'Avoided Costs 2009-2017'!$K:$K)*N675</f>
        <v>6904.0734997522659</v>
      </c>
      <c r="W675" s="90">
        <f>SUMIF('Avoided Costs 2009-2017'!$A:$A,Actuals!T675&amp;Actuals!S675,'Avoided Costs 2009-2017'!$M:$M)*R675</f>
        <v>0</v>
      </c>
      <c r="X675" s="90">
        <f t="shared" si="211"/>
        <v>68315.987314873259</v>
      </c>
      <c r="Y675" s="148">
        <v>10750</v>
      </c>
      <c r="Z675" s="149">
        <f t="shared" si="212"/>
        <v>8600</v>
      </c>
      <c r="AA675" s="148"/>
      <c r="AB675" s="145"/>
      <c r="AC675" s="145"/>
      <c r="AD675" s="148">
        <f t="shared" si="213"/>
        <v>8600</v>
      </c>
      <c r="AE675" s="122">
        <f t="shared" si="214"/>
        <v>59715.987314873259</v>
      </c>
      <c r="AF675" s="167">
        <f t="shared" si="215"/>
        <v>272360.35200000001</v>
      </c>
    </row>
    <row r="676" spans="1:32" s="150" customFormat="1" x14ac:dyDescent="0.2">
      <c r="A676" s="144" t="s">
        <v>668</v>
      </c>
      <c r="B676" s="144"/>
      <c r="C676" s="144"/>
      <c r="D676" s="145">
        <v>0</v>
      </c>
      <c r="E676" s="122"/>
      <c r="F676" s="146">
        <v>0.2</v>
      </c>
      <c r="G676" s="146"/>
      <c r="H676" s="122">
        <v>6249</v>
      </c>
      <c r="I676" s="122">
        <f t="shared" si="205"/>
        <v>6049.0320000000002</v>
      </c>
      <c r="J676" s="147">
        <f t="shared" si="206"/>
        <v>4839.2256000000007</v>
      </c>
      <c r="K676" s="122"/>
      <c r="L676" s="122">
        <v>4286</v>
      </c>
      <c r="M676" s="122">
        <f t="shared" si="207"/>
        <v>3853.114</v>
      </c>
      <c r="N676" s="122">
        <f t="shared" si="208"/>
        <v>3082.4912000000004</v>
      </c>
      <c r="O676" s="122"/>
      <c r="P676" s="122">
        <v>0</v>
      </c>
      <c r="Q676" s="122">
        <f t="shared" si="209"/>
        <v>0</v>
      </c>
      <c r="R676" s="147">
        <f t="shared" si="210"/>
        <v>0</v>
      </c>
      <c r="S676" s="145">
        <v>15</v>
      </c>
      <c r="T676" s="144" t="s">
        <v>213</v>
      </c>
      <c r="U676" s="90">
        <f>SUMIF('Avoided Costs 2009-2017'!$A:$A,Actuals!T676&amp;Actuals!S676,'Avoided Costs 2009-2017'!$E:$E)*J676</f>
        <v>16367.255914645419</v>
      </c>
      <c r="V676" s="90">
        <f>SUMIF('Avoided Costs 2009-2017'!$A:$A,Actuals!T676&amp;Actuals!S676,'Avoided Costs 2009-2017'!$K:$K)*N676</f>
        <v>2301.1788646036407</v>
      </c>
      <c r="W676" s="90">
        <f>SUMIF('Avoided Costs 2009-2017'!$A:$A,Actuals!T676&amp;Actuals!S676,'Avoided Costs 2009-2017'!$M:$M)*R676</f>
        <v>0</v>
      </c>
      <c r="X676" s="90">
        <f t="shared" si="211"/>
        <v>18668.434779249059</v>
      </c>
      <c r="Y676" s="148">
        <v>3750</v>
      </c>
      <c r="Z676" s="149">
        <f t="shared" si="212"/>
        <v>3000</v>
      </c>
      <c r="AA676" s="148"/>
      <c r="AB676" s="145"/>
      <c r="AC676" s="145"/>
      <c r="AD676" s="148">
        <f t="shared" si="213"/>
        <v>3000</v>
      </c>
      <c r="AE676" s="122">
        <f t="shared" si="214"/>
        <v>15668.434779249059</v>
      </c>
      <c r="AF676" s="167">
        <f t="shared" si="215"/>
        <v>72588.384000000005</v>
      </c>
    </row>
    <row r="677" spans="1:32" s="150" customFormat="1" x14ac:dyDescent="0.2">
      <c r="A677" s="144" t="s">
        <v>669</v>
      </c>
      <c r="B677" s="144"/>
      <c r="C677" s="144"/>
      <c r="D677" s="145">
        <v>1</v>
      </c>
      <c r="E677" s="122"/>
      <c r="F677" s="146">
        <v>0.2</v>
      </c>
      <c r="G677" s="146"/>
      <c r="H677" s="122">
        <v>81045</v>
      </c>
      <c r="I677" s="122">
        <f t="shared" si="205"/>
        <v>78451.56</v>
      </c>
      <c r="J677" s="147">
        <f t="shared" si="206"/>
        <v>62761.248</v>
      </c>
      <c r="K677" s="122"/>
      <c r="L677" s="122">
        <v>0</v>
      </c>
      <c r="M677" s="122">
        <f t="shared" si="207"/>
        <v>0</v>
      </c>
      <c r="N677" s="122">
        <f t="shared" si="208"/>
        <v>0</v>
      </c>
      <c r="O677" s="122"/>
      <c r="P677" s="122">
        <v>0</v>
      </c>
      <c r="Q677" s="122">
        <f t="shared" si="209"/>
        <v>0</v>
      </c>
      <c r="R677" s="147">
        <f t="shared" si="210"/>
        <v>0</v>
      </c>
      <c r="S677" s="145">
        <v>11</v>
      </c>
      <c r="T677" s="144" t="s">
        <v>213</v>
      </c>
      <c r="U677" s="90">
        <f>SUMIF('Avoided Costs 2009-2017'!$A:$A,Actuals!T677&amp;Actuals!S677,'Avoided Costs 2009-2017'!$E:$E)*J677</f>
        <v>175649.34110027092</v>
      </c>
      <c r="V677" s="90">
        <f>SUMIF('Avoided Costs 2009-2017'!$A:$A,Actuals!T677&amp;Actuals!S677,'Avoided Costs 2009-2017'!$K:$K)*N677</f>
        <v>0</v>
      </c>
      <c r="W677" s="90">
        <f>SUMIF('Avoided Costs 2009-2017'!$A:$A,Actuals!T677&amp;Actuals!S677,'Avoided Costs 2009-2017'!$M:$M)*R677</f>
        <v>0</v>
      </c>
      <c r="X677" s="90">
        <f t="shared" si="211"/>
        <v>175649.34110027092</v>
      </c>
      <c r="Y677" s="148">
        <v>80208</v>
      </c>
      <c r="Z677" s="149">
        <f t="shared" si="212"/>
        <v>64166.400000000001</v>
      </c>
      <c r="AA677" s="148"/>
      <c r="AB677" s="145"/>
      <c r="AC677" s="145"/>
      <c r="AD677" s="148">
        <f t="shared" si="213"/>
        <v>64166.400000000001</v>
      </c>
      <c r="AE677" s="122">
        <f t="shared" si="214"/>
        <v>111482.94110027092</v>
      </c>
      <c r="AF677" s="167">
        <f t="shared" si="215"/>
        <v>690373.728</v>
      </c>
    </row>
    <row r="678" spans="1:32" s="150" customFormat="1" x14ac:dyDescent="0.2">
      <c r="A678" s="144" t="s">
        <v>670</v>
      </c>
      <c r="B678" s="144"/>
      <c r="C678" s="144"/>
      <c r="D678" s="145">
        <v>0</v>
      </c>
      <c r="E678" s="122"/>
      <c r="F678" s="146">
        <v>0.2</v>
      </c>
      <c r="G678" s="146"/>
      <c r="H678" s="122">
        <v>122420</v>
      </c>
      <c r="I678" s="122">
        <f t="shared" si="205"/>
        <v>118502.56</v>
      </c>
      <c r="J678" s="147">
        <f t="shared" si="206"/>
        <v>94802.04800000001</v>
      </c>
      <c r="K678" s="122"/>
      <c r="L678" s="122">
        <v>0</v>
      </c>
      <c r="M678" s="122">
        <f t="shared" si="207"/>
        <v>0</v>
      </c>
      <c r="N678" s="122">
        <f t="shared" si="208"/>
        <v>0</v>
      </c>
      <c r="O678" s="122"/>
      <c r="P678" s="122">
        <v>0</v>
      </c>
      <c r="Q678" s="122">
        <f t="shared" si="209"/>
        <v>0</v>
      </c>
      <c r="R678" s="147">
        <f t="shared" si="210"/>
        <v>0</v>
      </c>
      <c r="S678" s="145">
        <v>9</v>
      </c>
      <c r="T678" s="144" t="s">
        <v>1176</v>
      </c>
      <c r="U678" s="90">
        <f>SUMIF('Avoided Costs 2009-2017'!$A:$A,Actuals!T678&amp;Actuals!S678,'Avoided Costs 2009-2017'!$E:$E)*J678</f>
        <v>211191.68191579322</v>
      </c>
      <c r="V678" s="90">
        <f>SUMIF('Avoided Costs 2009-2017'!$A:$A,Actuals!T678&amp;Actuals!S678,'Avoided Costs 2009-2017'!$K:$K)*N678</f>
        <v>0</v>
      </c>
      <c r="W678" s="90">
        <f>SUMIF('Avoided Costs 2009-2017'!$A:$A,Actuals!T678&amp;Actuals!S678,'Avoided Costs 2009-2017'!$M:$M)*R678</f>
        <v>0</v>
      </c>
      <c r="X678" s="90">
        <f t="shared" si="211"/>
        <v>211191.68191579322</v>
      </c>
      <c r="Y678" s="148">
        <v>107414</v>
      </c>
      <c r="Z678" s="149">
        <f t="shared" si="212"/>
        <v>85931.200000000012</v>
      </c>
      <c r="AA678" s="148"/>
      <c r="AB678" s="145"/>
      <c r="AC678" s="145"/>
      <c r="AD678" s="148">
        <f t="shared" si="213"/>
        <v>85931.200000000012</v>
      </c>
      <c r="AE678" s="122">
        <f t="shared" si="214"/>
        <v>125260.48191579321</v>
      </c>
      <c r="AF678" s="167">
        <f t="shared" si="215"/>
        <v>853218.43200000003</v>
      </c>
    </row>
    <row r="679" spans="1:32" s="150" customFormat="1" x14ac:dyDescent="0.2">
      <c r="A679" s="144" t="s">
        <v>671</v>
      </c>
      <c r="B679" s="144"/>
      <c r="C679" s="144"/>
      <c r="D679" s="145">
        <v>0</v>
      </c>
      <c r="E679" s="122"/>
      <c r="F679" s="146">
        <v>0.2</v>
      </c>
      <c r="G679" s="146"/>
      <c r="H679" s="122">
        <v>23447</v>
      </c>
      <c r="I679" s="122">
        <f t="shared" si="205"/>
        <v>22696.696</v>
      </c>
      <c r="J679" s="147">
        <f t="shared" si="206"/>
        <v>18157.356800000001</v>
      </c>
      <c r="K679" s="122"/>
      <c r="L679" s="122">
        <v>12859</v>
      </c>
      <c r="M679" s="122">
        <f t="shared" si="207"/>
        <v>11560.241</v>
      </c>
      <c r="N679" s="122">
        <f t="shared" si="208"/>
        <v>9248.1928000000007</v>
      </c>
      <c r="O679" s="122"/>
      <c r="P679" s="122">
        <v>0</v>
      </c>
      <c r="Q679" s="122">
        <f t="shared" si="209"/>
        <v>0</v>
      </c>
      <c r="R679" s="147">
        <f t="shared" si="210"/>
        <v>0</v>
      </c>
      <c r="S679" s="145">
        <v>15</v>
      </c>
      <c r="T679" s="144" t="s">
        <v>213</v>
      </c>
      <c r="U679" s="90">
        <f>SUMIF('Avoided Costs 2009-2017'!$A:$A,Actuals!T679&amp;Actuals!S679,'Avoided Costs 2009-2017'!$E:$E)*J679</f>
        <v>61411.913815120999</v>
      </c>
      <c r="V679" s="90">
        <f>SUMIF('Avoided Costs 2009-2017'!$A:$A,Actuals!T679&amp;Actuals!S679,'Avoided Costs 2009-2017'!$K:$K)*N679</f>
        <v>6904.0734997522659</v>
      </c>
      <c r="W679" s="90">
        <f>SUMIF('Avoided Costs 2009-2017'!$A:$A,Actuals!T679&amp;Actuals!S679,'Avoided Costs 2009-2017'!$M:$M)*R679</f>
        <v>0</v>
      </c>
      <c r="X679" s="90">
        <f t="shared" si="211"/>
        <v>68315.987314873259</v>
      </c>
      <c r="Y679" s="148">
        <v>10750</v>
      </c>
      <c r="Z679" s="149">
        <f t="shared" si="212"/>
        <v>8600</v>
      </c>
      <c r="AA679" s="148"/>
      <c r="AB679" s="145"/>
      <c r="AC679" s="145"/>
      <c r="AD679" s="148">
        <f t="shared" si="213"/>
        <v>8600</v>
      </c>
      <c r="AE679" s="122">
        <f t="shared" si="214"/>
        <v>59715.987314873259</v>
      </c>
      <c r="AF679" s="167">
        <f t="shared" si="215"/>
        <v>272360.35200000001</v>
      </c>
    </row>
    <row r="680" spans="1:32" s="150" customFormat="1" x14ac:dyDescent="0.2">
      <c r="A680" s="144" t="s">
        <v>672</v>
      </c>
      <c r="B680" s="144"/>
      <c r="C680" s="144"/>
      <c r="D680" s="145">
        <v>0</v>
      </c>
      <c r="E680" s="122"/>
      <c r="F680" s="146">
        <v>0.2</v>
      </c>
      <c r="G680" s="146"/>
      <c r="H680" s="122">
        <v>9752</v>
      </c>
      <c r="I680" s="122">
        <f t="shared" si="205"/>
        <v>9439.9359999999997</v>
      </c>
      <c r="J680" s="147">
        <f t="shared" si="206"/>
        <v>7551.9488000000001</v>
      </c>
      <c r="K680" s="122"/>
      <c r="L680" s="122">
        <v>4286</v>
      </c>
      <c r="M680" s="122">
        <f t="shared" si="207"/>
        <v>3853.114</v>
      </c>
      <c r="N680" s="122">
        <f t="shared" si="208"/>
        <v>3082.4912000000004</v>
      </c>
      <c r="O680" s="122"/>
      <c r="P680" s="122">
        <v>0</v>
      </c>
      <c r="Q680" s="122">
        <f t="shared" si="209"/>
        <v>0</v>
      </c>
      <c r="R680" s="147">
        <f t="shared" si="210"/>
        <v>0</v>
      </c>
      <c r="S680" s="145">
        <v>15</v>
      </c>
      <c r="T680" s="144" t="s">
        <v>213</v>
      </c>
      <c r="U680" s="90">
        <f>SUMIF('Avoided Costs 2009-2017'!$A:$A,Actuals!T680&amp;Actuals!S680,'Avoided Costs 2009-2017'!$E:$E)*J680</f>
        <v>25542.243507700769</v>
      </c>
      <c r="V680" s="90">
        <f>SUMIF('Avoided Costs 2009-2017'!$A:$A,Actuals!T680&amp;Actuals!S680,'Avoided Costs 2009-2017'!$K:$K)*N680</f>
        <v>2301.1788646036407</v>
      </c>
      <c r="W680" s="90">
        <f>SUMIF('Avoided Costs 2009-2017'!$A:$A,Actuals!T680&amp;Actuals!S680,'Avoided Costs 2009-2017'!$M:$M)*R680</f>
        <v>0</v>
      </c>
      <c r="X680" s="90">
        <f t="shared" si="211"/>
        <v>27843.422372304409</v>
      </c>
      <c r="Y680" s="148">
        <v>3750</v>
      </c>
      <c r="Z680" s="149">
        <f t="shared" si="212"/>
        <v>3000</v>
      </c>
      <c r="AA680" s="148"/>
      <c r="AB680" s="145"/>
      <c r="AC680" s="145"/>
      <c r="AD680" s="148">
        <f t="shared" si="213"/>
        <v>3000</v>
      </c>
      <c r="AE680" s="122">
        <f t="shared" si="214"/>
        <v>24843.422372304409</v>
      </c>
      <c r="AF680" s="167">
        <f t="shared" si="215"/>
        <v>113279.232</v>
      </c>
    </row>
    <row r="681" spans="1:32" s="150" customFormat="1" x14ac:dyDescent="0.2">
      <c r="A681" s="144" t="s">
        <v>673</v>
      </c>
      <c r="B681" s="144"/>
      <c r="C681" s="144"/>
      <c r="D681" s="145">
        <v>1</v>
      </c>
      <c r="E681" s="122"/>
      <c r="F681" s="146">
        <v>0.2</v>
      </c>
      <c r="G681" s="146"/>
      <c r="H681" s="122">
        <v>61667</v>
      </c>
      <c r="I681" s="122">
        <f t="shared" si="205"/>
        <v>59693.655999999995</v>
      </c>
      <c r="J681" s="147">
        <f t="shared" si="206"/>
        <v>47754.924800000001</v>
      </c>
      <c r="K681" s="122"/>
      <c r="L681" s="122">
        <v>0</v>
      </c>
      <c r="M681" s="122">
        <f t="shared" si="207"/>
        <v>0</v>
      </c>
      <c r="N681" s="122">
        <f t="shared" si="208"/>
        <v>0</v>
      </c>
      <c r="O681" s="122"/>
      <c r="P681" s="122">
        <v>0</v>
      </c>
      <c r="Q681" s="122">
        <f t="shared" si="209"/>
        <v>0</v>
      </c>
      <c r="R681" s="147">
        <f t="shared" si="210"/>
        <v>0</v>
      </c>
      <c r="S681" s="145">
        <v>11</v>
      </c>
      <c r="T681" s="144" t="s">
        <v>213</v>
      </c>
      <c r="U681" s="90">
        <f>SUMIF('Avoided Costs 2009-2017'!$A:$A,Actuals!T681&amp;Actuals!S681,'Avoided Costs 2009-2017'!$E:$E)*J681</f>
        <v>133651.27913665748</v>
      </c>
      <c r="V681" s="90">
        <f>SUMIF('Avoided Costs 2009-2017'!$A:$A,Actuals!T681&amp;Actuals!S681,'Avoided Costs 2009-2017'!$K:$K)*N681</f>
        <v>0</v>
      </c>
      <c r="W681" s="90">
        <f>SUMIF('Avoided Costs 2009-2017'!$A:$A,Actuals!T681&amp;Actuals!S681,'Avoided Costs 2009-2017'!$M:$M)*R681</f>
        <v>0</v>
      </c>
      <c r="X681" s="90">
        <f t="shared" si="211"/>
        <v>133651.27913665748</v>
      </c>
      <c r="Y681" s="148">
        <v>80208</v>
      </c>
      <c r="Z681" s="149">
        <f t="shared" si="212"/>
        <v>64166.400000000001</v>
      </c>
      <c r="AA681" s="148"/>
      <c r="AB681" s="145"/>
      <c r="AC681" s="145"/>
      <c r="AD681" s="148">
        <f t="shared" si="213"/>
        <v>64166.400000000001</v>
      </c>
      <c r="AE681" s="122">
        <f t="shared" si="214"/>
        <v>69484.879136657488</v>
      </c>
      <c r="AF681" s="167">
        <f t="shared" si="215"/>
        <v>525304.17280000006</v>
      </c>
    </row>
    <row r="682" spans="1:32" s="150" customFormat="1" x14ac:dyDescent="0.2">
      <c r="A682" s="144" t="s">
        <v>674</v>
      </c>
      <c r="B682" s="144"/>
      <c r="C682" s="144"/>
      <c r="D682" s="145">
        <v>0</v>
      </c>
      <c r="E682" s="122"/>
      <c r="F682" s="146">
        <v>0.2</v>
      </c>
      <c r="G682" s="146"/>
      <c r="H682" s="122">
        <v>85641</v>
      </c>
      <c r="I682" s="122">
        <f t="shared" si="205"/>
        <v>82900.487999999998</v>
      </c>
      <c r="J682" s="147">
        <f t="shared" si="206"/>
        <v>66320.390400000004</v>
      </c>
      <c r="K682" s="122"/>
      <c r="L682" s="122">
        <v>0</v>
      </c>
      <c r="M682" s="122">
        <f t="shared" si="207"/>
        <v>0</v>
      </c>
      <c r="N682" s="122">
        <f t="shared" si="208"/>
        <v>0</v>
      </c>
      <c r="O682" s="122"/>
      <c r="P682" s="122">
        <v>0</v>
      </c>
      <c r="Q682" s="122">
        <f t="shared" si="209"/>
        <v>0</v>
      </c>
      <c r="R682" s="147">
        <f t="shared" si="210"/>
        <v>0</v>
      </c>
      <c r="S682" s="145">
        <v>9</v>
      </c>
      <c r="T682" s="144" t="s">
        <v>1176</v>
      </c>
      <c r="U682" s="90">
        <f>SUMIF('Avoided Costs 2009-2017'!$A:$A,Actuals!T682&amp;Actuals!S682,'Avoided Costs 2009-2017'!$E:$E)*J682</f>
        <v>147742.74490238889</v>
      </c>
      <c r="V682" s="90">
        <f>SUMIF('Avoided Costs 2009-2017'!$A:$A,Actuals!T682&amp;Actuals!S682,'Avoided Costs 2009-2017'!$K:$K)*N682</f>
        <v>0</v>
      </c>
      <c r="W682" s="90">
        <f>SUMIF('Avoided Costs 2009-2017'!$A:$A,Actuals!T682&amp;Actuals!S682,'Avoided Costs 2009-2017'!$M:$M)*R682</f>
        <v>0</v>
      </c>
      <c r="X682" s="90">
        <f t="shared" si="211"/>
        <v>147742.74490238889</v>
      </c>
      <c r="Y682" s="148">
        <v>107414</v>
      </c>
      <c r="Z682" s="149">
        <f t="shared" si="212"/>
        <v>85931.200000000012</v>
      </c>
      <c r="AA682" s="148"/>
      <c r="AB682" s="145"/>
      <c r="AC682" s="145"/>
      <c r="AD682" s="148">
        <f t="shared" si="213"/>
        <v>85931.200000000012</v>
      </c>
      <c r="AE682" s="122">
        <f t="shared" si="214"/>
        <v>61811.54490238888</v>
      </c>
      <c r="AF682" s="167">
        <f t="shared" si="215"/>
        <v>596883.51360000006</v>
      </c>
    </row>
    <row r="683" spans="1:32" s="150" customFormat="1" x14ac:dyDescent="0.2">
      <c r="A683" s="144" t="s">
        <v>675</v>
      </c>
      <c r="B683" s="144"/>
      <c r="C683" s="144"/>
      <c r="D683" s="145">
        <v>0</v>
      </c>
      <c r="E683" s="122"/>
      <c r="F683" s="146">
        <v>0.2</v>
      </c>
      <c r="G683" s="146"/>
      <c r="H683" s="122">
        <v>23447</v>
      </c>
      <c r="I683" s="122">
        <f t="shared" si="205"/>
        <v>22696.696</v>
      </c>
      <c r="J683" s="147">
        <f t="shared" si="206"/>
        <v>18157.356800000001</v>
      </c>
      <c r="K683" s="122"/>
      <c r="L683" s="122">
        <v>12859</v>
      </c>
      <c r="M683" s="122">
        <f t="shared" si="207"/>
        <v>11560.241</v>
      </c>
      <c r="N683" s="122">
        <f t="shared" si="208"/>
        <v>9248.1928000000007</v>
      </c>
      <c r="O683" s="122"/>
      <c r="P683" s="122">
        <v>0</v>
      </c>
      <c r="Q683" s="122">
        <f t="shared" si="209"/>
        <v>0</v>
      </c>
      <c r="R683" s="147">
        <f t="shared" si="210"/>
        <v>0</v>
      </c>
      <c r="S683" s="145">
        <v>15</v>
      </c>
      <c r="T683" s="144" t="s">
        <v>213</v>
      </c>
      <c r="U683" s="90">
        <f>SUMIF('Avoided Costs 2009-2017'!$A:$A,Actuals!T683&amp;Actuals!S683,'Avoided Costs 2009-2017'!$E:$E)*J683</f>
        <v>61411.913815120999</v>
      </c>
      <c r="V683" s="90">
        <f>SUMIF('Avoided Costs 2009-2017'!$A:$A,Actuals!T683&amp;Actuals!S683,'Avoided Costs 2009-2017'!$K:$K)*N683</f>
        <v>6904.0734997522659</v>
      </c>
      <c r="W683" s="90">
        <f>SUMIF('Avoided Costs 2009-2017'!$A:$A,Actuals!T683&amp;Actuals!S683,'Avoided Costs 2009-2017'!$M:$M)*R683</f>
        <v>0</v>
      </c>
      <c r="X683" s="90">
        <f t="shared" si="211"/>
        <v>68315.987314873259</v>
      </c>
      <c r="Y683" s="148">
        <v>10750</v>
      </c>
      <c r="Z683" s="149">
        <f t="shared" si="212"/>
        <v>8600</v>
      </c>
      <c r="AA683" s="148"/>
      <c r="AB683" s="145"/>
      <c r="AC683" s="145"/>
      <c r="AD683" s="148">
        <f t="shared" si="213"/>
        <v>8600</v>
      </c>
      <c r="AE683" s="122">
        <f t="shared" si="214"/>
        <v>59715.987314873259</v>
      </c>
      <c r="AF683" s="167">
        <f t="shared" si="215"/>
        <v>272360.35200000001</v>
      </c>
    </row>
    <row r="684" spans="1:32" s="150" customFormat="1" x14ac:dyDescent="0.2">
      <c r="A684" s="144" t="s">
        <v>676</v>
      </c>
      <c r="B684" s="144"/>
      <c r="C684" s="144"/>
      <c r="D684" s="145">
        <v>0</v>
      </c>
      <c r="E684" s="122"/>
      <c r="F684" s="146">
        <v>0.2</v>
      </c>
      <c r="G684" s="146"/>
      <c r="H684" s="122">
        <v>6250</v>
      </c>
      <c r="I684" s="122">
        <f t="shared" si="205"/>
        <v>6050</v>
      </c>
      <c r="J684" s="147">
        <f t="shared" si="206"/>
        <v>4840</v>
      </c>
      <c r="K684" s="122"/>
      <c r="L684" s="122">
        <v>4286</v>
      </c>
      <c r="M684" s="122">
        <f t="shared" si="207"/>
        <v>3853.114</v>
      </c>
      <c r="N684" s="122">
        <f t="shared" si="208"/>
        <v>3082.4912000000004</v>
      </c>
      <c r="O684" s="122"/>
      <c r="P684" s="122">
        <v>0</v>
      </c>
      <c r="Q684" s="122">
        <f t="shared" si="209"/>
        <v>0</v>
      </c>
      <c r="R684" s="147">
        <f t="shared" si="210"/>
        <v>0</v>
      </c>
      <c r="S684" s="145">
        <v>15</v>
      </c>
      <c r="T684" s="144" t="s">
        <v>213</v>
      </c>
      <c r="U684" s="90">
        <f>SUMIF('Avoided Costs 2009-2017'!$A:$A,Actuals!T684&amp;Actuals!S684,'Avoided Costs 2009-2017'!$E:$E)*J684</f>
        <v>16369.875094660563</v>
      </c>
      <c r="V684" s="90">
        <f>SUMIF('Avoided Costs 2009-2017'!$A:$A,Actuals!T684&amp;Actuals!S684,'Avoided Costs 2009-2017'!$K:$K)*N684</f>
        <v>2301.1788646036407</v>
      </c>
      <c r="W684" s="90">
        <f>SUMIF('Avoided Costs 2009-2017'!$A:$A,Actuals!T684&amp;Actuals!S684,'Avoided Costs 2009-2017'!$M:$M)*R684</f>
        <v>0</v>
      </c>
      <c r="X684" s="90">
        <f t="shared" si="211"/>
        <v>18671.053959264205</v>
      </c>
      <c r="Y684" s="148">
        <v>3750</v>
      </c>
      <c r="Z684" s="149">
        <f t="shared" si="212"/>
        <v>3000</v>
      </c>
      <c r="AA684" s="148"/>
      <c r="AB684" s="145"/>
      <c r="AC684" s="145"/>
      <c r="AD684" s="148">
        <f t="shared" si="213"/>
        <v>3000</v>
      </c>
      <c r="AE684" s="122">
        <f t="shared" si="214"/>
        <v>15671.053959264205</v>
      </c>
      <c r="AF684" s="167">
        <f t="shared" si="215"/>
        <v>72600</v>
      </c>
    </row>
    <row r="685" spans="1:32" s="150" customFormat="1" x14ac:dyDescent="0.2">
      <c r="A685" s="144" t="s">
        <v>677</v>
      </c>
      <c r="B685" s="144"/>
      <c r="C685" s="144"/>
      <c r="D685" s="145">
        <v>1</v>
      </c>
      <c r="E685" s="122"/>
      <c r="F685" s="146">
        <v>0.2</v>
      </c>
      <c r="G685" s="146"/>
      <c r="H685" s="122">
        <v>68700</v>
      </c>
      <c r="I685" s="122">
        <f t="shared" si="205"/>
        <v>66501.599999999991</v>
      </c>
      <c r="J685" s="147">
        <f t="shared" si="206"/>
        <v>53201.279999999999</v>
      </c>
      <c r="K685" s="122"/>
      <c r="L685" s="122">
        <v>0</v>
      </c>
      <c r="M685" s="122">
        <f t="shared" si="207"/>
        <v>0</v>
      </c>
      <c r="N685" s="122">
        <f t="shared" si="208"/>
        <v>0</v>
      </c>
      <c r="O685" s="122"/>
      <c r="P685" s="122">
        <v>0</v>
      </c>
      <c r="Q685" s="122">
        <f t="shared" si="209"/>
        <v>0</v>
      </c>
      <c r="R685" s="147">
        <f t="shared" si="210"/>
        <v>0</v>
      </c>
      <c r="S685" s="145">
        <v>11</v>
      </c>
      <c r="T685" s="144" t="s">
        <v>213</v>
      </c>
      <c r="U685" s="90">
        <f>SUMIF('Avoided Costs 2009-2017'!$A:$A,Actuals!T685&amp;Actuals!S685,'Avoided Costs 2009-2017'!$E:$E)*J685</f>
        <v>148893.94451957074</v>
      </c>
      <c r="V685" s="90">
        <f>SUMIF('Avoided Costs 2009-2017'!$A:$A,Actuals!T685&amp;Actuals!S685,'Avoided Costs 2009-2017'!$K:$K)*N685</f>
        <v>0</v>
      </c>
      <c r="W685" s="90">
        <f>SUMIF('Avoided Costs 2009-2017'!$A:$A,Actuals!T685&amp;Actuals!S685,'Avoided Costs 2009-2017'!$M:$M)*R685</f>
        <v>0</v>
      </c>
      <c r="X685" s="90">
        <f t="shared" si="211"/>
        <v>148893.94451957074</v>
      </c>
      <c r="Y685" s="148">
        <v>80208</v>
      </c>
      <c r="Z685" s="149">
        <f t="shared" si="212"/>
        <v>64166.400000000001</v>
      </c>
      <c r="AA685" s="148"/>
      <c r="AB685" s="145"/>
      <c r="AC685" s="145"/>
      <c r="AD685" s="148">
        <f t="shared" si="213"/>
        <v>64166.400000000001</v>
      </c>
      <c r="AE685" s="122">
        <f t="shared" si="214"/>
        <v>84727.544519570743</v>
      </c>
      <c r="AF685" s="167">
        <f t="shared" si="215"/>
        <v>585214.07999999996</v>
      </c>
    </row>
    <row r="686" spans="1:32" s="150" customFormat="1" x14ac:dyDescent="0.2">
      <c r="A686" s="144" t="s">
        <v>678</v>
      </c>
      <c r="B686" s="144"/>
      <c r="C686" s="144"/>
      <c r="D686" s="145">
        <v>0</v>
      </c>
      <c r="E686" s="122"/>
      <c r="F686" s="146">
        <v>0.2</v>
      </c>
      <c r="G686" s="146"/>
      <c r="H686" s="122">
        <v>15694</v>
      </c>
      <c r="I686" s="122">
        <f t="shared" si="205"/>
        <v>15191.791999999999</v>
      </c>
      <c r="J686" s="147">
        <f t="shared" si="206"/>
        <v>12153.4336</v>
      </c>
      <c r="K686" s="122"/>
      <c r="L686" s="122">
        <v>21431</v>
      </c>
      <c r="M686" s="122">
        <f t="shared" si="207"/>
        <v>19266.469000000001</v>
      </c>
      <c r="N686" s="122">
        <f t="shared" si="208"/>
        <v>15413.175200000001</v>
      </c>
      <c r="O686" s="122"/>
      <c r="P686" s="122">
        <v>0</v>
      </c>
      <c r="Q686" s="122">
        <f t="shared" si="209"/>
        <v>0</v>
      </c>
      <c r="R686" s="147">
        <f t="shared" si="210"/>
        <v>0</v>
      </c>
      <c r="S686" s="145">
        <v>15</v>
      </c>
      <c r="T686" s="144" t="s">
        <v>213</v>
      </c>
      <c r="U686" s="90">
        <f>SUMIF('Avoided Costs 2009-2017'!$A:$A,Actuals!T686&amp;Actuals!S686,'Avoided Costs 2009-2017'!$E:$E)*J686</f>
        <v>41105.411157696464</v>
      </c>
      <c r="V686" s="90">
        <f>SUMIF('Avoided Costs 2009-2017'!$A:$A,Actuals!T686&amp;Actuals!S686,'Avoided Costs 2009-2017'!$K:$K)*N686</f>
        <v>11506.431228959547</v>
      </c>
      <c r="W686" s="90">
        <f>SUMIF('Avoided Costs 2009-2017'!$A:$A,Actuals!T686&amp;Actuals!S686,'Avoided Costs 2009-2017'!$M:$M)*R686</f>
        <v>0</v>
      </c>
      <c r="X686" s="90">
        <f t="shared" si="211"/>
        <v>52611.842386656012</v>
      </c>
      <c r="Y686" s="148">
        <v>7000</v>
      </c>
      <c r="Z686" s="149">
        <f t="shared" si="212"/>
        <v>5600</v>
      </c>
      <c r="AA686" s="148"/>
      <c r="AB686" s="145"/>
      <c r="AC686" s="145"/>
      <c r="AD686" s="148">
        <f t="shared" si="213"/>
        <v>5600</v>
      </c>
      <c r="AE686" s="122">
        <f t="shared" si="214"/>
        <v>47011.842386656012</v>
      </c>
      <c r="AF686" s="167">
        <f t="shared" si="215"/>
        <v>182301.50400000002</v>
      </c>
    </row>
    <row r="687" spans="1:32" s="150" customFormat="1" x14ac:dyDescent="0.2">
      <c r="A687" s="144" t="s">
        <v>679</v>
      </c>
      <c r="B687" s="144"/>
      <c r="C687" s="144"/>
      <c r="D687" s="145">
        <v>1</v>
      </c>
      <c r="E687" s="122"/>
      <c r="F687" s="146">
        <v>0.2</v>
      </c>
      <c r="G687" s="146"/>
      <c r="H687" s="122">
        <v>44549</v>
      </c>
      <c r="I687" s="122">
        <f t="shared" si="205"/>
        <v>43123.432000000001</v>
      </c>
      <c r="J687" s="147">
        <f t="shared" si="206"/>
        <v>34498.745600000002</v>
      </c>
      <c r="K687" s="122"/>
      <c r="L687" s="122">
        <v>0</v>
      </c>
      <c r="M687" s="122">
        <f t="shared" si="207"/>
        <v>0</v>
      </c>
      <c r="N687" s="122">
        <f t="shared" si="208"/>
        <v>0</v>
      </c>
      <c r="O687" s="122"/>
      <c r="P687" s="122">
        <v>0</v>
      </c>
      <c r="Q687" s="122">
        <f t="shared" si="209"/>
        <v>0</v>
      </c>
      <c r="R687" s="147">
        <f t="shared" si="210"/>
        <v>0</v>
      </c>
      <c r="S687" s="145">
        <v>9</v>
      </c>
      <c r="T687" s="144" t="s">
        <v>1176</v>
      </c>
      <c r="U687" s="90">
        <f>SUMIF('Avoided Costs 2009-2017'!$A:$A,Actuals!T687&amp;Actuals!S687,'Avoided Costs 2009-2017'!$E:$E)*J687</f>
        <v>76853.277549964638</v>
      </c>
      <c r="V687" s="90">
        <f>SUMIF('Avoided Costs 2009-2017'!$A:$A,Actuals!T687&amp;Actuals!S687,'Avoided Costs 2009-2017'!$K:$K)*N687</f>
        <v>0</v>
      </c>
      <c r="W687" s="90">
        <f>SUMIF('Avoided Costs 2009-2017'!$A:$A,Actuals!T687&amp;Actuals!S687,'Avoided Costs 2009-2017'!$M:$M)*R687</f>
        <v>0</v>
      </c>
      <c r="X687" s="90">
        <f t="shared" si="211"/>
        <v>76853.277549964638</v>
      </c>
      <c r="Y687" s="148">
        <v>29052</v>
      </c>
      <c r="Z687" s="149">
        <f t="shared" si="212"/>
        <v>23241.600000000002</v>
      </c>
      <c r="AA687" s="148"/>
      <c r="AB687" s="145"/>
      <c r="AC687" s="145"/>
      <c r="AD687" s="148">
        <f t="shared" si="213"/>
        <v>23241.600000000002</v>
      </c>
      <c r="AE687" s="122">
        <f t="shared" si="214"/>
        <v>53611.677549964632</v>
      </c>
      <c r="AF687" s="167">
        <f t="shared" si="215"/>
        <v>310488.71040000004</v>
      </c>
    </row>
    <row r="688" spans="1:32" s="150" customFormat="1" x14ac:dyDescent="0.2">
      <c r="A688" s="144" t="s">
        <v>680</v>
      </c>
      <c r="B688" s="144"/>
      <c r="C688" s="144"/>
      <c r="D688" s="145">
        <v>0</v>
      </c>
      <c r="E688" s="122"/>
      <c r="F688" s="146">
        <v>0.2</v>
      </c>
      <c r="G688" s="146"/>
      <c r="H688" s="122">
        <v>72379</v>
      </c>
      <c r="I688" s="122">
        <f t="shared" ref="I688:I751" si="216">+$H$68*H688</f>
        <v>70062.872000000003</v>
      </c>
      <c r="J688" s="147">
        <f t="shared" ref="J688:J751" si="217">I688*(1-F688)</f>
        <v>56050.297600000005</v>
      </c>
      <c r="K688" s="122"/>
      <c r="L688" s="122">
        <v>0</v>
      </c>
      <c r="M688" s="122">
        <f t="shared" ref="M688:M751" si="218">+$L$68*L688</f>
        <v>0</v>
      </c>
      <c r="N688" s="122">
        <f t="shared" ref="N688:N751" si="219">M688*(1-F688)</f>
        <v>0</v>
      </c>
      <c r="O688" s="122"/>
      <c r="P688" s="122">
        <v>0</v>
      </c>
      <c r="Q688" s="122">
        <f t="shared" ref="Q688:Q751" si="220">+P688*$P$68</f>
        <v>0</v>
      </c>
      <c r="R688" s="147">
        <f t="shared" ref="R688:R751" si="221">Q688*(1-F688)</f>
        <v>0</v>
      </c>
      <c r="S688" s="145">
        <v>9</v>
      </c>
      <c r="T688" s="144" t="s">
        <v>1176</v>
      </c>
      <c r="U688" s="90">
        <f>SUMIF('Avoided Costs 2009-2017'!$A:$A,Actuals!T688&amp;Actuals!S688,'Avoided Costs 2009-2017'!$E:$E)*J688</f>
        <v>124863.93355156998</v>
      </c>
      <c r="V688" s="90">
        <f>SUMIF('Avoided Costs 2009-2017'!$A:$A,Actuals!T688&amp;Actuals!S688,'Avoided Costs 2009-2017'!$K:$K)*N688</f>
        <v>0</v>
      </c>
      <c r="W688" s="90">
        <f>SUMIF('Avoided Costs 2009-2017'!$A:$A,Actuals!T688&amp;Actuals!S688,'Avoided Costs 2009-2017'!$M:$M)*R688</f>
        <v>0</v>
      </c>
      <c r="X688" s="90">
        <f t="shared" ref="X688:X751" si="222">SUM(U688:W688)</f>
        <v>124863.93355156998</v>
      </c>
      <c r="Y688" s="148">
        <v>53986</v>
      </c>
      <c r="Z688" s="149">
        <f t="shared" ref="Z688:Z751" si="223">Y688*(1-F688)</f>
        <v>43188.800000000003</v>
      </c>
      <c r="AA688" s="148"/>
      <c r="AB688" s="145"/>
      <c r="AC688" s="145"/>
      <c r="AD688" s="148">
        <f t="shared" ref="AD688:AD751" si="224">Z688+AB688</f>
        <v>43188.800000000003</v>
      </c>
      <c r="AE688" s="122">
        <f t="shared" ref="AE688:AE751" si="225">X688-AD688</f>
        <v>81675.133551569976</v>
      </c>
      <c r="AF688" s="167">
        <f t="shared" ref="AF688:AF751" si="226">J688*S688</f>
        <v>504452.67840000003</v>
      </c>
    </row>
    <row r="689" spans="1:32" s="150" customFormat="1" x14ac:dyDescent="0.2">
      <c r="A689" s="144" t="s">
        <v>681</v>
      </c>
      <c r="B689" s="144"/>
      <c r="C689" s="144"/>
      <c r="D689" s="145">
        <v>0</v>
      </c>
      <c r="E689" s="122"/>
      <c r="F689" s="146">
        <v>0.2</v>
      </c>
      <c r="G689" s="146"/>
      <c r="H689" s="122">
        <v>19770</v>
      </c>
      <c r="I689" s="122">
        <f t="shared" si="216"/>
        <v>19137.36</v>
      </c>
      <c r="J689" s="147">
        <f t="shared" si="217"/>
        <v>15309.888000000001</v>
      </c>
      <c r="K689" s="122"/>
      <c r="L689" s="122">
        <v>21431</v>
      </c>
      <c r="M689" s="122">
        <f t="shared" si="218"/>
        <v>19266.469000000001</v>
      </c>
      <c r="N689" s="122">
        <f t="shared" si="219"/>
        <v>15413.175200000001</v>
      </c>
      <c r="O689" s="122"/>
      <c r="P689" s="122">
        <v>0</v>
      </c>
      <c r="Q689" s="122">
        <f t="shared" si="220"/>
        <v>0</v>
      </c>
      <c r="R689" s="147">
        <f t="shared" si="221"/>
        <v>0</v>
      </c>
      <c r="S689" s="145">
        <v>15</v>
      </c>
      <c r="T689" s="144" t="s">
        <v>213</v>
      </c>
      <c r="U689" s="90">
        <f>SUMIF('Avoided Costs 2009-2017'!$A:$A,Actuals!T689&amp;Actuals!S689,'Avoided Costs 2009-2017'!$E:$E)*J689</f>
        <v>51781.188899430294</v>
      </c>
      <c r="V689" s="90">
        <f>SUMIF('Avoided Costs 2009-2017'!$A:$A,Actuals!T689&amp;Actuals!S689,'Avoided Costs 2009-2017'!$K:$K)*N689</f>
        <v>11506.431228959547</v>
      </c>
      <c r="W689" s="90">
        <f>SUMIF('Avoided Costs 2009-2017'!$A:$A,Actuals!T689&amp;Actuals!S689,'Avoided Costs 2009-2017'!$M:$M)*R689</f>
        <v>0</v>
      </c>
      <c r="X689" s="90">
        <f t="shared" si="222"/>
        <v>63287.620128389841</v>
      </c>
      <c r="Y689" s="148">
        <v>7000</v>
      </c>
      <c r="Z689" s="149">
        <f t="shared" si="223"/>
        <v>5600</v>
      </c>
      <c r="AA689" s="148"/>
      <c r="AB689" s="145"/>
      <c r="AC689" s="145"/>
      <c r="AD689" s="148">
        <f t="shared" si="224"/>
        <v>5600</v>
      </c>
      <c r="AE689" s="122">
        <f t="shared" si="225"/>
        <v>57687.620128389841</v>
      </c>
      <c r="AF689" s="167">
        <f t="shared" si="226"/>
        <v>229648.32</v>
      </c>
    </row>
    <row r="690" spans="1:32" s="150" customFormat="1" x14ac:dyDescent="0.2">
      <c r="A690" s="144" t="s">
        <v>682</v>
      </c>
      <c r="B690" s="144"/>
      <c r="C690" s="144"/>
      <c r="D690" s="145">
        <v>1</v>
      </c>
      <c r="E690" s="122"/>
      <c r="F690" s="146">
        <v>0.2</v>
      </c>
      <c r="G690" s="146"/>
      <c r="H690" s="122">
        <v>135016</v>
      </c>
      <c r="I690" s="122">
        <f t="shared" si="216"/>
        <v>130695.488</v>
      </c>
      <c r="J690" s="147">
        <f t="shared" si="217"/>
        <v>104556.3904</v>
      </c>
      <c r="K690" s="122"/>
      <c r="L690" s="122">
        <v>0</v>
      </c>
      <c r="M690" s="122">
        <f t="shared" si="218"/>
        <v>0</v>
      </c>
      <c r="N690" s="122">
        <f t="shared" si="219"/>
        <v>0</v>
      </c>
      <c r="O690" s="122"/>
      <c r="P690" s="122">
        <v>0</v>
      </c>
      <c r="Q690" s="122">
        <f t="shared" si="220"/>
        <v>0</v>
      </c>
      <c r="R690" s="147">
        <f t="shared" si="221"/>
        <v>0</v>
      </c>
      <c r="S690" s="145">
        <v>11</v>
      </c>
      <c r="T690" s="144" t="s">
        <v>213</v>
      </c>
      <c r="U690" s="90">
        <f>SUMIF('Avoided Costs 2009-2017'!$A:$A,Actuals!T690&amp;Actuals!S690,'Avoided Costs 2009-2017'!$E:$E)*J690</f>
        <v>292621.03076061665</v>
      </c>
      <c r="V690" s="90">
        <f>SUMIF('Avoided Costs 2009-2017'!$A:$A,Actuals!T690&amp;Actuals!S690,'Avoided Costs 2009-2017'!$K:$K)*N690</f>
        <v>0</v>
      </c>
      <c r="W690" s="90">
        <f>SUMIF('Avoided Costs 2009-2017'!$A:$A,Actuals!T690&amp;Actuals!S690,'Avoided Costs 2009-2017'!$M:$M)*R690</f>
        <v>0</v>
      </c>
      <c r="X690" s="90">
        <f t="shared" si="222"/>
        <v>292621.03076061665</v>
      </c>
      <c r="Y690" s="148">
        <v>74152</v>
      </c>
      <c r="Z690" s="149">
        <f t="shared" si="223"/>
        <v>59321.600000000006</v>
      </c>
      <c r="AA690" s="148"/>
      <c r="AB690" s="145"/>
      <c r="AC690" s="145"/>
      <c r="AD690" s="148">
        <f t="shared" si="224"/>
        <v>59321.600000000006</v>
      </c>
      <c r="AE690" s="122">
        <f t="shared" si="225"/>
        <v>233299.43076061664</v>
      </c>
      <c r="AF690" s="167">
        <f t="shared" si="226"/>
        <v>1150120.2944</v>
      </c>
    </row>
    <row r="691" spans="1:32" s="150" customFormat="1" x14ac:dyDescent="0.2">
      <c r="A691" s="144" t="s">
        <v>683</v>
      </c>
      <c r="B691" s="144"/>
      <c r="C691" s="144"/>
      <c r="D691" s="145">
        <v>1</v>
      </c>
      <c r="E691" s="122"/>
      <c r="F691" s="146">
        <v>0.2</v>
      </c>
      <c r="G691" s="146"/>
      <c r="H691" s="122">
        <v>15549</v>
      </c>
      <c r="I691" s="122">
        <f t="shared" si="216"/>
        <v>15051.431999999999</v>
      </c>
      <c r="J691" s="147">
        <f t="shared" si="217"/>
        <v>12041.1456</v>
      </c>
      <c r="K691" s="122"/>
      <c r="L691" s="122">
        <v>0</v>
      </c>
      <c r="M691" s="122">
        <f t="shared" si="218"/>
        <v>0</v>
      </c>
      <c r="N691" s="122">
        <f t="shared" si="219"/>
        <v>0</v>
      </c>
      <c r="O691" s="122"/>
      <c r="P691" s="122">
        <v>0</v>
      </c>
      <c r="Q691" s="122">
        <f t="shared" si="220"/>
        <v>0</v>
      </c>
      <c r="R691" s="147">
        <f t="shared" si="221"/>
        <v>0</v>
      </c>
      <c r="S691" s="145">
        <v>8</v>
      </c>
      <c r="T691" s="144" t="s">
        <v>1176</v>
      </c>
      <c r="U691" s="90">
        <f>SUMIF('Avoided Costs 2009-2017'!$A:$A,Actuals!T691&amp;Actuals!S691,'Avoided Costs 2009-2017'!$E:$E)*J691</f>
        <v>24669.94099986965</v>
      </c>
      <c r="V691" s="90">
        <f>SUMIF('Avoided Costs 2009-2017'!$A:$A,Actuals!T691&amp;Actuals!S691,'Avoided Costs 2009-2017'!$K:$K)*N691</f>
        <v>0</v>
      </c>
      <c r="W691" s="90">
        <f>SUMIF('Avoided Costs 2009-2017'!$A:$A,Actuals!T691&amp;Actuals!S691,'Avoided Costs 2009-2017'!$M:$M)*R691</f>
        <v>0</v>
      </c>
      <c r="X691" s="90">
        <f t="shared" si="222"/>
        <v>24669.94099986965</v>
      </c>
      <c r="Y691" s="148">
        <v>18364.5</v>
      </c>
      <c r="Z691" s="149">
        <f t="shared" si="223"/>
        <v>14691.6</v>
      </c>
      <c r="AA691" s="148"/>
      <c r="AB691" s="145"/>
      <c r="AC691" s="145"/>
      <c r="AD691" s="148">
        <f t="shared" si="224"/>
        <v>14691.6</v>
      </c>
      <c r="AE691" s="122">
        <f t="shared" si="225"/>
        <v>9978.3409998696497</v>
      </c>
      <c r="AF691" s="167">
        <f t="shared" si="226"/>
        <v>96329.164799999999</v>
      </c>
    </row>
    <row r="692" spans="1:32" s="150" customFormat="1" x14ac:dyDescent="0.2">
      <c r="A692" s="144" t="s">
        <v>684</v>
      </c>
      <c r="B692" s="144"/>
      <c r="C692" s="144"/>
      <c r="D692" s="145">
        <v>1</v>
      </c>
      <c r="E692" s="122"/>
      <c r="F692" s="146">
        <v>0.2</v>
      </c>
      <c r="G692" s="146"/>
      <c r="H692" s="122">
        <v>114261</v>
      </c>
      <c r="I692" s="122">
        <v>101603</v>
      </c>
      <c r="J692" s="147">
        <f t="shared" si="217"/>
        <v>81282.400000000009</v>
      </c>
      <c r="K692" s="122"/>
      <c r="L692" s="122">
        <v>162190</v>
      </c>
      <c r="M692" s="122">
        <v>112216</v>
      </c>
      <c r="N692" s="122">
        <f t="shared" si="219"/>
        <v>89772.800000000003</v>
      </c>
      <c r="O692" s="122"/>
      <c r="P692" s="122">
        <v>0</v>
      </c>
      <c r="Q692" s="122">
        <f t="shared" si="220"/>
        <v>0</v>
      </c>
      <c r="R692" s="147">
        <f t="shared" si="221"/>
        <v>0</v>
      </c>
      <c r="S692" s="145">
        <v>15</v>
      </c>
      <c r="T692" s="144" t="s">
        <v>213</v>
      </c>
      <c r="U692" s="90">
        <f>SUMIF('Avoided Costs 2009-2017'!$A:$A,Actuals!T692&amp;Actuals!S692,'Avoided Costs 2009-2017'!$E:$E)*J692</f>
        <v>274913.78830459458</v>
      </c>
      <c r="V692" s="90">
        <f>SUMIF('Avoided Costs 2009-2017'!$A:$A,Actuals!T692&amp;Actuals!S692,'Avoided Costs 2009-2017'!$K:$K)*N692</f>
        <v>67018.283775243122</v>
      </c>
      <c r="W692" s="90">
        <f>SUMIF('Avoided Costs 2009-2017'!$A:$A,Actuals!T692&amp;Actuals!S692,'Avoided Costs 2009-2017'!$M:$M)*R692</f>
        <v>0</v>
      </c>
      <c r="X692" s="90">
        <f t="shared" si="222"/>
        <v>341932.07207983767</v>
      </c>
      <c r="Y692" s="148">
        <v>28045</v>
      </c>
      <c r="Z692" s="149">
        <f t="shared" si="223"/>
        <v>22436</v>
      </c>
      <c r="AA692" s="148"/>
      <c r="AB692" s="145"/>
      <c r="AC692" s="145"/>
      <c r="AD692" s="148">
        <f t="shared" si="224"/>
        <v>22436</v>
      </c>
      <c r="AE692" s="122">
        <f t="shared" si="225"/>
        <v>319496.07207983767</v>
      </c>
      <c r="AF692" s="167">
        <f t="shared" si="226"/>
        <v>1219236.0000000002</v>
      </c>
    </row>
    <row r="693" spans="1:32" s="150" customFormat="1" x14ac:dyDescent="0.2">
      <c r="A693" s="144" t="s">
        <v>685</v>
      </c>
      <c r="B693" s="144"/>
      <c r="C693" s="144"/>
      <c r="D693" s="145">
        <v>0</v>
      </c>
      <c r="E693" s="122"/>
      <c r="F693" s="146">
        <v>0.2</v>
      </c>
      <c r="G693" s="146"/>
      <c r="H693" s="122">
        <v>32561</v>
      </c>
      <c r="I693" s="122">
        <f t="shared" si="216"/>
        <v>31519.047999999999</v>
      </c>
      <c r="J693" s="147">
        <f t="shared" si="217"/>
        <v>25215.238400000002</v>
      </c>
      <c r="K693" s="122"/>
      <c r="L693" s="122">
        <v>24102</v>
      </c>
      <c r="M693" s="122">
        <f t="shared" si="218"/>
        <v>21667.698</v>
      </c>
      <c r="N693" s="122">
        <f t="shared" si="219"/>
        <v>17334.1584</v>
      </c>
      <c r="O693" s="122"/>
      <c r="P693" s="122">
        <v>0</v>
      </c>
      <c r="Q693" s="122">
        <f t="shared" si="220"/>
        <v>0</v>
      </c>
      <c r="R693" s="147">
        <f t="shared" si="221"/>
        <v>0</v>
      </c>
      <c r="S693" s="145">
        <v>15</v>
      </c>
      <c r="T693" s="144" t="s">
        <v>213</v>
      </c>
      <c r="U693" s="90">
        <f>SUMIF('Avoided Costs 2009-2017'!$A:$A,Actuals!T693&amp;Actuals!S693,'Avoided Costs 2009-2017'!$E:$E)*J693</f>
        <v>85283.120473158822</v>
      </c>
      <c r="V693" s="90">
        <f>SUMIF('Avoided Costs 2009-2017'!$A:$A,Actuals!T693&amp;Actuals!S693,'Avoided Costs 2009-2017'!$K:$K)*N693</f>
        <v>12940.506998291399</v>
      </c>
      <c r="W693" s="90">
        <f>SUMIF('Avoided Costs 2009-2017'!$A:$A,Actuals!T693&amp;Actuals!S693,'Avoided Costs 2009-2017'!$M:$M)*R693</f>
        <v>0</v>
      </c>
      <c r="X693" s="90">
        <f t="shared" si="222"/>
        <v>98223.627471450221</v>
      </c>
      <c r="Y693" s="148">
        <v>58522</v>
      </c>
      <c r="Z693" s="149">
        <f t="shared" si="223"/>
        <v>46817.600000000006</v>
      </c>
      <c r="AA693" s="148"/>
      <c r="AB693" s="145"/>
      <c r="AC693" s="145"/>
      <c r="AD693" s="148">
        <f t="shared" si="224"/>
        <v>46817.600000000006</v>
      </c>
      <c r="AE693" s="122">
        <f t="shared" si="225"/>
        <v>51406.027471450216</v>
      </c>
      <c r="AF693" s="167">
        <f t="shared" si="226"/>
        <v>378228.576</v>
      </c>
    </row>
    <row r="694" spans="1:32" s="150" customFormat="1" x14ac:dyDescent="0.2">
      <c r="A694" s="144" t="s">
        <v>686</v>
      </c>
      <c r="B694" s="144"/>
      <c r="C694" s="144"/>
      <c r="D694" s="145">
        <v>1</v>
      </c>
      <c r="E694" s="122"/>
      <c r="F694" s="146">
        <v>0.2</v>
      </c>
      <c r="G694" s="146"/>
      <c r="H694" s="122">
        <v>70156</v>
      </c>
      <c r="I694" s="122">
        <f t="shared" si="216"/>
        <v>67911.008000000002</v>
      </c>
      <c r="J694" s="147">
        <f t="shared" si="217"/>
        <v>54328.806400000001</v>
      </c>
      <c r="K694" s="122"/>
      <c r="L694" s="122">
        <v>0</v>
      </c>
      <c r="M694" s="122">
        <f t="shared" si="218"/>
        <v>0</v>
      </c>
      <c r="N694" s="122">
        <f t="shared" si="219"/>
        <v>0</v>
      </c>
      <c r="O694" s="122"/>
      <c r="P694" s="122">
        <v>0</v>
      </c>
      <c r="Q694" s="122">
        <f t="shared" si="220"/>
        <v>0</v>
      </c>
      <c r="R694" s="147">
        <f t="shared" si="221"/>
        <v>0</v>
      </c>
      <c r="S694" s="145">
        <v>11</v>
      </c>
      <c r="T694" s="144" t="s">
        <v>213</v>
      </c>
      <c r="U694" s="90">
        <f>SUMIF('Avoided Costs 2009-2017'!$A:$A,Actuals!T694&amp;Actuals!S694,'Avoided Costs 2009-2017'!$E:$E)*J694</f>
        <v>152049.5425286027</v>
      </c>
      <c r="V694" s="90">
        <f>SUMIF('Avoided Costs 2009-2017'!$A:$A,Actuals!T694&amp;Actuals!S694,'Avoided Costs 2009-2017'!$K:$K)*N694</f>
        <v>0</v>
      </c>
      <c r="W694" s="90">
        <f>SUMIF('Avoided Costs 2009-2017'!$A:$A,Actuals!T694&amp;Actuals!S694,'Avoided Costs 2009-2017'!$M:$M)*R694</f>
        <v>0</v>
      </c>
      <c r="X694" s="90">
        <f t="shared" si="222"/>
        <v>152049.5425286027</v>
      </c>
      <c r="Y694" s="148">
        <v>79500</v>
      </c>
      <c r="Z694" s="149">
        <f t="shared" si="223"/>
        <v>63600</v>
      </c>
      <c r="AA694" s="148"/>
      <c r="AB694" s="145"/>
      <c r="AC694" s="145"/>
      <c r="AD694" s="148">
        <f t="shared" si="224"/>
        <v>63600</v>
      </c>
      <c r="AE694" s="122">
        <f t="shared" si="225"/>
        <v>88449.542528602702</v>
      </c>
      <c r="AF694" s="167">
        <f t="shared" si="226"/>
        <v>597616.87040000001</v>
      </c>
    </row>
    <row r="695" spans="1:32" s="150" customFormat="1" x14ac:dyDescent="0.2">
      <c r="A695" s="144" t="s">
        <v>687</v>
      </c>
      <c r="B695" s="144"/>
      <c r="C695" s="144"/>
      <c r="D695" s="145">
        <v>0</v>
      </c>
      <c r="E695" s="122"/>
      <c r="F695" s="146">
        <v>0.2</v>
      </c>
      <c r="G695" s="146"/>
      <c r="H695" s="122">
        <v>32561</v>
      </c>
      <c r="I695" s="122">
        <f t="shared" si="216"/>
        <v>31519.047999999999</v>
      </c>
      <c r="J695" s="147">
        <f t="shared" si="217"/>
        <v>25215.238400000002</v>
      </c>
      <c r="K695" s="122"/>
      <c r="L695" s="122">
        <v>24102</v>
      </c>
      <c r="M695" s="122">
        <f t="shared" si="218"/>
        <v>21667.698</v>
      </c>
      <c r="N695" s="122">
        <f t="shared" si="219"/>
        <v>17334.1584</v>
      </c>
      <c r="O695" s="122"/>
      <c r="P695" s="122">
        <v>0</v>
      </c>
      <c r="Q695" s="122">
        <f t="shared" si="220"/>
        <v>0</v>
      </c>
      <c r="R695" s="147">
        <f t="shared" si="221"/>
        <v>0</v>
      </c>
      <c r="S695" s="145">
        <v>15</v>
      </c>
      <c r="T695" s="144" t="s">
        <v>213</v>
      </c>
      <c r="U695" s="90">
        <f>SUMIF('Avoided Costs 2009-2017'!$A:$A,Actuals!T695&amp;Actuals!S695,'Avoided Costs 2009-2017'!$E:$E)*J695</f>
        <v>85283.120473158822</v>
      </c>
      <c r="V695" s="90">
        <f>SUMIF('Avoided Costs 2009-2017'!$A:$A,Actuals!T695&amp;Actuals!S695,'Avoided Costs 2009-2017'!$K:$K)*N695</f>
        <v>12940.506998291399</v>
      </c>
      <c r="W695" s="90">
        <f>SUMIF('Avoided Costs 2009-2017'!$A:$A,Actuals!T695&amp;Actuals!S695,'Avoided Costs 2009-2017'!$M:$M)*R695</f>
        <v>0</v>
      </c>
      <c r="X695" s="90">
        <f t="shared" si="222"/>
        <v>98223.627471450221</v>
      </c>
      <c r="Y695" s="148">
        <v>58522</v>
      </c>
      <c r="Z695" s="149">
        <f t="shared" si="223"/>
        <v>46817.600000000006</v>
      </c>
      <c r="AA695" s="148"/>
      <c r="AB695" s="145"/>
      <c r="AC695" s="145"/>
      <c r="AD695" s="148">
        <f t="shared" si="224"/>
        <v>46817.600000000006</v>
      </c>
      <c r="AE695" s="122">
        <f t="shared" si="225"/>
        <v>51406.027471450216</v>
      </c>
      <c r="AF695" s="167">
        <f t="shared" si="226"/>
        <v>378228.576</v>
      </c>
    </row>
    <row r="696" spans="1:32" s="150" customFormat="1" x14ac:dyDescent="0.2">
      <c r="A696" s="144" t="s">
        <v>688</v>
      </c>
      <c r="B696" s="144"/>
      <c r="C696" s="144"/>
      <c r="D696" s="145">
        <v>1</v>
      </c>
      <c r="E696" s="122"/>
      <c r="F696" s="146">
        <v>0.2</v>
      </c>
      <c r="G696" s="146"/>
      <c r="H696" s="122">
        <v>76023</v>
      </c>
      <c r="I696" s="122">
        <f t="shared" si="216"/>
        <v>73590.263999999996</v>
      </c>
      <c r="J696" s="147">
        <f t="shared" si="217"/>
        <v>58872.211199999998</v>
      </c>
      <c r="K696" s="122"/>
      <c r="L696" s="122">
        <v>0</v>
      </c>
      <c r="M696" s="122">
        <f t="shared" si="218"/>
        <v>0</v>
      </c>
      <c r="N696" s="122">
        <f t="shared" si="219"/>
        <v>0</v>
      </c>
      <c r="O696" s="122"/>
      <c r="P696" s="122">
        <v>0</v>
      </c>
      <c r="Q696" s="122">
        <f t="shared" si="220"/>
        <v>0</v>
      </c>
      <c r="R696" s="147">
        <f t="shared" si="221"/>
        <v>0</v>
      </c>
      <c r="S696" s="145">
        <v>11</v>
      </c>
      <c r="T696" s="144" t="s">
        <v>213</v>
      </c>
      <c r="U696" s="90">
        <f>SUMIF('Avoided Costs 2009-2017'!$A:$A,Actuals!T696&amp;Actuals!S696,'Avoided Costs 2009-2017'!$E:$E)*J696</f>
        <v>164765.12873670054</v>
      </c>
      <c r="V696" s="90">
        <f>SUMIF('Avoided Costs 2009-2017'!$A:$A,Actuals!T696&amp;Actuals!S696,'Avoided Costs 2009-2017'!$K:$K)*N696</f>
        <v>0</v>
      </c>
      <c r="W696" s="90">
        <f>SUMIF('Avoided Costs 2009-2017'!$A:$A,Actuals!T696&amp;Actuals!S696,'Avoided Costs 2009-2017'!$M:$M)*R696</f>
        <v>0</v>
      </c>
      <c r="X696" s="90">
        <f t="shared" si="222"/>
        <v>164765.12873670054</v>
      </c>
      <c r="Y696" s="148">
        <v>79500</v>
      </c>
      <c r="Z696" s="149">
        <f t="shared" si="223"/>
        <v>63600</v>
      </c>
      <c r="AA696" s="148"/>
      <c r="AB696" s="145"/>
      <c r="AC696" s="145"/>
      <c r="AD696" s="148">
        <f t="shared" si="224"/>
        <v>63600</v>
      </c>
      <c r="AE696" s="122">
        <f t="shared" si="225"/>
        <v>101165.12873670054</v>
      </c>
      <c r="AF696" s="167">
        <f t="shared" si="226"/>
        <v>647594.32319999998</v>
      </c>
    </row>
    <row r="697" spans="1:32" s="150" customFormat="1" x14ac:dyDescent="0.2">
      <c r="A697" s="144" t="s">
        <v>689</v>
      </c>
      <c r="B697" s="144"/>
      <c r="C697" s="144"/>
      <c r="D697" s="145">
        <v>0</v>
      </c>
      <c r="E697" s="122"/>
      <c r="F697" s="146">
        <v>0.2</v>
      </c>
      <c r="G697" s="146"/>
      <c r="H697" s="122">
        <v>32561</v>
      </c>
      <c r="I697" s="122">
        <f t="shared" si="216"/>
        <v>31519.047999999999</v>
      </c>
      <c r="J697" s="147">
        <f t="shared" si="217"/>
        <v>25215.238400000002</v>
      </c>
      <c r="K697" s="122"/>
      <c r="L697" s="122">
        <v>24102</v>
      </c>
      <c r="M697" s="122">
        <f t="shared" si="218"/>
        <v>21667.698</v>
      </c>
      <c r="N697" s="122">
        <f t="shared" si="219"/>
        <v>17334.1584</v>
      </c>
      <c r="O697" s="122"/>
      <c r="P697" s="122">
        <v>0</v>
      </c>
      <c r="Q697" s="122">
        <f t="shared" si="220"/>
        <v>0</v>
      </c>
      <c r="R697" s="147">
        <f t="shared" si="221"/>
        <v>0</v>
      </c>
      <c r="S697" s="145">
        <v>15</v>
      </c>
      <c r="T697" s="144" t="s">
        <v>213</v>
      </c>
      <c r="U697" s="90">
        <f>SUMIF('Avoided Costs 2009-2017'!$A:$A,Actuals!T697&amp;Actuals!S697,'Avoided Costs 2009-2017'!$E:$E)*J697</f>
        <v>85283.120473158822</v>
      </c>
      <c r="V697" s="90">
        <f>SUMIF('Avoided Costs 2009-2017'!$A:$A,Actuals!T697&amp;Actuals!S697,'Avoided Costs 2009-2017'!$K:$K)*N697</f>
        <v>12940.506998291399</v>
      </c>
      <c r="W697" s="90">
        <f>SUMIF('Avoided Costs 2009-2017'!$A:$A,Actuals!T697&amp;Actuals!S697,'Avoided Costs 2009-2017'!$M:$M)*R697</f>
        <v>0</v>
      </c>
      <c r="X697" s="90">
        <f t="shared" si="222"/>
        <v>98223.627471450221</v>
      </c>
      <c r="Y697" s="148">
        <v>58522</v>
      </c>
      <c r="Z697" s="149">
        <f t="shared" si="223"/>
        <v>46817.600000000006</v>
      </c>
      <c r="AA697" s="148"/>
      <c r="AB697" s="145"/>
      <c r="AC697" s="145"/>
      <c r="AD697" s="148">
        <f t="shared" si="224"/>
        <v>46817.600000000006</v>
      </c>
      <c r="AE697" s="122">
        <f t="shared" si="225"/>
        <v>51406.027471450216</v>
      </c>
      <c r="AF697" s="167">
        <f t="shared" si="226"/>
        <v>378228.576</v>
      </c>
    </row>
    <row r="698" spans="1:32" s="150" customFormat="1" x14ac:dyDescent="0.2">
      <c r="A698" s="144" t="s">
        <v>690</v>
      </c>
      <c r="B698" s="144"/>
      <c r="C698" s="144"/>
      <c r="D698" s="145">
        <v>1</v>
      </c>
      <c r="E698" s="122"/>
      <c r="F698" s="146">
        <v>0.2</v>
      </c>
      <c r="G698" s="146"/>
      <c r="H698" s="122">
        <v>66843</v>
      </c>
      <c r="I698" s="122">
        <f t="shared" si="216"/>
        <v>64704.023999999998</v>
      </c>
      <c r="J698" s="147">
        <f t="shared" si="217"/>
        <v>51763.2192</v>
      </c>
      <c r="K698" s="122"/>
      <c r="L698" s="122">
        <v>0</v>
      </c>
      <c r="M698" s="122">
        <f t="shared" si="218"/>
        <v>0</v>
      </c>
      <c r="N698" s="122">
        <f t="shared" si="219"/>
        <v>0</v>
      </c>
      <c r="O698" s="122"/>
      <c r="P698" s="122">
        <v>0</v>
      </c>
      <c r="Q698" s="122">
        <f t="shared" si="220"/>
        <v>0</v>
      </c>
      <c r="R698" s="147">
        <f t="shared" si="221"/>
        <v>0</v>
      </c>
      <c r="S698" s="145">
        <v>11</v>
      </c>
      <c r="T698" s="144" t="s">
        <v>213</v>
      </c>
      <c r="U698" s="90">
        <f>SUMIF('Avoided Costs 2009-2017'!$A:$A,Actuals!T698&amp;Actuals!S698,'Avoided Costs 2009-2017'!$E:$E)*J698</f>
        <v>144869.25667426008</v>
      </c>
      <c r="V698" s="90">
        <f>SUMIF('Avoided Costs 2009-2017'!$A:$A,Actuals!T698&amp;Actuals!S698,'Avoided Costs 2009-2017'!$K:$K)*N698</f>
        <v>0</v>
      </c>
      <c r="W698" s="90">
        <f>SUMIF('Avoided Costs 2009-2017'!$A:$A,Actuals!T698&amp;Actuals!S698,'Avoided Costs 2009-2017'!$M:$M)*R698</f>
        <v>0</v>
      </c>
      <c r="X698" s="90">
        <f t="shared" si="222"/>
        <v>144869.25667426008</v>
      </c>
      <c r="Y698" s="148">
        <v>79500</v>
      </c>
      <c r="Z698" s="149">
        <f t="shared" si="223"/>
        <v>63600</v>
      </c>
      <c r="AA698" s="148"/>
      <c r="AB698" s="145"/>
      <c r="AC698" s="145"/>
      <c r="AD698" s="148">
        <f t="shared" si="224"/>
        <v>63600</v>
      </c>
      <c r="AE698" s="122">
        <f t="shared" si="225"/>
        <v>81269.256674260076</v>
      </c>
      <c r="AF698" s="167">
        <f t="shared" si="226"/>
        <v>569395.41119999997</v>
      </c>
    </row>
    <row r="699" spans="1:32" s="150" customFormat="1" x14ac:dyDescent="0.2">
      <c r="A699" s="144" t="s">
        <v>691</v>
      </c>
      <c r="B699" s="144"/>
      <c r="C699" s="144"/>
      <c r="D699" s="145">
        <v>0</v>
      </c>
      <c r="E699" s="122"/>
      <c r="F699" s="146">
        <v>0.2</v>
      </c>
      <c r="G699" s="146"/>
      <c r="H699" s="122">
        <v>12726</v>
      </c>
      <c r="I699" s="122">
        <f t="shared" si="216"/>
        <v>12318.768</v>
      </c>
      <c r="J699" s="147">
        <f t="shared" si="217"/>
        <v>9855.0144</v>
      </c>
      <c r="K699" s="122"/>
      <c r="L699" s="122">
        <v>0</v>
      </c>
      <c r="M699" s="122">
        <f t="shared" si="218"/>
        <v>0</v>
      </c>
      <c r="N699" s="122">
        <f t="shared" si="219"/>
        <v>0</v>
      </c>
      <c r="O699" s="122"/>
      <c r="P699" s="122">
        <v>0</v>
      </c>
      <c r="Q699" s="122">
        <f t="shared" si="220"/>
        <v>0</v>
      </c>
      <c r="R699" s="147">
        <f t="shared" si="221"/>
        <v>0</v>
      </c>
      <c r="S699" s="145">
        <v>8</v>
      </c>
      <c r="T699" s="144" t="s">
        <v>1176</v>
      </c>
      <c r="U699" s="90">
        <f>SUMIF('Avoided Costs 2009-2017'!$A:$A,Actuals!T699&amp;Actuals!S699,'Avoided Costs 2009-2017'!$E:$E)*J699</f>
        <v>20190.98779113391</v>
      </c>
      <c r="V699" s="90">
        <f>SUMIF('Avoided Costs 2009-2017'!$A:$A,Actuals!T699&amp;Actuals!S699,'Avoided Costs 2009-2017'!$K:$K)*N699</f>
        <v>0</v>
      </c>
      <c r="W699" s="90">
        <f>SUMIF('Avoided Costs 2009-2017'!$A:$A,Actuals!T699&amp;Actuals!S699,'Avoided Costs 2009-2017'!$M:$M)*R699</f>
        <v>0</v>
      </c>
      <c r="X699" s="90">
        <f t="shared" si="222"/>
        <v>20190.98779113391</v>
      </c>
      <c r="Y699" s="148">
        <v>38556</v>
      </c>
      <c r="Z699" s="149">
        <f t="shared" si="223"/>
        <v>30844.800000000003</v>
      </c>
      <c r="AA699" s="148"/>
      <c r="AB699" s="145"/>
      <c r="AC699" s="145"/>
      <c r="AD699" s="148">
        <f t="shared" si="224"/>
        <v>30844.800000000003</v>
      </c>
      <c r="AE699" s="122">
        <f t="shared" si="225"/>
        <v>-10653.812208866093</v>
      </c>
      <c r="AF699" s="167">
        <f t="shared" si="226"/>
        <v>78840.1152</v>
      </c>
    </row>
    <row r="700" spans="1:32" s="150" customFormat="1" x14ac:dyDescent="0.2">
      <c r="A700" s="144" t="s">
        <v>692</v>
      </c>
      <c r="B700" s="144"/>
      <c r="C700" s="144"/>
      <c r="D700" s="145">
        <v>0</v>
      </c>
      <c r="E700" s="122"/>
      <c r="F700" s="146">
        <v>0.2</v>
      </c>
      <c r="G700" s="146"/>
      <c r="H700" s="122">
        <v>27243</v>
      </c>
      <c r="I700" s="122">
        <f t="shared" si="216"/>
        <v>26371.223999999998</v>
      </c>
      <c r="J700" s="147">
        <f t="shared" si="217"/>
        <v>21096.979200000002</v>
      </c>
      <c r="K700" s="122"/>
      <c r="L700" s="122">
        <v>26905</v>
      </c>
      <c r="M700" s="122">
        <f t="shared" si="218"/>
        <v>24187.595000000001</v>
      </c>
      <c r="N700" s="122">
        <f t="shared" si="219"/>
        <v>19350.076000000001</v>
      </c>
      <c r="O700" s="122"/>
      <c r="P700" s="122">
        <v>0</v>
      </c>
      <c r="Q700" s="122">
        <f t="shared" si="220"/>
        <v>0</v>
      </c>
      <c r="R700" s="147">
        <f t="shared" si="221"/>
        <v>0</v>
      </c>
      <c r="S700" s="145">
        <v>15</v>
      </c>
      <c r="T700" s="144" t="s">
        <v>213</v>
      </c>
      <c r="U700" s="90">
        <f>SUMIF('Avoided Costs 2009-2017'!$A:$A,Actuals!T700&amp;Actuals!S700,'Avoided Costs 2009-2017'!$E:$E)*J700</f>
        <v>71354.321152614037</v>
      </c>
      <c r="V700" s="90">
        <f>SUMIF('Avoided Costs 2009-2017'!$A:$A,Actuals!T700&amp;Actuals!S700,'Avoided Costs 2009-2017'!$K:$K)*N700</f>
        <v>14445.454351880762</v>
      </c>
      <c r="W700" s="90">
        <f>SUMIF('Avoided Costs 2009-2017'!$A:$A,Actuals!T700&amp;Actuals!S700,'Avoided Costs 2009-2017'!$M:$M)*R700</f>
        <v>0</v>
      </c>
      <c r="X700" s="90">
        <f t="shared" si="222"/>
        <v>85799.775504494799</v>
      </c>
      <c r="Y700" s="148">
        <v>16000</v>
      </c>
      <c r="Z700" s="149">
        <f t="shared" si="223"/>
        <v>12800</v>
      </c>
      <c r="AA700" s="148"/>
      <c r="AB700" s="145"/>
      <c r="AC700" s="145"/>
      <c r="AD700" s="148">
        <f t="shared" si="224"/>
        <v>12800</v>
      </c>
      <c r="AE700" s="122">
        <f t="shared" si="225"/>
        <v>72999.775504494799</v>
      </c>
      <c r="AF700" s="167">
        <f t="shared" si="226"/>
        <v>316454.68800000002</v>
      </c>
    </row>
    <row r="701" spans="1:32" s="150" customFormat="1" x14ac:dyDescent="0.2">
      <c r="A701" s="144" t="s">
        <v>693</v>
      </c>
      <c r="B701" s="144"/>
      <c r="C701" s="144"/>
      <c r="D701" s="145">
        <v>1</v>
      </c>
      <c r="E701" s="122"/>
      <c r="F701" s="146">
        <v>0.2</v>
      </c>
      <c r="G701" s="146"/>
      <c r="H701" s="122">
        <v>63001</v>
      </c>
      <c r="I701" s="122">
        <f t="shared" si="216"/>
        <v>60984.968000000001</v>
      </c>
      <c r="J701" s="147">
        <f t="shared" si="217"/>
        <v>48787.974400000006</v>
      </c>
      <c r="K701" s="122"/>
      <c r="L701" s="122">
        <v>0</v>
      </c>
      <c r="M701" s="122">
        <f t="shared" si="218"/>
        <v>0</v>
      </c>
      <c r="N701" s="122">
        <f t="shared" si="219"/>
        <v>0</v>
      </c>
      <c r="O701" s="122"/>
      <c r="P701" s="122">
        <v>0</v>
      </c>
      <c r="Q701" s="122">
        <f t="shared" si="220"/>
        <v>0</v>
      </c>
      <c r="R701" s="147">
        <f t="shared" si="221"/>
        <v>0</v>
      </c>
      <c r="S701" s="145">
        <v>11</v>
      </c>
      <c r="T701" s="144" t="s">
        <v>213</v>
      </c>
      <c r="U701" s="90">
        <f>SUMIF('Avoided Costs 2009-2017'!$A:$A,Actuals!T701&amp;Actuals!S701,'Avoided Costs 2009-2017'!$E:$E)*J701</f>
        <v>136542.46577405353</v>
      </c>
      <c r="V701" s="90">
        <f>SUMIF('Avoided Costs 2009-2017'!$A:$A,Actuals!T701&amp;Actuals!S701,'Avoided Costs 2009-2017'!$K:$K)*N701</f>
        <v>0</v>
      </c>
      <c r="W701" s="90">
        <f>SUMIF('Avoided Costs 2009-2017'!$A:$A,Actuals!T701&amp;Actuals!S701,'Avoided Costs 2009-2017'!$M:$M)*R701</f>
        <v>0</v>
      </c>
      <c r="X701" s="90">
        <f t="shared" si="222"/>
        <v>136542.46577405353</v>
      </c>
      <c r="Y701" s="148">
        <v>21624</v>
      </c>
      <c r="Z701" s="149">
        <f t="shared" si="223"/>
        <v>17299.2</v>
      </c>
      <c r="AA701" s="148"/>
      <c r="AB701" s="145"/>
      <c r="AC701" s="145"/>
      <c r="AD701" s="148">
        <f t="shared" si="224"/>
        <v>17299.2</v>
      </c>
      <c r="AE701" s="122">
        <f t="shared" si="225"/>
        <v>119243.26577405354</v>
      </c>
      <c r="AF701" s="167">
        <f t="shared" si="226"/>
        <v>536667.71840000013</v>
      </c>
    </row>
    <row r="702" spans="1:32" s="150" customFormat="1" x14ac:dyDescent="0.2">
      <c r="A702" s="144" t="s">
        <v>694</v>
      </c>
      <c r="B702" s="144"/>
      <c r="C702" s="144"/>
      <c r="D702" s="145">
        <v>1</v>
      </c>
      <c r="E702" s="122"/>
      <c r="F702" s="146">
        <v>0.2</v>
      </c>
      <c r="G702" s="146"/>
      <c r="H702" s="122">
        <v>147312</v>
      </c>
      <c r="I702" s="122">
        <f t="shared" si="216"/>
        <v>142598.016</v>
      </c>
      <c r="J702" s="147">
        <f t="shared" si="217"/>
        <v>114078.41280000001</v>
      </c>
      <c r="K702" s="122"/>
      <c r="L702" s="122">
        <v>0</v>
      </c>
      <c r="M702" s="122">
        <f t="shared" si="218"/>
        <v>0</v>
      </c>
      <c r="N702" s="122">
        <f t="shared" si="219"/>
        <v>0</v>
      </c>
      <c r="O702" s="122"/>
      <c r="P702" s="122">
        <v>0</v>
      </c>
      <c r="Q702" s="122">
        <f t="shared" si="220"/>
        <v>0</v>
      </c>
      <c r="R702" s="147">
        <f t="shared" si="221"/>
        <v>0</v>
      </c>
      <c r="S702" s="145">
        <v>11</v>
      </c>
      <c r="T702" s="144" t="s">
        <v>213</v>
      </c>
      <c r="U702" s="90">
        <f>SUMIF('Avoided Costs 2009-2017'!$A:$A,Actuals!T702&amp;Actuals!S702,'Avoided Costs 2009-2017'!$E:$E)*J702</f>
        <v>319270.22933139751</v>
      </c>
      <c r="V702" s="90">
        <f>SUMIF('Avoided Costs 2009-2017'!$A:$A,Actuals!T702&amp;Actuals!S702,'Avoided Costs 2009-2017'!$K:$K)*N702</f>
        <v>0</v>
      </c>
      <c r="W702" s="90">
        <f>SUMIF('Avoided Costs 2009-2017'!$A:$A,Actuals!T702&amp;Actuals!S702,'Avoided Costs 2009-2017'!$M:$M)*R702</f>
        <v>0</v>
      </c>
      <c r="X702" s="90">
        <f t="shared" si="222"/>
        <v>319270.22933139751</v>
      </c>
      <c r="Y702" s="148">
        <v>94870</v>
      </c>
      <c r="Z702" s="149">
        <f t="shared" si="223"/>
        <v>75896</v>
      </c>
      <c r="AA702" s="148"/>
      <c r="AB702" s="145"/>
      <c r="AC702" s="145"/>
      <c r="AD702" s="148">
        <f t="shared" si="224"/>
        <v>75896</v>
      </c>
      <c r="AE702" s="122">
        <f t="shared" si="225"/>
        <v>243374.22933139751</v>
      </c>
      <c r="AF702" s="167">
        <f t="shared" si="226"/>
        <v>1254862.5408000001</v>
      </c>
    </row>
    <row r="703" spans="1:32" s="150" customFormat="1" x14ac:dyDescent="0.2">
      <c r="A703" s="144" t="s">
        <v>695</v>
      </c>
      <c r="B703" s="144"/>
      <c r="C703" s="144"/>
      <c r="D703" s="145">
        <v>1</v>
      </c>
      <c r="E703" s="122"/>
      <c r="F703" s="146">
        <v>0.2</v>
      </c>
      <c r="G703" s="146"/>
      <c r="H703" s="122">
        <v>114562</v>
      </c>
      <c r="I703" s="122">
        <f t="shared" si="216"/>
        <v>110896.016</v>
      </c>
      <c r="J703" s="147">
        <f t="shared" si="217"/>
        <v>88716.812800000014</v>
      </c>
      <c r="K703" s="122"/>
      <c r="L703" s="122">
        <v>141592</v>
      </c>
      <c r="M703" s="122">
        <f t="shared" si="218"/>
        <v>127291.208</v>
      </c>
      <c r="N703" s="122">
        <f t="shared" si="219"/>
        <v>101832.9664</v>
      </c>
      <c r="O703" s="122"/>
      <c r="P703" s="122">
        <v>0</v>
      </c>
      <c r="Q703" s="122">
        <f t="shared" si="220"/>
        <v>0</v>
      </c>
      <c r="R703" s="147">
        <f t="shared" si="221"/>
        <v>0</v>
      </c>
      <c r="S703" s="145">
        <v>15</v>
      </c>
      <c r="T703" s="144" t="s">
        <v>213</v>
      </c>
      <c r="U703" s="90">
        <f>SUMIF('Avoided Costs 2009-2017'!$A:$A,Actuals!T703&amp;Actuals!S703,'Avoided Costs 2009-2017'!$E:$E)*J703</f>
        <v>300058.50089512061</v>
      </c>
      <c r="V703" s="90">
        <f>SUMIF('Avoided Costs 2009-2017'!$A:$A,Actuals!T703&amp;Actuals!S703,'Avoided Costs 2009-2017'!$K:$K)*N703</f>
        <v>76021.586046887227</v>
      </c>
      <c r="W703" s="90">
        <f>SUMIF('Avoided Costs 2009-2017'!$A:$A,Actuals!T703&amp;Actuals!S703,'Avoided Costs 2009-2017'!$M:$M)*R703</f>
        <v>0</v>
      </c>
      <c r="X703" s="90">
        <f t="shared" si="222"/>
        <v>376080.08694200782</v>
      </c>
      <c r="Y703" s="148">
        <v>29630</v>
      </c>
      <c r="Z703" s="149">
        <f t="shared" si="223"/>
        <v>23704</v>
      </c>
      <c r="AA703" s="148"/>
      <c r="AB703" s="145"/>
      <c r="AC703" s="145"/>
      <c r="AD703" s="148">
        <f t="shared" si="224"/>
        <v>23704</v>
      </c>
      <c r="AE703" s="122">
        <f t="shared" si="225"/>
        <v>352376.08694200782</v>
      </c>
      <c r="AF703" s="167">
        <f t="shared" si="226"/>
        <v>1330752.1920000003</v>
      </c>
    </row>
    <row r="704" spans="1:32" s="150" customFormat="1" x14ac:dyDescent="0.2">
      <c r="A704" s="144" t="s">
        <v>614</v>
      </c>
      <c r="B704" s="144"/>
      <c r="C704" s="144"/>
      <c r="D704" s="145">
        <v>1</v>
      </c>
      <c r="E704" s="122"/>
      <c r="F704" s="146">
        <v>0.2</v>
      </c>
      <c r="G704" s="146"/>
      <c r="H704" s="122">
        <v>22089</v>
      </c>
      <c r="I704" s="122">
        <f t="shared" si="216"/>
        <v>21382.151999999998</v>
      </c>
      <c r="J704" s="147">
        <f t="shared" si="217"/>
        <v>17105.721600000001</v>
      </c>
      <c r="K704" s="122"/>
      <c r="L704" s="122">
        <v>0</v>
      </c>
      <c r="M704" s="122">
        <f t="shared" si="218"/>
        <v>0</v>
      </c>
      <c r="N704" s="122">
        <f t="shared" si="219"/>
        <v>0</v>
      </c>
      <c r="O704" s="122"/>
      <c r="P704" s="122">
        <v>0</v>
      </c>
      <c r="Q704" s="122">
        <f t="shared" si="220"/>
        <v>0</v>
      </c>
      <c r="R704" s="147">
        <f t="shared" si="221"/>
        <v>0</v>
      </c>
      <c r="S704" s="145">
        <v>11</v>
      </c>
      <c r="T704" s="144" t="s">
        <v>213</v>
      </c>
      <c r="U704" s="90">
        <f>SUMIF('Avoided Costs 2009-2017'!$A:$A,Actuals!T704&amp;Actuals!S704,'Avoided Costs 2009-2017'!$E:$E)*J704</f>
        <v>47873.629410375521</v>
      </c>
      <c r="V704" s="90">
        <f>SUMIF('Avoided Costs 2009-2017'!$A:$A,Actuals!T704&amp;Actuals!S704,'Avoided Costs 2009-2017'!$K:$K)*N704</f>
        <v>0</v>
      </c>
      <c r="W704" s="90">
        <f>SUMIF('Avoided Costs 2009-2017'!$A:$A,Actuals!T704&amp;Actuals!S704,'Avoided Costs 2009-2017'!$M:$M)*R704</f>
        <v>0</v>
      </c>
      <c r="X704" s="90">
        <f t="shared" si="222"/>
        <v>47873.629410375521</v>
      </c>
      <c r="Y704" s="148">
        <v>18020</v>
      </c>
      <c r="Z704" s="149">
        <f t="shared" si="223"/>
        <v>14416</v>
      </c>
      <c r="AA704" s="148"/>
      <c r="AB704" s="145"/>
      <c r="AC704" s="145"/>
      <c r="AD704" s="148">
        <f t="shared" si="224"/>
        <v>14416</v>
      </c>
      <c r="AE704" s="122">
        <f t="shared" si="225"/>
        <v>33457.629410375521</v>
      </c>
      <c r="AF704" s="167">
        <f t="shared" si="226"/>
        <v>188162.9376</v>
      </c>
    </row>
    <row r="705" spans="1:32" s="150" customFormat="1" x14ac:dyDescent="0.2">
      <c r="A705" s="144" t="s">
        <v>615</v>
      </c>
      <c r="B705" s="144"/>
      <c r="C705" s="144"/>
      <c r="D705" s="145">
        <v>1</v>
      </c>
      <c r="E705" s="122"/>
      <c r="F705" s="146">
        <v>0.2</v>
      </c>
      <c r="G705" s="146"/>
      <c r="H705" s="122">
        <v>36057</v>
      </c>
      <c r="I705" s="122">
        <f t="shared" si="216"/>
        <v>34903.175999999999</v>
      </c>
      <c r="J705" s="147">
        <f t="shared" si="217"/>
        <v>27922.540800000002</v>
      </c>
      <c r="K705" s="122"/>
      <c r="L705" s="122">
        <v>0</v>
      </c>
      <c r="M705" s="122">
        <f t="shared" si="218"/>
        <v>0</v>
      </c>
      <c r="N705" s="122">
        <f t="shared" si="219"/>
        <v>0</v>
      </c>
      <c r="O705" s="122"/>
      <c r="P705" s="122">
        <v>0</v>
      </c>
      <c r="Q705" s="122">
        <f t="shared" si="220"/>
        <v>0</v>
      </c>
      <c r="R705" s="147">
        <f t="shared" si="221"/>
        <v>0</v>
      </c>
      <c r="S705" s="145">
        <v>11</v>
      </c>
      <c r="T705" s="144" t="s">
        <v>213</v>
      </c>
      <c r="U705" s="90">
        <f>SUMIF('Avoided Costs 2009-2017'!$A:$A,Actuals!T705&amp;Actuals!S705,'Avoided Costs 2009-2017'!$E:$E)*J705</f>
        <v>78146.564156363369</v>
      </c>
      <c r="V705" s="90">
        <f>SUMIF('Avoided Costs 2009-2017'!$A:$A,Actuals!T705&amp;Actuals!S705,'Avoided Costs 2009-2017'!$K:$K)*N705</f>
        <v>0</v>
      </c>
      <c r="W705" s="90">
        <f>SUMIF('Avoided Costs 2009-2017'!$A:$A,Actuals!T705&amp;Actuals!S705,'Avoided Costs 2009-2017'!$M:$M)*R705</f>
        <v>0</v>
      </c>
      <c r="X705" s="90">
        <f t="shared" si="222"/>
        <v>78146.564156363369</v>
      </c>
      <c r="Y705" s="148">
        <v>37630</v>
      </c>
      <c r="Z705" s="149">
        <f t="shared" si="223"/>
        <v>30104</v>
      </c>
      <c r="AA705" s="148"/>
      <c r="AB705" s="145"/>
      <c r="AC705" s="145"/>
      <c r="AD705" s="148">
        <f t="shared" si="224"/>
        <v>30104</v>
      </c>
      <c r="AE705" s="122">
        <f t="shared" si="225"/>
        <v>48042.564156363369</v>
      </c>
      <c r="AF705" s="167">
        <f t="shared" si="226"/>
        <v>307147.94880000001</v>
      </c>
    </row>
    <row r="706" spans="1:32" s="150" customFormat="1" x14ac:dyDescent="0.2">
      <c r="A706" s="144" t="s">
        <v>616</v>
      </c>
      <c r="B706" s="144"/>
      <c r="C706" s="144"/>
      <c r="D706" s="145">
        <v>0</v>
      </c>
      <c r="E706" s="122"/>
      <c r="F706" s="146">
        <v>0.2</v>
      </c>
      <c r="G706" s="146"/>
      <c r="H706" s="122">
        <v>18761</v>
      </c>
      <c r="I706" s="122">
        <f t="shared" si="216"/>
        <v>18160.648000000001</v>
      </c>
      <c r="J706" s="147">
        <f t="shared" si="217"/>
        <v>14528.518400000001</v>
      </c>
      <c r="K706" s="122"/>
      <c r="L706" s="122">
        <v>0</v>
      </c>
      <c r="M706" s="122">
        <f t="shared" si="218"/>
        <v>0</v>
      </c>
      <c r="N706" s="122">
        <f t="shared" si="219"/>
        <v>0</v>
      </c>
      <c r="O706" s="122"/>
      <c r="P706" s="122">
        <v>0</v>
      </c>
      <c r="Q706" s="122">
        <f t="shared" si="220"/>
        <v>0</v>
      </c>
      <c r="R706" s="147">
        <f t="shared" si="221"/>
        <v>0</v>
      </c>
      <c r="S706" s="145">
        <v>8</v>
      </c>
      <c r="T706" s="144" t="s">
        <v>1176</v>
      </c>
      <c r="U706" s="90">
        <f>SUMIF('Avoided Costs 2009-2017'!$A:$A,Actuals!T706&amp;Actuals!S706,'Avoided Costs 2009-2017'!$E:$E)*J706</f>
        <v>29766.079046791081</v>
      </c>
      <c r="V706" s="90">
        <f>SUMIF('Avoided Costs 2009-2017'!$A:$A,Actuals!T706&amp;Actuals!S706,'Avoided Costs 2009-2017'!$K:$K)*N706</f>
        <v>0</v>
      </c>
      <c r="W706" s="90">
        <f>SUMIF('Avoided Costs 2009-2017'!$A:$A,Actuals!T706&amp;Actuals!S706,'Avoided Costs 2009-2017'!$M:$M)*R706</f>
        <v>0</v>
      </c>
      <c r="X706" s="90">
        <f t="shared" si="222"/>
        <v>29766.079046791081</v>
      </c>
      <c r="Y706" s="148">
        <v>18550</v>
      </c>
      <c r="Z706" s="149">
        <f t="shared" si="223"/>
        <v>14840</v>
      </c>
      <c r="AA706" s="148"/>
      <c r="AB706" s="145"/>
      <c r="AC706" s="145"/>
      <c r="AD706" s="148">
        <f t="shared" si="224"/>
        <v>14840</v>
      </c>
      <c r="AE706" s="122">
        <f t="shared" si="225"/>
        <v>14926.079046791081</v>
      </c>
      <c r="AF706" s="167">
        <f t="shared" si="226"/>
        <v>116228.14720000001</v>
      </c>
    </row>
    <row r="707" spans="1:32" s="150" customFormat="1" x14ac:dyDescent="0.2">
      <c r="A707" s="144" t="s">
        <v>617</v>
      </c>
      <c r="B707" s="144"/>
      <c r="C707" s="144"/>
      <c r="D707" s="145">
        <v>1</v>
      </c>
      <c r="E707" s="122"/>
      <c r="F707" s="146">
        <v>0.2</v>
      </c>
      <c r="G707" s="146"/>
      <c r="H707" s="122">
        <v>37456</v>
      </c>
      <c r="I707" s="122">
        <f t="shared" si="216"/>
        <v>36257.407999999996</v>
      </c>
      <c r="J707" s="147">
        <f t="shared" si="217"/>
        <v>29005.926399999997</v>
      </c>
      <c r="K707" s="122"/>
      <c r="L707" s="122">
        <v>0</v>
      </c>
      <c r="M707" s="122">
        <f t="shared" si="218"/>
        <v>0</v>
      </c>
      <c r="N707" s="122">
        <f t="shared" si="219"/>
        <v>0</v>
      </c>
      <c r="O707" s="122"/>
      <c r="P707" s="122">
        <v>0</v>
      </c>
      <c r="Q707" s="122">
        <f t="shared" si="220"/>
        <v>0</v>
      </c>
      <c r="R707" s="147">
        <f t="shared" si="221"/>
        <v>0</v>
      </c>
      <c r="S707" s="145">
        <v>11</v>
      </c>
      <c r="T707" s="144" t="s">
        <v>213</v>
      </c>
      <c r="U707" s="90">
        <f>SUMIF('Avoided Costs 2009-2017'!$A:$A,Actuals!T707&amp;Actuals!S707,'Avoided Costs 2009-2017'!$E:$E)*J707</f>
        <v>81178.625704876875</v>
      </c>
      <c r="V707" s="90">
        <f>SUMIF('Avoided Costs 2009-2017'!$A:$A,Actuals!T707&amp;Actuals!S707,'Avoided Costs 2009-2017'!$K:$K)*N707</f>
        <v>0</v>
      </c>
      <c r="W707" s="90">
        <f>SUMIF('Avoided Costs 2009-2017'!$A:$A,Actuals!T707&amp;Actuals!S707,'Avoided Costs 2009-2017'!$M:$M)*R707</f>
        <v>0</v>
      </c>
      <c r="X707" s="90">
        <f t="shared" si="222"/>
        <v>81178.625704876875</v>
      </c>
      <c r="Y707" s="148">
        <v>36464</v>
      </c>
      <c r="Z707" s="149">
        <f t="shared" si="223"/>
        <v>29171.200000000001</v>
      </c>
      <c r="AA707" s="148"/>
      <c r="AB707" s="145"/>
      <c r="AC707" s="145"/>
      <c r="AD707" s="148">
        <f t="shared" si="224"/>
        <v>29171.200000000001</v>
      </c>
      <c r="AE707" s="122">
        <f t="shared" si="225"/>
        <v>52007.425704876878</v>
      </c>
      <c r="AF707" s="167">
        <f t="shared" si="226"/>
        <v>319065.19039999996</v>
      </c>
    </row>
    <row r="708" spans="1:32" s="150" customFormat="1" x14ac:dyDescent="0.2">
      <c r="A708" s="144" t="s">
        <v>618</v>
      </c>
      <c r="B708" s="144"/>
      <c r="C708" s="144"/>
      <c r="D708" s="145">
        <v>1</v>
      </c>
      <c r="E708" s="122"/>
      <c r="F708" s="146">
        <v>0.2</v>
      </c>
      <c r="G708" s="146"/>
      <c r="H708" s="122">
        <v>38558</v>
      </c>
      <c r="I708" s="122">
        <f t="shared" si="216"/>
        <v>37324.144</v>
      </c>
      <c r="J708" s="147">
        <f t="shared" si="217"/>
        <v>29859.315200000001</v>
      </c>
      <c r="K708" s="122"/>
      <c r="L708" s="122">
        <v>0</v>
      </c>
      <c r="M708" s="122">
        <f t="shared" si="218"/>
        <v>0</v>
      </c>
      <c r="N708" s="122">
        <f t="shared" si="219"/>
        <v>0</v>
      </c>
      <c r="O708" s="122"/>
      <c r="P708" s="122">
        <v>0</v>
      </c>
      <c r="Q708" s="122">
        <f t="shared" si="220"/>
        <v>0</v>
      </c>
      <c r="R708" s="147">
        <f t="shared" si="221"/>
        <v>0</v>
      </c>
      <c r="S708" s="145">
        <v>11</v>
      </c>
      <c r="T708" s="144" t="s">
        <v>213</v>
      </c>
      <c r="U708" s="90">
        <f>SUMIF('Avoided Costs 2009-2017'!$A:$A,Actuals!T708&amp;Actuals!S708,'Avoided Costs 2009-2017'!$E:$E)*J708</f>
        <v>83566.997274899695</v>
      </c>
      <c r="V708" s="90">
        <f>SUMIF('Avoided Costs 2009-2017'!$A:$A,Actuals!T708&amp;Actuals!S708,'Avoided Costs 2009-2017'!$K:$K)*N708</f>
        <v>0</v>
      </c>
      <c r="W708" s="90">
        <f>SUMIF('Avoided Costs 2009-2017'!$A:$A,Actuals!T708&amp;Actuals!S708,'Avoided Costs 2009-2017'!$M:$M)*R708</f>
        <v>0</v>
      </c>
      <c r="X708" s="90">
        <f t="shared" si="222"/>
        <v>83566.997274899695</v>
      </c>
      <c r="Y708" s="148">
        <v>37630</v>
      </c>
      <c r="Z708" s="149">
        <f t="shared" si="223"/>
        <v>30104</v>
      </c>
      <c r="AA708" s="148"/>
      <c r="AB708" s="145"/>
      <c r="AC708" s="145"/>
      <c r="AD708" s="148">
        <f t="shared" si="224"/>
        <v>30104</v>
      </c>
      <c r="AE708" s="122">
        <f t="shared" si="225"/>
        <v>53462.997274899695</v>
      </c>
      <c r="AF708" s="167">
        <f t="shared" si="226"/>
        <v>328452.46720000001</v>
      </c>
    </row>
    <row r="709" spans="1:32" s="150" customFormat="1" x14ac:dyDescent="0.2">
      <c r="A709" s="144" t="s">
        <v>619</v>
      </c>
      <c r="B709" s="144"/>
      <c r="C709" s="144"/>
      <c r="D709" s="145">
        <v>1</v>
      </c>
      <c r="E709" s="122"/>
      <c r="F709" s="146">
        <v>0.2</v>
      </c>
      <c r="G709" s="146"/>
      <c r="H709" s="122">
        <v>80540</v>
      </c>
      <c r="I709" s="122">
        <f t="shared" si="216"/>
        <v>77962.720000000001</v>
      </c>
      <c r="J709" s="147">
        <f t="shared" si="217"/>
        <v>62370.176000000007</v>
      </c>
      <c r="K709" s="122"/>
      <c r="L709" s="122">
        <v>54991</v>
      </c>
      <c r="M709" s="122">
        <f t="shared" si="218"/>
        <v>49436.909</v>
      </c>
      <c r="N709" s="122">
        <f t="shared" si="219"/>
        <v>39549.527200000004</v>
      </c>
      <c r="O709" s="122"/>
      <c r="P709" s="122">
        <v>0</v>
      </c>
      <c r="Q709" s="122">
        <f t="shared" si="220"/>
        <v>0</v>
      </c>
      <c r="R709" s="147">
        <f t="shared" si="221"/>
        <v>0</v>
      </c>
      <c r="S709" s="145">
        <v>15</v>
      </c>
      <c r="T709" s="144" t="s">
        <v>213</v>
      </c>
      <c r="U709" s="90">
        <f>SUMIF('Avoided Costs 2009-2017'!$A:$A,Actuals!T709&amp;Actuals!S709,'Avoided Costs 2009-2017'!$E:$E)*J709</f>
        <v>210948.7584198339</v>
      </c>
      <c r="V709" s="90">
        <f>SUMIF('Avoided Costs 2009-2017'!$A:$A,Actuals!T709&amp;Actuals!S709,'Avoided Costs 2009-2017'!$K:$K)*N709</f>
        <v>29524.994620489688</v>
      </c>
      <c r="W709" s="90">
        <f>SUMIF('Avoided Costs 2009-2017'!$A:$A,Actuals!T709&amp;Actuals!S709,'Avoided Costs 2009-2017'!$M:$M)*R709</f>
        <v>0</v>
      </c>
      <c r="X709" s="90">
        <f t="shared" si="222"/>
        <v>240473.75304032359</v>
      </c>
      <c r="Y709" s="148">
        <v>140777</v>
      </c>
      <c r="Z709" s="149">
        <f t="shared" si="223"/>
        <v>112621.6</v>
      </c>
      <c r="AA709" s="148"/>
      <c r="AB709" s="145"/>
      <c r="AC709" s="145"/>
      <c r="AD709" s="148">
        <f t="shared" si="224"/>
        <v>112621.6</v>
      </c>
      <c r="AE709" s="122">
        <f t="shared" si="225"/>
        <v>127852.15304032358</v>
      </c>
      <c r="AF709" s="167">
        <f t="shared" si="226"/>
        <v>935552.64000000013</v>
      </c>
    </row>
    <row r="710" spans="1:32" s="150" customFormat="1" x14ac:dyDescent="0.2">
      <c r="A710" s="144" t="s">
        <v>704</v>
      </c>
      <c r="B710" s="144"/>
      <c r="C710" s="144"/>
      <c r="D710" s="145">
        <v>1</v>
      </c>
      <c r="E710" s="122"/>
      <c r="F710" s="146">
        <v>0.2</v>
      </c>
      <c r="G710" s="146"/>
      <c r="H710" s="122">
        <v>19120</v>
      </c>
      <c r="I710" s="122">
        <f t="shared" si="216"/>
        <v>18508.16</v>
      </c>
      <c r="J710" s="147">
        <f t="shared" si="217"/>
        <v>14806.528</v>
      </c>
      <c r="K710" s="122"/>
      <c r="L710" s="122">
        <v>46099</v>
      </c>
      <c r="M710" s="122">
        <f t="shared" si="218"/>
        <v>41443.001000000004</v>
      </c>
      <c r="N710" s="122">
        <f t="shared" si="219"/>
        <v>33154.400800000003</v>
      </c>
      <c r="O710" s="122"/>
      <c r="P710" s="122">
        <v>0</v>
      </c>
      <c r="Q710" s="122">
        <f t="shared" si="220"/>
        <v>0</v>
      </c>
      <c r="R710" s="147">
        <f t="shared" si="221"/>
        <v>0</v>
      </c>
      <c r="S710" s="145">
        <v>15</v>
      </c>
      <c r="T710" s="144" t="s">
        <v>213</v>
      </c>
      <c r="U710" s="90">
        <f>SUMIF('Avoided Costs 2009-2017'!$A:$A,Actuals!T710&amp;Actuals!S710,'Avoided Costs 2009-2017'!$E:$E)*J710</f>
        <v>50078.721889585599</v>
      </c>
      <c r="V710" s="90">
        <f>SUMIF('Avoided Costs 2009-2017'!$A:$A,Actuals!T710&amp;Actuals!S710,'Avoided Costs 2009-2017'!$K:$K)*N710</f>
        <v>24750.826990052083</v>
      </c>
      <c r="W710" s="90">
        <f>SUMIF('Avoided Costs 2009-2017'!$A:$A,Actuals!T710&amp;Actuals!S710,'Avoided Costs 2009-2017'!$M:$M)*R710</f>
        <v>0</v>
      </c>
      <c r="X710" s="90">
        <f t="shared" si="222"/>
        <v>74829.548879637674</v>
      </c>
      <c r="Y710" s="148">
        <v>30132</v>
      </c>
      <c r="Z710" s="149">
        <f t="shared" si="223"/>
        <v>24105.600000000002</v>
      </c>
      <c r="AA710" s="148"/>
      <c r="AB710" s="145"/>
      <c r="AC710" s="145"/>
      <c r="AD710" s="148">
        <f t="shared" si="224"/>
        <v>24105.600000000002</v>
      </c>
      <c r="AE710" s="122">
        <f t="shared" si="225"/>
        <v>50723.948879637668</v>
      </c>
      <c r="AF710" s="167">
        <f t="shared" si="226"/>
        <v>222097.92000000001</v>
      </c>
    </row>
    <row r="711" spans="1:32" s="150" customFormat="1" x14ac:dyDescent="0.2">
      <c r="A711" s="144" t="s">
        <v>705</v>
      </c>
      <c r="B711" s="144"/>
      <c r="C711" s="144"/>
      <c r="D711" s="145">
        <v>1</v>
      </c>
      <c r="E711" s="122"/>
      <c r="F711" s="146">
        <v>0.2</v>
      </c>
      <c r="G711" s="146"/>
      <c r="H711" s="122">
        <v>75647</v>
      </c>
      <c r="I711" s="122">
        <f t="shared" si="216"/>
        <v>73226.296000000002</v>
      </c>
      <c r="J711" s="147">
        <f t="shared" si="217"/>
        <v>58581.036800000002</v>
      </c>
      <c r="K711" s="122"/>
      <c r="L711" s="122">
        <v>0</v>
      </c>
      <c r="M711" s="122">
        <f t="shared" si="218"/>
        <v>0</v>
      </c>
      <c r="N711" s="122">
        <f t="shared" si="219"/>
        <v>0</v>
      </c>
      <c r="O711" s="122"/>
      <c r="P711" s="122">
        <v>0</v>
      </c>
      <c r="Q711" s="122">
        <f t="shared" si="220"/>
        <v>0</v>
      </c>
      <c r="R711" s="147">
        <f t="shared" si="221"/>
        <v>0</v>
      </c>
      <c r="S711" s="145">
        <v>11</v>
      </c>
      <c r="T711" s="144" t="s">
        <v>213</v>
      </c>
      <c r="U711" s="90">
        <f>SUMIF('Avoided Costs 2009-2017'!$A:$A,Actuals!T711&amp;Actuals!S711,'Avoided Costs 2009-2017'!$E:$E)*J711</f>
        <v>163950.22155854394</v>
      </c>
      <c r="V711" s="90">
        <f>SUMIF('Avoided Costs 2009-2017'!$A:$A,Actuals!T711&amp;Actuals!S711,'Avoided Costs 2009-2017'!$K:$K)*N711</f>
        <v>0</v>
      </c>
      <c r="W711" s="90">
        <f>SUMIF('Avoided Costs 2009-2017'!$A:$A,Actuals!T711&amp;Actuals!S711,'Avoided Costs 2009-2017'!$M:$M)*R711</f>
        <v>0</v>
      </c>
      <c r="X711" s="90">
        <f t="shared" si="222"/>
        <v>163950.22155854394</v>
      </c>
      <c r="Y711" s="148">
        <v>88775</v>
      </c>
      <c r="Z711" s="149">
        <f t="shared" si="223"/>
        <v>71020</v>
      </c>
      <c r="AA711" s="148"/>
      <c r="AB711" s="145"/>
      <c r="AC711" s="145"/>
      <c r="AD711" s="148">
        <f t="shared" si="224"/>
        <v>71020</v>
      </c>
      <c r="AE711" s="122">
        <f t="shared" si="225"/>
        <v>92930.221558543941</v>
      </c>
      <c r="AF711" s="167">
        <f t="shared" si="226"/>
        <v>644391.40480000002</v>
      </c>
    </row>
    <row r="712" spans="1:32" s="150" customFormat="1" x14ac:dyDescent="0.2">
      <c r="A712" s="144" t="s">
        <v>706</v>
      </c>
      <c r="B712" s="144"/>
      <c r="C712" s="144"/>
      <c r="D712" s="145">
        <v>1</v>
      </c>
      <c r="E712" s="122"/>
      <c r="F712" s="146">
        <v>0.2</v>
      </c>
      <c r="G712" s="146"/>
      <c r="H712" s="122">
        <v>81429</v>
      </c>
      <c r="I712" s="122">
        <f t="shared" si="216"/>
        <v>78823.271999999997</v>
      </c>
      <c r="J712" s="147">
        <f t="shared" si="217"/>
        <v>63058.617599999998</v>
      </c>
      <c r="K712" s="122"/>
      <c r="L712" s="122">
        <v>0</v>
      </c>
      <c r="M712" s="122">
        <f t="shared" si="218"/>
        <v>0</v>
      </c>
      <c r="N712" s="122">
        <f t="shared" si="219"/>
        <v>0</v>
      </c>
      <c r="O712" s="122"/>
      <c r="P712" s="122">
        <v>0</v>
      </c>
      <c r="Q712" s="122">
        <f t="shared" si="220"/>
        <v>0</v>
      </c>
      <c r="R712" s="147">
        <f t="shared" si="221"/>
        <v>0</v>
      </c>
      <c r="S712" s="145">
        <v>11</v>
      </c>
      <c r="T712" s="144" t="s">
        <v>213</v>
      </c>
      <c r="U712" s="90">
        <f>SUMIF('Avoided Costs 2009-2017'!$A:$A,Actuals!T712&amp;Actuals!S712,'Avoided Costs 2009-2017'!$E:$E)*J712</f>
        <v>176481.58672902657</v>
      </c>
      <c r="V712" s="90">
        <f>SUMIF('Avoided Costs 2009-2017'!$A:$A,Actuals!T712&amp;Actuals!S712,'Avoided Costs 2009-2017'!$K:$K)*N712</f>
        <v>0</v>
      </c>
      <c r="W712" s="90">
        <f>SUMIF('Avoided Costs 2009-2017'!$A:$A,Actuals!T712&amp;Actuals!S712,'Avoided Costs 2009-2017'!$M:$M)*R712</f>
        <v>0</v>
      </c>
      <c r="X712" s="90">
        <f t="shared" si="222"/>
        <v>176481.58672902657</v>
      </c>
      <c r="Y712" s="148">
        <v>88775</v>
      </c>
      <c r="Z712" s="149">
        <f t="shared" si="223"/>
        <v>71020</v>
      </c>
      <c r="AA712" s="148"/>
      <c r="AB712" s="145"/>
      <c r="AC712" s="145"/>
      <c r="AD712" s="148">
        <f t="shared" si="224"/>
        <v>71020</v>
      </c>
      <c r="AE712" s="122">
        <f t="shared" si="225"/>
        <v>105461.58672902657</v>
      </c>
      <c r="AF712" s="167">
        <f t="shared" si="226"/>
        <v>693644.79359999998</v>
      </c>
    </row>
    <row r="713" spans="1:32" s="150" customFormat="1" x14ac:dyDescent="0.2">
      <c r="A713" s="144" t="s">
        <v>707</v>
      </c>
      <c r="B713" s="144"/>
      <c r="C713" s="144"/>
      <c r="D713" s="145">
        <v>1</v>
      </c>
      <c r="E713" s="122"/>
      <c r="F713" s="146">
        <v>0.2</v>
      </c>
      <c r="G713" s="146"/>
      <c r="H713" s="122">
        <v>22287</v>
      </c>
      <c r="I713" s="122">
        <f t="shared" si="216"/>
        <v>21573.815999999999</v>
      </c>
      <c r="J713" s="147">
        <f t="shared" si="217"/>
        <v>17259.052800000001</v>
      </c>
      <c r="K713" s="122"/>
      <c r="L713" s="122">
        <v>26588</v>
      </c>
      <c r="M713" s="122">
        <f t="shared" si="218"/>
        <v>23902.612000000001</v>
      </c>
      <c r="N713" s="122">
        <f t="shared" si="219"/>
        <v>19122.089600000003</v>
      </c>
      <c r="O713" s="122"/>
      <c r="P713" s="122">
        <v>0</v>
      </c>
      <c r="Q713" s="122">
        <f t="shared" si="220"/>
        <v>0</v>
      </c>
      <c r="R713" s="147">
        <f t="shared" si="221"/>
        <v>0</v>
      </c>
      <c r="S713" s="145">
        <v>15</v>
      </c>
      <c r="T713" s="144" t="s">
        <v>213</v>
      </c>
      <c r="U713" s="90">
        <f>SUMIF('Avoided Costs 2009-2017'!$A:$A,Actuals!T713&amp;Actuals!S713,'Avoided Costs 2009-2017'!$E:$E)*J713</f>
        <v>58373.664997551998</v>
      </c>
      <c r="V713" s="90">
        <f>SUMIF('Avoided Costs 2009-2017'!$A:$A,Actuals!T713&amp;Actuals!S713,'Avoided Costs 2009-2017'!$K:$K)*N713</f>
        <v>14275.255168474474</v>
      </c>
      <c r="W713" s="90">
        <f>SUMIF('Avoided Costs 2009-2017'!$A:$A,Actuals!T713&amp;Actuals!S713,'Avoided Costs 2009-2017'!$M:$M)*R713</f>
        <v>0</v>
      </c>
      <c r="X713" s="90">
        <f t="shared" si="222"/>
        <v>72648.920166026466</v>
      </c>
      <c r="Y713" s="148">
        <v>9250</v>
      </c>
      <c r="Z713" s="149">
        <f t="shared" si="223"/>
        <v>7400</v>
      </c>
      <c r="AA713" s="148"/>
      <c r="AB713" s="145"/>
      <c r="AC713" s="145"/>
      <c r="AD713" s="148">
        <f t="shared" si="224"/>
        <v>7400</v>
      </c>
      <c r="AE713" s="122">
        <f t="shared" si="225"/>
        <v>65248.920166026466</v>
      </c>
      <c r="AF713" s="167">
        <f t="shared" si="226"/>
        <v>258885.79200000002</v>
      </c>
    </row>
    <row r="714" spans="1:32" s="150" customFormat="1" x14ac:dyDescent="0.2">
      <c r="A714" s="144" t="s">
        <v>708</v>
      </c>
      <c r="B714" s="144"/>
      <c r="C714" s="144"/>
      <c r="D714" s="145">
        <v>1</v>
      </c>
      <c r="E714" s="122"/>
      <c r="F714" s="146">
        <v>0.2</v>
      </c>
      <c r="G714" s="146"/>
      <c r="H714" s="122">
        <v>23998</v>
      </c>
      <c r="I714" s="122">
        <f t="shared" si="216"/>
        <v>23230.063999999998</v>
      </c>
      <c r="J714" s="147">
        <f t="shared" si="217"/>
        <v>18584.051199999998</v>
      </c>
      <c r="K714" s="122"/>
      <c r="L714" s="122">
        <v>21271</v>
      </c>
      <c r="M714" s="122">
        <f t="shared" si="218"/>
        <v>19122.629000000001</v>
      </c>
      <c r="N714" s="122">
        <f t="shared" si="219"/>
        <v>15298.103200000001</v>
      </c>
      <c r="O714" s="122"/>
      <c r="P714" s="122">
        <v>0</v>
      </c>
      <c r="Q714" s="122">
        <f t="shared" si="220"/>
        <v>0</v>
      </c>
      <c r="R714" s="147">
        <f t="shared" si="221"/>
        <v>0</v>
      </c>
      <c r="S714" s="145">
        <v>15</v>
      </c>
      <c r="T714" s="144" t="s">
        <v>213</v>
      </c>
      <c r="U714" s="90">
        <f>SUMIF('Avoided Costs 2009-2017'!$A:$A,Actuals!T714&amp;Actuals!S714,'Avoided Costs 2009-2017'!$E:$E)*J714</f>
        <v>62855.082003466261</v>
      </c>
      <c r="V714" s="90">
        <f>SUMIF('Avoided Costs 2009-2017'!$A:$A,Actuals!T714&amp;Actuals!S714,'Avoided Costs 2009-2017'!$K:$K)*N714</f>
        <v>11420.526278344385</v>
      </c>
      <c r="W714" s="90">
        <f>SUMIF('Avoided Costs 2009-2017'!$A:$A,Actuals!T714&amp;Actuals!S714,'Avoided Costs 2009-2017'!$M:$M)*R714</f>
        <v>0</v>
      </c>
      <c r="X714" s="90">
        <f t="shared" si="222"/>
        <v>74275.608281810652</v>
      </c>
      <c r="Y714" s="148">
        <v>8895</v>
      </c>
      <c r="Z714" s="149">
        <f t="shared" si="223"/>
        <v>7116</v>
      </c>
      <c r="AA714" s="148"/>
      <c r="AB714" s="145"/>
      <c r="AC714" s="145"/>
      <c r="AD714" s="148">
        <f t="shared" si="224"/>
        <v>7116</v>
      </c>
      <c r="AE714" s="122">
        <f t="shared" si="225"/>
        <v>67159.608281810652</v>
      </c>
      <c r="AF714" s="167">
        <f t="shared" si="226"/>
        <v>278760.76799999998</v>
      </c>
    </row>
    <row r="715" spans="1:32" s="150" customFormat="1" x14ac:dyDescent="0.2">
      <c r="A715" s="144" t="s">
        <v>709</v>
      </c>
      <c r="B715" s="144"/>
      <c r="C715" s="144"/>
      <c r="D715" s="145">
        <v>1</v>
      </c>
      <c r="E715" s="122"/>
      <c r="F715" s="146">
        <v>0.2</v>
      </c>
      <c r="G715" s="146"/>
      <c r="H715" s="122">
        <v>25443</v>
      </c>
      <c r="I715" s="122">
        <f t="shared" si="216"/>
        <v>24628.824000000001</v>
      </c>
      <c r="J715" s="147">
        <f t="shared" si="217"/>
        <v>19703.059200000003</v>
      </c>
      <c r="K715" s="122"/>
      <c r="L715" s="122">
        <v>31906</v>
      </c>
      <c r="M715" s="122">
        <f t="shared" si="218"/>
        <v>28683.494000000002</v>
      </c>
      <c r="N715" s="122">
        <f t="shared" si="219"/>
        <v>22946.795200000004</v>
      </c>
      <c r="O715" s="122"/>
      <c r="P715" s="122">
        <v>0</v>
      </c>
      <c r="Q715" s="122">
        <f t="shared" si="220"/>
        <v>0</v>
      </c>
      <c r="R715" s="147">
        <f t="shared" si="221"/>
        <v>0</v>
      </c>
      <c r="S715" s="145">
        <v>15</v>
      </c>
      <c r="T715" s="144" t="s">
        <v>213</v>
      </c>
      <c r="U715" s="90">
        <f>SUMIF('Avoided Costs 2009-2017'!$A:$A,Actuals!T715&amp;Actuals!S715,'Avoided Costs 2009-2017'!$E:$E)*J715</f>
        <v>66639.797125351804</v>
      </c>
      <c r="V715" s="90">
        <f>SUMIF('Avoided Costs 2009-2017'!$A:$A,Actuals!T715&amp;Actuals!S715,'Avoided Costs 2009-2017'!$K:$K)*N715</f>
        <v>17130.520964545907</v>
      </c>
      <c r="W715" s="90">
        <f>SUMIF('Avoided Costs 2009-2017'!$A:$A,Actuals!T715&amp;Actuals!S715,'Avoided Costs 2009-2017'!$M:$M)*R715</f>
        <v>0</v>
      </c>
      <c r="X715" s="90">
        <f t="shared" si="222"/>
        <v>83770.318089897715</v>
      </c>
      <c r="Y715" s="148">
        <v>9495</v>
      </c>
      <c r="Z715" s="149">
        <f t="shared" si="223"/>
        <v>7596</v>
      </c>
      <c r="AA715" s="148"/>
      <c r="AB715" s="145"/>
      <c r="AC715" s="145"/>
      <c r="AD715" s="148">
        <f t="shared" si="224"/>
        <v>7596</v>
      </c>
      <c r="AE715" s="122">
        <f t="shared" si="225"/>
        <v>76174.318089897715</v>
      </c>
      <c r="AF715" s="167">
        <f t="shared" si="226"/>
        <v>295545.88800000004</v>
      </c>
    </row>
    <row r="716" spans="1:32" s="150" customFormat="1" x14ac:dyDescent="0.2">
      <c r="A716" s="144" t="s">
        <v>710</v>
      </c>
      <c r="B716" s="144"/>
      <c r="C716" s="144"/>
      <c r="D716" s="145">
        <v>1</v>
      </c>
      <c r="E716" s="122"/>
      <c r="F716" s="146">
        <v>0.2</v>
      </c>
      <c r="G716" s="146"/>
      <c r="H716" s="122">
        <v>26239</v>
      </c>
      <c r="I716" s="122">
        <f t="shared" si="216"/>
        <v>25399.351999999999</v>
      </c>
      <c r="J716" s="147">
        <f t="shared" si="217"/>
        <v>20319.481599999999</v>
      </c>
      <c r="K716" s="122"/>
      <c r="L716" s="122">
        <v>42541</v>
      </c>
      <c r="M716" s="122">
        <f t="shared" si="218"/>
        <v>38244.359000000004</v>
      </c>
      <c r="N716" s="122">
        <f t="shared" si="219"/>
        <v>30595.487200000003</v>
      </c>
      <c r="O716" s="122"/>
      <c r="P716" s="122">
        <v>0</v>
      </c>
      <c r="Q716" s="122">
        <f t="shared" si="220"/>
        <v>0</v>
      </c>
      <c r="R716" s="147">
        <f t="shared" si="221"/>
        <v>0</v>
      </c>
      <c r="S716" s="145">
        <v>15</v>
      </c>
      <c r="T716" s="144" t="s">
        <v>213</v>
      </c>
      <c r="U716" s="90">
        <f>SUMIF('Avoided Costs 2009-2017'!$A:$A,Actuals!T716&amp;Actuals!S716,'Avoided Costs 2009-2017'!$E:$E)*J716</f>
        <v>68724.664417407752</v>
      </c>
      <c r="V716" s="90">
        <f>SUMIF('Avoided Costs 2009-2017'!$A:$A,Actuals!T716&amp;Actuals!S716,'Avoided Costs 2009-2017'!$K:$K)*N716</f>
        <v>22840.515650747428</v>
      </c>
      <c r="W716" s="90">
        <f>SUMIF('Avoided Costs 2009-2017'!$A:$A,Actuals!T716&amp;Actuals!S716,'Avoided Costs 2009-2017'!$M:$M)*R716</f>
        <v>0</v>
      </c>
      <c r="X716" s="90">
        <f t="shared" si="222"/>
        <v>91565.180068155183</v>
      </c>
      <c r="Y716" s="148">
        <v>9995</v>
      </c>
      <c r="Z716" s="149">
        <f t="shared" si="223"/>
        <v>7996</v>
      </c>
      <c r="AA716" s="148"/>
      <c r="AB716" s="145"/>
      <c r="AC716" s="145"/>
      <c r="AD716" s="148">
        <f t="shared" si="224"/>
        <v>7996</v>
      </c>
      <c r="AE716" s="122">
        <f t="shared" si="225"/>
        <v>83569.180068155183</v>
      </c>
      <c r="AF716" s="167">
        <f t="shared" si="226"/>
        <v>304792.22399999999</v>
      </c>
    </row>
    <row r="717" spans="1:32" s="150" customFormat="1" x14ac:dyDescent="0.2">
      <c r="A717" s="144" t="s">
        <v>711</v>
      </c>
      <c r="B717" s="144"/>
      <c r="C717" s="144"/>
      <c r="D717" s="145">
        <v>1</v>
      </c>
      <c r="E717" s="122"/>
      <c r="F717" s="146">
        <v>0.2</v>
      </c>
      <c r="G717" s="146"/>
      <c r="H717" s="122">
        <v>3983</v>
      </c>
      <c r="I717" s="122">
        <f t="shared" si="216"/>
        <v>3855.5439999999999</v>
      </c>
      <c r="J717" s="147">
        <f t="shared" si="217"/>
        <v>3084.4351999999999</v>
      </c>
      <c r="K717" s="122"/>
      <c r="L717" s="122">
        <v>42371</v>
      </c>
      <c r="M717" s="122">
        <f t="shared" si="218"/>
        <v>38091.529000000002</v>
      </c>
      <c r="N717" s="122">
        <f t="shared" si="219"/>
        <v>30473.223200000004</v>
      </c>
      <c r="O717" s="122"/>
      <c r="P717" s="122">
        <v>0</v>
      </c>
      <c r="Q717" s="122">
        <f t="shared" si="220"/>
        <v>0</v>
      </c>
      <c r="R717" s="147">
        <f t="shared" si="221"/>
        <v>0</v>
      </c>
      <c r="S717" s="145">
        <v>15</v>
      </c>
      <c r="T717" s="144" t="s">
        <v>213</v>
      </c>
      <c r="U717" s="90">
        <f>SUMIF('Avoided Costs 2009-2017'!$A:$A,Actuals!T717&amp;Actuals!S717,'Avoided Costs 2009-2017'!$E:$E)*J717</f>
        <v>10432.194000325284</v>
      </c>
      <c r="V717" s="90">
        <f>SUMIF('Avoided Costs 2009-2017'!$A:$A,Actuals!T717&amp;Actuals!S717,'Avoided Costs 2009-2017'!$K:$K)*N717</f>
        <v>22749.241640718818</v>
      </c>
      <c r="W717" s="90">
        <f>SUMIF('Avoided Costs 2009-2017'!$A:$A,Actuals!T717&amp;Actuals!S717,'Avoided Costs 2009-2017'!$M:$M)*R717</f>
        <v>0</v>
      </c>
      <c r="X717" s="90">
        <f t="shared" si="222"/>
        <v>33181.435641044103</v>
      </c>
      <c r="Y717" s="148">
        <v>21770</v>
      </c>
      <c r="Z717" s="149">
        <f t="shared" si="223"/>
        <v>17416</v>
      </c>
      <c r="AA717" s="148"/>
      <c r="AB717" s="145"/>
      <c r="AC717" s="145"/>
      <c r="AD717" s="148">
        <f t="shared" si="224"/>
        <v>17416</v>
      </c>
      <c r="AE717" s="122">
        <f t="shared" si="225"/>
        <v>15765.435641044103</v>
      </c>
      <c r="AF717" s="167">
        <f t="shared" si="226"/>
        <v>46266.527999999998</v>
      </c>
    </row>
    <row r="718" spans="1:32" s="150" customFormat="1" x14ac:dyDescent="0.2">
      <c r="A718" s="144" t="s">
        <v>712</v>
      </c>
      <c r="B718" s="144"/>
      <c r="C718" s="144"/>
      <c r="D718" s="145">
        <v>1</v>
      </c>
      <c r="E718" s="122"/>
      <c r="F718" s="146">
        <v>0.2</v>
      </c>
      <c r="G718" s="146"/>
      <c r="H718" s="122">
        <v>60179</v>
      </c>
      <c r="I718" s="122">
        <f t="shared" si="216"/>
        <v>58253.271999999997</v>
      </c>
      <c r="J718" s="147">
        <f t="shared" si="217"/>
        <v>46602.617599999998</v>
      </c>
      <c r="K718" s="122"/>
      <c r="L718" s="122">
        <v>0</v>
      </c>
      <c r="M718" s="122">
        <f t="shared" si="218"/>
        <v>0</v>
      </c>
      <c r="N718" s="122">
        <f t="shared" si="219"/>
        <v>0</v>
      </c>
      <c r="O718" s="122"/>
      <c r="P718" s="122">
        <v>0</v>
      </c>
      <c r="Q718" s="122">
        <f t="shared" si="220"/>
        <v>0</v>
      </c>
      <c r="R718" s="147">
        <f t="shared" si="221"/>
        <v>0</v>
      </c>
      <c r="S718" s="145">
        <v>25</v>
      </c>
      <c r="T718" s="144" t="s">
        <v>213</v>
      </c>
      <c r="U718" s="90">
        <f>SUMIF('Avoided Costs 2009-2017'!$A:$A,Actuals!T718&amp;Actuals!S718,'Avoided Costs 2009-2017'!$E:$E)*J718</f>
        <v>200636.94487645678</v>
      </c>
      <c r="V718" s="90">
        <f>SUMIF('Avoided Costs 2009-2017'!$A:$A,Actuals!T718&amp;Actuals!S718,'Avoided Costs 2009-2017'!$K:$K)*N718</f>
        <v>0</v>
      </c>
      <c r="W718" s="90">
        <f>SUMIF('Avoided Costs 2009-2017'!$A:$A,Actuals!T718&amp;Actuals!S718,'Avoided Costs 2009-2017'!$M:$M)*R718</f>
        <v>0</v>
      </c>
      <c r="X718" s="90">
        <f t="shared" si="222"/>
        <v>200636.94487645678</v>
      </c>
      <c r="Y718" s="148">
        <v>38551</v>
      </c>
      <c r="Z718" s="149">
        <f t="shared" si="223"/>
        <v>30840.800000000003</v>
      </c>
      <c r="AA718" s="148"/>
      <c r="AB718" s="145"/>
      <c r="AC718" s="145"/>
      <c r="AD718" s="148">
        <f t="shared" si="224"/>
        <v>30840.800000000003</v>
      </c>
      <c r="AE718" s="122">
        <f t="shared" si="225"/>
        <v>169796.14487645676</v>
      </c>
      <c r="AF718" s="167">
        <f t="shared" si="226"/>
        <v>1165065.44</v>
      </c>
    </row>
    <row r="719" spans="1:32" s="150" customFormat="1" x14ac:dyDescent="0.2">
      <c r="A719" s="144" t="s">
        <v>713</v>
      </c>
      <c r="B719" s="144"/>
      <c r="C719" s="144"/>
      <c r="D719" s="145">
        <v>1</v>
      </c>
      <c r="E719" s="122"/>
      <c r="F719" s="146">
        <v>0.2</v>
      </c>
      <c r="G719" s="146"/>
      <c r="H719" s="122">
        <v>74607</v>
      </c>
      <c r="I719" s="122">
        <f t="shared" si="216"/>
        <v>72219.576000000001</v>
      </c>
      <c r="J719" s="147">
        <f t="shared" si="217"/>
        <v>57775.660800000005</v>
      </c>
      <c r="K719" s="122"/>
      <c r="L719" s="122">
        <v>0</v>
      </c>
      <c r="M719" s="122">
        <f t="shared" si="218"/>
        <v>0</v>
      </c>
      <c r="N719" s="122">
        <f t="shared" si="219"/>
        <v>0</v>
      </c>
      <c r="O719" s="122"/>
      <c r="P719" s="122">
        <v>0</v>
      </c>
      <c r="Q719" s="122">
        <f t="shared" si="220"/>
        <v>0</v>
      </c>
      <c r="R719" s="147">
        <f t="shared" si="221"/>
        <v>0</v>
      </c>
      <c r="S719" s="145">
        <v>25</v>
      </c>
      <c r="T719" s="144" t="s">
        <v>213</v>
      </c>
      <c r="U719" s="90">
        <f>SUMIF('Avoided Costs 2009-2017'!$A:$A,Actuals!T719&amp;Actuals!S719,'Avoided Costs 2009-2017'!$E:$E)*J719</f>
        <v>248739.93496731107</v>
      </c>
      <c r="V719" s="90">
        <f>SUMIF('Avoided Costs 2009-2017'!$A:$A,Actuals!T719&amp;Actuals!S719,'Avoided Costs 2009-2017'!$K:$K)*N719</f>
        <v>0</v>
      </c>
      <c r="W719" s="90">
        <f>SUMIF('Avoided Costs 2009-2017'!$A:$A,Actuals!T719&amp;Actuals!S719,'Avoided Costs 2009-2017'!$M:$M)*R719</f>
        <v>0</v>
      </c>
      <c r="X719" s="90">
        <f t="shared" si="222"/>
        <v>248739.93496731107</v>
      </c>
      <c r="Y719" s="148">
        <v>21492</v>
      </c>
      <c r="Z719" s="149">
        <f t="shared" si="223"/>
        <v>17193.600000000002</v>
      </c>
      <c r="AA719" s="148"/>
      <c r="AB719" s="145"/>
      <c r="AC719" s="145"/>
      <c r="AD719" s="148">
        <f t="shared" si="224"/>
        <v>17193.600000000002</v>
      </c>
      <c r="AE719" s="122">
        <f t="shared" si="225"/>
        <v>231546.33496731106</v>
      </c>
      <c r="AF719" s="167">
        <f t="shared" si="226"/>
        <v>1444391.52</v>
      </c>
    </row>
    <row r="720" spans="1:32" s="150" customFormat="1" x14ac:dyDescent="0.2">
      <c r="A720" s="144" t="s">
        <v>714</v>
      </c>
      <c r="B720" s="144"/>
      <c r="C720" s="144"/>
      <c r="D720" s="145">
        <v>1</v>
      </c>
      <c r="E720" s="122"/>
      <c r="F720" s="146">
        <v>0.2</v>
      </c>
      <c r="G720" s="146"/>
      <c r="H720" s="122">
        <v>76625</v>
      </c>
      <c r="I720" s="122">
        <f t="shared" si="216"/>
        <v>74173</v>
      </c>
      <c r="J720" s="147">
        <f t="shared" si="217"/>
        <v>59338.400000000001</v>
      </c>
      <c r="K720" s="122"/>
      <c r="L720" s="122">
        <v>0</v>
      </c>
      <c r="M720" s="122">
        <f t="shared" si="218"/>
        <v>0</v>
      </c>
      <c r="N720" s="122">
        <f t="shared" si="219"/>
        <v>0</v>
      </c>
      <c r="O720" s="122"/>
      <c r="P720" s="122">
        <v>0</v>
      </c>
      <c r="Q720" s="122">
        <f t="shared" si="220"/>
        <v>0</v>
      </c>
      <c r="R720" s="147">
        <f t="shared" si="221"/>
        <v>0</v>
      </c>
      <c r="S720" s="145">
        <v>11</v>
      </c>
      <c r="T720" s="144" t="s">
        <v>213</v>
      </c>
      <c r="U720" s="90">
        <f>SUMIF('Avoided Costs 2009-2017'!$A:$A,Actuals!T720&amp;Actuals!S720,'Avoided Costs 2009-2017'!$E:$E)*J720</f>
        <v>166069.84714428106</v>
      </c>
      <c r="V720" s="90">
        <f>SUMIF('Avoided Costs 2009-2017'!$A:$A,Actuals!T720&amp;Actuals!S720,'Avoided Costs 2009-2017'!$K:$K)*N720</f>
        <v>0</v>
      </c>
      <c r="W720" s="90">
        <f>SUMIF('Avoided Costs 2009-2017'!$A:$A,Actuals!T720&amp;Actuals!S720,'Avoided Costs 2009-2017'!$M:$M)*R720</f>
        <v>0</v>
      </c>
      <c r="X720" s="90">
        <f t="shared" si="222"/>
        <v>166069.84714428106</v>
      </c>
      <c r="Y720" s="148">
        <v>50427</v>
      </c>
      <c r="Z720" s="149">
        <f t="shared" si="223"/>
        <v>40341.600000000006</v>
      </c>
      <c r="AA720" s="148"/>
      <c r="AB720" s="145"/>
      <c r="AC720" s="145"/>
      <c r="AD720" s="148">
        <f t="shared" si="224"/>
        <v>40341.600000000006</v>
      </c>
      <c r="AE720" s="122">
        <f t="shared" si="225"/>
        <v>125728.24714428105</v>
      </c>
      <c r="AF720" s="167">
        <f t="shared" si="226"/>
        <v>652722.4</v>
      </c>
    </row>
    <row r="721" spans="1:32" s="150" customFormat="1" x14ac:dyDescent="0.2">
      <c r="A721" s="144" t="s">
        <v>715</v>
      </c>
      <c r="B721" s="144"/>
      <c r="C721" s="144"/>
      <c r="D721" s="145">
        <v>1</v>
      </c>
      <c r="E721" s="122"/>
      <c r="F721" s="146">
        <v>0.2</v>
      </c>
      <c r="G721" s="146"/>
      <c r="H721" s="122">
        <v>15975</v>
      </c>
      <c r="I721" s="122">
        <f t="shared" si="216"/>
        <v>15463.8</v>
      </c>
      <c r="J721" s="147">
        <f t="shared" si="217"/>
        <v>12371.04</v>
      </c>
      <c r="K721" s="122"/>
      <c r="L721" s="122">
        <v>0</v>
      </c>
      <c r="M721" s="122">
        <f t="shared" si="218"/>
        <v>0</v>
      </c>
      <c r="N721" s="122">
        <f t="shared" si="219"/>
        <v>0</v>
      </c>
      <c r="O721" s="122"/>
      <c r="P721" s="122">
        <v>0</v>
      </c>
      <c r="Q721" s="122">
        <f t="shared" si="220"/>
        <v>0</v>
      </c>
      <c r="R721" s="147">
        <f t="shared" si="221"/>
        <v>0</v>
      </c>
      <c r="S721" s="145">
        <v>15</v>
      </c>
      <c r="T721" s="144" t="s">
        <v>1176</v>
      </c>
      <c r="U721" s="90">
        <f>SUMIF('Avoided Costs 2009-2017'!$A:$A,Actuals!T721&amp;Actuals!S721,'Avoided Costs 2009-2017'!$E:$E)*J721</f>
        <v>38108.83897246694</v>
      </c>
      <c r="V721" s="90">
        <f>SUMIF('Avoided Costs 2009-2017'!$A:$A,Actuals!T721&amp;Actuals!S721,'Avoided Costs 2009-2017'!$K:$K)*N721</f>
        <v>0</v>
      </c>
      <c r="W721" s="90">
        <f>SUMIF('Avoided Costs 2009-2017'!$A:$A,Actuals!T721&amp;Actuals!S721,'Avoided Costs 2009-2017'!$M:$M)*R721</f>
        <v>0</v>
      </c>
      <c r="X721" s="90">
        <f t="shared" si="222"/>
        <v>38108.83897246694</v>
      </c>
      <c r="Y721" s="148">
        <v>7878</v>
      </c>
      <c r="Z721" s="149">
        <f t="shared" si="223"/>
        <v>6302.4000000000005</v>
      </c>
      <c r="AA721" s="148"/>
      <c r="AB721" s="145"/>
      <c r="AC721" s="145"/>
      <c r="AD721" s="148">
        <f t="shared" si="224"/>
        <v>6302.4000000000005</v>
      </c>
      <c r="AE721" s="122">
        <f t="shared" si="225"/>
        <v>31806.438972466938</v>
      </c>
      <c r="AF721" s="167">
        <f t="shared" si="226"/>
        <v>185565.6</v>
      </c>
    </row>
    <row r="722" spans="1:32" s="150" customFormat="1" x14ac:dyDescent="0.2">
      <c r="A722" s="144" t="s">
        <v>716</v>
      </c>
      <c r="B722" s="144"/>
      <c r="C722" s="144"/>
      <c r="D722" s="145">
        <v>1</v>
      </c>
      <c r="E722" s="122"/>
      <c r="F722" s="146">
        <v>0.2</v>
      </c>
      <c r="G722" s="146"/>
      <c r="H722" s="122">
        <v>26264</v>
      </c>
      <c r="I722" s="122">
        <f t="shared" si="216"/>
        <v>25423.552</v>
      </c>
      <c r="J722" s="147">
        <f t="shared" si="217"/>
        <v>20338.8416</v>
      </c>
      <c r="K722" s="122"/>
      <c r="L722" s="122">
        <v>0</v>
      </c>
      <c r="M722" s="122">
        <f t="shared" si="218"/>
        <v>0</v>
      </c>
      <c r="N722" s="122">
        <f t="shared" si="219"/>
        <v>0</v>
      </c>
      <c r="O722" s="122"/>
      <c r="P722" s="122">
        <v>0</v>
      </c>
      <c r="Q722" s="122">
        <f t="shared" si="220"/>
        <v>0</v>
      </c>
      <c r="R722" s="147">
        <f t="shared" si="221"/>
        <v>0</v>
      </c>
      <c r="S722" s="145">
        <v>15</v>
      </c>
      <c r="T722" s="144" t="s">
        <v>213</v>
      </c>
      <c r="U722" s="90">
        <f>SUMIF('Avoided Costs 2009-2017'!$A:$A,Actuals!T722&amp;Actuals!S722,'Avoided Costs 2009-2017'!$E:$E)*J722</f>
        <v>68790.143917786409</v>
      </c>
      <c r="V722" s="90">
        <f>SUMIF('Avoided Costs 2009-2017'!$A:$A,Actuals!T722&amp;Actuals!S722,'Avoided Costs 2009-2017'!$K:$K)*N722</f>
        <v>0</v>
      </c>
      <c r="W722" s="90">
        <f>SUMIF('Avoided Costs 2009-2017'!$A:$A,Actuals!T722&amp;Actuals!S722,'Avoided Costs 2009-2017'!$M:$M)*R722</f>
        <v>0</v>
      </c>
      <c r="X722" s="90">
        <f t="shared" si="222"/>
        <v>68790.143917786409</v>
      </c>
      <c r="Y722" s="148">
        <v>23934</v>
      </c>
      <c r="Z722" s="149">
        <f t="shared" si="223"/>
        <v>19147.2</v>
      </c>
      <c r="AA722" s="148"/>
      <c r="AB722" s="145"/>
      <c r="AC722" s="145"/>
      <c r="AD722" s="148">
        <f t="shared" si="224"/>
        <v>19147.2</v>
      </c>
      <c r="AE722" s="122">
        <f t="shared" si="225"/>
        <v>49642.943917786411</v>
      </c>
      <c r="AF722" s="167">
        <f t="shared" si="226"/>
        <v>305082.62400000001</v>
      </c>
    </row>
    <row r="723" spans="1:32" s="150" customFormat="1" x14ac:dyDescent="0.2">
      <c r="A723" s="144" t="s">
        <v>717</v>
      </c>
      <c r="B723" s="144"/>
      <c r="C723" s="144"/>
      <c r="D723" s="145">
        <v>1</v>
      </c>
      <c r="E723" s="122"/>
      <c r="F723" s="146">
        <v>0.2</v>
      </c>
      <c r="G723" s="146"/>
      <c r="H723" s="122">
        <v>34045</v>
      </c>
      <c r="I723" s="122">
        <f>+H723</f>
        <v>34045</v>
      </c>
      <c r="J723" s="147">
        <f t="shared" si="217"/>
        <v>27236</v>
      </c>
      <c r="K723" s="122"/>
      <c r="L723" s="122">
        <v>0</v>
      </c>
      <c r="M723" s="122">
        <f t="shared" si="218"/>
        <v>0</v>
      </c>
      <c r="N723" s="122">
        <f t="shared" si="219"/>
        <v>0</v>
      </c>
      <c r="O723" s="122"/>
      <c r="P723" s="122">
        <v>0</v>
      </c>
      <c r="Q723" s="122">
        <f t="shared" si="220"/>
        <v>0</v>
      </c>
      <c r="R723" s="147">
        <f t="shared" si="221"/>
        <v>0</v>
      </c>
      <c r="S723" s="145">
        <v>11</v>
      </c>
      <c r="T723" s="144" t="s">
        <v>213</v>
      </c>
      <c r="U723" s="90">
        <f>SUMIF('Avoided Costs 2009-2017'!$A:$A,Actuals!T723&amp;Actuals!S723,'Avoided Costs 2009-2017'!$E:$E)*J723</f>
        <v>76225.148585429313</v>
      </c>
      <c r="V723" s="90">
        <f>SUMIF('Avoided Costs 2009-2017'!$A:$A,Actuals!T723&amp;Actuals!S723,'Avoided Costs 2009-2017'!$K:$K)*N723</f>
        <v>0</v>
      </c>
      <c r="W723" s="90">
        <f>SUMIF('Avoided Costs 2009-2017'!$A:$A,Actuals!T723&amp;Actuals!S723,'Avoided Costs 2009-2017'!$M:$M)*R723</f>
        <v>0</v>
      </c>
      <c r="X723" s="90">
        <f t="shared" si="222"/>
        <v>76225.148585429313</v>
      </c>
      <c r="Y723" s="148">
        <v>62673</v>
      </c>
      <c r="Z723" s="149">
        <f t="shared" si="223"/>
        <v>50138.400000000001</v>
      </c>
      <c r="AA723" s="148"/>
      <c r="AB723" s="145"/>
      <c r="AC723" s="145"/>
      <c r="AD723" s="148">
        <f t="shared" si="224"/>
        <v>50138.400000000001</v>
      </c>
      <c r="AE723" s="122">
        <f t="shared" si="225"/>
        <v>26086.748585429312</v>
      </c>
      <c r="AF723" s="167">
        <f t="shared" si="226"/>
        <v>299596</v>
      </c>
    </row>
    <row r="724" spans="1:32" s="150" customFormat="1" x14ac:dyDescent="0.2">
      <c r="A724" s="144" t="s">
        <v>718</v>
      </c>
      <c r="B724" s="144"/>
      <c r="C724" s="144"/>
      <c r="D724" s="145">
        <v>1</v>
      </c>
      <c r="E724" s="122"/>
      <c r="F724" s="146">
        <v>0.2</v>
      </c>
      <c r="G724" s="146"/>
      <c r="H724" s="122">
        <v>73203</v>
      </c>
      <c r="I724" s="122">
        <f t="shared" si="216"/>
        <v>70860.504000000001</v>
      </c>
      <c r="J724" s="147">
        <f t="shared" si="217"/>
        <v>56688.403200000001</v>
      </c>
      <c r="K724" s="122"/>
      <c r="L724" s="122">
        <v>0</v>
      </c>
      <c r="M724" s="122">
        <f t="shared" si="218"/>
        <v>0</v>
      </c>
      <c r="N724" s="122">
        <f t="shared" si="219"/>
        <v>0</v>
      </c>
      <c r="O724" s="122"/>
      <c r="P724" s="122">
        <v>0</v>
      </c>
      <c r="Q724" s="122">
        <f t="shared" si="220"/>
        <v>0</v>
      </c>
      <c r="R724" s="147">
        <f t="shared" si="221"/>
        <v>0</v>
      </c>
      <c r="S724" s="145">
        <v>11</v>
      </c>
      <c r="T724" s="144" t="s">
        <v>213</v>
      </c>
      <c r="U724" s="90">
        <f>SUMIF('Avoided Costs 2009-2017'!$A:$A,Actuals!T724&amp;Actuals!S724,'Avoided Costs 2009-2017'!$E:$E)*J724</f>
        <v>158653.32490052603</v>
      </c>
      <c r="V724" s="90">
        <f>SUMIF('Avoided Costs 2009-2017'!$A:$A,Actuals!T724&amp;Actuals!S724,'Avoided Costs 2009-2017'!$K:$K)*N724</f>
        <v>0</v>
      </c>
      <c r="W724" s="90">
        <f>SUMIF('Avoided Costs 2009-2017'!$A:$A,Actuals!T724&amp;Actuals!S724,'Avoided Costs 2009-2017'!$M:$M)*R724</f>
        <v>0</v>
      </c>
      <c r="X724" s="90">
        <f t="shared" si="222"/>
        <v>158653.32490052603</v>
      </c>
      <c r="Y724" s="148">
        <v>55650</v>
      </c>
      <c r="Z724" s="149">
        <f t="shared" si="223"/>
        <v>44520</v>
      </c>
      <c r="AA724" s="148"/>
      <c r="AB724" s="145"/>
      <c r="AC724" s="145"/>
      <c r="AD724" s="148">
        <f t="shared" si="224"/>
        <v>44520</v>
      </c>
      <c r="AE724" s="122">
        <f t="shared" si="225"/>
        <v>114133.32490052603</v>
      </c>
      <c r="AF724" s="167">
        <f t="shared" si="226"/>
        <v>623572.43519999995</v>
      </c>
    </row>
    <row r="725" spans="1:32" s="150" customFormat="1" x14ac:dyDescent="0.2">
      <c r="A725" s="144" t="s">
        <v>719</v>
      </c>
      <c r="B725" s="144"/>
      <c r="C725" s="144"/>
      <c r="D725" s="145">
        <v>1</v>
      </c>
      <c r="E725" s="122"/>
      <c r="F725" s="146">
        <v>0.2</v>
      </c>
      <c r="G725" s="146"/>
      <c r="H725" s="122">
        <v>22401</v>
      </c>
      <c r="I725" s="122">
        <f t="shared" si="216"/>
        <v>21684.167999999998</v>
      </c>
      <c r="J725" s="147">
        <f t="shared" si="217"/>
        <v>17347.3344</v>
      </c>
      <c r="K725" s="122"/>
      <c r="L725" s="122">
        <v>15298</v>
      </c>
      <c r="M725" s="122">
        <f t="shared" si="218"/>
        <v>13752.902</v>
      </c>
      <c r="N725" s="122">
        <f t="shared" si="219"/>
        <v>11002.321600000001</v>
      </c>
      <c r="O725" s="122"/>
      <c r="P725" s="122">
        <v>0</v>
      </c>
      <c r="Q725" s="122">
        <f t="shared" si="220"/>
        <v>0</v>
      </c>
      <c r="R725" s="147">
        <f t="shared" si="221"/>
        <v>0</v>
      </c>
      <c r="S725" s="145">
        <v>15</v>
      </c>
      <c r="T725" s="144" t="s">
        <v>213</v>
      </c>
      <c r="U725" s="90">
        <f>SUMIF('Avoided Costs 2009-2017'!$A:$A,Actuals!T725&amp;Actuals!S725,'Avoided Costs 2009-2017'!$E:$E)*J725</f>
        <v>58672.251519278601</v>
      </c>
      <c r="V725" s="90">
        <f>SUMIF('Avoided Costs 2009-2017'!$A:$A,Actuals!T725&amp;Actuals!S725,'Avoided Costs 2009-2017'!$K:$K)*N725</f>
        <v>8213.5870906921355</v>
      </c>
      <c r="W725" s="90">
        <f>SUMIF('Avoided Costs 2009-2017'!$A:$A,Actuals!T725&amp;Actuals!S725,'Avoided Costs 2009-2017'!$M:$M)*R725</f>
        <v>0</v>
      </c>
      <c r="X725" s="90">
        <f t="shared" si="222"/>
        <v>66885.838609970742</v>
      </c>
      <c r="Y725" s="148">
        <v>5975</v>
      </c>
      <c r="Z725" s="149">
        <f t="shared" si="223"/>
        <v>4780</v>
      </c>
      <c r="AA725" s="148"/>
      <c r="AB725" s="145"/>
      <c r="AC725" s="145"/>
      <c r="AD725" s="148">
        <f t="shared" si="224"/>
        <v>4780</v>
      </c>
      <c r="AE725" s="122">
        <f t="shared" si="225"/>
        <v>62105.838609970742</v>
      </c>
      <c r="AF725" s="167">
        <f t="shared" si="226"/>
        <v>260210.016</v>
      </c>
    </row>
    <row r="726" spans="1:32" s="150" customFormat="1" x14ac:dyDescent="0.2">
      <c r="A726" s="144" t="s">
        <v>720</v>
      </c>
      <c r="B726" s="144"/>
      <c r="C726" s="144"/>
      <c r="D726" s="145">
        <v>1</v>
      </c>
      <c r="E726" s="122"/>
      <c r="F726" s="146">
        <v>0.2</v>
      </c>
      <c r="G726" s="146"/>
      <c r="H726" s="122">
        <v>27606</v>
      </c>
      <c r="I726" s="122">
        <f t="shared" si="216"/>
        <v>26722.608</v>
      </c>
      <c r="J726" s="147">
        <f t="shared" si="217"/>
        <v>21378.0864</v>
      </c>
      <c r="K726" s="122"/>
      <c r="L726" s="122">
        <v>51768</v>
      </c>
      <c r="M726" s="122">
        <f t="shared" si="218"/>
        <v>46539.432000000001</v>
      </c>
      <c r="N726" s="122">
        <f t="shared" si="219"/>
        <v>37231.545600000005</v>
      </c>
      <c r="O726" s="122"/>
      <c r="P726" s="122">
        <v>0</v>
      </c>
      <c r="Q726" s="122">
        <f t="shared" si="220"/>
        <v>0</v>
      </c>
      <c r="R726" s="147">
        <f t="shared" si="221"/>
        <v>0</v>
      </c>
      <c r="S726" s="145">
        <v>15</v>
      </c>
      <c r="T726" s="144" t="s">
        <v>213</v>
      </c>
      <c r="U726" s="90">
        <f>SUMIF('Avoided Costs 2009-2017'!$A:$A,Actuals!T726&amp;Actuals!S726,'Avoided Costs 2009-2017'!$E:$E)*J726</f>
        <v>72305.083498111926</v>
      </c>
      <c r="V726" s="90">
        <f>SUMIF('Avoided Costs 2009-2017'!$A:$A,Actuals!T726&amp;Actuals!S726,'Avoided Costs 2009-2017'!$K:$K)*N726</f>
        <v>27794.546771535526</v>
      </c>
      <c r="W726" s="90">
        <f>SUMIF('Avoided Costs 2009-2017'!$A:$A,Actuals!T726&amp;Actuals!S726,'Avoided Costs 2009-2017'!$M:$M)*R726</f>
        <v>0</v>
      </c>
      <c r="X726" s="90">
        <f t="shared" si="222"/>
        <v>100099.63026964746</v>
      </c>
      <c r="Y726" s="148">
        <v>17712</v>
      </c>
      <c r="Z726" s="149">
        <f t="shared" si="223"/>
        <v>14169.6</v>
      </c>
      <c r="AA726" s="148"/>
      <c r="AB726" s="145"/>
      <c r="AC726" s="145"/>
      <c r="AD726" s="148">
        <f t="shared" si="224"/>
        <v>14169.6</v>
      </c>
      <c r="AE726" s="122">
        <f t="shared" si="225"/>
        <v>85930.030269647454</v>
      </c>
      <c r="AF726" s="167">
        <f t="shared" si="226"/>
        <v>320671.29599999997</v>
      </c>
    </row>
    <row r="727" spans="1:32" s="150" customFormat="1" x14ac:dyDescent="0.2">
      <c r="A727" s="144" t="s">
        <v>721</v>
      </c>
      <c r="B727" s="144"/>
      <c r="C727" s="144"/>
      <c r="D727" s="145">
        <v>1</v>
      </c>
      <c r="E727" s="122"/>
      <c r="F727" s="146">
        <v>0.2</v>
      </c>
      <c r="G727" s="146"/>
      <c r="H727" s="122">
        <v>51896</v>
      </c>
      <c r="I727" s="122">
        <f t="shared" si="216"/>
        <v>50235.328000000001</v>
      </c>
      <c r="J727" s="147">
        <f t="shared" si="217"/>
        <v>40188.262400000007</v>
      </c>
      <c r="K727" s="122"/>
      <c r="L727" s="122">
        <v>97093</v>
      </c>
      <c r="M727" s="122">
        <f t="shared" si="218"/>
        <v>87286.607000000004</v>
      </c>
      <c r="N727" s="122">
        <f t="shared" si="219"/>
        <v>69829.285600000003</v>
      </c>
      <c r="O727" s="122"/>
      <c r="P727" s="122">
        <v>0</v>
      </c>
      <c r="Q727" s="122">
        <f t="shared" si="220"/>
        <v>0</v>
      </c>
      <c r="R727" s="147">
        <f t="shared" si="221"/>
        <v>0</v>
      </c>
      <c r="S727" s="145">
        <v>15</v>
      </c>
      <c r="T727" s="144" t="s">
        <v>213</v>
      </c>
      <c r="U727" s="90">
        <f>SUMIF('Avoided Costs 2009-2017'!$A:$A,Actuals!T727&amp;Actuals!S727,'Avoided Costs 2009-2017'!$E:$E)*J727</f>
        <v>135924.96606600075</v>
      </c>
      <c r="V727" s="90">
        <f>SUMIF('Avoided Costs 2009-2017'!$A:$A,Actuals!T727&amp;Actuals!S727,'Avoided Costs 2009-2017'!$K:$K)*N727</f>
        <v>52129.808562986756</v>
      </c>
      <c r="W727" s="90">
        <f>SUMIF('Avoided Costs 2009-2017'!$A:$A,Actuals!T727&amp;Actuals!S727,'Avoided Costs 2009-2017'!$M:$M)*R727</f>
        <v>0</v>
      </c>
      <c r="X727" s="90">
        <f t="shared" si="222"/>
        <v>188054.77462898751</v>
      </c>
      <c r="Y727" s="148">
        <v>46273</v>
      </c>
      <c r="Z727" s="149">
        <f t="shared" si="223"/>
        <v>37018.400000000001</v>
      </c>
      <c r="AA727" s="148"/>
      <c r="AB727" s="145"/>
      <c r="AC727" s="145"/>
      <c r="AD727" s="148">
        <f t="shared" si="224"/>
        <v>37018.400000000001</v>
      </c>
      <c r="AE727" s="122">
        <f t="shared" si="225"/>
        <v>151036.37462898751</v>
      </c>
      <c r="AF727" s="167">
        <f t="shared" si="226"/>
        <v>602823.9360000001</v>
      </c>
    </row>
    <row r="728" spans="1:32" s="150" customFormat="1" x14ac:dyDescent="0.2">
      <c r="A728" s="144" t="s">
        <v>722</v>
      </c>
      <c r="B728" s="144"/>
      <c r="C728" s="144"/>
      <c r="D728" s="145">
        <v>1</v>
      </c>
      <c r="E728" s="122"/>
      <c r="F728" s="146">
        <v>0.2</v>
      </c>
      <c r="G728" s="146"/>
      <c r="H728" s="122">
        <v>20845</v>
      </c>
      <c r="I728" s="122">
        <f t="shared" si="216"/>
        <v>20177.96</v>
      </c>
      <c r="J728" s="147">
        <f t="shared" si="217"/>
        <v>16142.368</v>
      </c>
      <c r="K728" s="122"/>
      <c r="L728" s="122">
        <v>34513</v>
      </c>
      <c r="M728" s="122">
        <f t="shared" si="218"/>
        <v>31027.187000000002</v>
      </c>
      <c r="N728" s="122">
        <f t="shared" si="219"/>
        <v>24821.749600000003</v>
      </c>
      <c r="O728" s="122"/>
      <c r="P728" s="122">
        <v>0</v>
      </c>
      <c r="Q728" s="122">
        <f t="shared" si="220"/>
        <v>0</v>
      </c>
      <c r="R728" s="147">
        <f t="shared" si="221"/>
        <v>0</v>
      </c>
      <c r="S728" s="145">
        <v>15</v>
      </c>
      <c r="T728" s="144" t="s">
        <v>213</v>
      </c>
      <c r="U728" s="90">
        <f>SUMIF('Avoided Costs 2009-2017'!$A:$A,Actuals!T728&amp;Actuals!S728,'Avoided Costs 2009-2017'!$E:$E)*J728</f>
        <v>54596.807415711912</v>
      </c>
      <c r="V728" s="90">
        <f>SUMIF('Avoided Costs 2009-2017'!$A:$A,Actuals!T728&amp;Actuals!S728,'Avoided Costs 2009-2017'!$K:$K)*N728</f>
        <v>18530.234753631696</v>
      </c>
      <c r="W728" s="90">
        <f>SUMIF('Avoided Costs 2009-2017'!$A:$A,Actuals!T728&amp;Actuals!S728,'Avoided Costs 2009-2017'!$M:$M)*R728</f>
        <v>0</v>
      </c>
      <c r="X728" s="90">
        <f t="shared" si="222"/>
        <v>73127.042169343607</v>
      </c>
      <c r="Y728" s="148">
        <v>6985</v>
      </c>
      <c r="Z728" s="149">
        <f t="shared" si="223"/>
        <v>5588</v>
      </c>
      <c r="AA728" s="148"/>
      <c r="AB728" s="145"/>
      <c r="AC728" s="145"/>
      <c r="AD728" s="148">
        <f t="shared" si="224"/>
        <v>5588</v>
      </c>
      <c r="AE728" s="122">
        <f t="shared" si="225"/>
        <v>67539.042169343607</v>
      </c>
      <c r="AF728" s="167">
        <f t="shared" si="226"/>
        <v>242135.52000000002</v>
      </c>
    </row>
    <row r="729" spans="1:32" s="150" customFormat="1" x14ac:dyDescent="0.2">
      <c r="A729" s="144" t="s">
        <v>723</v>
      </c>
      <c r="B729" s="144"/>
      <c r="C729" s="144"/>
      <c r="D729" s="145">
        <v>1</v>
      </c>
      <c r="E729" s="122"/>
      <c r="F729" s="146">
        <v>0.2</v>
      </c>
      <c r="G729" s="146"/>
      <c r="H729" s="122">
        <v>79003</v>
      </c>
      <c r="I729" s="122">
        <f t="shared" si="216"/>
        <v>76474.903999999995</v>
      </c>
      <c r="J729" s="147">
        <f t="shared" si="217"/>
        <v>61179.923199999997</v>
      </c>
      <c r="K729" s="122"/>
      <c r="L729" s="122">
        <v>98338</v>
      </c>
      <c r="M729" s="122">
        <f t="shared" si="218"/>
        <v>88405.862000000008</v>
      </c>
      <c r="N729" s="122">
        <f t="shared" si="219"/>
        <v>70724.689600000012</v>
      </c>
      <c r="O729" s="122"/>
      <c r="P729" s="122">
        <v>0</v>
      </c>
      <c r="Q729" s="122">
        <f t="shared" si="220"/>
        <v>0</v>
      </c>
      <c r="R729" s="147">
        <f t="shared" si="221"/>
        <v>0</v>
      </c>
      <c r="S729" s="145">
        <v>15</v>
      </c>
      <c r="T729" s="144" t="s">
        <v>213</v>
      </c>
      <c r="U729" s="90">
        <f>SUMIF('Avoided Costs 2009-2017'!$A:$A,Actuals!T729&amp;Actuals!S729,'Avoided Costs 2009-2017'!$E:$E)*J729</f>
        <v>206923.07873655495</v>
      </c>
      <c r="V729" s="90">
        <f>SUMIF('Avoided Costs 2009-2017'!$A:$A,Actuals!T729&amp;Actuals!S729,'Avoided Costs 2009-2017'!$K:$K)*N729</f>
        <v>52798.25645996099</v>
      </c>
      <c r="W729" s="90">
        <f>SUMIF('Avoided Costs 2009-2017'!$A:$A,Actuals!T729&amp;Actuals!S729,'Avoided Costs 2009-2017'!$M:$M)*R729</f>
        <v>0</v>
      </c>
      <c r="X729" s="90">
        <f t="shared" si="222"/>
        <v>259721.33519651595</v>
      </c>
      <c r="Y729" s="148">
        <v>16900</v>
      </c>
      <c r="Z729" s="149">
        <f t="shared" si="223"/>
        <v>13520</v>
      </c>
      <c r="AA729" s="148"/>
      <c r="AB729" s="145"/>
      <c r="AC729" s="145"/>
      <c r="AD729" s="148">
        <f t="shared" si="224"/>
        <v>13520</v>
      </c>
      <c r="AE729" s="122">
        <f t="shared" si="225"/>
        <v>246201.33519651595</v>
      </c>
      <c r="AF729" s="167">
        <f t="shared" si="226"/>
        <v>917698.848</v>
      </c>
    </row>
    <row r="730" spans="1:32" s="150" customFormat="1" x14ac:dyDescent="0.2">
      <c r="A730" s="144" t="s">
        <v>724</v>
      </c>
      <c r="B730" s="144"/>
      <c r="C730" s="144"/>
      <c r="D730" s="145">
        <v>1</v>
      </c>
      <c r="E730" s="122"/>
      <c r="F730" s="146">
        <v>0.2</v>
      </c>
      <c r="G730" s="146"/>
      <c r="H730" s="122">
        <v>69494</v>
      </c>
      <c r="I730" s="122">
        <f t="shared" si="216"/>
        <v>67270.191999999995</v>
      </c>
      <c r="J730" s="147">
        <f t="shared" si="217"/>
        <v>53816.153599999998</v>
      </c>
      <c r="K730" s="122"/>
      <c r="L730" s="122">
        <v>106899</v>
      </c>
      <c r="M730" s="122">
        <f t="shared" si="218"/>
        <v>96102.201000000001</v>
      </c>
      <c r="N730" s="122">
        <f t="shared" si="219"/>
        <v>76881.760800000004</v>
      </c>
      <c r="O730" s="122"/>
      <c r="P730" s="122">
        <v>0</v>
      </c>
      <c r="Q730" s="122">
        <f t="shared" si="220"/>
        <v>0</v>
      </c>
      <c r="R730" s="147">
        <f t="shared" si="221"/>
        <v>0</v>
      </c>
      <c r="S730" s="145">
        <v>15</v>
      </c>
      <c r="T730" s="144" t="s">
        <v>213</v>
      </c>
      <c r="U730" s="90">
        <f>SUMIF('Avoided Costs 2009-2017'!$A:$A,Actuals!T730&amp;Actuals!S730,'Avoided Costs 2009-2017'!$E:$E)*J730</f>
        <v>182017.29597253457</v>
      </c>
      <c r="V730" s="90">
        <f>SUMIF('Avoided Costs 2009-2017'!$A:$A,Actuals!T730&amp;Actuals!S730,'Avoided Costs 2009-2017'!$K:$K)*N730</f>
        <v>57394.708223813475</v>
      </c>
      <c r="W730" s="90">
        <f>SUMIF('Avoided Costs 2009-2017'!$A:$A,Actuals!T730&amp;Actuals!S730,'Avoided Costs 2009-2017'!$M:$M)*R730</f>
        <v>0</v>
      </c>
      <c r="X730" s="90">
        <f t="shared" si="222"/>
        <v>239412.00419634805</v>
      </c>
      <c r="Y730" s="148">
        <v>37810</v>
      </c>
      <c r="Z730" s="149">
        <f t="shared" si="223"/>
        <v>30248</v>
      </c>
      <c r="AA730" s="148"/>
      <c r="AB730" s="145"/>
      <c r="AC730" s="145"/>
      <c r="AD730" s="148">
        <f t="shared" si="224"/>
        <v>30248</v>
      </c>
      <c r="AE730" s="122">
        <f t="shared" si="225"/>
        <v>209164.00419634805</v>
      </c>
      <c r="AF730" s="167">
        <f t="shared" si="226"/>
        <v>807242.304</v>
      </c>
    </row>
    <row r="731" spans="1:32" s="150" customFormat="1" x14ac:dyDescent="0.2">
      <c r="A731" s="144" t="s">
        <v>725</v>
      </c>
      <c r="B731" s="144"/>
      <c r="C731" s="144"/>
      <c r="D731" s="145">
        <v>0</v>
      </c>
      <c r="E731" s="122"/>
      <c r="F731" s="146">
        <v>0.2</v>
      </c>
      <c r="G731" s="146"/>
      <c r="H731" s="122">
        <v>805</v>
      </c>
      <c r="I731" s="122">
        <f t="shared" si="216"/>
        <v>779.24</v>
      </c>
      <c r="J731" s="147">
        <f t="shared" si="217"/>
        <v>623.39200000000005</v>
      </c>
      <c r="K731" s="122"/>
      <c r="L731" s="122">
        <v>0</v>
      </c>
      <c r="M731" s="122">
        <f t="shared" si="218"/>
        <v>0</v>
      </c>
      <c r="N731" s="122">
        <f t="shared" si="219"/>
        <v>0</v>
      </c>
      <c r="O731" s="122"/>
      <c r="P731" s="122">
        <v>0</v>
      </c>
      <c r="Q731" s="122">
        <f t="shared" si="220"/>
        <v>0</v>
      </c>
      <c r="R731" s="147">
        <f t="shared" si="221"/>
        <v>0</v>
      </c>
      <c r="S731" s="145">
        <v>15</v>
      </c>
      <c r="T731" s="144" t="s">
        <v>1176</v>
      </c>
      <c r="U731" s="90">
        <f>SUMIF('Avoided Costs 2009-2017'!$A:$A,Actuals!T731&amp;Actuals!S731,'Avoided Costs 2009-2017'!$E:$E)*J731</f>
        <v>1920.3515100366751</v>
      </c>
      <c r="V731" s="90">
        <f>SUMIF('Avoided Costs 2009-2017'!$A:$A,Actuals!T731&amp;Actuals!S731,'Avoided Costs 2009-2017'!$K:$K)*N731</f>
        <v>0</v>
      </c>
      <c r="W731" s="90">
        <f>SUMIF('Avoided Costs 2009-2017'!$A:$A,Actuals!T731&amp;Actuals!S731,'Avoided Costs 2009-2017'!$M:$M)*R731</f>
        <v>0</v>
      </c>
      <c r="X731" s="90">
        <f t="shared" si="222"/>
        <v>1920.3515100366751</v>
      </c>
      <c r="Y731" s="148">
        <v>3200</v>
      </c>
      <c r="Z731" s="149">
        <f t="shared" si="223"/>
        <v>2560</v>
      </c>
      <c r="AA731" s="148"/>
      <c r="AB731" s="145"/>
      <c r="AC731" s="145"/>
      <c r="AD731" s="148">
        <f t="shared" si="224"/>
        <v>2560</v>
      </c>
      <c r="AE731" s="122">
        <f t="shared" si="225"/>
        <v>-639.64848996332489</v>
      </c>
      <c r="AF731" s="167">
        <f t="shared" si="226"/>
        <v>9350.880000000001</v>
      </c>
    </row>
    <row r="732" spans="1:32" s="150" customFormat="1" x14ac:dyDescent="0.2">
      <c r="A732" s="144" t="s">
        <v>726</v>
      </c>
      <c r="B732" s="144"/>
      <c r="C732" s="144"/>
      <c r="D732" s="145">
        <v>0</v>
      </c>
      <c r="E732" s="122"/>
      <c r="F732" s="146">
        <v>0.2</v>
      </c>
      <c r="G732" s="146"/>
      <c r="H732" s="122">
        <v>6642</v>
      </c>
      <c r="I732" s="122">
        <f t="shared" si="216"/>
        <v>6429.4560000000001</v>
      </c>
      <c r="J732" s="147">
        <f t="shared" si="217"/>
        <v>5143.5648000000001</v>
      </c>
      <c r="K732" s="122"/>
      <c r="L732" s="122">
        <v>6004</v>
      </c>
      <c r="M732" s="122">
        <f t="shared" si="218"/>
        <v>5397.5960000000005</v>
      </c>
      <c r="N732" s="122">
        <f t="shared" si="219"/>
        <v>4318.0768000000007</v>
      </c>
      <c r="O732" s="122"/>
      <c r="P732" s="122">
        <v>0</v>
      </c>
      <c r="Q732" s="122">
        <f t="shared" si="220"/>
        <v>0</v>
      </c>
      <c r="R732" s="147">
        <f t="shared" si="221"/>
        <v>0</v>
      </c>
      <c r="S732" s="145">
        <v>15</v>
      </c>
      <c r="T732" s="144" t="s">
        <v>213</v>
      </c>
      <c r="U732" s="90">
        <f>SUMIF('Avoided Costs 2009-2017'!$A:$A,Actuals!T732&amp;Actuals!S732,'Avoided Costs 2009-2017'!$E:$E)*J732</f>
        <v>17396.593660597675</v>
      </c>
      <c r="V732" s="90">
        <f>SUMIF('Avoided Costs 2009-2017'!$A:$A,Actuals!T732&amp;Actuals!S732,'Avoided Costs 2009-2017'!$K:$K)*N732</f>
        <v>3223.5832718339379</v>
      </c>
      <c r="W732" s="90">
        <f>SUMIF('Avoided Costs 2009-2017'!$A:$A,Actuals!T732&amp;Actuals!S732,'Avoided Costs 2009-2017'!$M:$M)*R732</f>
        <v>0</v>
      </c>
      <c r="X732" s="90">
        <f t="shared" si="222"/>
        <v>20620.176932431612</v>
      </c>
      <c r="Y732" s="148">
        <v>6900</v>
      </c>
      <c r="Z732" s="149">
        <f t="shared" si="223"/>
        <v>5520</v>
      </c>
      <c r="AA732" s="148"/>
      <c r="AB732" s="145"/>
      <c r="AC732" s="145"/>
      <c r="AD732" s="148">
        <f t="shared" si="224"/>
        <v>5520</v>
      </c>
      <c r="AE732" s="122">
        <f t="shared" si="225"/>
        <v>15100.176932431612</v>
      </c>
      <c r="AF732" s="167">
        <f t="shared" si="226"/>
        <v>77153.472000000009</v>
      </c>
    </row>
    <row r="733" spans="1:32" s="150" customFormat="1" x14ac:dyDescent="0.2">
      <c r="A733" s="144" t="s">
        <v>727</v>
      </c>
      <c r="B733" s="144"/>
      <c r="C733" s="144"/>
      <c r="D733" s="145">
        <v>1</v>
      </c>
      <c r="E733" s="122"/>
      <c r="F733" s="146">
        <v>0.2</v>
      </c>
      <c r="G733" s="146"/>
      <c r="H733" s="122">
        <v>32655</v>
      </c>
      <c r="I733" s="122">
        <f t="shared" si="216"/>
        <v>31610.04</v>
      </c>
      <c r="J733" s="147">
        <f t="shared" si="217"/>
        <v>25288.032000000003</v>
      </c>
      <c r="K733" s="122"/>
      <c r="L733" s="122">
        <v>0</v>
      </c>
      <c r="M733" s="122">
        <f t="shared" si="218"/>
        <v>0</v>
      </c>
      <c r="N733" s="122">
        <f t="shared" si="219"/>
        <v>0</v>
      </c>
      <c r="O733" s="122"/>
      <c r="P733" s="122">
        <v>0</v>
      </c>
      <c r="Q733" s="122">
        <f t="shared" si="220"/>
        <v>0</v>
      </c>
      <c r="R733" s="147">
        <f t="shared" si="221"/>
        <v>0</v>
      </c>
      <c r="S733" s="145">
        <v>11</v>
      </c>
      <c r="T733" s="144" t="s">
        <v>213</v>
      </c>
      <c r="U733" s="90">
        <f>SUMIF('Avoided Costs 2009-2017'!$A:$A,Actuals!T733&amp;Actuals!S733,'Avoided Costs 2009-2017'!$E:$E)*J733</f>
        <v>70773.388039106023</v>
      </c>
      <c r="V733" s="90">
        <f>SUMIF('Avoided Costs 2009-2017'!$A:$A,Actuals!T733&amp;Actuals!S733,'Avoided Costs 2009-2017'!$K:$K)*N733</f>
        <v>0</v>
      </c>
      <c r="W733" s="90">
        <f>SUMIF('Avoided Costs 2009-2017'!$A:$A,Actuals!T733&amp;Actuals!S733,'Avoided Costs 2009-2017'!$M:$M)*R733</f>
        <v>0</v>
      </c>
      <c r="X733" s="90">
        <f t="shared" si="222"/>
        <v>70773.388039106023</v>
      </c>
      <c r="Y733" s="148">
        <v>37948</v>
      </c>
      <c r="Z733" s="149">
        <f t="shared" si="223"/>
        <v>30358.400000000001</v>
      </c>
      <c r="AA733" s="148"/>
      <c r="AB733" s="145"/>
      <c r="AC733" s="145"/>
      <c r="AD733" s="148">
        <f t="shared" si="224"/>
        <v>30358.400000000001</v>
      </c>
      <c r="AE733" s="122">
        <f t="shared" si="225"/>
        <v>40414.988039106021</v>
      </c>
      <c r="AF733" s="167">
        <f t="shared" si="226"/>
        <v>278168.35200000001</v>
      </c>
    </row>
    <row r="734" spans="1:32" s="150" customFormat="1" x14ac:dyDescent="0.2">
      <c r="A734" s="144" t="s">
        <v>728</v>
      </c>
      <c r="B734" s="144"/>
      <c r="C734" s="144"/>
      <c r="D734" s="145">
        <v>0</v>
      </c>
      <c r="E734" s="122"/>
      <c r="F734" s="146">
        <v>0.2</v>
      </c>
      <c r="G734" s="146"/>
      <c r="H734" s="122">
        <v>36185</v>
      </c>
      <c r="I734" s="122">
        <f t="shared" si="216"/>
        <v>35027.08</v>
      </c>
      <c r="J734" s="147">
        <f t="shared" si="217"/>
        <v>28021.664000000004</v>
      </c>
      <c r="K734" s="122"/>
      <c r="L734" s="122">
        <v>0</v>
      </c>
      <c r="M734" s="122">
        <f t="shared" si="218"/>
        <v>0</v>
      </c>
      <c r="N734" s="122">
        <f t="shared" si="219"/>
        <v>0</v>
      </c>
      <c r="O734" s="122"/>
      <c r="P734" s="122">
        <v>0</v>
      </c>
      <c r="Q734" s="122">
        <f t="shared" si="220"/>
        <v>0</v>
      </c>
      <c r="R734" s="147">
        <f t="shared" si="221"/>
        <v>0</v>
      </c>
      <c r="S734" s="145">
        <v>8</v>
      </c>
      <c r="T734" s="144" t="s">
        <v>1176</v>
      </c>
      <c r="U734" s="90">
        <f>SUMIF('Avoided Costs 2009-2017'!$A:$A,Actuals!T734&amp;Actuals!S734,'Avoided Costs 2009-2017'!$E:$E)*J734</f>
        <v>57410.88269858405</v>
      </c>
      <c r="V734" s="90">
        <f>SUMIF('Avoided Costs 2009-2017'!$A:$A,Actuals!T734&amp;Actuals!S734,'Avoided Costs 2009-2017'!$K:$K)*N734</f>
        <v>0</v>
      </c>
      <c r="W734" s="90">
        <f>SUMIF('Avoided Costs 2009-2017'!$A:$A,Actuals!T734&amp;Actuals!S734,'Avoided Costs 2009-2017'!$M:$M)*R734</f>
        <v>0</v>
      </c>
      <c r="X734" s="90">
        <f t="shared" si="222"/>
        <v>57410.88269858405</v>
      </c>
      <c r="Y734" s="148">
        <v>30449</v>
      </c>
      <c r="Z734" s="149">
        <f t="shared" si="223"/>
        <v>24359.200000000001</v>
      </c>
      <c r="AA734" s="148"/>
      <c r="AB734" s="145"/>
      <c r="AC734" s="145"/>
      <c r="AD734" s="148">
        <f t="shared" si="224"/>
        <v>24359.200000000001</v>
      </c>
      <c r="AE734" s="122">
        <f t="shared" si="225"/>
        <v>33051.682698584045</v>
      </c>
      <c r="AF734" s="167">
        <f t="shared" si="226"/>
        <v>224173.31200000003</v>
      </c>
    </row>
    <row r="735" spans="1:32" s="150" customFormat="1" x14ac:dyDescent="0.2">
      <c r="A735" s="144" t="s">
        <v>729</v>
      </c>
      <c r="B735" s="144"/>
      <c r="C735" s="144"/>
      <c r="D735" s="145">
        <v>0</v>
      </c>
      <c r="E735" s="122"/>
      <c r="F735" s="146">
        <v>0.2</v>
      </c>
      <c r="G735" s="146"/>
      <c r="H735" s="122">
        <v>41481</v>
      </c>
      <c r="I735" s="122">
        <f t="shared" si="216"/>
        <v>40153.608</v>
      </c>
      <c r="J735" s="147">
        <f t="shared" si="217"/>
        <v>32122.886400000003</v>
      </c>
      <c r="K735" s="122"/>
      <c r="L735" s="122">
        <v>0</v>
      </c>
      <c r="M735" s="122">
        <f t="shared" si="218"/>
        <v>0</v>
      </c>
      <c r="N735" s="122">
        <f t="shared" si="219"/>
        <v>0</v>
      </c>
      <c r="O735" s="122"/>
      <c r="P735" s="122">
        <v>0</v>
      </c>
      <c r="Q735" s="122">
        <f t="shared" si="220"/>
        <v>0</v>
      </c>
      <c r="R735" s="147">
        <f t="shared" si="221"/>
        <v>0</v>
      </c>
      <c r="S735" s="145">
        <v>15</v>
      </c>
      <c r="T735" s="144" t="s">
        <v>213</v>
      </c>
      <c r="U735" s="90">
        <f>SUMIF('Avoided Costs 2009-2017'!$A:$A,Actuals!T735&amp;Actuals!S735,'Avoided Costs 2009-2017'!$E:$E)*J735</f>
        <v>108646.20620825839</v>
      </c>
      <c r="V735" s="90">
        <f>SUMIF('Avoided Costs 2009-2017'!$A:$A,Actuals!T735&amp;Actuals!S735,'Avoided Costs 2009-2017'!$K:$K)*N735</f>
        <v>0</v>
      </c>
      <c r="W735" s="90">
        <f>SUMIF('Avoided Costs 2009-2017'!$A:$A,Actuals!T735&amp;Actuals!S735,'Avoided Costs 2009-2017'!$M:$M)*R735</f>
        <v>0</v>
      </c>
      <c r="X735" s="90">
        <f t="shared" si="222"/>
        <v>108646.20620825839</v>
      </c>
      <c r="Y735" s="148">
        <v>8568</v>
      </c>
      <c r="Z735" s="149">
        <f t="shared" si="223"/>
        <v>6854.4000000000005</v>
      </c>
      <c r="AA735" s="148"/>
      <c r="AB735" s="145"/>
      <c r="AC735" s="145"/>
      <c r="AD735" s="148">
        <f t="shared" si="224"/>
        <v>6854.4000000000005</v>
      </c>
      <c r="AE735" s="122">
        <f t="shared" si="225"/>
        <v>101791.80620825839</v>
      </c>
      <c r="AF735" s="167">
        <f t="shared" si="226"/>
        <v>481843.29600000003</v>
      </c>
    </row>
    <row r="736" spans="1:32" s="150" customFormat="1" x14ac:dyDescent="0.2">
      <c r="A736" s="144" t="s">
        <v>730</v>
      </c>
      <c r="B736" s="144"/>
      <c r="C736" s="144"/>
      <c r="D736" s="145">
        <v>1</v>
      </c>
      <c r="E736" s="122"/>
      <c r="F736" s="146">
        <v>0.2</v>
      </c>
      <c r="G736" s="146"/>
      <c r="H736" s="122">
        <v>90727</v>
      </c>
      <c r="I736" s="122">
        <f t="shared" si="216"/>
        <v>87823.736000000004</v>
      </c>
      <c r="J736" s="147">
        <f t="shared" si="217"/>
        <v>70258.988800000006</v>
      </c>
      <c r="K736" s="122"/>
      <c r="L736" s="122">
        <v>0</v>
      </c>
      <c r="M736" s="122">
        <f t="shared" si="218"/>
        <v>0</v>
      </c>
      <c r="N736" s="122">
        <f t="shared" si="219"/>
        <v>0</v>
      </c>
      <c r="O736" s="122"/>
      <c r="P736" s="122">
        <v>0</v>
      </c>
      <c r="Q736" s="122">
        <f t="shared" si="220"/>
        <v>0</v>
      </c>
      <c r="R736" s="147">
        <f t="shared" si="221"/>
        <v>0</v>
      </c>
      <c r="S736" s="145">
        <v>11</v>
      </c>
      <c r="T736" s="144" t="s">
        <v>213</v>
      </c>
      <c r="U736" s="90">
        <f>SUMIF('Avoided Costs 2009-2017'!$A:$A,Actuals!T736&amp;Actuals!S736,'Avoided Costs 2009-2017'!$E:$E)*J736</f>
        <v>196633.20093780346</v>
      </c>
      <c r="V736" s="90">
        <f>SUMIF('Avoided Costs 2009-2017'!$A:$A,Actuals!T736&amp;Actuals!S736,'Avoided Costs 2009-2017'!$K:$K)*N736</f>
        <v>0</v>
      </c>
      <c r="W736" s="90">
        <f>SUMIF('Avoided Costs 2009-2017'!$A:$A,Actuals!T736&amp;Actuals!S736,'Avoided Costs 2009-2017'!$M:$M)*R736</f>
        <v>0</v>
      </c>
      <c r="X736" s="90">
        <f t="shared" si="222"/>
        <v>196633.20093780346</v>
      </c>
      <c r="Y736" s="148">
        <v>52245</v>
      </c>
      <c r="Z736" s="149">
        <f t="shared" si="223"/>
        <v>41796</v>
      </c>
      <c r="AA736" s="148"/>
      <c r="AB736" s="145"/>
      <c r="AC736" s="145"/>
      <c r="AD736" s="148">
        <f t="shared" si="224"/>
        <v>41796</v>
      </c>
      <c r="AE736" s="122">
        <f t="shared" si="225"/>
        <v>154837.20093780346</v>
      </c>
      <c r="AF736" s="167">
        <f t="shared" si="226"/>
        <v>772848.87680000009</v>
      </c>
    </row>
    <row r="737" spans="1:32" s="150" customFormat="1" x14ac:dyDescent="0.2">
      <c r="A737" s="144" t="s">
        <v>731</v>
      </c>
      <c r="B737" s="144"/>
      <c r="C737" s="144"/>
      <c r="D737" s="145">
        <v>0</v>
      </c>
      <c r="E737" s="122"/>
      <c r="F737" s="146">
        <v>0.2</v>
      </c>
      <c r="G737" s="146"/>
      <c r="H737" s="122">
        <v>51646</v>
      </c>
      <c r="I737" s="122">
        <f t="shared" si="216"/>
        <v>49993.328000000001</v>
      </c>
      <c r="J737" s="147">
        <f t="shared" si="217"/>
        <v>39994.662400000001</v>
      </c>
      <c r="K737" s="122"/>
      <c r="L737" s="122">
        <v>0</v>
      </c>
      <c r="M737" s="122">
        <f t="shared" si="218"/>
        <v>0</v>
      </c>
      <c r="N737" s="122">
        <f t="shared" si="219"/>
        <v>0</v>
      </c>
      <c r="O737" s="122"/>
      <c r="P737" s="122">
        <v>0</v>
      </c>
      <c r="Q737" s="122">
        <f t="shared" si="220"/>
        <v>0</v>
      </c>
      <c r="R737" s="147">
        <f t="shared" si="221"/>
        <v>0</v>
      </c>
      <c r="S737" s="145">
        <v>8</v>
      </c>
      <c r="T737" s="144" t="s">
        <v>1176</v>
      </c>
      <c r="U737" s="90">
        <f>SUMIF('Avoided Costs 2009-2017'!$A:$A,Actuals!T737&amp;Actuals!S737,'Avoided Costs 2009-2017'!$E:$E)*J737</f>
        <v>81941.203477990086</v>
      </c>
      <c r="V737" s="90">
        <f>SUMIF('Avoided Costs 2009-2017'!$A:$A,Actuals!T737&amp;Actuals!S737,'Avoided Costs 2009-2017'!$K:$K)*N737</f>
        <v>0</v>
      </c>
      <c r="W737" s="90">
        <f>SUMIF('Avoided Costs 2009-2017'!$A:$A,Actuals!T737&amp;Actuals!S737,'Avoided Costs 2009-2017'!$M:$M)*R737</f>
        <v>0</v>
      </c>
      <c r="X737" s="90">
        <f t="shared" si="222"/>
        <v>81941.203477990086</v>
      </c>
      <c r="Y737" s="148">
        <v>30449</v>
      </c>
      <c r="Z737" s="149">
        <f t="shared" si="223"/>
        <v>24359.200000000001</v>
      </c>
      <c r="AA737" s="148"/>
      <c r="AB737" s="145"/>
      <c r="AC737" s="145"/>
      <c r="AD737" s="148">
        <f t="shared" si="224"/>
        <v>24359.200000000001</v>
      </c>
      <c r="AE737" s="122">
        <f t="shared" si="225"/>
        <v>57582.003477990089</v>
      </c>
      <c r="AF737" s="167">
        <f t="shared" si="226"/>
        <v>319957.29920000001</v>
      </c>
    </row>
    <row r="738" spans="1:32" s="150" customFormat="1" x14ac:dyDescent="0.2">
      <c r="A738" s="144" t="s">
        <v>732</v>
      </c>
      <c r="B738" s="144"/>
      <c r="C738" s="144"/>
      <c r="D738" s="145">
        <v>0</v>
      </c>
      <c r="E738" s="122"/>
      <c r="F738" s="146">
        <v>0.2</v>
      </c>
      <c r="G738" s="146"/>
      <c r="H738" s="122">
        <v>43346</v>
      </c>
      <c r="I738" s="122">
        <f t="shared" si="216"/>
        <v>41958.928</v>
      </c>
      <c r="J738" s="147">
        <f t="shared" si="217"/>
        <v>33567.142400000004</v>
      </c>
      <c r="K738" s="122"/>
      <c r="L738" s="122">
        <v>48925</v>
      </c>
      <c r="M738" s="122">
        <f t="shared" si="218"/>
        <v>43983.575000000004</v>
      </c>
      <c r="N738" s="122">
        <f t="shared" si="219"/>
        <v>35186.860000000008</v>
      </c>
      <c r="O738" s="122"/>
      <c r="P738" s="122">
        <v>0</v>
      </c>
      <c r="Q738" s="122">
        <f t="shared" si="220"/>
        <v>0</v>
      </c>
      <c r="R738" s="147">
        <f t="shared" si="221"/>
        <v>0</v>
      </c>
      <c r="S738" s="145">
        <v>15</v>
      </c>
      <c r="T738" s="144" t="s">
        <v>213</v>
      </c>
      <c r="U738" s="90">
        <f>SUMIF('Avoided Costs 2009-2017'!$A:$A,Actuals!T738&amp;Actuals!S738,'Avoided Costs 2009-2017'!$E:$E)*J738</f>
        <v>113530.9769365051</v>
      </c>
      <c r="V738" s="90">
        <f>SUMIF('Avoided Costs 2009-2017'!$A:$A,Actuals!T738&amp;Actuals!S738,'Avoided Costs 2009-2017'!$K:$K)*N738</f>
        <v>26268.123180292376</v>
      </c>
      <c r="W738" s="90">
        <f>SUMIF('Avoided Costs 2009-2017'!$A:$A,Actuals!T738&amp;Actuals!S738,'Avoided Costs 2009-2017'!$M:$M)*R738</f>
        <v>0</v>
      </c>
      <c r="X738" s="90">
        <f t="shared" si="222"/>
        <v>139799.10011679749</v>
      </c>
      <c r="Y738" s="148">
        <v>8568</v>
      </c>
      <c r="Z738" s="149">
        <f t="shared" si="223"/>
        <v>6854.4000000000005</v>
      </c>
      <c r="AA738" s="148"/>
      <c r="AB738" s="145"/>
      <c r="AC738" s="145"/>
      <c r="AD738" s="148">
        <f t="shared" si="224"/>
        <v>6854.4000000000005</v>
      </c>
      <c r="AE738" s="122">
        <f t="shared" si="225"/>
        <v>132944.7001167975</v>
      </c>
      <c r="AF738" s="167">
        <f t="shared" si="226"/>
        <v>503507.13600000006</v>
      </c>
    </row>
    <row r="739" spans="1:32" s="150" customFormat="1" x14ac:dyDescent="0.2">
      <c r="A739" s="144" t="s">
        <v>733</v>
      </c>
      <c r="B739" s="144"/>
      <c r="C739" s="144"/>
      <c r="D739" s="145">
        <v>1</v>
      </c>
      <c r="E739" s="122"/>
      <c r="F739" s="146">
        <v>0.2</v>
      </c>
      <c r="G739" s="146"/>
      <c r="H739" s="122">
        <v>63934</v>
      </c>
      <c r="I739" s="122">
        <f t="shared" si="216"/>
        <v>61888.112000000001</v>
      </c>
      <c r="J739" s="147">
        <f t="shared" si="217"/>
        <v>49510.489600000001</v>
      </c>
      <c r="K739" s="122"/>
      <c r="L739" s="122">
        <v>0</v>
      </c>
      <c r="M739" s="122">
        <f t="shared" si="218"/>
        <v>0</v>
      </c>
      <c r="N739" s="122">
        <f t="shared" si="219"/>
        <v>0</v>
      </c>
      <c r="O739" s="122"/>
      <c r="P739" s="122">
        <v>0</v>
      </c>
      <c r="Q739" s="122">
        <f t="shared" si="220"/>
        <v>0</v>
      </c>
      <c r="R739" s="147">
        <f t="shared" si="221"/>
        <v>0</v>
      </c>
      <c r="S739" s="145">
        <v>11</v>
      </c>
      <c r="T739" s="144" t="s">
        <v>213</v>
      </c>
      <c r="U739" s="90">
        <f>SUMIF('Avoided Costs 2009-2017'!$A:$A,Actuals!T739&amp;Actuals!S739,'Avoided Costs 2009-2017'!$E:$E)*J739</f>
        <v>138564.56257517083</v>
      </c>
      <c r="V739" s="90">
        <f>SUMIF('Avoided Costs 2009-2017'!$A:$A,Actuals!T739&amp;Actuals!S739,'Avoided Costs 2009-2017'!$K:$K)*N739</f>
        <v>0</v>
      </c>
      <c r="W739" s="90">
        <f>SUMIF('Avoided Costs 2009-2017'!$A:$A,Actuals!T739&amp;Actuals!S739,'Avoided Costs 2009-2017'!$M:$M)*R739</f>
        <v>0</v>
      </c>
      <c r="X739" s="90">
        <f t="shared" si="222"/>
        <v>138564.56257517083</v>
      </c>
      <c r="Y739" s="148">
        <v>52245</v>
      </c>
      <c r="Z739" s="149">
        <f t="shared" si="223"/>
        <v>41796</v>
      </c>
      <c r="AA739" s="148"/>
      <c r="AB739" s="145"/>
      <c r="AC739" s="145"/>
      <c r="AD739" s="148">
        <f t="shared" si="224"/>
        <v>41796</v>
      </c>
      <c r="AE739" s="122">
        <f t="shared" si="225"/>
        <v>96768.562575170828</v>
      </c>
      <c r="AF739" s="167">
        <f t="shared" si="226"/>
        <v>544615.38560000004</v>
      </c>
    </row>
    <row r="740" spans="1:32" s="150" customFormat="1" x14ac:dyDescent="0.2">
      <c r="A740" s="144" t="s">
        <v>734</v>
      </c>
      <c r="B740" s="144"/>
      <c r="C740" s="144"/>
      <c r="D740" s="145">
        <v>0</v>
      </c>
      <c r="E740" s="122"/>
      <c r="F740" s="146">
        <v>0.2</v>
      </c>
      <c r="G740" s="146"/>
      <c r="H740" s="122">
        <v>27259</v>
      </c>
      <c r="I740" s="122">
        <f t="shared" si="216"/>
        <v>26386.712</v>
      </c>
      <c r="J740" s="147">
        <f t="shared" si="217"/>
        <v>21109.369600000002</v>
      </c>
      <c r="K740" s="122"/>
      <c r="L740" s="122">
        <v>0</v>
      </c>
      <c r="M740" s="122">
        <f t="shared" si="218"/>
        <v>0</v>
      </c>
      <c r="N740" s="122">
        <f t="shared" si="219"/>
        <v>0</v>
      </c>
      <c r="O740" s="122"/>
      <c r="P740" s="122">
        <v>0</v>
      </c>
      <c r="Q740" s="122">
        <f t="shared" si="220"/>
        <v>0</v>
      </c>
      <c r="R740" s="147">
        <f t="shared" si="221"/>
        <v>0</v>
      </c>
      <c r="S740" s="145">
        <v>25</v>
      </c>
      <c r="T740" s="144" t="s">
        <v>1176</v>
      </c>
      <c r="U740" s="90">
        <f>SUMIF('Avoided Costs 2009-2017'!$A:$A,Actuals!T740&amp;Actuals!S740,'Avoided Costs 2009-2017'!$E:$E)*J740</f>
        <v>82702.295550087365</v>
      </c>
      <c r="V740" s="90">
        <f>SUMIF('Avoided Costs 2009-2017'!$A:$A,Actuals!T740&amp;Actuals!S740,'Avoided Costs 2009-2017'!$K:$K)*N740</f>
        <v>0</v>
      </c>
      <c r="W740" s="90">
        <f>SUMIF('Avoided Costs 2009-2017'!$A:$A,Actuals!T740&amp;Actuals!S740,'Avoided Costs 2009-2017'!$M:$M)*R740</f>
        <v>0</v>
      </c>
      <c r="X740" s="90">
        <f t="shared" si="222"/>
        <v>82702.295550087365</v>
      </c>
      <c r="Y740" s="148">
        <v>73458</v>
      </c>
      <c r="Z740" s="149">
        <f t="shared" si="223"/>
        <v>58766.400000000001</v>
      </c>
      <c r="AA740" s="148"/>
      <c r="AB740" s="145"/>
      <c r="AC740" s="145"/>
      <c r="AD740" s="148">
        <f t="shared" si="224"/>
        <v>58766.400000000001</v>
      </c>
      <c r="AE740" s="122">
        <f t="shared" si="225"/>
        <v>23935.895550087364</v>
      </c>
      <c r="AF740" s="167">
        <f t="shared" si="226"/>
        <v>527734.24</v>
      </c>
    </row>
    <row r="741" spans="1:32" s="150" customFormat="1" x14ac:dyDescent="0.2">
      <c r="A741" s="144" t="s">
        <v>735</v>
      </c>
      <c r="B741" s="144"/>
      <c r="C741" s="144"/>
      <c r="D741" s="145">
        <v>0</v>
      </c>
      <c r="E741" s="122"/>
      <c r="F741" s="146">
        <v>0.2</v>
      </c>
      <c r="G741" s="146"/>
      <c r="H741" s="122">
        <v>28513</v>
      </c>
      <c r="I741" s="122">
        <f t="shared" si="216"/>
        <v>27600.583999999999</v>
      </c>
      <c r="J741" s="147">
        <f t="shared" si="217"/>
        <v>22080.467199999999</v>
      </c>
      <c r="K741" s="122"/>
      <c r="L741" s="122">
        <v>26046</v>
      </c>
      <c r="M741" s="122">
        <f t="shared" si="218"/>
        <v>23415.353999999999</v>
      </c>
      <c r="N741" s="122">
        <f t="shared" si="219"/>
        <v>18732.283200000002</v>
      </c>
      <c r="O741" s="122"/>
      <c r="P741" s="122">
        <v>0</v>
      </c>
      <c r="Q741" s="122">
        <f t="shared" si="220"/>
        <v>0</v>
      </c>
      <c r="R741" s="147">
        <f t="shared" si="221"/>
        <v>0</v>
      </c>
      <c r="S741" s="145">
        <v>15</v>
      </c>
      <c r="T741" s="144" t="s">
        <v>213</v>
      </c>
      <c r="U741" s="90">
        <f>SUMIF('Avoided Costs 2009-2017'!$A:$A,Actuals!T741&amp;Actuals!S741,'Avoided Costs 2009-2017'!$E:$E)*J741</f>
        <v>74680.679771849056</v>
      </c>
      <c r="V741" s="90">
        <f>SUMIF('Avoided Costs 2009-2017'!$A:$A,Actuals!T741&amp;Actuals!S741,'Avoided Costs 2009-2017'!$K:$K)*N741</f>
        <v>13984.252148265614</v>
      </c>
      <c r="W741" s="90">
        <f>SUMIF('Avoided Costs 2009-2017'!$A:$A,Actuals!T741&amp;Actuals!S741,'Avoided Costs 2009-2017'!$M:$M)*R741</f>
        <v>0</v>
      </c>
      <c r="X741" s="90">
        <f t="shared" si="222"/>
        <v>88664.931920114672</v>
      </c>
      <c r="Y741" s="148">
        <v>48116</v>
      </c>
      <c r="Z741" s="149">
        <f t="shared" si="223"/>
        <v>38492.800000000003</v>
      </c>
      <c r="AA741" s="148"/>
      <c r="AB741" s="145"/>
      <c r="AC741" s="145"/>
      <c r="AD741" s="148">
        <f t="shared" si="224"/>
        <v>38492.800000000003</v>
      </c>
      <c r="AE741" s="122">
        <f t="shared" si="225"/>
        <v>50172.131920114669</v>
      </c>
      <c r="AF741" s="167">
        <f t="shared" si="226"/>
        <v>331207.00799999997</v>
      </c>
    </row>
    <row r="742" spans="1:32" s="150" customFormat="1" x14ac:dyDescent="0.2">
      <c r="A742" s="144" t="s">
        <v>736</v>
      </c>
      <c r="B742" s="144"/>
      <c r="C742" s="144"/>
      <c r="D742" s="145">
        <v>1</v>
      </c>
      <c r="E742" s="122"/>
      <c r="F742" s="146">
        <v>0.2</v>
      </c>
      <c r="G742" s="146"/>
      <c r="H742" s="122">
        <v>24908</v>
      </c>
      <c r="I742" s="122">
        <f t="shared" si="216"/>
        <v>24110.944</v>
      </c>
      <c r="J742" s="147">
        <f t="shared" si="217"/>
        <v>19288.7552</v>
      </c>
      <c r="K742" s="122"/>
      <c r="L742" s="122">
        <v>0</v>
      </c>
      <c r="M742" s="122">
        <f t="shared" si="218"/>
        <v>0</v>
      </c>
      <c r="N742" s="122">
        <f t="shared" si="219"/>
        <v>0</v>
      </c>
      <c r="O742" s="122"/>
      <c r="P742" s="122">
        <v>0</v>
      </c>
      <c r="Q742" s="122">
        <f t="shared" si="220"/>
        <v>0</v>
      </c>
      <c r="R742" s="147">
        <f t="shared" si="221"/>
        <v>0</v>
      </c>
      <c r="S742" s="145">
        <v>25</v>
      </c>
      <c r="T742" s="144" t="s">
        <v>213</v>
      </c>
      <c r="U742" s="90">
        <f>SUMIF('Avoided Costs 2009-2017'!$A:$A,Actuals!T742&amp;Actuals!S742,'Avoided Costs 2009-2017'!$E:$E)*J742</f>
        <v>83043.337758732872</v>
      </c>
      <c r="V742" s="90">
        <f>SUMIF('Avoided Costs 2009-2017'!$A:$A,Actuals!T742&amp;Actuals!S742,'Avoided Costs 2009-2017'!$K:$K)*N742</f>
        <v>0</v>
      </c>
      <c r="W742" s="90">
        <f>SUMIF('Avoided Costs 2009-2017'!$A:$A,Actuals!T742&amp;Actuals!S742,'Avoided Costs 2009-2017'!$M:$M)*R742</f>
        <v>0</v>
      </c>
      <c r="X742" s="90">
        <f t="shared" si="222"/>
        <v>83043.337758732872</v>
      </c>
      <c r="Y742" s="148">
        <v>71550</v>
      </c>
      <c r="Z742" s="149">
        <f t="shared" si="223"/>
        <v>57240</v>
      </c>
      <c r="AA742" s="148"/>
      <c r="AB742" s="145"/>
      <c r="AC742" s="145"/>
      <c r="AD742" s="148">
        <f t="shared" si="224"/>
        <v>57240</v>
      </c>
      <c r="AE742" s="122">
        <f t="shared" si="225"/>
        <v>25803.337758732872</v>
      </c>
      <c r="AF742" s="167">
        <f t="shared" si="226"/>
        <v>482218.88</v>
      </c>
    </row>
    <row r="743" spans="1:32" s="150" customFormat="1" x14ac:dyDescent="0.2">
      <c r="A743" s="144" t="s">
        <v>737</v>
      </c>
      <c r="B743" s="144"/>
      <c r="C743" s="144"/>
      <c r="D743" s="145">
        <v>0</v>
      </c>
      <c r="E743" s="122"/>
      <c r="F743" s="146">
        <v>0.2</v>
      </c>
      <c r="G743" s="146"/>
      <c r="H743" s="122">
        <v>41271</v>
      </c>
      <c r="I743" s="122">
        <f t="shared" si="216"/>
        <v>39950.328000000001</v>
      </c>
      <c r="J743" s="147">
        <f t="shared" si="217"/>
        <v>31960.262400000003</v>
      </c>
      <c r="K743" s="122"/>
      <c r="L743" s="122">
        <v>45960</v>
      </c>
      <c r="M743" s="122">
        <f t="shared" si="218"/>
        <v>41318.04</v>
      </c>
      <c r="N743" s="122">
        <f t="shared" si="219"/>
        <v>33054.432000000001</v>
      </c>
      <c r="O743" s="122"/>
      <c r="P743" s="122">
        <v>0</v>
      </c>
      <c r="Q743" s="122">
        <f t="shared" si="220"/>
        <v>0</v>
      </c>
      <c r="R743" s="147">
        <f t="shared" si="221"/>
        <v>0</v>
      </c>
      <c r="S743" s="145">
        <v>15</v>
      </c>
      <c r="T743" s="144" t="s">
        <v>213</v>
      </c>
      <c r="U743" s="90">
        <f>SUMIF('Avoided Costs 2009-2017'!$A:$A,Actuals!T743&amp;Actuals!S743,'Avoided Costs 2009-2017'!$E:$E)*J743</f>
        <v>108096.17840507779</v>
      </c>
      <c r="V743" s="90">
        <f>SUMIF('Avoided Costs 2009-2017'!$A:$A,Actuals!T743&amp;Actuals!S743,'Avoided Costs 2009-2017'!$K:$K)*N743</f>
        <v>24676.197064205156</v>
      </c>
      <c r="W743" s="90">
        <f>SUMIF('Avoided Costs 2009-2017'!$A:$A,Actuals!T743&amp;Actuals!S743,'Avoided Costs 2009-2017'!$M:$M)*R743</f>
        <v>0</v>
      </c>
      <c r="X743" s="90">
        <f t="shared" si="222"/>
        <v>132772.37546928294</v>
      </c>
      <c r="Y743" s="148">
        <v>10000</v>
      </c>
      <c r="Z743" s="149">
        <f t="shared" si="223"/>
        <v>8000</v>
      </c>
      <c r="AA743" s="148"/>
      <c r="AB743" s="145"/>
      <c r="AC743" s="145"/>
      <c r="AD743" s="148">
        <f t="shared" si="224"/>
        <v>8000</v>
      </c>
      <c r="AE743" s="122">
        <f t="shared" si="225"/>
        <v>124772.37546928294</v>
      </c>
      <c r="AF743" s="167">
        <f t="shared" si="226"/>
        <v>479403.93600000005</v>
      </c>
    </row>
    <row r="744" spans="1:32" s="150" customFormat="1" x14ac:dyDescent="0.2">
      <c r="A744" s="144" t="s">
        <v>738</v>
      </c>
      <c r="B744" s="144"/>
      <c r="C744" s="144"/>
      <c r="D744" s="145">
        <v>1</v>
      </c>
      <c r="E744" s="122"/>
      <c r="F744" s="146">
        <v>0.2</v>
      </c>
      <c r="G744" s="146"/>
      <c r="H744" s="122">
        <v>77795</v>
      </c>
      <c r="I744" s="122">
        <f t="shared" si="216"/>
        <v>75305.56</v>
      </c>
      <c r="J744" s="147">
        <f t="shared" si="217"/>
        <v>60244.448000000004</v>
      </c>
      <c r="K744" s="122"/>
      <c r="L744" s="122">
        <v>0</v>
      </c>
      <c r="M744" s="122">
        <f t="shared" si="218"/>
        <v>0</v>
      </c>
      <c r="N744" s="122">
        <f t="shared" si="219"/>
        <v>0</v>
      </c>
      <c r="O744" s="122"/>
      <c r="P744" s="122">
        <v>0</v>
      </c>
      <c r="Q744" s="122">
        <f t="shared" si="220"/>
        <v>0</v>
      </c>
      <c r="R744" s="147">
        <f t="shared" si="221"/>
        <v>0</v>
      </c>
      <c r="S744" s="145">
        <v>11</v>
      </c>
      <c r="T744" s="144" t="s">
        <v>213</v>
      </c>
      <c r="U744" s="90">
        <f>SUMIF('Avoided Costs 2009-2017'!$A:$A,Actuals!T744&amp;Actuals!S744,'Avoided Costs 2009-2017'!$E:$E)*J744</f>
        <v>168605.59554439603</v>
      </c>
      <c r="V744" s="90">
        <f>SUMIF('Avoided Costs 2009-2017'!$A:$A,Actuals!T744&amp;Actuals!S744,'Avoided Costs 2009-2017'!$K:$K)*N744</f>
        <v>0</v>
      </c>
      <c r="W744" s="90">
        <f>SUMIF('Avoided Costs 2009-2017'!$A:$A,Actuals!T744&amp;Actuals!S744,'Avoided Costs 2009-2017'!$M:$M)*R744</f>
        <v>0</v>
      </c>
      <c r="X744" s="90">
        <f t="shared" si="222"/>
        <v>168605.59554439603</v>
      </c>
      <c r="Y744" s="148">
        <v>28272</v>
      </c>
      <c r="Z744" s="149">
        <f t="shared" si="223"/>
        <v>22617.600000000002</v>
      </c>
      <c r="AA744" s="148"/>
      <c r="AB744" s="145"/>
      <c r="AC744" s="145"/>
      <c r="AD744" s="148">
        <f t="shared" si="224"/>
        <v>22617.600000000002</v>
      </c>
      <c r="AE744" s="122">
        <f t="shared" si="225"/>
        <v>145987.99554439602</v>
      </c>
      <c r="AF744" s="167">
        <f t="shared" si="226"/>
        <v>662688.92800000007</v>
      </c>
    </row>
    <row r="745" spans="1:32" s="150" customFormat="1" x14ac:dyDescent="0.2">
      <c r="A745" s="144" t="s">
        <v>739</v>
      </c>
      <c r="B745" s="144"/>
      <c r="C745" s="144"/>
      <c r="D745" s="145">
        <v>1</v>
      </c>
      <c r="E745" s="122"/>
      <c r="F745" s="146">
        <v>0.2</v>
      </c>
      <c r="G745" s="146"/>
      <c r="H745" s="122">
        <v>17793</v>
      </c>
      <c r="I745" s="122">
        <f t="shared" si="216"/>
        <v>17223.624</v>
      </c>
      <c r="J745" s="147">
        <f t="shared" si="217"/>
        <v>13778.8992</v>
      </c>
      <c r="K745" s="122"/>
      <c r="L745" s="122">
        <v>32147</v>
      </c>
      <c r="M745" s="122">
        <f t="shared" si="218"/>
        <v>28900.153000000002</v>
      </c>
      <c r="N745" s="122">
        <f t="shared" si="219"/>
        <v>23120.122400000004</v>
      </c>
      <c r="O745" s="122"/>
      <c r="P745" s="122">
        <v>0</v>
      </c>
      <c r="Q745" s="122">
        <f t="shared" si="220"/>
        <v>0</v>
      </c>
      <c r="R745" s="147">
        <f t="shared" si="221"/>
        <v>0</v>
      </c>
      <c r="S745" s="145">
        <v>15</v>
      </c>
      <c r="T745" s="144" t="s">
        <v>213</v>
      </c>
      <c r="U745" s="90">
        <f>SUMIF('Avoided Costs 2009-2017'!$A:$A,Actuals!T745&amp;Actuals!S745,'Avoided Costs 2009-2017'!$E:$E)*J745</f>
        <v>46603.070009487266</v>
      </c>
      <c r="V745" s="90">
        <f>SUMIF('Avoided Costs 2009-2017'!$A:$A,Actuals!T745&amp;Actuals!S745,'Avoided Costs 2009-2017'!$K:$K)*N745</f>
        <v>17259.915296409996</v>
      </c>
      <c r="W745" s="90">
        <f>SUMIF('Avoided Costs 2009-2017'!$A:$A,Actuals!T745&amp;Actuals!S745,'Avoided Costs 2009-2017'!$M:$M)*R745</f>
        <v>0</v>
      </c>
      <c r="X745" s="90">
        <f t="shared" si="222"/>
        <v>63862.985305897266</v>
      </c>
      <c r="Y745" s="148">
        <v>5990</v>
      </c>
      <c r="Z745" s="149">
        <f t="shared" si="223"/>
        <v>4792</v>
      </c>
      <c r="AA745" s="148"/>
      <c r="AB745" s="145"/>
      <c r="AC745" s="145"/>
      <c r="AD745" s="148">
        <f t="shared" si="224"/>
        <v>4792</v>
      </c>
      <c r="AE745" s="122">
        <f t="shared" si="225"/>
        <v>59070.985305897266</v>
      </c>
      <c r="AF745" s="167">
        <f t="shared" si="226"/>
        <v>206683.48800000001</v>
      </c>
    </row>
    <row r="746" spans="1:32" s="150" customFormat="1" x14ac:dyDescent="0.2">
      <c r="A746" s="144" t="s">
        <v>740</v>
      </c>
      <c r="B746" s="144"/>
      <c r="C746" s="144"/>
      <c r="D746" s="145">
        <v>1</v>
      </c>
      <c r="E746" s="122"/>
      <c r="F746" s="146">
        <v>0.2</v>
      </c>
      <c r="G746" s="146"/>
      <c r="H746" s="122">
        <v>20146</v>
      </c>
      <c r="I746" s="122">
        <f t="shared" si="216"/>
        <v>19501.327999999998</v>
      </c>
      <c r="J746" s="147">
        <f t="shared" si="217"/>
        <v>15601.062399999999</v>
      </c>
      <c r="K746" s="122"/>
      <c r="L746" s="122">
        <v>0</v>
      </c>
      <c r="M746" s="122">
        <f t="shared" si="218"/>
        <v>0</v>
      </c>
      <c r="N746" s="122">
        <f t="shared" si="219"/>
        <v>0</v>
      </c>
      <c r="O746" s="122"/>
      <c r="P746" s="122">
        <v>0</v>
      </c>
      <c r="Q746" s="122">
        <f t="shared" si="220"/>
        <v>0</v>
      </c>
      <c r="R746" s="147">
        <f t="shared" si="221"/>
        <v>0</v>
      </c>
      <c r="S746" s="145">
        <v>15</v>
      </c>
      <c r="T746" s="144" t="s">
        <v>213</v>
      </c>
      <c r="U746" s="90">
        <f>SUMIF('Avoided Costs 2009-2017'!$A:$A,Actuals!T746&amp;Actuals!S746,'Avoided Costs 2009-2017'!$E:$E)*J746</f>
        <v>52766.000585125068</v>
      </c>
      <c r="V746" s="90">
        <f>SUMIF('Avoided Costs 2009-2017'!$A:$A,Actuals!T746&amp;Actuals!S746,'Avoided Costs 2009-2017'!$K:$K)*N746</f>
        <v>0</v>
      </c>
      <c r="W746" s="90">
        <f>SUMIF('Avoided Costs 2009-2017'!$A:$A,Actuals!T746&amp;Actuals!S746,'Avoided Costs 2009-2017'!$M:$M)*R746</f>
        <v>0</v>
      </c>
      <c r="X746" s="90">
        <f t="shared" si="222"/>
        <v>52766.000585125068</v>
      </c>
      <c r="Y746" s="148">
        <v>27866</v>
      </c>
      <c r="Z746" s="149">
        <f t="shared" si="223"/>
        <v>22292.800000000003</v>
      </c>
      <c r="AA746" s="148"/>
      <c r="AB746" s="145"/>
      <c r="AC746" s="145"/>
      <c r="AD746" s="148">
        <f t="shared" si="224"/>
        <v>22292.800000000003</v>
      </c>
      <c r="AE746" s="122">
        <f t="shared" si="225"/>
        <v>30473.200585125065</v>
      </c>
      <c r="AF746" s="167">
        <f t="shared" si="226"/>
        <v>234015.93599999999</v>
      </c>
    </row>
    <row r="747" spans="1:32" s="150" customFormat="1" x14ac:dyDescent="0.2">
      <c r="A747" s="144" t="s">
        <v>741</v>
      </c>
      <c r="B747" s="144"/>
      <c r="C747" s="144"/>
      <c r="D747" s="145">
        <v>1</v>
      </c>
      <c r="E747" s="122"/>
      <c r="F747" s="146">
        <v>0.2</v>
      </c>
      <c r="G747" s="146"/>
      <c r="H747" s="122">
        <v>31569</v>
      </c>
      <c r="I747" s="122">
        <f t="shared" si="216"/>
        <v>30558.791999999998</v>
      </c>
      <c r="J747" s="147">
        <f t="shared" si="217"/>
        <v>24447.033599999999</v>
      </c>
      <c r="K747" s="122"/>
      <c r="L747" s="122">
        <v>0</v>
      </c>
      <c r="M747" s="122">
        <f t="shared" si="218"/>
        <v>0</v>
      </c>
      <c r="N747" s="122">
        <f t="shared" si="219"/>
        <v>0</v>
      </c>
      <c r="O747" s="122"/>
      <c r="P747" s="122">
        <v>0</v>
      </c>
      <c r="Q747" s="122">
        <f t="shared" si="220"/>
        <v>0</v>
      </c>
      <c r="R747" s="147">
        <f t="shared" si="221"/>
        <v>0</v>
      </c>
      <c r="S747" s="145">
        <v>15</v>
      </c>
      <c r="T747" s="144" t="s">
        <v>213</v>
      </c>
      <c r="U747" s="90">
        <f>SUMIF('Avoided Costs 2009-2017'!$A:$A,Actuals!T747&amp;Actuals!S747,'Avoided Costs 2009-2017'!$E:$E)*J747</f>
        <v>82684.89389813428</v>
      </c>
      <c r="V747" s="90">
        <f>SUMIF('Avoided Costs 2009-2017'!$A:$A,Actuals!T747&amp;Actuals!S747,'Avoided Costs 2009-2017'!$K:$K)*N747</f>
        <v>0</v>
      </c>
      <c r="W747" s="90">
        <f>SUMIF('Avoided Costs 2009-2017'!$A:$A,Actuals!T747&amp;Actuals!S747,'Avoided Costs 2009-2017'!$M:$M)*R747</f>
        <v>0</v>
      </c>
      <c r="X747" s="90">
        <f t="shared" si="222"/>
        <v>82684.89389813428</v>
      </c>
      <c r="Y747" s="148">
        <v>41546</v>
      </c>
      <c r="Z747" s="149">
        <f t="shared" si="223"/>
        <v>33236.800000000003</v>
      </c>
      <c r="AA747" s="148"/>
      <c r="AB747" s="145"/>
      <c r="AC747" s="145"/>
      <c r="AD747" s="148">
        <f t="shared" si="224"/>
        <v>33236.800000000003</v>
      </c>
      <c r="AE747" s="122">
        <f t="shared" si="225"/>
        <v>49448.093898134277</v>
      </c>
      <c r="AF747" s="167">
        <f t="shared" si="226"/>
        <v>366705.50399999996</v>
      </c>
    </row>
    <row r="748" spans="1:32" s="150" customFormat="1" x14ac:dyDescent="0.2">
      <c r="A748" s="144" t="s">
        <v>742</v>
      </c>
      <c r="B748" s="144"/>
      <c r="C748" s="144"/>
      <c r="D748" s="145">
        <v>1</v>
      </c>
      <c r="E748" s="122"/>
      <c r="F748" s="146">
        <v>0.2</v>
      </c>
      <c r="G748" s="146"/>
      <c r="H748" s="122">
        <v>36712</v>
      </c>
      <c r="I748" s="122">
        <f t="shared" si="216"/>
        <v>35537.216</v>
      </c>
      <c r="J748" s="147">
        <f t="shared" si="217"/>
        <v>28429.772800000002</v>
      </c>
      <c r="K748" s="122"/>
      <c r="L748" s="122">
        <v>0</v>
      </c>
      <c r="M748" s="122">
        <f t="shared" si="218"/>
        <v>0</v>
      </c>
      <c r="N748" s="122">
        <f t="shared" si="219"/>
        <v>0</v>
      </c>
      <c r="O748" s="122"/>
      <c r="P748" s="122">
        <v>0</v>
      </c>
      <c r="Q748" s="122">
        <f t="shared" si="220"/>
        <v>0</v>
      </c>
      <c r="R748" s="147">
        <f t="shared" si="221"/>
        <v>0</v>
      </c>
      <c r="S748" s="145">
        <v>11</v>
      </c>
      <c r="T748" s="144" t="s">
        <v>213</v>
      </c>
      <c r="U748" s="90">
        <f>SUMIF('Avoided Costs 2009-2017'!$A:$A,Actuals!T748&amp;Actuals!S748,'Avoided Costs 2009-2017'!$E:$E)*J748</f>
        <v>79566.149799162769</v>
      </c>
      <c r="V748" s="90">
        <f>SUMIF('Avoided Costs 2009-2017'!$A:$A,Actuals!T748&amp;Actuals!S748,'Avoided Costs 2009-2017'!$K:$K)*N748</f>
        <v>0</v>
      </c>
      <c r="W748" s="90">
        <f>SUMIF('Avoided Costs 2009-2017'!$A:$A,Actuals!T748&amp;Actuals!S748,'Avoided Costs 2009-2017'!$M:$M)*R748</f>
        <v>0</v>
      </c>
      <c r="X748" s="90">
        <f t="shared" si="222"/>
        <v>79566.149799162769</v>
      </c>
      <c r="Y748" s="148">
        <v>81090</v>
      </c>
      <c r="Z748" s="149">
        <f t="shared" si="223"/>
        <v>64872</v>
      </c>
      <c r="AA748" s="148"/>
      <c r="AB748" s="145"/>
      <c r="AC748" s="145"/>
      <c r="AD748" s="148">
        <f t="shared" si="224"/>
        <v>64872</v>
      </c>
      <c r="AE748" s="122">
        <f t="shared" si="225"/>
        <v>14694.149799162769</v>
      </c>
      <c r="AF748" s="167">
        <f t="shared" si="226"/>
        <v>312727.50080000004</v>
      </c>
    </row>
    <row r="749" spans="1:32" s="150" customFormat="1" x14ac:dyDescent="0.2">
      <c r="A749" s="144" t="s">
        <v>743</v>
      </c>
      <c r="B749" s="144"/>
      <c r="C749" s="144"/>
      <c r="D749" s="145">
        <v>1</v>
      </c>
      <c r="E749" s="122"/>
      <c r="F749" s="146">
        <v>0.2</v>
      </c>
      <c r="G749" s="146"/>
      <c r="H749" s="122">
        <v>155811</v>
      </c>
      <c r="I749" s="122">
        <f t="shared" si="216"/>
        <v>150825.04800000001</v>
      </c>
      <c r="J749" s="147">
        <f t="shared" si="217"/>
        <v>120660.03840000002</v>
      </c>
      <c r="K749" s="122"/>
      <c r="L749" s="122">
        <v>0</v>
      </c>
      <c r="M749" s="122">
        <f t="shared" si="218"/>
        <v>0</v>
      </c>
      <c r="N749" s="122">
        <f t="shared" si="219"/>
        <v>0</v>
      </c>
      <c r="O749" s="122"/>
      <c r="P749" s="122">
        <v>0</v>
      </c>
      <c r="Q749" s="122">
        <f t="shared" si="220"/>
        <v>0</v>
      </c>
      <c r="R749" s="147">
        <f t="shared" si="221"/>
        <v>0</v>
      </c>
      <c r="S749" s="145">
        <v>11</v>
      </c>
      <c r="T749" s="144" t="s">
        <v>213</v>
      </c>
      <c r="U749" s="90">
        <f>SUMIF('Avoided Costs 2009-2017'!$A:$A,Actuals!T749&amp;Actuals!S749,'Avoided Costs 2009-2017'!$E:$E)*J749</f>
        <v>337690.16578659159</v>
      </c>
      <c r="V749" s="90">
        <f>SUMIF('Avoided Costs 2009-2017'!$A:$A,Actuals!T749&amp;Actuals!S749,'Avoided Costs 2009-2017'!$K:$K)*N749</f>
        <v>0</v>
      </c>
      <c r="W749" s="90">
        <f>SUMIF('Avoided Costs 2009-2017'!$A:$A,Actuals!T749&amp;Actuals!S749,'Avoided Costs 2009-2017'!$M:$M)*R749</f>
        <v>0</v>
      </c>
      <c r="X749" s="90">
        <f t="shared" si="222"/>
        <v>337690.16578659159</v>
      </c>
      <c r="Y749" s="148">
        <v>80004</v>
      </c>
      <c r="Z749" s="149">
        <f t="shared" si="223"/>
        <v>64003.200000000004</v>
      </c>
      <c r="AA749" s="148"/>
      <c r="AB749" s="145"/>
      <c r="AC749" s="145"/>
      <c r="AD749" s="148">
        <f t="shared" si="224"/>
        <v>64003.200000000004</v>
      </c>
      <c r="AE749" s="122">
        <f t="shared" si="225"/>
        <v>273686.96578659158</v>
      </c>
      <c r="AF749" s="167">
        <f t="shared" si="226"/>
        <v>1327260.4224000003</v>
      </c>
    </row>
    <row r="750" spans="1:32" s="150" customFormat="1" x14ac:dyDescent="0.2">
      <c r="A750" s="144" t="s">
        <v>744</v>
      </c>
      <c r="B750" s="144"/>
      <c r="C750" s="144"/>
      <c r="D750" s="145">
        <v>1</v>
      </c>
      <c r="E750" s="122"/>
      <c r="F750" s="146">
        <v>0.2</v>
      </c>
      <c r="G750" s="146"/>
      <c r="H750" s="122">
        <v>16031</v>
      </c>
      <c r="I750" s="122">
        <f t="shared" si="216"/>
        <v>15518.008</v>
      </c>
      <c r="J750" s="147">
        <f t="shared" si="217"/>
        <v>12414.4064</v>
      </c>
      <c r="K750" s="122"/>
      <c r="L750" s="122">
        <v>0</v>
      </c>
      <c r="M750" s="122">
        <f t="shared" si="218"/>
        <v>0</v>
      </c>
      <c r="N750" s="122">
        <f t="shared" si="219"/>
        <v>0</v>
      </c>
      <c r="O750" s="122"/>
      <c r="P750" s="122">
        <v>0</v>
      </c>
      <c r="Q750" s="122">
        <f t="shared" si="220"/>
        <v>0</v>
      </c>
      <c r="R750" s="147">
        <f t="shared" si="221"/>
        <v>0</v>
      </c>
      <c r="S750" s="145">
        <v>25</v>
      </c>
      <c r="T750" s="144" t="s">
        <v>1176</v>
      </c>
      <c r="U750" s="90">
        <f>SUMIF('Avoided Costs 2009-2017'!$A:$A,Actuals!T750&amp;Actuals!S750,'Avoided Costs 2009-2017'!$E:$E)*J750</f>
        <v>48637.165705398234</v>
      </c>
      <c r="V750" s="90">
        <f>SUMIF('Avoided Costs 2009-2017'!$A:$A,Actuals!T750&amp;Actuals!S750,'Avoided Costs 2009-2017'!$K:$K)*N750</f>
        <v>0</v>
      </c>
      <c r="W750" s="90">
        <f>SUMIF('Avoided Costs 2009-2017'!$A:$A,Actuals!T750&amp;Actuals!S750,'Avoided Costs 2009-2017'!$M:$M)*R750</f>
        <v>0</v>
      </c>
      <c r="X750" s="90">
        <f t="shared" si="222"/>
        <v>48637.165705398234</v>
      </c>
      <c r="Y750" s="148">
        <v>24925</v>
      </c>
      <c r="Z750" s="149">
        <f t="shared" si="223"/>
        <v>19940</v>
      </c>
      <c r="AA750" s="148"/>
      <c r="AB750" s="145"/>
      <c r="AC750" s="145"/>
      <c r="AD750" s="148">
        <f t="shared" si="224"/>
        <v>19940</v>
      </c>
      <c r="AE750" s="122">
        <f t="shared" si="225"/>
        <v>28697.165705398234</v>
      </c>
      <c r="AF750" s="167">
        <f t="shared" si="226"/>
        <v>310360.15999999997</v>
      </c>
    </row>
    <row r="751" spans="1:32" s="150" customFormat="1" x14ac:dyDescent="0.2">
      <c r="A751" s="144" t="s">
        <v>745</v>
      </c>
      <c r="B751" s="144"/>
      <c r="C751" s="144"/>
      <c r="D751" s="145">
        <v>0</v>
      </c>
      <c r="E751" s="122"/>
      <c r="F751" s="146">
        <v>0.2</v>
      </c>
      <c r="G751" s="146"/>
      <c r="H751" s="122">
        <v>9530</v>
      </c>
      <c r="I751" s="122">
        <f t="shared" si="216"/>
        <v>9225.0399999999991</v>
      </c>
      <c r="J751" s="147">
        <f t="shared" si="217"/>
        <v>7380.0319999999992</v>
      </c>
      <c r="K751" s="122"/>
      <c r="L751" s="122">
        <v>0</v>
      </c>
      <c r="M751" s="122">
        <f t="shared" si="218"/>
        <v>0</v>
      </c>
      <c r="N751" s="122">
        <f t="shared" si="219"/>
        <v>0</v>
      </c>
      <c r="O751" s="122"/>
      <c r="P751" s="122">
        <v>0</v>
      </c>
      <c r="Q751" s="122">
        <f t="shared" si="220"/>
        <v>0</v>
      </c>
      <c r="R751" s="147">
        <f t="shared" si="221"/>
        <v>0</v>
      </c>
      <c r="S751" s="145">
        <v>15</v>
      </c>
      <c r="T751" s="144" t="s">
        <v>1176</v>
      </c>
      <c r="U751" s="90">
        <f>SUMIF('Avoided Costs 2009-2017'!$A:$A,Actuals!T751&amp;Actuals!S751,'Avoided Costs 2009-2017'!$E:$E)*J751</f>
        <v>22734.099243042871</v>
      </c>
      <c r="V751" s="90">
        <f>SUMIF('Avoided Costs 2009-2017'!$A:$A,Actuals!T751&amp;Actuals!S751,'Avoided Costs 2009-2017'!$K:$K)*N751</f>
        <v>0</v>
      </c>
      <c r="W751" s="90">
        <f>SUMIF('Avoided Costs 2009-2017'!$A:$A,Actuals!T751&amp;Actuals!S751,'Avoided Costs 2009-2017'!$M:$M)*R751</f>
        <v>0</v>
      </c>
      <c r="X751" s="90">
        <f t="shared" si="222"/>
        <v>22734.099243042871</v>
      </c>
      <c r="Y751" s="148">
        <v>4550</v>
      </c>
      <c r="Z751" s="149">
        <f t="shared" si="223"/>
        <v>3640</v>
      </c>
      <c r="AA751" s="148"/>
      <c r="AB751" s="145"/>
      <c r="AC751" s="145"/>
      <c r="AD751" s="148">
        <f t="shared" si="224"/>
        <v>3640</v>
      </c>
      <c r="AE751" s="122">
        <f t="shared" si="225"/>
        <v>19094.099243042871</v>
      </c>
      <c r="AF751" s="167">
        <f t="shared" si="226"/>
        <v>110700.47999999998</v>
      </c>
    </row>
    <row r="752" spans="1:32" s="150" customFormat="1" x14ac:dyDescent="0.2">
      <c r="A752" s="144" t="s">
        <v>746</v>
      </c>
      <c r="B752" s="144"/>
      <c r="C752" s="144"/>
      <c r="D752" s="145">
        <v>1</v>
      </c>
      <c r="E752" s="122"/>
      <c r="F752" s="146">
        <v>0.2</v>
      </c>
      <c r="G752" s="146"/>
      <c r="H752" s="122">
        <v>75633</v>
      </c>
      <c r="I752" s="122">
        <f t="shared" ref="I752:I815" si="227">+$H$68*H752</f>
        <v>73212.743999999992</v>
      </c>
      <c r="J752" s="147">
        <f t="shared" ref="J752:J815" si="228">I752*(1-F752)</f>
        <v>58570.195199999995</v>
      </c>
      <c r="K752" s="122"/>
      <c r="L752" s="122">
        <v>0</v>
      </c>
      <c r="M752" s="122">
        <f t="shared" ref="M752:M815" si="229">+$L$68*L752</f>
        <v>0</v>
      </c>
      <c r="N752" s="122">
        <f t="shared" ref="N752:N815" si="230">M752*(1-F752)</f>
        <v>0</v>
      </c>
      <c r="O752" s="122"/>
      <c r="P752" s="122">
        <v>0</v>
      </c>
      <c r="Q752" s="122">
        <f t="shared" ref="Q752:Q815" si="231">+P752*$P$68</f>
        <v>0</v>
      </c>
      <c r="R752" s="147">
        <f t="shared" ref="R752:R815" si="232">Q752*(1-F752)</f>
        <v>0</v>
      </c>
      <c r="S752" s="145">
        <v>25</v>
      </c>
      <c r="T752" s="144" t="s">
        <v>213</v>
      </c>
      <c r="U752" s="90">
        <f>SUMIF('Avoided Costs 2009-2017'!$A:$A,Actuals!T752&amp;Actuals!S752,'Avoided Costs 2009-2017'!$E:$E)*J752</f>
        <v>252160.62167601744</v>
      </c>
      <c r="V752" s="90">
        <f>SUMIF('Avoided Costs 2009-2017'!$A:$A,Actuals!T752&amp;Actuals!S752,'Avoided Costs 2009-2017'!$K:$K)*N752</f>
        <v>0</v>
      </c>
      <c r="W752" s="90">
        <f>SUMIF('Avoided Costs 2009-2017'!$A:$A,Actuals!T752&amp;Actuals!S752,'Avoided Costs 2009-2017'!$M:$M)*R752</f>
        <v>0</v>
      </c>
      <c r="X752" s="90">
        <f t="shared" ref="X752:X815" si="233">SUM(U752:W752)</f>
        <v>252160.62167601744</v>
      </c>
      <c r="Y752" s="148">
        <v>145149</v>
      </c>
      <c r="Z752" s="149">
        <f t="shared" ref="Z752:Z815" si="234">Y752*(1-F752)</f>
        <v>116119.20000000001</v>
      </c>
      <c r="AA752" s="148"/>
      <c r="AB752" s="145"/>
      <c r="AC752" s="145"/>
      <c r="AD752" s="148">
        <f t="shared" ref="AD752:AD815" si="235">Z752+AB752</f>
        <v>116119.20000000001</v>
      </c>
      <c r="AE752" s="122">
        <f t="shared" ref="AE752:AE815" si="236">X752-AD752</f>
        <v>136041.42167601743</v>
      </c>
      <c r="AF752" s="167">
        <f t="shared" ref="AF752:AF815" si="237">J752*S752</f>
        <v>1464254.88</v>
      </c>
    </row>
    <row r="753" spans="1:32" s="150" customFormat="1" x14ac:dyDescent="0.2">
      <c r="A753" s="144" t="s">
        <v>747</v>
      </c>
      <c r="B753" s="144"/>
      <c r="C753" s="144"/>
      <c r="D753" s="145">
        <v>0</v>
      </c>
      <c r="E753" s="122"/>
      <c r="F753" s="146">
        <v>0.2</v>
      </c>
      <c r="G753" s="146"/>
      <c r="H753" s="122">
        <v>23155</v>
      </c>
      <c r="I753" s="122">
        <f t="shared" si="227"/>
        <v>22414.04</v>
      </c>
      <c r="J753" s="147">
        <f t="shared" si="228"/>
        <v>17931.232</v>
      </c>
      <c r="K753" s="122"/>
      <c r="L753" s="122">
        <v>0</v>
      </c>
      <c r="M753" s="122">
        <f t="shared" si="229"/>
        <v>0</v>
      </c>
      <c r="N753" s="122">
        <f t="shared" si="230"/>
        <v>0</v>
      </c>
      <c r="O753" s="122"/>
      <c r="P753" s="122">
        <v>0</v>
      </c>
      <c r="Q753" s="122">
        <f t="shared" si="231"/>
        <v>0</v>
      </c>
      <c r="R753" s="147">
        <f t="shared" si="232"/>
        <v>0</v>
      </c>
      <c r="S753" s="145">
        <v>8</v>
      </c>
      <c r="T753" s="144" t="s">
        <v>1176</v>
      </c>
      <c r="U753" s="90">
        <f>SUMIF('Avoided Costs 2009-2017'!$A:$A,Actuals!T753&amp;Actuals!S753,'Avoided Costs 2009-2017'!$E:$E)*J753</f>
        <v>36737.570509484962</v>
      </c>
      <c r="V753" s="90">
        <f>SUMIF('Avoided Costs 2009-2017'!$A:$A,Actuals!T753&amp;Actuals!S753,'Avoided Costs 2009-2017'!$K:$K)*N753</f>
        <v>0</v>
      </c>
      <c r="W753" s="90">
        <f>SUMIF('Avoided Costs 2009-2017'!$A:$A,Actuals!T753&amp;Actuals!S753,'Avoided Costs 2009-2017'!$M:$M)*R753</f>
        <v>0</v>
      </c>
      <c r="X753" s="90">
        <f t="shared" si="233"/>
        <v>36737.570509484962</v>
      </c>
      <c r="Y753" s="148">
        <v>19080</v>
      </c>
      <c r="Z753" s="149">
        <f t="shared" si="234"/>
        <v>15264</v>
      </c>
      <c r="AA753" s="148"/>
      <c r="AB753" s="145"/>
      <c r="AC753" s="145"/>
      <c r="AD753" s="148">
        <f t="shared" si="235"/>
        <v>15264</v>
      </c>
      <c r="AE753" s="122">
        <f t="shared" si="236"/>
        <v>21473.570509484962</v>
      </c>
      <c r="AF753" s="167">
        <f t="shared" si="237"/>
        <v>143449.856</v>
      </c>
    </row>
    <row r="754" spans="1:32" s="150" customFormat="1" x14ac:dyDescent="0.2">
      <c r="A754" s="144" t="s">
        <v>748</v>
      </c>
      <c r="B754" s="144"/>
      <c r="C754" s="144"/>
      <c r="D754" s="145">
        <v>1</v>
      </c>
      <c r="E754" s="122"/>
      <c r="F754" s="146">
        <v>0.2</v>
      </c>
      <c r="G754" s="146"/>
      <c r="H754" s="122">
        <v>75967</v>
      </c>
      <c r="I754" s="122">
        <f t="shared" si="227"/>
        <v>73536.055999999997</v>
      </c>
      <c r="J754" s="147">
        <f t="shared" si="228"/>
        <v>58828.844799999999</v>
      </c>
      <c r="K754" s="122"/>
      <c r="L754" s="122">
        <v>0</v>
      </c>
      <c r="M754" s="122">
        <f t="shared" si="229"/>
        <v>0</v>
      </c>
      <c r="N754" s="122">
        <f t="shared" si="230"/>
        <v>0</v>
      </c>
      <c r="O754" s="122"/>
      <c r="P754" s="122">
        <v>0</v>
      </c>
      <c r="Q754" s="122">
        <f t="shared" si="231"/>
        <v>0</v>
      </c>
      <c r="R754" s="147">
        <f t="shared" si="232"/>
        <v>0</v>
      </c>
      <c r="S754" s="145">
        <v>11</v>
      </c>
      <c r="T754" s="144" t="s">
        <v>213</v>
      </c>
      <c r="U754" s="90">
        <f>SUMIF('Avoided Costs 2009-2017'!$A:$A,Actuals!T754&amp;Actuals!S754,'Avoided Costs 2009-2017'!$E:$E)*J754</f>
        <v>164643.75958250699</v>
      </c>
      <c r="V754" s="90">
        <f>SUMIF('Avoided Costs 2009-2017'!$A:$A,Actuals!T754&amp;Actuals!S754,'Avoided Costs 2009-2017'!$K:$K)*N754</f>
        <v>0</v>
      </c>
      <c r="W754" s="90">
        <f>SUMIF('Avoided Costs 2009-2017'!$A:$A,Actuals!T754&amp;Actuals!S754,'Avoided Costs 2009-2017'!$M:$M)*R754</f>
        <v>0</v>
      </c>
      <c r="X754" s="90">
        <f t="shared" si="233"/>
        <v>164643.75958250699</v>
      </c>
      <c r="Y754" s="148">
        <v>154230</v>
      </c>
      <c r="Z754" s="149">
        <f t="shared" si="234"/>
        <v>123384</v>
      </c>
      <c r="AA754" s="148"/>
      <c r="AB754" s="145"/>
      <c r="AC754" s="145"/>
      <c r="AD754" s="148">
        <f t="shared" si="235"/>
        <v>123384</v>
      </c>
      <c r="AE754" s="122">
        <f t="shared" si="236"/>
        <v>41259.759582506987</v>
      </c>
      <c r="AF754" s="167">
        <f t="shared" si="237"/>
        <v>647117.29279999994</v>
      </c>
    </row>
    <row r="755" spans="1:32" s="150" customFormat="1" x14ac:dyDescent="0.2">
      <c r="A755" s="144" t="s">
        <v>749</v>
      </c>
      <c r="B755" s="144"/>
      <c r="C755" s="144"/>
      <c r="D755" s="145">
        <v>1</v>
      </c>
      <c r="E755" s="122"/>
      <c r="F755" s="146">
        <v>0.2</v>
      </c>
      <c r="G755" s="146"/>
      <c r="H755" s="122">
        <v>25852</v>
      </c>
      <c r="I755" s="122">
        <f t="shared" si="227"/>
        <v>25024.736000000001</v>
      </c>
      <c r="J755" s="147">
        <f t="shared" si="228"/>
        <v>20019.788800000002</v>
      </c>
      <c r="K755" s="122"/>
      <c r="L755" s="122">
        <v>0</v>
      </c>
      <c r="M755" s="122">
        <f t="shared" si="229"/>
        <v>0</v>
      </c>
      <c r="N755" s="122">
        <f t="shared" si="230"/>
        <v>0</v>
      </c>
      <c r="O755" s="122"/>
      <c r="P755" s="122">
        <v>0</v>
      </c>
      <c r="Q755" s="122">
        <f t="shared" si="231"/>
        <v>0</v>
      </c>
      <c r="R755" s="147">
        <f t="shared" si="232"/>
        <v>0</v>
      </c>
      <c r="S755" s="145">
        <v>11</v>
      </c>
      <c r="T755" s="144" t="s">
        <v>213</v>
      </c>
      <c r="U755" s="90">
        <f>SUMIF('Avoided Costs 2009-2017'!$A:$A,Actuals!T755&amp;Actuals!S755,'Avoided Costs 2009-2017'!$E:$E)*J755</f>
        <v>56029.203110916205</v>
      </c>
      <c r="V755" s="90">
        <f>SUMIF('Avoided Costs 2009-2017'!$A:$A,Actuals!T755&amp;Actuals!S755,'Avoided Costs 2009-2017'!$K:$K)*N755</f>
        <v>0</v>
      </c>
      <c r="W755" s="90">
        <f>SUMIF('Avoided Costs 2009-2017'!$A:$A,Actuals!T755&amp;Actuals!S755,'Avoided Costs 2009-2017'!$M:$M)*R755</f>
        <v>0</v>
      </c>
      <c r="X755" s="90">
        <f t="shared" si="233"/>
        <v>56029.203110916205</v>
      </c>
      <c r="Y755" s="148">
        <v>26483</v>
      </c>
      <c r="Z755" s="149">
        <f t="shared" si="234"/>
        <v>21186.400000000001</v>
      </c>
      <c r="AA755" s="148"/>
      <c r="AB755" s="145"/>
      <c r="AC755" s="145"/>
      <c r="AD755" s="148">
        <f t="shared" si="235"/>
        <v>21186.400000000001</v>
      </c>
      <c r="AE755" s="122">
        <f t="shared" si="236"/>
        <v>34842.803110916204</v>
      </c>
      <c r="AF755" s="167">
        <f t="shared" si="237"/>
        <v>220217.67680000002</v>
      </c>
    </row>
    <row r="756" spans="1:32" s="150" customFormat="1" x14ac:dyDescent="0.2">
      <c r="A756" s="144" t="s">
        <v>750</v>
      </c>
      <c r="B756" s="144"/>
      <c r="C756" s="144"/>
      <c r="D756" s="145">
        <v>1</v>
      </c>
      <c r="E756" s="122"/>
      <c r="F756" s="146">
        <v>0.2</v>
      </c>
      <c r="G756" s="146"/>
      <c r="H756" s="122">
        <v>70088</v>
      </c>
      <c r="I756" s="122">
        <f t="shared" si="227"/>
        <v>67845.183999999994</v>
      </c>
      <c r="J756" s="147">
        <f t="shared" si="228"/>
        <v>54276.147199999999</v>
      </c>
      <c r="K756" s="122"/>
      <c r="L756" s="122">
        <v>0</v>
      </c>
      <c r="M756" s="122">
        <f t="shared" si="229"/>
        <v>0</v>
      </c>
      <c r="N756" s="122">
        <f t="shared" si="230"/>
        <v>0</v>
      </c>
      <c r="O756" s="122"/>
      <c r="P756" s="122">
        <v>0</v>
      </c>
      <c r="Q756" s="122">
        <f t="shared" si="231"/>
        <v>0</v>
      </c>
      <c r="R756" s="147">
        <f t="shared" si="232"/>
        <v>0</v>
      </c>
      <c r="S756" s="145">
        <v>8</v>
      </c>
      <c r="T756" s="144" t="s">
        <v>1176</v>
      </c>
      <c r="U756" s="90">
        <f>SUMIF('Avoided Costs 2009-2017'!$A:$A,Actuals!T756&amp;Actuals!S756,'Avoided Costs 2009-2017'!$E:$E)*J756</f>
        <v>111201.15922560061</v>
      </c>
      <c r="V756" s="90">
        <f>SUMIF('Avoided Costs 2009-2017'!$A:$A,Actuals!T756&amp;Actuals!S756,'Avoided Costs 2009-2017'!$K:$K)*N756</f>
        <v>0</v>
      </c>
      <c r="W756" s="90">
        <f>SUMIF('Avoided Costs 2009-2017'!$A:$A,Actuals!T756&amp;Actuals!S756,'Avoided Costs 2009-2017'!$M:$M)*R756</f>
        <v>0</v>
      </c>
      <c r="X756" s="90">
        <f t="shared" si="233"/>
        <v>111201.15922560061</v>
      </c>
      <c r="Y756" s="148">
        <v>66144</v>
      </c>
      <c r="Z756" s="149">
        <f t="shared" si="234"/>
        <v>52915.200000000004</v>
      </c>
      <c r="AA756" s="148"/>
      <c r="AB756" s="145"/>
      <c r="AC756" s="145"/>
      <c r="AD756" s="148">
        <f t="shared" si="235"/>
        <v>52915.200000000004</v>
      </c>
      <c r="AE756" s="122">
        <f t="shared" si="236"/>
        <v>58285.959225600607</v>
      </c>
      <c r="AF756" s="167">
        <f t="shared" si="237"/>
        <v>434209.1776</v>
      </c>
    </row>
    <row r="757" spans="1:32" s="150" customFormat="1" x14ac:dyDescent="0.2">
      <c r="A757" s="144" t="s">
        <v>751</v>
      </c>
      <c r="B757" s="144"/>
      <c r="C757" s="144"/>
      <c r="D757" s="145">
        <v>1</v>
      </c>
      <c r="E757" s="122"/>
      <c r="F757" s="146">
        <v>0.2</v>
      </c>
      <c r="G757" s="146"/>
      <c r="H757" s="122">
        <v>8651</v>
      </c>
      <c r="I757" s="122">
        <f t="shared" si="227"/>
        <v>8374.1679999999997</v>
      </c>
      <c r="J757" s="147">
        <f t="shared" si="228"/>
        <v>6699.3343999999997</v>
      </c>
      <c r="K757" s="122"/>
      <c r="L757" s="122">
        <v>0</v>
      </c>
      <c r="M757" s="122">
        <f t="shared" si="229"/>
        <v>0</v>
      </c>
      <c r="N757" s="122">
        <f t="shared" si="230"/>
        <v>0</v>
      </c>
      <c r="O757" s="122"/>
      <c r="P757" s="122">
        <v>0</v>
      </c>
      <c r="Q757" s="122">
        <f t="shared" si="231"/>
        <v>0</v>
      </c>
      <c r="R757" s="147">
        <f t="shared" si="232"/>
        <v>0</v>
      </c>
      <c r="S757" s="145">
        <v>11</v>
      </c>
      <c r="T757" s="144" t="s">
        <v>213</v>
      </c>
      <c r="U757" s="90">
        <f>SUMIF('Avoided Costs 2009-2017'!$A:$A,Actuals!T757&amp;Actuals!S757,'Avoided Costs 2009-2017'!$E:$E)*J757</f>
        <v>18749.367016576514</v>
      </c>
      <c r="V757" s="90">
        <f>SUMIF('Avoided Costs 2009-2017'!$A:$A,Actuals!T757&amp;Actuals!S757,'Avoided Costs 2009-2017'!$K:$K)*N757</f>
        <v>0</v>
      </c>
      <c r="W757" s="90">
        <f>SUMIF('Avoided Costs 2009-2017'!$A:$A,Actuals!T757&amp;Actuals!S757,'Avoided Costs 2009-2017'!$M:$M)*R757</f>
        <v>0</v>
      </c>
      <c r="X757" s="90">
        <f t="shared" si="233"/>
        <v>18749.367016576514</v>
      </c>
      <c r="Y757" s="148">
        <v>7945</v>
      </c>
      <c r="Z757" s="149">
        <f t="shared" si="234"/>
        <v>6356</v>
      </c>
      <c r="AA757" s="148"/>
      <c r="AB757" s="145"/>
      <c r="AC757" s="145"/>
      <c r="AD757" s="148">
        <f t="shared" si="235"/>
        <v>6356</v>
      </c>
      <c r="AE757" s="122">
        <f t="shared" si="236"/>
        <v>12393.367016576514</v>
      </c>
      <c r="AF757" s="167">
        <f t="shared" si="237"/>
        <v>73692.678400000004</v>
      </c>
    </row>
    <row r="758" spans="1:32" s="150" customFormat="1" x14ac:dyDescent="0.2">
      <c r="A758" s="144" t="s">
        <v>752</v>
      </c>
      <c r="B758" s="144"/>
      <c r="C758" s="144"/>
      <c r="D758" s="145">
        <v>1</v>
      </c>
      <c r="E758" s="122"/>
      <c r="F758" s="146">
        <v>0.2</v>
      </c>
      <c r="G758" s="146"/>
      <c r="H758" s="122">
        <v>13145</v>
      </c>
      <c r="I758" s="122">
        <f t="shared" si="227"/>
        <v>12724.359999999999</v>
      </c>
      <c r="J758" s="147">
        <f t="shared" si="228"/>
        <v>10179.487999999999</v>
      </c>
      <c r="K758" s="122"/>
      <c r="L758" s="122">
        <v>0</v>
      </c>
      <c r="M758" s="122">
        <f t="shared" si="229"/>
        <v>0</v>
      </c>
      <c r="N758" s="122">
        <f t="shared" si="230"/>
        <v>0</v>
      </c>
      <c r="O758" s="122"/>
      <c r="P758" s="122">
        <v>0</v>
      </c>
      <c r="Q758" s="122">
        <f t="shared" si="231"/>
        <v>0</v>
      </c>
      <c r="R758" s="147">
        <f t="shared" si="232"/>
        <v>0</v>
      </c>
      <c r="S758" s="145">
        <v>11</v>
      </c>
      <c r="T758" s="144" t="s">
        <v>213</v>
      </c>
      <c r="U758" s="90">
        <f>SUMIF('Avoided Costs 2009-2017'!$A:$A,Actuals!T758&amp;Actuals!S758,'Avoided Costs 2009-2017'!$E:$E)*J758</f>
        <v>28489.241640607823</v>
      </c>
      <c r="V758" s="90">
        <f>SUMIF('Avoided Costs 2009-2017'!$A:$A,Actuals!T758&amp;Actuals!S758,'Avoided Costs 2009-2017'!$K:$K)*N758</f>
        <v>0</v>
      </c>
      <c r="W758" s="90">
        <f>SUMIF('Avoided Costs 2009-2017'!$A:$A,Actuals!T758&amp;Actuals!S758,'Avoided Costs 2009-2017'!$M:$M)*R758</f>
        <v>0</v>
      </c>
      <c r="X758" s="90">
        <f t="shared" si="233"/>
        <v>28489.241640607823</v>
      </c>
      <c r="Y758" s="148">
        <v>15635</v>
      </c>
      <c r="Z758" s="149">
        <f t="shared" si="234"/>
        <v>12508</v>
      </c>
      <c r="AA758" s="148"/>
      <c r="AB758" s="145"/>
      <c r="AC758" s="145"/>
      <c r="AD758" s="148">
        <f t="shared" si="235"/>
        <v>12508</v>
      </c>
      <c r="AE758" s="122">
        <f t="shared" si="236"/>
        <v>15981.241640607823</v>
      </c>
      <c r="AF758" s="167">
        <f t="shared" si="237"/>
        <v>111974.36799999999</v>
      </c>
    </row>
    <row r="759" spans="1:32" s="150" customFormat="1" x14ac:dyDescent="0.2">
      <c r="A759" s="144" t="s">
        <v>753</v>
      </c>
      <c r="B759" s="144"/>
      <c r="C759" s="144"/>
      <c r="D759" s="145">
        <v>1</v>
      </c>
      <c r="E759" s="122"/>
      <c r="F759" s="146">
        <v>0.2</v>
      </c>
      <c r="G759" s="146"/>
      <c r="H759" s="122">
        <v>3597</v>
      </c>
      <c r="I759" s="122">
        <f t="shared" si="227"/>
        <v>3481.8959999999997</v>
      </c>
      <c r="J759" s="147">
        <f t="shared" si="228"/>
        <v>2785.5167999999999</v>
      </c>
      <c r="K759" s="122"/>
      <c r="L759" s="122">
        <v>0</v>
      </c>
      <c r="M759" s="122">
        <f t="shared" si="229"/>
        <v>0</v>
      </c>
      <c r="N759" s="122">
        <f t="shared" si="230"/>
        <v>0</v>
      </c>
      <c r="O759" s="122"/>
      <c r="P759" s="122">
        <v>0</v>
      </c>
      <c r="Q759" s="122">
        <f t="shared" si="231"/>
        <v>0</v>
      </c>
      <c r="R759" s="147">
        <f t="shared" si="232"/>
        <v>0</v>
      </c>
      <c r="S759" s="145">
        <v>15</v>
      </c>
      <c r="T759" s="144" t="s">
        <v>213</v>
      </c>
      <c r="U759" s="90">
        <f>SUMIF('Avoided Costs 2009-2017'!$A:$A,Actuals!T759&amp;Actuals!S759,'Avoided Costs 2009-2017'!$E:$E)*J759</f>
        <v>9421.1905144790471</v>
      </c>
      <c r="V759" s="90">
        <f>SUMIF('Avoided Costs 2009-2017'!$A:$A,Actuals!T759&amp;Actuals!S759,'Avoided Costs 2009-2017'!$K:$K)*N759</f>
        <v>0</v>
      </c>
      <c r="W759" s="90">
        <f>SUMIF('Avoided Costs 2009-2017'!$A:$A,Actuals!T759&amp;Actuals!S759,'Avoided Costs 2009-2017'!$M:$M)*R759</f>
        <v>0</v>
      </c>
      <c r="X759" s="90">
        <f t="shared" si="233"/>
        <v>9421.1905144790471</v>
      </c>
      <c r="Y759" s="148">
        <v>4675</v>
      </c>
      <c r="Z759" s="149">
        <f t="shared" si="234"/>
        <v>3740</v>
      </c>
      <c r="AA759" s="148"/>
      <c r="AB759" s="145"/>
      <c r="AC759" s="145"/>
      <c r="AD759" s="148">
        <f t="shared" si="235"/>
        <v>3740</v>
      </c>
      <c r="AE759" s="122">
        <f t="shared" si="236"/>
        <v>5681.1905144790471</v>
      </c>
      <c r="AF759" s="167">
        <f t="shared" si="237"/>
        <v>41782.752</v>
      </c>
    </row>
    <row r="760" spans="1:32" s="150" customFormat="1" x14ac:dyDescent="0.2">
      <c r="A760" s="144" t="s">
        <v>754</v>
      </c>
      <c r="B760" s="144"/>
      <c r="C760" s="144"/>
      <c r="D760" s="145">
        <v>1</v>
      </c>
      <c r="E760" s="122"/>
      <c r="F760" s="146">
        <v>0.2</v>
      </c>
      <c r="G760" s="146"/>
      <c r="H760" s="122">
        <v>5876</v>
      </c>
      <c r="I760" s="122">
        <f t="shared" si="227"/>
        <v>5687.9679999999998</v>
      </c>
      <c r="J760" s="147">
        <f t="shared" si="228"/>
        <v>4550.3743999999997</v>
      </c>
      <c r="K760" s="122"/>
      <c r="L760" s="122">
        <v>0</v>
      </c>
      <c r="M760" s="122">
        <f t="shared" si="229"/>
        <v>0</v>
      </c>
      <c r="N760" s="122">
        <f t="shared" si="230"/>
        <v>0</v>
      </c>
      <c r="O760" s="122"/>
      <c r="P760" s="122">
        <v>0</v>
      </c>
      <c r="Q760" s="122">
        <f t="shared" si="231"/>
        <v>0</v>
      </c>
      <c r="R760" s="147">
        <f t="shared" si="232"/>
        <v>0</v>
      </c>
      <c r="S760" s="145">
        <v>15</v>
      </c>
      <c r="T760" s="144" t="s">
        <v>213</v>
      </c>
      <c r="U760" s="90">
        <f>SUMIF('Avoided Costs 2009-2017'!$A:$A,Actuals!T760&amp;Actuals!S760,'Avoided Costs 2009-2017'!$E:$E)*J760</f>
        <v>15390.301768996074</v>
      </c>
      <c r="V760" s="90">
        <f>SUMIF('Avoided Costs 2009-2017'!$A:$A,Actuals!T760&amp;Actuals!S760,'Avoided Costs 2009-2017'!$K:$K)*N760</f>
        <v>0</v>
      </c>
      <c r="W760" s="90">
        <f>SUMIF('Avoided Costs 2009-2017'!$A:$A,Actuals!T760&amp;Actuals!S760,'Avoided Costs 2009-2017'!$M:$M)*R760</f>
        <v>0</v>
      </c>
      <c r="X760" s="90">
        <f t="shared" si="233"/>
        <v>15390.301768996074</v>
      </c>
      <c r="Y760" s="148">
        <v>9349</v>
      </c>
      <c r="Z760" s="149">
        <f t="shared" si="234"/>
        <v>7479.2000000000007</v>
      </c>
      <c r="AA760" s="148"/>
      <c r="AB760" s="145"/>
      <c r="AC760" s="145"/>
      <c r="AD760" s="148">
        <f t="shared" si="235"/>
        <v>7479.2000000000007</v>
      </c>
      <c r="AE760" s="122">
        <f t="shared" si="236"/>
        <v>7911.1017689960736</v>
      </c>
      <c r="AF760" s="167">
        <f t="shared" si="237"/>
        <v>68255.615999999995</v>
      </c>
    </row>
    <row r="761" spans="1:32" s="150" customFormat="1" x14ac:dyDescent="0.2">
      <c r="A761" s="144" t="s">
        <v>755</v>
      </c>
      <c r="B761" s="144"/>
      <c r="C761" s="144"/>
      <c r="D761" s="145">
        <v>1</v>
      </c>
      <c r="E761" s="122"/>
      <c r="F761" s="146">
        <v>0.2</v>
      </c>
      <c r="G761" s="146"/>
      <c r="H761" s="122">
        <v>10728</v>
      </c>
      <c r="I761" s="122">
        <f t="shared" si="227"/>
        <v>10384.704</v>
      </c>
      <c r="J761" s="147">
        <f t="shared" si="228"/>
        <v>8307.7631999999994</v>
      </c>
      <c r="K761" s="122"/>
      <c r="L761" s="122">
        <v>0</v>
      </c>
      <c r="M761" s="122">
        <f t="shared" si="229"/>
        <v>0</v>
      </c>
      <c r="N761" s="122">
        <f t="shared" si="230"/>
        <v>0</v>
      </c>
      <c r="O761" s="122"/>
      <c r="P761" s="122">
        <v>0</v>
      </c>
      <c r="Q761" s="122">
        <f t="shared" si="231"/>
        <v>0</v>
      </c>
      <c r="R761" s="147">
        <f t="shared" si="232"/>
        <v>0</v>
      </c>
      <c r="S761" s="145">
        <v>15</v>
      </c>
      <c r="T761" s="144" t="s">
        <v>213</v>
      </c>
      <c r="U761" s="90">
        <f>SUMIF('Avoided Costs 2009-2017'!$A:$A,Actuals!T761&amp;Actuals!S761,'Avoided Costs 2009-2017'!$E:$E)*J761</f>
        <v>28098.563202482961</v>
      </c>
      <c r="V761" s="90">
        <f>SUMIF('Avoided Costs 2009-2017'!$A:$A,Actuals!T761&amp;Actuals!S761,'Avoided Costs 2009-2017'!$K:$K)*N761</f>
        <v>0</v>
      </c>
      <c r="W761" s="90">
        <f>SUMIF('Avoided Costs 2009-2017'!$A:$A,Actuals!T761&amp;Actuals!S761,'Avoided Costs 2009-2017'!$M:$M)*R761</f>
        <v>0</v>
      </c>
      <c r="X761" s="90">
        <f t="shared" si="233"/>
        <v>28098.563202482961</v>
      </c>
      <c r="Y761" s="148">
        <v>4644</v>
      </c>
      <c r="Z761" s="149">
        <f t="shared" si="234"/>
        <v>3715.2000000000003</v>
      </c>
      <c r="AA761" s="148"/>
      <c r="AB761" s="145"/>
      <c r="AC761" s="145"/>
      <c r="AD761" s="148">
        <f t="shared" si="235"/>
        <v>3715.2000000000003</v>
      </c>
      <c r="AE761" s="122">
        <f t="shared" si="236"/>
        <v>24383.36320248296</v>
      </c>
      <c r="AF761" s="167">
        <f t="shared" si="237"/>
        <v>124616.44799999999</v>
      </c>
    </row>
    <row r="762" spans="1:32" s="150" customFormat="1" x14ac:dyDescent="0.2">
      <c r="A762" s="144" t="s">
        <v>756</v>
      </c>
      <c r="B762" s="144"/>
      <c r="C762" s="144"/>
      <c r="D762" s="145">
        <v>1</v>
      </c>
      <c r="E762" s="122"/>
      <c r="F762" s="146">
        <v>0.2</v>
      </c>
      <c r="G762" s="146"/>
      <c r="H762" s="122">
        <v>88522</v>
      </c>
      <c r="I762" s="122">
        <f t="shared" si="227"/>
        <v>85689.296000000002</v>
      </c>
      <c r="J762" s="147">
        <f t="shared" si="228"/>
        <v>68551.43680000001</v>
      </c>
      <c r="K762" s="122"/>
      <c r="L762" s="122">
        <v>0</v>
      </c>
      <c r="M762" s="122">
        <f t="shared" si="229"/>
        <v>0</v>
      </c>
      <c r="N762" s="122">
        <f t="shared" si="230"/>
        <v>0</v>
      </c>
      <c r="O762" s="122"/>
      <c r="P762" s="122">
        <v>0</v>
      </c>
      <c r="Q762" s="122">
        <f t="shared" si="231"/>
        <v>0</v>
      </c>
      <c r="R762" s="147">
        <f t="shared" si="232"/>
        <v>0</v>
      </c>
      <c r="S762" s="145">
        <v>11</v>
      </c>
      <c r="T762" s="144" t="s">
        <v>213</v>
      </c>
      <c r="U762" s="90">
        <f>SUMIF('Avoided Costs 2009-2017'!$A:$A,Actuals!T762&amp;Actuals!S762,'Avoided Costs 2009-2017'!$E:$E)*J762</f>
        <v>191854.29049143294</v>
      </c>
      <c r="V762" s="90">
        <f>SUMIF('Avoided Costs 2009-2017'!$A:$A,Actuals!T762&amp;Actuals!S762,'Avoided Costs 2009-2017'!$K:$K)*N762</f>
        <v>0</v>
      </c>
      <c r="W762" s="90">
        <f>SUMIF('Avoided Costs 2009-2017'!$A:$A,Actuals!T762&amp;Actuals!S762,'Avoided Costs 2009-2017'!$M:$M)*R762</f>
        <v>0</v>
      </c>
      <c r="X762" s="90">
        <f t="shared" si="233"/>
        <v>191854.29049143294</v>
      </c>
      <c r="Y762" s="148">
        <v>57689</v>
      </c>
      <c r="Z762" s="149">
        <f t="shared" si="234"/>
        <v>46151.200000000004</v>
      </c>
      <c r="AA762" s="148"/>
      <c r="AB762" s="145"/>
      <c r="AC762" s="145"/>
      <c r="AD762" s="148">
        <f t="shared" si="235"/>
        <v>46151.200000000004</v>
      </c>
      <c r="AE762" s="122">
        <f t="shared" si="236"/>
        <v>145703.09049143293</v>
      </c>
      <c r="AF762" s="167">
        <f t="shared" si="237"/>
        <v>754065.80480000016</v>
      </c>
    </row>
    <row r="763" spans="1:32" s="150" customFormat="1" x14ac:dyDescent="0.2">
      <c r="A763" s="144" t="s">
        <v>757</v>
      </c>
      <c r="B763" s="144"/>
      <c r="C763" s="144"/>
      <c r="D763" s="145">
        <v>1</v>
      </c>
      <c r="E763" s="122"/>
      <c r="F763" s="146">
        <v>0.2</v>
      </c>
      <c r="G763" s="146"/>
      <c r="H763" s="122">
        <v>79008</v>
      </c>
      <c r="I763" s="122">
        <f t="shared" si="227"/>
        <v>76479.743999999992</v>
      </c>
      <c r="J763" s="147">
        <f t="shared" si="228"/>
        <v>61183.795199999993</v>
      </c>
      <c r="K763" s="122"/>
      <c r="L763" s="122">
        <v>0</v>
      </c>
      <c r="M763" s="122">
        <f t="shared" si="229"/>
        <v>0</v>
      </c>
      <c r="N763" s="122">
        <f t="shared" si="230"/>
        <v>0</v>
      </c>
      <c r="O763" s="122"/>
      <c r="P763" s="122">
        <v>0</v>
      </c>
      <c r="Q763" s="122">
        <f t="shared" si="231"/>
        <v>0</v>
      </c>
      <c r="R763" s="147">
        <f t="shared" si="232"/>
        <v>0</v>
      </c>
      <c r="S763" s="145">
        <v>11</v>
      </c>
      <c r="T763" s="144" t="s">
        <v>213</v>
      </c>
      <c r="U763" s="90">
        <f>SUMIF('Avoided Costs 2009-2017'!$A:$A,Actuals!T763&amp;Actuals!S763,'Avoided Costs 2009-2017'!$E:$E)*J763</f>
        <v>171234.53811648101</v>
      </c>
      <c r="V763" s="90">
        <f>SUMIF('Avoided Costs 2009-2017'!$A:$A,Actuals!T763&amp;Actuals!S763,'Avoided Costs 2009-2017'!$K:$K)*N763</f>
        <v>0</v>
      </c>
      <c r="W763" s="90">
        <f>SUMIF('Avoided Costs 2009-2017'!$A:$A,Actuals!T763&amp;Actuals!S763,'Avoided Costs 2009-2017'!$M:$M)*R763</f>
        <v>0</v>
      </c>
      <c r="X763" s="90">
        <f t="shared" si="233"/>
        <v>171234.53811648101</v>
      </c>
      <c r="Y763" s="148">
        <v>38250</v>
      </c>
      <c r="Z763" s="149">
        <f t="shared" si="234"/>
        <v>30600</v>
      </c>
      <c r="AA763" s="148"/>
      <c r="AB763" s="145"/>
      <c r="AC763" s="145"/>
      <c r="AD763" s="148">
        <f t="shared" si="235"/>
        <v>30600</v>
      </c>
      <c r="AE763" s="122">
        <f t="shared" si="236"/>
        <v>140634.53811648101</v>
      </c>
      <c r="AF763" s="167">
        <f t="shared" si="237"/>
        <v>673021.74719999987</v>
      </c>
    </row>
    <row r="764" spans="1:32" s="150" customFormat="1" x14ac:dyDescent="0.2">
      <c r="A764" s="144" t="s">
        <v>758</v>
      </c>
      <c r="B764" s="144"/>
      <c r="C764" s="144"/>
      <c r="D764" s="145">
        <v>1</v>
      </c>
      <c r="E764" s="122"/>
      <c r="F764" s="146">
        <v>0.2</v>
      </c>
      <c r="G764" s="146"/>
      <c r="H764" s="122">
        <v>98976</v>
      </c>
      <c r="I764" s="122">
        <f t="shared" si="227"/>
        <v>95808.767999999996</v>
      </c>
      <c r="J764" s="147">
        <f t="shared" si="228"/>
        <v>76647.0144</v>
      </c>
      <c r="K764" s="122"/>
      <c r="L764" s="122">
        <v>0</v>
      </c>
      <c r="M764" s="122">
        <f t="shared" si="229"/>
        <v>0</v>
      </c>
      <c r="N764" s="122">
        <f t="shared" si="230"/>
        <v>0</v>
      </c>
      <c r="O764" s="122"/>
      <c r="P764" s="122">
        <v>0</v>
      </c>
      <c r="Q764" s="122">
        <f t="shared" si="231"/>
        <v>0</v>
      </c>
      <c r="R764" s="147">
        <f t="shared" si="232"/>
        <v>0</v>
      </c>
      <c r="S764" s="145">
        <v>11</v>
      </c>
      <c r="T764" s="144" t="s">
        <v>213</v>
      </c>
      <c r="U764" s="90">
        <f>SUMIF('Avoided Costs 2009-2017'!$A:$A,Actuals!T764&amp;Actuals!S764,'Avoided Costs 2009-2017'!$E:$E)*J764</f>
        <v>214511.31081177635</v>
      </c>
      <c r="V764" s="90">
        <f>SUMIF('Avoided Costs 2009-2017'!$A:$A,Actuals!T764&amp;Actuals!S764,'Avoided Costs 2009-2017'!$K:$K)*N764</f>
        <v>0</v>
      </c>
      <c r="W764" s="90">
        <f>SUMIF('Avoided Costs 2009-2017'!$A:$A,Actuals!T764&amp;Actuals!S764,'Avoided Costs 2009-2017'!$M:$M)*R764</f>
        <v>0</v>
      </c>
      <c r="X764" s="90">
        <f t="shared" si="233"/>
        <v>214511.31081177635</v>
      </c>
      <c r="Y764" s="148">
        <v>53716</v>
      </c>
      <c r="Z764" s="149">
        <f t="shared" si="234"/>
        <v>42972.800000000003</v>
      </c>
      <c r="AA764" s="148"/>
      <c r="AB764" s="145"/>
      <c r="AC764" s="145"/>
      <c r="AD764" s="148">
        <f t="shared" si="235"/>
        <v>42972.800000000003</v>
      </c>
      <c r="AE764" s="122">
        <f t="shared" si="236"/>
        <v>171538.51081177633</v>
      </c>
      <c r="AF764" s="167">
        <f t="shared" si="237"/>
        <v>843117.15839999996</v>
      </c>
    </row>
    <row r="765" spans="1:32" s="150" customFormat="1" x14ac:dyDescent="0.2">
      <c r="A765" s="144" t="s">
        <v>759</v>
      </c>
      <c r="B765" s="144"/>
      <c r="C765" s="144"/>
      <c r="D765" s="145">
        <v>1</v>
      </c>
      <c r="E765" s="122"/>
      <c r="F765" s="146">
        <v>0.2</v>
      </c>
      <c r="G765" s="146"/>
      <c r="H765" s="122">
        <v>106161</v>
      </c>
      <c r="I765" s="122">
        <f t="shared" si="227"/>
        <v>102763.848</v>
      </c>
      <c r="J765" s="147">
        <f t="shared" si="228"/>
        <v>82211.078399999999</v>
      </c>
      <c r="K765" s="122"/>
      <c r="L765" s="122">
        <v>0</v>
      </c>
      <c r="M765" s="122">
        <f t="shared" si="229"/>
        <v>0</v>
      </c>
      <c r="N765" s="122">
        <f t="shared" si="230"/>
        <v>0</v>
      </c>
      <c r="O765" s="122"/>
      <c r="P765" s="122">
        <v>0</v>
      </c>
      <c r="Q765" s="122">
        <f t="shared" si="231"/>
        <v>0</v>
      </c>
      <c r="R765" s="147">
        <f t="shared" si="232"/>
        <v>0</v>
      </c>
      <c r="S765" s="145">
        <v>11</v>
      </c>
      <c r="T765" s="144" t="s">
        <v>213</v>
      </c>
      <c r="U765" s="90">
        <f>SUMIF('Avoided Costs 2009-2017'!$A:$A,Actuals!T765&amp;Actuals!S765,'Avoided Costs 2009-2017'!$E:$E)*J765</f>
        <v>230083.40675607204</v>
      </c>
      <c r="V765" s="90">
        <f>SUMIF('Avoided Costs 2009-2017'!$A:$A,Actuals!T765&amp;Actuals!S765,'Avoided Costs 2009-2017'!$K:$K)*N765</f>
        <v>0</v>
      </c>
      <c r="W765" s="90">
        <f>SUMIF('Avoided Costs 2009-2017'!$A:$A,Actuals!T765&amp;Actuals!S765,'Avoided Costs 2009-2017'!$M:$M)*R765</f>
        <v>0</v>
      </c>
      <c r="X765" s="90">
        <f t="shared" si="233"/>
        <v>230083.40675607204</v>
      </c>
      <c r="Y765" s="148">
        <v>57689</v>
      </c>
      <c r="Z765" s="149">
        <f t="shared" si="234"/>
        <v>46151.200000000004</v>
      </c>
      <c r="AA765" s="148"/>
      <c r="AB765" s="145"/>
      <c r="AC765" s="145"/>
      <c r="AD765" s="148">
        <f t="shared" si="235"/>
        <v>46151.200000000004</v>
      </c>
      <c r="AE765" s="122">
        <f t="shared" si="236"/>
        <v>183932.20675607203</v>
      </c>
      <c r="AF765" s="167">
        <f t="shared" si="237"/>
        <v>904321.86239999998</v>
      </c>
    </row>
    <row r="766" spans="1:32" s="150" customFormat="1" x14ac:dyDescent="0.2">
      <c r="A766" s="144" t="s">
        <v>760</v>
      </c>
      <c r="B766" s="144"/>
      <c r="C766" s="144"/>
      <c r="D766" s="145">
        <v>1</v>
      </c>
      <c r="E766" s="122"/>
      <c r="F766" s="146">
        <v>0.2</v>
      </c>
      <c r="G766" s="146"/>
      <c r="H766" s="122">
        <v>41026</v>
      </c>
      <c r="I766" s="122">
        <f t="shared" si="227"/>
        <v>39713.167999999998</v>
      </c>
      <c r="J766" s="147">
        <f t="shared" si="228"/>
        <v>31770.5344</v>
      </c>
      <c r="K766" s="122"/>
      <c r="L766" s="122">
        <v>0</v>
      </c>
      <c r="M766" s="122">
        <f t="shared" si="229"/>
        <v>0</v>
      </c>
      <c r="N766" s="122">
        <f t="shared" si="230"/>
        <v>0</v>
      </c>
      <c r="O766" s="122"/>
      <c r="P766" s="122">
        <v>0</v>
      </c>
      <c r="Q766" s="122">
        <f t="shared" si="231"/>
        <v>0</v>
      </c>
      <c r="R766" s="147">
        <f t="shared" si="232"/>
        <v>0</v>
      </c>
      <c r="S766" s="145">
        <v>15</v>
      </c>
      <c r="T766" s="144" t="s">
        <v>213</v>
      </c>
      <c r="U766" s="90">
        <f>SUMIF('Avoided Costs 2009-2017'!$A:$A,Actuals!T766&amp;Actuals!S766,'Avoided Costs 2009-2017'!$E:$E)*J766</f>
        <v>107454.47930136709</v>
      </c>
      <c r="V766" s="90">
        <f>SUMIF('Avoided Costs 2009-2017'!$A:$A,Actuals!T766&amp;Actuals!S766,'Avoided Costs 2009-2017'!$K:$K)*N766</f>
        <v>0</v>
      </c>
      <c r="W766" s="90">
        <f>SUMIF('Avoided Costs 2009-2017'!$A:$A,Actuals!T766&amp;Actuals!S766,'Avoided Costs 2009-2017'!$M:$M)*R766</f>
        <v>0</v>
      </c>
      <c r="X766" s="90">
        <f t="shared" si="233"/>
        <v>107454.47930136709</v>
      </c>
      <c r="Y766" s="148">
        <v>36004</v>
      </c>
      <c r="Z766" s="149">
        <f t="shared" si="234"/>
        <v>28803.200000000001</v>
      </c>
      <c r="AA766" s="148"/>
      <c r="AB766" s="145"/>
      <c r="AC766" s="145"/>
      <c r="AD766" s="148">
        <f t="shared" si="235"/>
        <v>28803.200000000001</v>
      </c>
      <c r="AE766" s="122">
        <f t="shared" si="236"/>
        <v>78651.279301367089</v>
      </c>
      <c r="AF766" s="167">
        <f t="shared" si="237"/>
        <v>476558.016</v>
      </c>
    </row>
    <row r="767" spans="1:32" s="150" customFormat="1" x14ac:dyDescent="0.2">
      <c r="A767" s="144" t="s">
        <v>761</v>
      </c>
      <c r="B767" s="144"/>
      <c r="C767" s="144"/>
      <c r="D767" s="145">
        <v>1</v>
      </c>
      <c r="E767" s="122"/>
      <c r="F767" s="146">
        <v>0.2</v>
      </c>
      <c r="G767" s="146"/>
      <c r="H767" s="122">
        <v>16825</v>
      </c>
      <c r="I767" s="122">
        <f t="shared" si="227"/>
        <v>16286.6</v>
      </c>
      <c r="J767" s="147">
        <f t="shared" si="228"/>
        <v>13029.28</v>
      </c>
      <c r="K767" s="122"/>
      <c r="L767" s="122">
        <v>0</v>
      </c>
      <c r="M767" s="122">
        <f t="shared" si="229"/>
        <v>0</v>
      </c>
      <c r="N767" s="122">
        <f t="shared" si="230"/>
        <v>0</v>
      </c>
      <c r="O767" s="122"/>
      <c r="P767" s="122">
        <v>0</v>
      </c>
      <c r="Q767" s="122">
        <f t="shared" si="231"/>
        <v>0</v>
      </c>
      <c r="R767" s="147">
        <f t="shared" si="232"/>
        <v>0</v>
      </c>
      <c r="S767" s="145">
        <v>15</v>
      </c>
      <c r="T767" s="144" t="s">
        <v>213</v>
      </c>
      <c r="U767" s="90">
        <f>SUMIF('Avoided Costs 2009-2017'!$A:$A,Actuals!T767&amp;Actuals!S767,'Avoided Costs 2009-2017'!$E:$E)*J767</f>
        <v>44067.703754826238</v>
      </c>
      <c r="V767" s="90">
        <f>SUMIF('Avoided Costs 2009-2017'!$A:$A,Actuals!T767&amp;Actuals!S767,'Avoided Costs 2009-2017'!$K:$K)*N767</f>
        <v>0</v>
      </c>
      <c r="W767" s="90">
        <f>SUMIF('Avoided Costs 2009-2017'!$A:$A,Actuals!T767&amp;Actuals!S767,'Avoided Costs 2009-2017'!$M:$M)*R767</f>
        <v>0</v>
      </c>
      <c r="X767" s="90">
        <f t="shared" si="233"/>
        <v>44067.703754826238</v>
      </c>
      <c r="Y767" s="148">
        <v>6212</v>
      </c>
      <c r="Z767" s="149">
        <f t="shared" si="234"/>
        <v>4969.6000000000004</v>
      </c>
      <c r="AA767" s="148"/>
      <c r="AB767" s="145"/>
      <c r="AC767" s="145"/>
      <c r="AD767" s="148">
        <f t="shared" si="235"/>
        <v>4969.6000000000004</v>
      </c>
      <c r="AE767" s="122">
        <f t="shared" si="236"/>
        <v>39098.103754826239</v>
      </c>
      <c r="AF767" s="167">
        <f t="shared" si="237"/>
        <v>195439.2</v>
      </c>
    </row>
    <row r="768" spans="1:32" s="150" customFormat="1" x14ac:dyDescent="0.2">
      <c r="A768" s="144" t="s">
        <v>762</v>
      </c>
      <c r="B768" s="144"/>
      <c r="C768" s="144"/>
      <c r="D768" s="145">
        <v>1</v>
      </c>
      <c r="E768" s="122"/>
      <c r="F768" s="146">
        <v>0.2</v>
      </c>
      <c r="G768" s="146"/>
      <c r="H768" s="122">
        <v>39307</v>
      </c>
      <c r="I768" s="122">
        <f t="shared" si="227"/>
        <v>38049.175999999999</v>
      </c>
      <c r="J768" s="147">
        <f t="shared" si="228"/>
        <v>30439.340800000002</v>
      </c>
      <c r="K768" s="122"/>
      <c r="L768" s="122">
        <v>0</v>
      </c>
      <c r="M768" s="122">
        <f t="shared" si="229"/>
        <v>0</v>
      </c>
      <c r="N768" s="122">
        <f t="shared" si="230"/>
        <v>0</v>
      </c>
      <c r="O768" s="122"/>
      <c r="P768" s="122">
        <v>0</v>
      </c>
      <c r="Q768" s="122">
        <f t="shared" si="231"/>
        <v>0</v>
      </c>
      <c r="R768" s="147">
        <f t="shared" si="232"/>
        <v>0</v>
      </c>
      <c r="S768" s="145">
        <v>11</v>
      </c>
      <c r="T768" s="144" t="s">
        <v>213</v>
      </c>
      <c r="U768" s="90">
        <f>SUMIF('Avoided Costs 2009-2017'!$A:$A,Actuals!T768&amp;Actuals!S768,'Avoided Costs 2009-2017'!$E:$E)*J768</f>
        <v>85190.309712238246</v>
      </c>
      <c r="V768" s="90">
        <f>SUMIF('Avoided Costs 2009-2017'!$A:$A,Actuals!T768&amp;Actuals!S768,'Avoided Costs 2009-2017'!$K:$K)*N768</f>
        <v>0</v>
      </c>
      <c r="W768" s="90">
        <f>SUMIF('Avoided Costs 2009-2017'!$A:$A,Actuals!T768&amp;Actuals!S768,'Avoided Costs 2009-2017'!$M:$M)*R768</f>
        <v>0</v>
      </c>
      <c r="X768" s="90">
        <f t="shared" si="233"/>
        <v>85190.309712238246</v>
      </c>
      <c r="Y768" s="148">
        <v>46587</v>
      </c>
      <c r="Z768" s="149">
        <f t="shared" si="234"/>
        <v>37269.599999999999</v>
      </c>
      <c r="AA768" s="148"/>
      <c r="AB768" s="145"/>
      <c r="AC768" s="145"/>
      <c r="AD768" s="148">
        <f t="shared" si="235"/>
        <v>37269.599999999999</v>
      </c>
      <c r="AE768" s="122">
        <f t="shared" si="236"/>
        <v>47920.709712238247</v>
      </c>
      <c r="AF768" s="167">
        <f t="shared" si="237"/>
        <v>334832.7488</v>
      </c>
    </row>
    <row r="769" spans="1:32" s="150" customFormat="1" x14ac:dyDescent="0.2">
      <c r="A769" s="144" t="s">
        <v>763</v>
      </c>
      <c r="B769" s="144"/>
      <c r="C769" s="144"/>
      <c r="D769" s="145">
        <v>0</v>
      </c>
      <c r="E769" s="122"/>
      <c r="F769" s="146">
        <v>0.2</v>
      </c>
      <c r="G769" s="146"/>
      <c r="H769" s="122">
        <v>49126</v>
      </c>
      <c r="I769" s="122">
        <f t="shared" si="227"/>
        <v>47553.968000000001</v>
      </c>
      <c r="J769" s="147">
        <f t="shared" si="228"/>
        <v>38043.174400000004</v>
      </c>
      <c r="K769" s="122"/>
      <c r="L769" s="122">
        <v>0</v>
      </c>
      <c r="M769" s="122">
        <f t="shared" si="229"/>
        <v>0</v>
      </c>
      <c r="N769" s="122">
        <f t="shared" si="230"/>
        <v>0</v>
      </c>
      <c r="O769" s="122"/>
      <c r="P769" s="122">
        <v>0</v>
      </c>
      <c r="Q769" s="122">
        <f t="shared" si="231"/>
        <v>0</v>
      </c>
      <c r="R769" s="147">
        <f t="shared" si="232"/>
        <v>0</v>
      </c>
      <c r="S769" s="145">
        <v>8</v>
      </c>
      <c r="T769" s="144" t="s">
        <v>1176</v>
      </c>
      <c r="U769" s="90">
        <f>SUMIF('Avoided Costs 2009-2017'!$A:$A,Actuals!T769&amp;Actuals!S769,'Avoided Costs 2009-2017'!$E:$E)*J769</f>
        <v>77942.988073805158</v>
      </c>
      <c r="V769" s="90">
        <f>SUMIF('Avoided Costs 2009-2017'!$A:$A,Actuals!T769&amp;Actuals!S769,'Avoided Costs 2009-2017'!$K:$K)*N769</f>
        <v>0</v>
      </c>
      <c r="W769" s="90">
        <f>SUMIF('Avoided Costs 2009-2017'!$A:$A,Actuals!T769&amp;Actuals!S769,'Avoided Costs 2009-2017'!$M:$M)*R769</f>
        <v>0</v>
      </c>
      <c r="X769" s="90">
        <f t="shared" si="233"/>
        <v>77942.988073805158</v>
      </c>
      <c r="Y769" s="148">
        <v>21598</v>
      </c>
      <c r="Z769" s="149">
        <f t="shared" si="234"/>
        <v>17278.400000000001</v>
      </c>
      <c r="AA769" s="148"/>
      <c r="AB769" s="145"/>
      <c r="AC769" s="145"/>
      <c r="AD769" s="148">
        <f t="shared" si="235"/>
        <v>17278.400000000001</v>
      </c>
      <c r="AE769" s="122">
        <f t="shared" si="236"/>
        <v>60664.588073805156</v>
      </c>
      <c r="AF769" s="167">
        <f t="shared" si="237"/>
        <v>304345.39520000003</v>
      </c>
    </row>
    <row r="770" spans="1:32" s="150" customFormat="1" x14ac:dyDescent="0.2">
      <c r="A770" s="144" t="s">
        <v>764</v>
      </c>
      <c r="B770" s="144"/>
      <c r="C770" s="144"/>
      <c r="D770" s="145">
        <v>1</v>
      </c>
      <c r="E770" s="122"/>
      <c r="F770" s="146">
        <v>0.2</v>
      </c>
      <c r="G770" s="146"/>
      <c r="H770" s="122">
        <v>102733</v>
      </c>
      <c r="I770" s="122">
        <f t="shared" si="227"/>
        <v>99445.543999999994</v>
      </c>
      <c r="J770" s="147">
        <f t="shared" si="228"/>
        <v>79556.435200000007</v>
      </c>
      <c r="K770" s="122"/>
      <c r="L770" s="122">
        <v>0</v>
      </c>
      <c r="M770" s="122">
        <f t="shared" si="229"/>
        <v>0</v>
      </c>
      <c r="N770" s="122">
        <f t="shared" si="230"/>
        <v>0</v>
      </c>
      <c r="O770" s="122"/>
      <c r="P770" s="122">
        <v>0</v>
      </c>
      <c r="Q770" s="122">
        <f t="shared" si="231"/>
        <v>0</v>
      </c>
      <c r="R770" s="147">
        <f t="shared" si="232"/>
        <v>0</v>
      </c>
      <c r="S770" s="145">
        <v>11</v>
      </c>
      <c r="T770" s="144" t="s">
        <v>213</v>
      </c>
      <c r="U770" s="90">
        <f>SUMIF('Avoided Costs 2009-2017'!$A:$A,Actuals!T770&amp;Actuals!S770,'Avoided Costs 2009-2017'!$E:$E)*J770</f>
        <v>222653.88067436774</v>
      </c>
      <c r="V770" s="90">
        <f>SUMIF('Avoided Costs 2009-2017'!$A:$A,Actuals!T770&amp;Actuals!S770,'Avoided Costs 2009-2017'!$K:$K)*N770</f>
        <v>0</v>
      </c>
      <c r="W770" s="90">
        <f>SUMIF('Avoided Costs 2009-2017'!$A:$A,Actuals!T770&amp;Actuals!S770,'Avoided Costs 2009-2017'!$M:$M)*R770</f>
        <v>0</v>
      </c>
      <c r="X770" s="90">
        <f t="shared" si="233"/>
        <v>222653.88067436774</v>
      </c>
      <c r="Y770" s="148">
        <v>55120</v>
      </c>
      <c r="Z770" s="149">
        <f t="shared" si="234"/>
        <v>44096</v>
      </c>
      <c r="AA770" s="148"/>
      <c r="AB770" s="145"/>
      <c r="AC770" s="145"/>
      <c r="AD770" s="148">
        <f t="shared" si="235"/>
        <v>44096</v>
      </c>
      <c r="AE770" s="122">
        <f t="shared" si="236"/>
        <v>178557.88067436774</v>
      </c>
      <c r="AF770" s="167">
        <f t="shared" si="237"/>
        <v>875120.78720000014</v>
      </c>
    </row>
    <row r="771" spans="1:32" s="150" customFormat="1" x14ac:dyDescent="0.2">
      <c r="A771" s="144" t="s">
        <v>765</v>
      </c>
      <c r="B771" s="144"/>
      <c r="C771" s="144"/>
      <c r="D771" s="145">
        <v>1</v>
      </c>
      <c r="E771" s="122"/>
      <c r="F771" s="146">
        <v>0.2</v>
      </c>
      <c r="G771" s="146"/>
      <c r="H771" s="122">
        <v>51604</v>
      </c>
      <c r="I771" s="122">
        <f t="shared" si="227"/>
        <v>49952.671999999999</v>
      </c>
      <c r="J771" s="147">
        <f t="shared" si="228"/>
        <v>39962.137600000002</v>
      </c>
      <c r="K771" s="122"/>
      <c r="L771" s="122">
        <v>0</v>
      </c>
      <c r="M771" s="122">
        <f t="shared" si="229"/>
        <v>0</v>
      </c>
      <c r="N771" s="122">
        <f t="shared" si="230"/>
        <v>0</v>
      </c>
      <c r="O771" s="122"/>
      <c r="P771" s="122">
        <v>0</v>
      </c>
      <c r="Q771" s="122">
        <f t="shared" si="231"/>
        <v>0</v>
      </c>
      <c r="R771" s="147">
        <f t="shared" si="232"/>
        <v>0</v>
      </c>
      <c r="S771" s="145">
        <v>11</v>
      </c>
      <c r="T771" s="144" t="s">
        <v>213</v>
      </c>
      <c r="U771" s="90">
        <f>SUMIF('Avoided Costs 2009-2017'!$A:$A,Actuals!T771&amp;Actuals!S771,'Avoided Costs 2009-2017'!$E:$E)*J771</f>
        <v>111841.67558934395</v>
      </c>
      <c r="V771" s="90">
        <f>SUMIF('Avoided Costs 2009-2017'!$A:$A,Actuals!T771&amp;Actuals!S771,'Avoided Costs 2009-2017'!$K:$K)*N771</f>
        <v>0</v>
      </c>
      <c r="W771" s="90">
        <f>SUMIF('Avoided Costs 2009-2017'!$A:$A,Actuals!T771&amp;Actuals!S771,'Avoided Costs 2009-2017'!$M:$M)*R771</f>
        <v>0</v>
      </c>
      <c r="X771" s="90">
        <f t="shared" si="233"/>
        <v>111841.67558934395</v>
      </c>
      <c r="Y771" s="148">
        <v>46587</v>
      </c>
      <c r="Z771" s="149">
        <f t="shared" si="234"/>
        <v>37269.599999999999</v>
      </c>
      <c r="AA771" s="148"/>
      <c r="AB771" s="145"/>
      <c r="AC771" s="145"/>
      <c r="AD771" s="148">
        <f t="shared" si="235"/>
        <v>37269.599999999999</v>
      </c>
      <c r="AE771" s="122">
        <f t="shared" si="236"/>
        <v>74572.075589343964</v>
      </c>
      <c r="AF771" s="167">
        <f t="shared" si="237"/>
        <v>439583.51360000001</v>
      </c>
    </row>
    <row r="772" spans="1:32" s="150" customFormat="1" x14ac:dyDescent="0.2">
      <c r="A772" s="144" t="s">
        <v>766</v>
      </c>
      <c r="B772" s="144"/>
      <c r="C772" s="144"/>
      <c r="D772" s="145">
        <v>0</v>
      </c>
      <c r="E772" s="122"/>
      <c r="F772" s="146">
        <v>0.2</v>
      </c>
      <c r="G772" s="146"/>
      <c r="H772" s="122">
        <v>9408</v>
      </c>
      <c r="I772" s="122">
        <f t="shared" si="227"/>
        <v>9106.9439999999995</v>
      </c>
      <c r="J772" s="147">
        <f t="shared" si="228"/>
        <v>7285.5551999999998</v>
      </c>
      <c r="K772" s="122"/>
      <c r="L772" s="122">
        <v>0</v>
      </c>
      <c r="M772" s="122">
        <f t="shared" si="229"/>
        <v>0</v>
      </c>
      <c r="N772" s="122">
        <f t="shared" si="230"/>
        <v>0</v>
      </c>
      <c r="O772" s="122"/>
      <c r="P772" s="122">
        <v>0</v>
      </c>
      <c r="Q772" s="122">
        <f t="shared" si="231"/>
        <v>0</v>
      </c>
      <c r="R772" s="147">
        <f t="shared" si="232"/>
        <v>0</v>
      </c>
      <c r="S772" s="145">
        <v>15</v>
      </c>
      <c r="T772" s="144" t="s">
        <v>213</v>
      </c>
      <c r="U772" s="90">
        <f>SUMIF('Avoided Costs 2009-2017'!$A:$A,Actuals!T772&amp;Actuals!S772,'Avoided Costs 2009-2017'!$E:$E)*J772</f>
        <v>24641.24558249065</v>
      </c>
      <c r="V772" s="90">
        <f>SUMIF('Avoided Costs 2009-2017'!$A:$A,Actuals!T772&amp;Actuals!S772,'Avoided Costs 2009-2017'!$K:$K)*N772</f>
        <v>0</v>
      </c>
      <c r="W772" s="90">
        <f>SUMIF('Avoided Costs 2009-2017'!$A:$A,Actuals!T772&amp;Actuals!S772,'Avoided Costs 2009-2017'!$M:$M)*R772</f>
        <v>0</v>
      </c>
      <c r="X772" s="90">
        <f t="shared" si="233"/>
        <v>24641.24558249065</v>
      </c>
      <c r="Y772" s="148">
        <v>7389</v>
      </c>
      <c r="Z772" s="149">
        <f t="shared" si="234"/>
        <v>5911.2000000000007</v>
      </c>
      <c r="AA772" s="148"/>
      <c r="AB772" s="145"/>
      <c r="AC772" s="145"/>
      <c r="AD772" s="148">
        <f t="shared" si="235"/>
        <v>5911.2000000000007</v>
      </c>
      <c r="AE772" s="122">
        <f t="shared" si="236"/>
        <v>18730.045582490649</v>
      </c>
      <c r="AF772" s="167">
        <f t="shared" si="237"/>
        <v>109283.32799999999</v>
      </c>
    </row>
    <row r="773" spans="1:32" s="150" customFormat="1" x14ac:dyDescent="0.2">
      <c r="A773" s="144" t="s">
        <v>767</v>
      </c>
      <c r="B773" s="144"/>
      <c r="C773" s="144"/>
      <c r="D773" s="145">
        <v>1</v>
      </c>
      <c r="E773" s="122"/>
      <c r="F773" s="146">
        <v>0.2</v>
      </c>
      <c r="G773" s="146"/>
      <c r="H773" s="122">
        <v>53674</v>
      </c>
      <c r="I773" s="122">
        <f t="shared" si="227"/>
        <v>51956.432000000001</v>
      </c>
      <c r="J773" s="147">
        <f t="shared" si="228"/>
        <v>41565.145600000003</v>
      </c>
      <c r="K773" s="122"/>
      <c r="L773" s="122">
        <v>0</v>
      </c>
      <c r="M773" s="122">
        <f t="shared" si="229"/>
        <v>0</v>
      </c>
      <c r="N773" s="122">
        <f t="shared" si="230"/>
        <v>0</v>
      </c>
      <c r="O773" s="122"/>
      <c r="P773" s="122">
        <v>0</v>
      </c>
      <c r="Q773" s="122">
        <f t="shared" si="231"/>
        <v>0</v>
      </c>
      <c r="R773" s="147">
        <f t="shared" si="232"/>
        <v>0</v>
      </c>
      <c r="S773" s="145">
        <v>15</v>
      </c>
      <c r="T773" s="144" t="s">
        <v>213</v>
      </c>
      <c r="U773" s="90">
        <f>SUMIF('Avoided Costs 2009-2017'!$A:$A,Actuals!T773&amp;Actuals!S773,'Avoided Costs 2009-2017'!$E:$E)*J773</f>
        <v>140581.86813292978</v>
      </c>
      <c r="V773" s="90">
        <f>SUMIF('Avoided Costs 2009-2017'!$A:$A,Actuals!T773&amp;Actuals!S773,'Avoided Costs 2009-2017'!$K:$K)*N773</f>
        <v>0</v>
      </c>
      <c r="W773" s="90">
        <f>SUMIF('Avoided Costs 2009-2017'!$A:$A,Actuals!T773&amp;Actuals!S773,'Avoided Costs 2009-2017'!$M:$M)*R773</f>
        <v>0</v>
      </c>
      <c r="X773" s="90">
        <f t="shared" si="233"/>
        <v>140581.86813292978</v>
      </c>
      <c r="Y773" s="148">
        <v>72954</v>
      </c>
      <c r="Z773" s="149">
        <f t="shared" si="234"/>
        <v>58363.200000000004</v>
      </c>
      <c r="AA773" s="148"/>
      <c r="AB773" s="145"/>
      <c r="AC773" s="145"/>
      <c r="AD773" s="148">
        <f t="shared" si="235"/>
        <v>58363.200000000004</v>
      </c>
      <c r="AE773" s="122">
        <f t="shared" si="236"/>
        <v>82218.668132929772</v>
      </c>
      <c r="AF773" s="167">
        <f t="shared" si="237"/>
        <v>623477.18400000001</v>
      </c>
    </row>
    <row r="774" spans="1:32" s="150" customFormat="1" x14ac:dyDescent="0.2">
      <c r="A774" s="144" t="s">
        <v>768</v>
      </c>
      <c r="B774" s="144"/>
      <c r="C774" s="144"/>
      <c r="D774" s="145">
        <v>1</v>
      </c>
      <c r="E774" s="122"/>
      <c r="F774" s="146">
        <v>0.2</v>
      </c>
      <c r="G774" s="146"/>
      <c r="H774" s="122">
        <v>20599</v>
      </c>
      <c r="I774" s="122">
        <f t="shared" si="227"/>
        <v>19939.831999999999</v>
      </c>
      <c r="J774" s="147">
        <f t="shared" si="228"/>
        <v>15951.865599999999</v>
      </c>
      <c r="K774" s="122"/>
      <c r="L774" s="122">
        <v>0</v>
      </c>
      <c r="M774" s="122">
        <f t="shared" si="229"/>
        <v>0</v>
      </c>
      <c r="N774" s="122">
        <f t="shared" si="230"/>
        <v>0</v>
      </c>
      <c r="O774" s="122"/>
      <c r="P774" s="122">
        <v>0</v>
      </c>
      <c r="Q774" s="122">
        <f t="shared" si="231"/>
        <v>0</v>
      </c>
      <c r="R774" s="147">
        <f t="shared" si="232"/>
        <v>0</v>
      </c>
      <c r="S774" s="145">
        <v>15</v>
      </c>
      <c r="T774" s="144" t="s">
        <v>213</v>
      </c>
      <c r="U774" s="90">
        <f>SUMIF('Avoided Costs 2009-2017'!$A:$A,Actuals!T774&amp;Actuals!S774,'Avoided Costs 2009-2017'!$E:$E)*J774</f>
        <v>53952.489131986069</v>
      </c>
      <c r="V774" s="90">
        <f>SUMIF('Avoided Costs 2009-2017'!$A:$A,Actuals!T774&amp;Actuals!S774,'Avoided Costs 2009-2017'!$K:$K)*N774</f>
        <v>0</v>
      </c>
      <c r="W774" s="90">
        <f>SUMIF('Avoided Costs 2009-2017'!$A:$A,Actuals!T774&amp;Actuals!S774,'Avoided Costs 2009-2017'!$M:$M)*R774</f>
        <v>0</v>
      </c>
      <c r="X774" s="90">
        <f t="shared" si="233"/>
        <v>53952.489131986069</v>
      </c>
      <c r="Y774" s="148">
        <v>26258</v>
      </c>
      <c r="Z774" s="149">
        <f t="shared" si="234"/>
        <v>21006.400000000001</v>
      </c>
      <c r="AA774" s="148"/>
      <c r="AB774" s="145"/>
      <c r="AC774" s="145"/>
      <c r="AD774" s="148">
        <f t="shared" si="235"/>
        <v>21006.400000000001</v>
      </c>
      <c r="AE774" s="122">
        <f t="shared" si="236"/>
        <v>32946.089131986068</v>
      </c>
      <c r="AF774" s="167">
        <f t="shared" si="237"/>
        <v>239277.984</v>
      </c>
    </row>
    <row r="775" spans="1:32" s="150" customFormat="1" x14ac:dyDescent="0.2">
      <c r="A775" s="144" t="s">
        <v>769</v>
      </c>
      <c r="B775" s="144"/>
      <c r="C775" s="144"/>
      <c r="D775" s="145">
        <v>1</v>
      </c>
      <c r="E775" s="122"/>
      <c r="F775" s="146">
        <v>0.2</v>
      </c>
      <c r="G775" s="146"/>
      <c r="H775" s="122">
        <v>20861</v>
      </c>
      <c r="I775" s="122">
        <f t="shared" si="227"/>
        <v>20193.448</v>
      </c>
      <c r="J775" s="147">
        <f t="shared" si="228"/>
        <v>16154.758400000001</v>
      </c>
      <c r="K775" s="122"/>
      <c r="L775" s="122">
        <v>0</v>
      </c>
      <c r="M775" s="122">
        <f t="shared" si="229"/>
        <v>0</v>
      </c>
      <c r="N775" s="122">
        <f t="shared" si="230"/>
        <v>0</v>
      </c>
      <c r="O775" s="122"/>
      <c r="P775" s="122">
        <v>0</v>
      </c>
      <c r="Q775" s="122">
        <f t="shared" si="231"/>
        <v>0</v>
      </c>
      <c r="R775" s="147">
        <f t="shared" si="232"/>
        <v>0</v>
      </c>
      <c r="S775" s="145">
        <v>15</v>
      </c>
      <c r="T775" s="144" t="s">
        <v>213</v>
      </c>
      <c r="U775" s="90">
        <f>SUMIF('Avoided Costs 2009-2017'!$A:$A,Actuals!T775&amp;Actuals!S775,'Avoided Costs 2009-2017'!$E:$E)*J775</f>
        <v>54638.71429595424</v>
      </c>
      <c r="V775" s="90">
        <f>SUMIF('Avoided Costs 2009-2017'!$A:$A,Actuals!T775&amp;Actuals!S775,'Avoided Costs 2009-2017'!$K:$K)*N775</f>
        <v>0</v>
      </c>
      <c r="W775" s="90">
        <f>SUMIF('Avoided Costs 2009-2017'!$A:$A,Actuals!T775&amp;Actuals!S775,'Avoided Costs 2009-2017'!$M:$M)*R775</f>
        <v>0</v>
      </c>
      <c r="X775" s="90">
        <f t="shared" si="233"/>
        <v>54638.71429595424</v>
      </c>
      <c r="Y775" s="148">
        <v>24695</v>
      </c>
      <c r="Z775" s="149">
        <f t="shared" si="234"/>
        <v>19756</v>
      </c>
      <c r="AA775" s="148"/>
      <c r="AB775" s="145"/>
      <c r="AC775" s="145"/>
      <c r="AD775" s="148">
        <f t="shared" si="235"/>
        <v>19756</v>
      </c>
      <c r="AE775" s="122">
        <f t="shared" si="236"/>
        <v>34882.71429595424</v>
      </c>
      <c r="AF775" s="167">
        <f t="shared" si="237"/>
        <v>242321.37600000002</v>
      </c>
    </row>
    <row r="776" spans="1:32" s="150" customFormat="1" x14ac:dyDescent="0.2">
      <c r="A776" s="144" t="s">
        <v>770</v>
      </c>
      <c r="B776" s="144"/>
      <c r="C776" s="144"/>
      <c r="D776" s="145">
        <v>1</v>
      </c>
      <c r="E776" s="122"/>
      <c r="F776" s="146">
        <v>0.2</v>
      </c>
      <c r="G776" s="146"/>
      <c r="H776" s="122">
        <v>10024</v>
      </c>
      <c r="I776" s="122">
        <f t="shared" si="227"/>
        <v>9703.232</v>
      </c>
      <c r="J776" s="147">
        <f t="shared" si="228"/>
        <v>7762.5856000000003</v>
      </c>
      <c r="K776" s="122"/>
      <c r="L776" s="122">
        <v>0</v>
      </c>
      <c r="M776" s="122">
        <f t="shared" si="229"/>
        <v>0</v>
      </c>
      <c r="N776" s="122">
        <f t="shared" si="230"/>
        <v>0</v>
      </c>
      <c r="O776" s="122"/>
      <c r="P776" s="122">
        <v>0</v>
      </c>
      <c r="Q776" s="122">
        <f t="shared" si="231"/>
        <v>0</v>
      </c>
      <c r="R776" s="147">
        <f t="shared" si="232"/>
        <v>0</v>
      </c>
      <c r="S776" s="145">
        <v>15</v>
      </c>
      <c r="T776" s="144" t="s">
        <v>213</v>
      </c>
      <c r="U776" s="90">
        <f>SUMIF('Avoided Costs 2009-2017'!$A:$A,Actuals!T776&amp;Actuals!S776,'Avoided Costs 2009-2017'!$E:$E)*J776</f>
        <v>26254.6604718204</v>
      </c>
      <c r="V776" s="90">
        <f>SUMIF('Avoided Costs 2009-2017'!$A:$A,Actuals!T776&amp;Actuals!S776,'Avoided Costs 2009-2017'!$K:$K)*N776</f>
        <v>0</v>
      </c>
      <c r="W776" s="90">
        <f>SUMIF('Avoided Costs 2009-2017'!$A:$A,Actuals!T776&amp;Actuals!S776,'Avoided Costs 2009-2017'!$M:$M)*R776</f>
        <v>0</v>
      </c>
      <c r="X776" s="90">
        <f t="shared" si="233"/>
        <v>26254.6604718204</v>
      </c>
      <c r="Y776" s="148">
        <v>2030</v>
      </c>
      <c r="Z776" s="149">
        <f t="shared" si="234"/>
        <v>1624</v>
      </c>
      <c r="AA776" s="148"/>
      <c r="AB776" s="145"/>
      <c r="AC776" s="145"/>
      <c r="AD776" s="148">
        <f t="shared" si="235"/>
        <v>1624</v>
      </c>
      <c r="AE776" s="122">
        <f t="shared" si="236"/>
        <v>24630.6604718204</v>
      </c>
      <c r="AF776" s="167">
        <f t="shared" si="237"/>
        <v>116438.784</v>
      </c>
    </row>
    <row r="777" spans="1:32" s="150" customFormat="1" x14ac:dyDescent="0.2">
      <c r="A777" s="144" t="s">
        <v>771</v>
      </c>
      <c r="B777" s="144"/>
      <c r="C777" s="144"/>
      <c r="D777" s="145">
        <v>1</v>
      </c>
      <c r="E777" s="122"/>
      <c r="F777" s="146">
        <v>0.2</v>
      </c>
      <c r="G777" s="146"/>
      <c r="H777" s="122">
        <v>28319</v>
      </c>
      <c r="I777" s="122">
        <f t="shared" si="227"/>
        <v>27412.791999999998</v>
      </c>
      <c r="J777" s="147">
        <f t="shared" si="228"/>
        <v>21930.2336</v>
      </c>
      <c r="K777" s="122"/>
      <c r="L777" s="122">
        <v>0</v>
      </c>
      <c r="M777" s="122">
        <f t="shared" si="229"/>
        <v>0</v>
      </c>
      <c r="N777" s="122">
        <f t="shared" si="230"/>
        <v>0</v>
      </c>
      <c r="O777" s="122"/>
      <c r="P777" s="122">
        <v>0</v>
      </c>
      <c r="Q777" s="122">
        <f t="shared" si="231"/>
        <v>0</v>
      </c>
      <c r="R777" s="147">
        <f t="shared" si="232"/>
        <v>0</v>
      </c>
      <c r="S777" s="145">
        <v>11</v>
      </c>
      <c r="T777" s="144" t="s">
        <v>213</v>
      </c>
      <c r="U777" s="90">
        <f>SUMIF('Avoided Costs 2009-2017'!$A:$A,Actuals!T777&amp;Actuals!S777,'Avoided Costs 2009-2017'!$E:$E)*J777</f>
        <v>61375.947814406463</v>
      </c>
      <c r="V777" s="90">
        <f>SUMIF('Avoided Costs 2009-2017'!$A:$A,Actuals!T777&amp;Actuals!S777,'Avoided Costs 2009-2017'!$K:$K)*N777</f>
        <v>0</v>
      </c>
      <c r="W777" s="90">
        <f>SUMIF('Avoided Costs 2009-2017'!$A:$A,Actuals!T777&amp;Actuals!S777,'Avoided Costs 2009-2017'!$M:$M)*R777</f>
        <v>0</v>
      </c>
      <c r="X777" s="90">
        <f t="shared" si="233"/>
        <v>61375.947814406463</v>
      </c>
      <c r="Y777" s="148">
        <v>15927</v>
      </c>
      <c r="Z777" s="149">
        <f t="shared" si="234"/>
        <v>12741.6</v>
      </c>
      <c r="AA777" s="148"/>
      <c r="AB777" s="145"/>
      <c r="AC777" s="145"/>
      <c r="AD777" s="148">
        <f t="shared" si="235"/>
        <v>12741.6</v>
      </c>
      <c r="AE777" s="122">
        <f t="shared" si="236"/>
        <v>48634.347814406465</v>
      </c>
      <c r="AF777" s="167">
        <f t="shared" si="237"/>
        <v>241232.56959999999</v>
      </c>
    </row>
    <row r="778" spans="1:32" s="150" customFormat="1" x14ac:dyDescent="0.2">
      <c r="A778" s="144" t="s">
        <v>772</v>
      </c>
      <c r="B778" s="144"/>
      <c r="C778" s="144"/>
      <c r="D778" s="145">
        <v>1</v>
      </c>
      <c r="E778" s="122"/>
      <c r="F778" s="146">
        <v>0.2</v>
      </c>
      <c r="G778" s="146"/>
      <c r="H778" s="122">
        <v>39974</v>
      </c>
      <c r="I778" s="122">
        <f t="shared" si="227"/>
        <v>38694.832000000002</v>
      </c>
      <c r="J778" s="147">
        <f t="shared" si="228"/>
        <v>30955.865600000005</v>
      </c>
      <c r="K778" s="122"/>
      <c r="L778" s="122">
        <v>0</v>
      </c>
      <c r="M778" s="122">
        <f t="shared" si="229"/>
        <v>0</v>
      </c>
      <c r="N778" s="122">
        <f t="shared" si="230"/>
        <v>0</v>
      </c>
      <c r="O778" s="122"/>
      <c r="P778" s="122">
        <v>0</v>
      </c>
      <c r="Q778" s="122">
        <f t="shared" si="231"/>
        <v>0</v>
      </c>
      <c r="R778" s="147">
        <f t="shared" si="232"/>
        <v>0</v>
      </c>
      <c r="S778" s="145">
        <v>11</v>
      </c>
      <c r="T778" s="144" t="s">
        <v>213</v>
      </c>
      <c r="U778" s="90">
        <f>SUMIF('Avoided Costs 2009-2017'!$A:$A,Actuals!T778&amp;Actuals!S778,'Avoided Costs 2009-2017'!$E:$E)*J778</f>
        <v>86635.903030936272</v>
      </c>
      <c r="V778" s="90">
        <f>SUMIF('Avoided Costs 2009-2017'!$A:$A,Actuals!T778&amp;Actuals!S778,'Avoided Costs 2009-2017'!$K:$K)*N778</f>
        <v>0</v>
      </c>
      <c r="W778" s="90">
        <f>SUMIF('Avoided Costs 2009-2017'!$A:$A,Actuals!T778&amp;Actuals!S778,'Avoided Costs 2009-2017'!$M:$M)*R778</f>
        <v>0</v>
      </c>
      <c r="X778" s="90">
        <f t="shared" si="233"/>
        <v>86635.903030936272</v>
      </c>
      <c r="Y778" s="148">
        <v>37895</v>
      </c>
      <c r="Z778" s="149">
        <f t="shared" si="234"/>
        <v>30316</v>
      </c>
      <c r="AA778" s="148"/>
      <c r="AB778" s="145"/>
      <c r="AC778" s="145"/>
      <c r="AD778" s="148">
        <f t="shared" si="235"/>
        <v>30316</v>
      </c>
      <c r="AE778" s="122">
        <f t="shared" si="236"/>
        <v>56319.903030936272</v>
      </c>
      <c r="AF778" s="167">
        <f t="shared" si="237"/>
        <v>340514.52160000004</v>
      </c>
    </row>
    <row r="779" spans="1:32" s="150" customFormat="1" x14ac:dyDescent="0.2">
      <c r="A779" s="144" t="s">
        <v>773</v>
      </c>
      <c r="B779" s="144"/>
      <c r="C779" s="144"/>
      <c r="D779" s="145">
        <v>1</v>
      </c>
      <c r="E779" s="122"/>
      <c r="F779" s="146">
        <v>0.2</v>
      </c>
      <c r="G779" s="146"/>
      <c r="H779" s="122">
        <v>25204</v>
      </c>
      <c r="I779" s="122">
        <f t="shared" si="227"/>
        <v>24397.471999999998</v>
      </c>
      <c r="J779" s="147">
        <f t="shared" si="228"/>
        <v>19517.977599999998</v>
      </c>
      <c r="K779" s="122"/>
      <c r="L779" s="122">
        <v>0</v>
      </c>
      <c r="M779" s="122">
        <f t="shared" si="229"/>
        <v>0</v>
      </c>
      <c r="N779" s="122">
        <f t="shared" si="230"/>
        <v>0</v>
      </c>
      <c r="O779" s="122"/>
      <c r="P779" s="122">
        <v>0</v>
      </c>
      <c r="Q779" s="122">
        <f t="shared" si="231"/>
        <v>0</v>
      </c>
      <c r="R779" s="147">
        <f t="shared" si="232"/>
        <v>0</v>
      </c>
      <c r="S779" s="145">
        <v>15</v>
      </c>
      <c r="T779" s="144" t="s">
        <v>213</v>
      </c>
      <c r="U779" s="90">
        <f>SUMIF('Avoided Costs 2009-2017'!$A:$A,Actuals!T779&amp;Actuals!S779,'Avoided Costs 2009-2017'!$E:$E)*J779</f>
        <v>66013.813101731968</v>
      </c>
      <c r="V779" s="90">
        <f>SUMIF('Avoided Costs 2009-2017'!$A:$A,Actuals!T779&amp;Actuals!S779,'Avoided Costs 2009-2017'!$K:$K)*N779</f>
        <v>0</v>
      </c>
      <c r="W779" s="90">
        <f>SUMIF('Avoided Costs 2009-2017'!$A:$A,Actuals!T779&amp;Actuals!S779,'Avoided Costs 2009-2017'!$M:$M)*R779</f>
        <v>0</v>
      </c>
      <c r="X779" s="90">
        <f t="shared" si="233"/>
        <v>66013.813101731968</v>
      </c>
      <c r="Y779" s="148">
        <v>28176</v>
      </c>
      <c r="Z779" s="149">
        <f t="shared" si="234"/>
        <v>22540.800000000003</v>
      </c>
      <c r="AA779" s="148"/>
      <c r="AB779" s="145"/>
      <c r="AC779" s="145"/>
      <c r="AD779" s="148">
        <f t="shared" si="235"/>
        <v>22540.800000000003</v>
      </c>
      <c r="AE779" s="122">
        <f t="shared" si="236"/>
        <v>43473.013101731965</v>
      </c>
      <c r="AF779" s="167">
        <f t="shared" si="237"/>
        <v>292769.66399999999</v>
      </c>
    </row>
    <row r="780" spans="1:32" s="150" customFormat="1" x14ac:dyDescent="0.2">
      <c r="A780" s="144" t="s">
        <v>774</v>
      </c>
      <c r="B780" s="144"/>
      <c r="C780" s="144"/>
      <c r="D780" s="145">
        <v>1</v>
      </c>
      <c r="E780" s="122"/>
      <c r="F780" s="146">
        <v>0.2</v>
      </c>
      <c r="G780" s="146"/>
      <c r="H780" s="122">
        <v>21088</v>
      </c>
      <c r="I780" s="122">
        <f t="shared" si="227"/>
        <v>20413.184000000001</v>
      </c>
      <c r="J780" s="147">
        <f t="shared" si="228"/>
        <v>16330.547200000001</v>
      </c>
      <c r="K780" s="122"/>
      <c r="L780" s="122">
        <v>0</v>
      </c>
      <c r="M780" s="122">
        <f t="shared" si="229"/>
        <v>0</v>
      </c>
      <c r="N780" s="122">
        <f t="shared" si="230"/>
        <v>0</v>
      </c>
      <c r="O780" s="122"/>
      <c r="P780" s="122">
        <v>0</v>
      </c>
      <c r="Q780" s="122">
        <f t="shared" si="231"/>
        <v>0</v>
      </c>
      <c r="R780" s="147">
        <f t="shared" si="232"/>
        <v>0</v>
      </c>
      <c r="S780" s="145">
        <v>15</v>
      </c>
      <c r="T780" s="144" t="s">
        <v>213</v>
      </c>
      <c r="U780" s="90">
        <f>SUMIF('Avoided Costs 2009-2017'!$A:$A,Actuals!T780&amp;Actuals!S780,'Avoided Costs 2009-2017'!$E:$E)*J780</f>
        <v>55233.268159392319</v>
      </c>
      <c r="V780" s="90">
        <f>SUMIF('Avoided Costs 2009-2017'!$A:$A,Actuals!T780&amp;Actuals!S780,'Avoided Costs 2009-2017'!$K:$K)*N780</f>
        <v>0</v>
      </c>
      <c r="W780" s="90">
        <f>SUMIF('Avoided Costs 2009-2017'!$A:$A,Actuals!T780&amp;Actuals!S780,'Avoided Costs 2009-2017'!$M:$M)*R780</f>
        <v>0</v>
      </c>
      <c r="X780" s="90">
        <f t="shared" si="233"/>
        <v>55233.268159392319</v>
      </c>
      <c r="Y780" s="148">
        <v>28272</v>
      </c>
      <c r="Z780" s="149">
        <f t="shared" si="234"/>
        <v>22617.600000000002</v>
      </c>
      <c r="AA780" s="148"/>
      <c r="AB780" s="145"/>
      <c r="AC780" s="145"/>
      <c r="AD780" s="148">
        <f t="shared" si="235"/>
        <v>22617.600000000002</v>
      </c>
      <c r="AE780" s="122">
        <f t="shared" si="236"/>
        <v>32615.668159392317</v>
      </c>
      <c r="AF780" s="167">
        <f t="shared" si="237"/>
        <v>244958.20800000001</v>
      </c>
    </row>
    <row r="781" spans="1:32" s="150" customFormat="1" x14ac:dyDescent="0.2">
      <c r="A781" s="144" t="s">
        <v>775</v>
      </c>
      <c r="B781" s="144"/>
      <c r="C781" s="144"/>
      <c r="D781" s="145">
        <v>1</v>
      </c>
      <c r="E781" s="122"/>
      <c r="F781" s="146">
        <v>0.2</v>
      </c>
      <c r="G781" s="146"/>
      <c r="H781" s="122">
        <v>10030</v>
      </c>
      <c r="I781" s="122">
        <f t="shared" si="227"/>
        <v>9709.0399999999991</v>
      </c>
      <c r="J781" s="147">
        <f t="shared" si="228"/>
        <v>7767.232</v>
      </c>
      <c r="K781" s="122"/>
      <c r="L781" s="122">
        <v>0</v>
      </c>
      <c r="M781" s="122">
        <f t="shared" si="229"/>
        <v>0</v>
      </c>
      <c r="N781" s="122">
        <f t="shared" si="230"/>
        <v>0</v>
      </c>
      <c r="O781" s="122"/>
      <c r="P781" s="122">
        <v>0</v>
      </c>
      <c r="Q781" s="122">
        <f t="shared" si="231"/>
        <v>0</v>
      </c>
      <c r="R781" s="147">
        <f t="shared" si="232"/>
        <v>0</v>
      </c>
      <c r="S781" s="145">
        <v>15</v>
      </c>
      <c r="T781" s="144" t="s">
        <v>213</v>
      </c>
      <c r="U781" s="90">
        <f>SUMIF('Avoided Costs 2009-2017'!$A:$A,Actuals!T781&amp;Actuals!S781,'Avoided Costs 2009-2017'!$E:$E)*J781</f>
        <v>26270.375551911271</v>
      </c>
      <c r="V781" s="90">
        <f>SUMIF('Avoided Costs 2009-2017'!$A:$A,Actuals!T781&amp;Actuals!S781,'Avoided Costs 2009-2017'!$K:$K)*N781</f>
        <v>0</v>
      </c>
      <c r="W781" s="90">
        <f>SUMIF('Avoided Costs 2009-2017'!$A:$A,Actuals!T781&amp;Actuals!S781,'Avoided Costs 2009-2017'!$M:$M)*R781</f>
        <v>0</v>
      </c>
      <c r="X781" s="90">
        <f t="shared" si="233"/>
        <v>26270.375551911271</v>
      </c>
      <c r="Y781" s="148">
        <v>34252</v>
      </c>
      <c r="Z781" s="149">
        <f t="shared" si="234"/>
        <v>27401.600000000002</v>
      </c>
      <c r="AA781" s="148"/>
      <c r="AB781" s="145"/>
      <c r="AC781" s="145"/>
      <c r="AD781" s="148">
        <f t="shared" si="235"/>
        <v>27401.600000000002</v>
      </c>
      <c r="AE781" s="122">
        <f t="shared" si="236"/>
        <v>-1131.2244480887312</v>
      </c>
      <c r="AF781" s="167">
        <f t="shared" si="237"/>
        <v>116508.48</v>
      </c>
    </row>
    <row r="782" spans="1:32" s="150" customFormat="1" x14ac:dyDescent="0.2">
      <c r="A782" s="144" t="s">
        <v>696</v>
      </c>
      <c r="B782" s="144"/>
      <c r="C782" s="144"/>
      <c r="D782" s="145">
        <v>0</v>
      </c>
      <c r="E782" s="122"/>
      <c r="F782" s="146">
        <v>0.2</v>
      </c>
      <c r="G782" s="146"/>
      <c r="H782" s="122">
        <v>50837</v>
      </c>
      <c r="I782" s="122">
        <f t="shared" si="227"/>
        <v>49210.216</v>
      </c>
      <c r="J782" s="147">
        <f t="shared" si="228"/>
        <v>39368.1728</v>
      </c>
      <c r="K782" s="122"/>
      <c r="L782" s="122">
        <v>0</v>
      </c>
      <c r="M782" s="122">
        <f t="shared" si="229"/>
        <v>0</v>
      </c>
      <c r="N782" s="122">
        <f t="shared" si="230"/>
        <v>0</v>
      </c>
      <c r="O782" s="122"/>
      <c r="P782" s="122">
        <v>0</v>
      </c>
      <c r="Q782" s="122">
        <f t="shared" si="231"/>
        <v>0</v>
      </c>
      <c r="R782" s="147">
        <f t="shared" si="232"/>
        <v>0</v>
      </c>
      <c r="S782" s="145">
        <v>15</v>
      </c>
      <c r="T782" s="144" t="s">
        <v>213</v>
      </c>
      <c r="U782" s="90">
        <f>SUMIF('Avoided Costs 2009-2017'!$A:$A,Actuals!T782&amp;Actuals!S782,'Avoided Costs 2009-2017'!$E:$E)*J782</f>
        <v>133151.25442996144</v>
      </c>
      <c r="V782" s="90">
        <f>SUMIF('Avoided Costs 2009-2017'!$A:$A,Actuals!T782&amp;Actuals!S782,'Avoided Costs 2009-2017'!$K:$K)*N782</f>
        <v>0</v>
      </c>
      <c r="W782" s="90">
        <f>SUMIF('Avoided Costs 2009-2017'!$A:$A,Actuals!T782&amp;Actuals!S782,'Avoided Costs 2009-2017'!$M:$M)*R782</f>
        <v>0</v>
      </c>
      <c r="X782" s="90">
        <f t="shared" si="233"/>
        <v>133151.25442996144</v>
      </c>
      <c r="Y782" s="148">
        <v>62590</v>
      </c>
      <c r="Z782" s="149">
        <f t="shared" si="234"/>
        <v>50072</v>
      </c>
      <c r="AA782" s="148"/>
      <c r="AB782" s="145"/>
      <c r="AC782" s="145"/>
      <c r="AD782" s="148">
        <f t="shared" si="235"/>
        <v>50072</v>
      </c>
      <c r="AE782" s="122">
        <f t="shared" si="236"/>
        <v>83079.254429961438</v>
      </c>
      <c r="AF782" s="167">
        <f t="shared" si="237"/>
        <v>590522.59199999995</v>
      </c>
    </row>
    <row r="783" spans="1:32" s="150" customFormat="1" x14ac:dyDescent="0.2">
      <c r="A783" s="144" t="s">
        <v>697</v>
      </c>
      <c r="B783" s="144"/>
      <c r="C783" s="144"/>
      <c r="D783" s="145">
        <v>1</v>
      </c>
      <c r="E783" s="122"/>
      <c r="F783" s="146">
        <v>0.2</v>
      </c>
      <c r="G783" s="146"/>
      <c r="H783" s="122">
        <v>13272</v>
      </c>
      <c r="I783" s="122">
        <f t="shared" si="227"/>
        <v>12847.296</v>
      </c>
      <c r="J783" s="147">
        <f t="shared" si="228"/>
        <v>10277.836800000001</v>
      </c>
      <c r="K783" s="122"/>
      <c r="L783" s="122">
        <v>0</v>
      </c>
      <c r="M783" s="122">
        <f t="shared" si="229"/>
        <v>0</v>
      </c>
      <c r="N783" s="122">
        <f t="shared" si="230"/>
        <v>0</v>
      </c>
      <c r="O783" s="122"/>
      <c r="P783" s="122">
        <v>0</v>
      </c>
      <c r="Q783" s="122">
        <f t="shared" si="231"/>
        <v>0</v>
      </c>
      <c r="R783" s="147">
        <f t="shared" si="232"/>
        <v>0</v>
      </c>
      <c r="S783" s="145">
        <v>15</v>
      </c>
      <c r="T783" s="144" t="s">
        <v>213</v>
      </c>
      <c r="U783" s="90">
        <f>SUMIF('Avoided Costs 2009-2017'!$A:$A,Actuals!T783&amp;Actuals!S783,'Avoided Costs 2009-2017'!$E:$E)*J783</f>
        <v>34761.7571610136</v>
      </c>
      <c r="V783" s="90">
        <f>SUMIF('Avoided Costs 2009-2017'!$A:$A,Actuals!T783&amp;Actuals!S783,'Avoided Costs 2009-2017'!$K:$K)*N783</f>
        <v>0</v>
      </c>
      <c r="W783" s="90">
        <f>SUMIF('Avoided Costs 2009-2017'!$A:$A,Actuals!T783&amp;Actuals!S783,'Avoided Costs 2009-2017'!$M:$M)*R783</f>
        <v>0</v>
      </c>
      <c r="X783" s="90">
        <f t="shared" si="233"/>
        <v>34761.7571610136</v>
      </c>
      <c r="Y783" s="148">
        <v>39425</v>
      </c>
      <c r="Z783" s="149">
        <f t="shared" si="234"/>
        <v>31540</v>
      </c>
      <c r="AA783" s="148"/>
      <c r="AB783" s="145"/>
      <c r="AC783" s="145"/>
      <c r="AD783" s="148">
        <f t="shared" si="235"/>
        <v>31540</v>
      </c>
      <c r="AE783" s="122">
        <f t="shared" si="236"/>
        <v>3221.7571610136001</v>
      </c>
      <c r="AF783" s="167">
        <f t="shared" si="237"/>
        <v>154167.55200000003</v>
      </c>
    </row>
    <row r="784" spans="1:32" s="150" customFormat="1" x14ac:dyDescent="0.2">
      <c r="A784" s="144" t="s">
        <v>698</v>
      </c>
      <c r="B784" s="144"/>
      <c r="C784" s="144"/>
      <c r="D784" s="145">
        <v>0</v>
      </c>
      <c r="E784" s="122"/>
      <c r="F784" s="146">
        <v>0.2</v>
      </c>
      <c r="G784" s="146"/>
      <c r="H784" s="122">
        <v>53274</v>
      </c>
      <c r="I784" s="122">
        <f t="shared" si="227"/>
        <v>51569.231999999996</v>
      </c>
      <c r="J784" s="147">
        <f t="shared" si="228"/>
        <v>41255.385600000001</v>
      </c>
      <c r="K784" s="122"/>
      <c r="L784" s="122">
        <v>0</v>
      </c>
      <c r="M784" s="122">
        <f t="shared" si="229"/>
        <v>0</v>
      </c>
      <c r="N784" s="122">
        <f t="shared" si="230"/>
        <v>0</v>
      </c>
      <c r="O784" s="122"/>
      <c r="P784" s="122">
        <v>0</v>
      </c>
      <c r="Q784" s="122">
        <f t="shared" si="231"/>
        <v>0</v>
      </c>
      <c r="R784" s="147">
        <f t="shared" si="232"/>
        <v>0</v>
      </c>
      <c r="S784" s="145">
        <v>15</v>
      </c>
      <c r="T784" s="144" t="s">
        <v>213</v>
      </c>
      <c r="U784" s="90">
        <f>SUMIF('Avoided Costs 2009-2017'!$A:$A,Actuals!T784&amp;Actuals!S784,'Avoided Costs 2009-2017'!$E:$E)*J784</f>
        <v>139534.19612687151</v>
      </c>
      <c r="V784" s="90">
        <f>SUMIF('Avoided Costs 2009-2017'!$A:$A,Actuals!T784&amp;Actuals!S784,'Avoided Costs 2009-2017'!$K:$K)*N784</f>
        <v>0</v>
      </c>
      <c r="W784" s="90">
        <f>SUMIF('Avoided Costs 2009-2017'!$A:$A,Actuals!T784&amp;Actuals!S784,'Avoided Costs 2009-2017'!$M:$M)*R784</f>
        <v>0</v>
      </c>
      <c r="X784" s="90">
        <f t="shared" si="233"/>
        <v>139534.19612687151</v>
      </c>
      <c r="Y784" s="148">
        <v>60327</v>
      </c>
      <c r="Z784" s="149">
        <f t="shared" si="234"/>
        <v>48261.600000000006</v>
      </c>
      <c r="AA784" s="148"/>
      <c r="AB784" s="145"/>
      <c r="AC784" s="145"/>
      <c r="AD784" s="148">
        <f t="shared" si="235"/>
        <v>48261.600000000006</v>
      </c>
      <c r="AE784" s="122">
        <f t="shared" si="236"/>
        <v>91272.596126871504</v>
      </c>
      <c r="AF784" s="167">
        <f t="shared" si="237"/>
        <v>618830.78399999999</v>
      </c>
    </row>
    <row r="785" spans="1:32" s="150" customFormat="1" x14ac:dyDescent="0.2">
      <c r="A785" s="144" t="s">
        <v>699</v>
      </c>
      <c r="B785" s="144"/>
      <c r="C785" s="144"/>
      <c r="D785" s="145">
        <v>1</v>
      </c>
      <c r="E785" s="122"/>
      <c r="F785" s="146">
        <v>0.2</v>
      </c>
      <c r="G785" s="146"/>
      <c r="H785" s="122">
        <v>17633</v>
      </c>
      <c r="I785" s="122">
        <f t="shared" si="227"/>
        <v>17068.743999999999</v>
      </c>
      <c r="J785" s="147">
        <f t="shared" si="228"/>
        <v>13654.995199999999</v>
      </c>
      <c r="K785" s="122"/>
      <c r="L785" s="122">
        <v>0</v>
      </c>
      <c r="M785" s="122">
        <f t="shared" si="229"/>
        <v>0</v>
      </c>
      <c r="N785" s="122">
        <f t="shared" si="230"/>
        <v>0</v>
      </c>
      <c r="O785" s="122"/>
      <c r="P785" s="122">
        <v>0</v>
      </c>
      <c r="Q785" s="122">
        <f t="shared" si="231"/>
        <v>0</v>
      </c>
      <c r="R785" s="147">
        <f t="shared" si="232"/>
        <v>0</v>
      </c>
      <c r="S785" s="145">
        <v>15</v>
      </c>
      <c r="T785" s="144" t="s">
        <v>213</v>
      </c>
      <c r="U785" s="90">
        <f>SUMIF('Avoided Costs 2009-2017'!$A:$A,Actuals!T785&amp;Actuals!S785,'Avoided Costs 2009-2017'!$E:$E)*J785</f>
        <v>46184.00120706395</v>
      </c>
      <c r="V785" s="90">
        <f>SUMIF('Avoided Costs 2009-2017'!$A:$A,Actuals!T785&amp;Actuals!S785,'Avoided Costs 2009-2017'!$K:$K)*N785</f>
        <v>0</v>
      </c>
      <c r="W785" s="90">
        <f>SUMIF('Avoided Costs 2009-2017'!$A:$A,Actuals!T785&amp;Actuals!S785,'Avoided Costs 2009-2017'!$M:$M)*R785</f>
        <v>0</v>
      </c>
      <c r="X785" s="90">
        <f t="shared" si="233"/>
        <v>46184.00120706395</v>
      </c>
      <c r="Y785" s="148">
        <v>36502</v>
      </c>
      <c r="Z785" s="149">
        <f t="shared" si="234"/>
        <v>29201.600000000002</v>
      </c>
      <c r="AA785" s="148"/>
      <c r="AB785" s="145"/>
      <c r="AC785" s="145"/>
      <c r="AD785" s="148">
        <f t="shared" si="235"/>
        <v>29201.600000000002</v>
      </c>
      <c r="AE785" s="122">
        <f t="shared" si="236"/>
        <v>16982.401207063947</v>
      </c>
      <c r="AF785" s="167">
        <f t="shared" si="237"/>
        <v>204824.92799999999</v>
      </c>
    </row>
    <row r="786" spans="1:32" s="150" customFormat="1" x14ac:dyDescent="0.2">
      <c r="A786" s="144" t="s">
        <v>700</v>
      </c>
      <c r="B786" s="144"/>
      <c r="C786" s="144"/>
      <c r="D786" s="145">
        <v>0</v>
      </c>
      <c r="E786" s="122"/>
      <c r="F786" s="146">
        <v>0.2</v>
      </c>
      <c r="G786" s="146"/>
      <c r="H786" s="122">
        <v>60612</v>
      </c>
      <c r="I786" s="122">
        <f t="shared" si="227"/>
        <v>58672.415999999997</v>
      </c>
      <c r="J786" s="147">
        <f t="shared" si="228"/>
        <v>46937.932800000002</v>
      </c>
      <c r="K786" s="122"/>
      <c r="L786" s="122">
        <v>0</v>
      </c>
      <c r="M786" s="122">
        <f t="shared" si="229"/>
        <v>0</v>
      </c>
      <c r="N786" s="122">
        <f t="shared" si="230"/>
        <v>0</v>
      </c>
      <c r="O786" s="122"/>
      <c r="P786" s="122">
        <v>0</v>
      </c>
      <c r="Q786" s="122">
        <f t="shared" si="231"/>
        <v>0</v>
      </c>
      <c r="R786" s="147">
        <f t="shared" si="232"/>
        <v>0</v>
      </c>
      <c r="S786" s="145">
        <v>15</v>
      </c>
      <c r="T786" s="144" t="s">
        <v>213</v>
      </c>
      <c r="U786" s="90">
        <f>SUMIF('Avoided Costs 2009-2017'!$A:$A,Actuals!T786&amp;Actuals!S786,'Avoided Costs 2009-2017'!$E:$E)*J786</f>
        <v>158753.73907801058</v>
      </c>
      <c r="V786" s="90">
        <f>SUMIF('Avoided Costs 2009-2017'!$A:$A,Actuals!T786&amp;Actuals!S786,'Avoided Costs 2009-2017'!$K:$K)*N786</f>
        <v>0</v>
      </c>
      <c r="W786" s="90">
        <f>SUMIF('Avoided Costs 2009-2017'!$A:$A,Actuals!T786&amp;Actuals!S786,'Avoided Costs 2009-2017'!$M:$M)*R786</f>
        <v>0</v>
      </c>
      <c r="X786" s="90">
        <f t="shared" si="233"/>
        <v>158753.73907801058</v>
      </c>
      <c r="Y786" s="148">
        <v>54472</v>
      </c>
      <c r="Z786" s="149">
        <f t="shared" si="234"/>
        <v>43577.600000000006</v>
      </c>
      <c r="AA786" s="148"/>
      <c r="AB786" s="145"/>
      <c r="AC786" s="145"/>
      <c r="AD786" s="148">
        <f t="shared" si="235"/>
        <v>43577.600000000006</v>
      </c>
      <c r="AE786" s="122">
        <f t="shared" si="236"/>
        <v>115176.13907801057</v>
      </c>
      <c r="AF786" s="167">
        <f t="shared" si="237"/>
        <v>704068.99200000009</v>
      </c>
    </row>
    <row r="787" spans="1:32" s="150" customFormat="1" x14ac:dyDescent="0.2">
      <c r="A787" s="144" t="s">
        <v>701</v>
      </c>
      <c r="B787" s="144"/>
      <c r="C787" s="144"/>
      <c r="D787" s="145">
        <v>0</v>
      </c>
      <c r="E787" s="122"/>
      <c r="F787" s="146">
        <v>0.2</v>
      </c>
      <c r="G787" s="146"/>
      <c r="H787" s="122">
        <v>0</v>
      </c>
      <c r="I787" s="122">
        <f t="shared" si="227"/>
        <v>0</v>
      </c>
      <c r="J787" s="147">
        <f t="shared" si="228"/>
        <v>0</v>
      </c>
      <c r="K787" s="122"/>
      <c r="L787" s="122">
        <v>0</v>
      </c>
      <c r="M787" s="122">
        <f t="shared" si="229"/>
        <v>0</v>
      </c>
      <c r="N787" s="122">
        <f t="shared" si="230"/>
        <v>0</v>
      </c>
      <c r="O787" s="122"/>
      <c r="P787" s="122">
        <v>0</v>
      </c>
      <c r="Q787" s="122">
        <f t="shared" si="231"/>
        <v>0</v>
      </c>
      <c r="R787" s="147">
        <f t="shared" si="232"/>
        <v>0</v>
      </c>
      <c r="S787" s="145">
        <v>1</v>
      </c>
      <c r="T787" s="144" t="s">
        <v>213</v>
      </c>
      <c r="U787" s="90">
        <f>SUMIF('Avoided Costs 2009-2017'!$A:$A,Actuals!T787&amp;Actuals!S787,'Avoided Costs 2009-2017'!$E:$E)*J787</f>
        <v>0</v>
      </c>
      <c r="V787" s="90">
        <f>SUMIF('Avoided Costs 2009-2017'!$A:$A,Actuals!T787&amp;Actuals!S787,'Avoided Costs 2009-2017'!$K:$K)*N787</f>
        <v>0</v>
      </c>
      <c r="W787" s="90">
        <f>SUMIF('Avoided Costs 2009-2017'!$A:$A,Actuals!T787&amp;Actuals!S787,'Avoided Costs 2009-2017'!$M:$M)*R787</f>
        <v>0</v>
      </c>
      <c r="X787" s="90">
        <f t="shared" si="233"/>
        <v>0</v>
      </c>
      <c r="Y787" s="148">
        <v>0</v>
      </c>
      <c r="Z787" s="149">
        <f t="shared" si="234"/>
        <v>0</v>
      </c>
      <c r="AA787" s="148"/>
      <c r="AB787" s="145"/>
      <c r="AC787" s="145"/>
      <c r="AD787" s="148">
        <f t="shared" si="235"/>
        <v>0</v>
      </c>
      <c r="AE787" s="122">
        <f t="shared" si="236"/>
        <v>0</v>
      </c>
      <c r="AF787" s="167">
        <f t="shared" si="237"/>
        <v>0</v>
      </c>
    </row>
    <row r="788" spans="1:32" s="150" customFormat="1" x14ac:dyDescent="0.2">
      <c r="A788" s="144" t="s">
        <v>702</v>
      </c>
      <c r="B788" s="144"/>
      <c r="C788" s="144"/>
      <c r="D788" s="145">
        <v>0</v>
      </c>
      <c r="E788" s="122"/>
      <c r="F788" s="146">
        <v>0.2</v>
      </c>
      <c r="G788" s="146"/>
      <c r="H788" s="122">
        <v>8921</v>
      </c>
      <c r="I788" s="122">
        <f t="shared" si="227"/>
        <v>8635.5280000000002</v>
      </c>
      <c r="J788" s="147">
        <f t="shared" si="228"/>
        <v>6908.4224000000004</v>
      </c>
      <c r="K788" s="122"/>
      <c r="L788" s="122">
        <v>0</v>
      </c>
      <c r="M788" s="122">
        <f t="shared" si="229"/>
        <v>0</v>
      </c>
      <c r="N788" s="122">
        <f t="shared" si="230"/>
        <v>0</v>
      </c>
      <c r="O788" s="122"/>
      <c r="P788" s="122">
        <v>0</v>
      </c>
      <c r="Q788" s="122">
        <f t="shared" si="231"/>
        <v>0</v>
      </c>
      <c r="R788" s="147">
        <f t="shared" si="232"/>
        <v>0</v>
      </c>
      <c r="S788" s="145">
        <v>15</v>
      </c>
      <c r="T788" s="144" t="s">
        <v>1176</v>
      </c>
      <c r="U788" s="90">
        <f>SUMIF('Avoided Costs 2009-2017'!$A:$A,Actuals!T788&amp;Actuals!S788,'Avoided Costs 2009-2017'!$E:$E)*J788</f>
        <v>21281.311578928173</v>
      </c>
      <c r="V788" s="90">
        <f>SUMIF('Avoided Costs 2009-2017'!$A:$A,Actuals!T788&amp;Actuals!S788,'Avoided Costs 2009-2017'!$K:$K)*N788</f>
        <v>0</v>
      </c>
      <c r="W788" s="90">
        <f>SUMIF('Avoided Costs 2009-2017'!$A:$A,Actuals!T788&amp;Actuals!S788,'Avoided Costs 2009-2017'!$M:$M)*R788</f>
        <v>0</v>
      </c>
      <c r="X788" s="90">
        <f t="shared" si="233"/>
        <v>21281.311578928173</v>
      </c>
      <c r="Y788" s="148">
        <v>7695</v>
      </c>
      <c r="Z788" s="149">
        <f t="shared" si="234"/>
        <v>6156</v>
      </c>
      <c r="AA788" s="148"/>
      <c r="AB788" s="145"/>
      <c r="AC788" s="145"/>
      <c r="AD788" s="148">
        <f t="shared" si="235"/>
        <v>6156</v>
      </c>
      <c r="AE788" s="122">
        <f t="shared" si="236"/>
        <v>15125.311578928173</v>
      </c>
      <c r="AF788" s="167">
        <f t="shared" si="237"/>
        <v>103626.33600000001</v>
      </c>
    </row>
    <row r="789" spans="1:32" s="150" customFormat="1" x14ac:dyDescent="0.2">
      <c r="A789" s="144" t="s">
        <v>703</v>
      </c>
      <c r="B789" s="144"/>
      <c r="C789" s="144"/>
      <c r="D789" s="145">
        <v>1</v>
      </c>
      <c r="E789" s="122"/>
      <c r="F789" s="146">
        <v>0.2</v>
      </c>
      <c r="G789" s="146"/>
      <c r="H789" s="122">
        <v>20815</v>
      </c>
      <c r="I789" s="122">
        <f t="shared" si="227"/>
        <v>20148.919999999998</v>
      </c>
      <c r="J789" s="147">
        <f t="shared" si="228"/>
        <v>16119.135999999999</v>
      </c>
      <c r="K789" s="122"/>
      <c r="L789" s="122">
        <v>0</v>
      </c>
      <c r="M789" s="122">
        <f t="shared" si="229"/>
        <v>0</v>
      </c>
      <c r="N789" s="122">
        <f t="shared" si="230"/>
        <v>0</v>
      </c>
      <c r="O789" s="122"/>
      <c r="P789" s="122">
        <v>0</v>
      </c>
      <c r="Q789" s="122">
        <f t="shared" si="231"/>
        <v>0</v>
      </c>
      <c r="R789" s="147">
        <f t="shared" si="232"/>
        <v>0</v>
      </c>
      <c r="S789" s="145">
        <v>15</v>
      </c>
      <c r="T789" s="144" t="s">
        <v>213</v>
      </c>
      <c r="U789" s="90">
        <f>SUMIF('Avoided Costs 2009-2017'!$A:$A,Actuals!T789&amp;Actuals!S789,'Avoided Costs 2009-2017'!$E:$E)*J789</f>
        <v>54518.232015257534</v>
      </c>
      <c r="V789" s="90">
        <f>SUMIF('Avoided Costs 2009-2017'!$A:$A,Actuals!T789&amp;Actuals!S789,'Avoided Costs 2009-2017'!$K:$K)*N789</f>
        <v>0</v>
      </c>
      <c r="W789" s="90">
        <f>SUMIF('Avoided Costs 2009-2017'!$A:$A,Actuals!T789&amp;Actuals!S789,'Avoided Costs 2009-2017'!$M:$M)*R789</f>
        <v>0</v>
      </c>
      <c r="X789" s="90">
        <f t="shared" si="233"/>
        <v>54518.232015257534</v>
      </c>
      <c r="Y789" s="148">
        <v>17955</v>
      </c>
      <c r="Z789" s="149">
        <f t="shared" si="234"/>
        <v>14364</v>
      </c>
      <c r="AA789" s="148"/>
      <c r="AB789" s="145"/>
      <c r="AC789" s="145"/>
      <c r="AD789" s="148">
        <f t="shared" si="235"/>
        <v>14364</v>
      </c>
      <c r="AE789" s="122">
        <f t="shared" si="236"/>
        <v>40154.232015257534</v>
      </c>
      <c r="AF789" s="167">
        <f t="shared" si="237"/>
        <v>241787.03999999998</v>
      </c>
    </row>
    <row r="790" spans="1:32" s="150" customFormat="1" x14ac:dyDescent="0.2">
      <c r="A790" s="144" t="s">
        <v>776</v>
      </c>
      <c r="B790" s="144"/>
      <c r="C790" s="144"/>
      <c r="D790" s="145">
        <v>1</v>
      </c>
      <c r="E790" s="122"/>
      <c r="F790" s="146">
        <v>0.2</v>
      </c>
      <c r="G790" s="146"/>
      <c r="H790" s="122">
        <v>54870</v>
      </c>
      <c r="I790" s="122">
        <f t="shared" si="227"/>
        <v>53114.159999999996</v>
      </c>
      <c r="J790" s="147">
        <f t="shared" si="228"/>
        <v>42491.328000000001</v>
      </c>
      <c r="K790" s="122"/>
      <c r="L790" s="122">
        <v>0</v>
      </c>
      <c r="M790" s="122">
        <f t="shared" si="229"/>
        <v>0</v>
      </c>
      <c r="N790" s="122">
        <f t="shared" si="230"/>
        <v>0</v>
      </c>
      <c r="O790" s="122"/>
      <c r="P790" s="122">
        <v>0</v>
      </c>
      <c r="Q790" s="122">
        <f t="shared" si="231"/>
        <v>0</v>
      </c>
      <c r="R790" s="147">
        <f t="shared" si="232"/>
        <v>0</v>
      </c>
      <c r="S790" s="145">
        <v>15</v>
      </c>
      <c r="T790" s="144" t="s">
        <v>213</v>
      </c>
      <c r="U790" s="90">
        <f>SUMIF('Avoided Costs 2009-2017'!$A:$A,Actuals!T790&amp;Actuals!S790,'Avoided Costs 2009-2017'!$E:$E)*J790</f>
        <v>143714.407431044</v>
      </c>
      <c r="V790" s="90">
        <f>SUMIF('Avoided Costs 2009-2017'!$A:$A,Actuals!T790&amp;Actuals!S790,'Avoided Costs 2009-2017'!$K:$K)*N790</f>
        <v>0</v>
      </c>
      <c r="W790" s="90">
        <f>SUMIF('Avoided Costs 2009-2017'!$A:$A,Actuals!T790&amp;Actuals!S790,'Avoided Costs 2009-2017'!$M:$M)*R790</f>
        <v>0</v>
      </c>
      <c r="X790" s="90">
        <f t="shared" si="233"/>
        <v>143714.407431044</v>
      </c>
      <c r="Y790" s="148">
        <v>57353</v>
      </c>
      <c r="Z790" s="149">
        <f t="shared" si="234"/>
        <v>45882.400000000001</v>
      </c>
      <c r="AA790" s="148"/>
      <c r="AB790" s="145"/>
      <c r="AC790" s="145"/>
      <c r="AD790" s="148">
        <f t="shared" si="235"/>
        <v>45882.400000000001</v>
      </c>
      <c r="AE790" s="122">
        <f t="shared" si="236"/>
        <v>97832.00743104401</v>
      </c>
      <c r="AF790" s="167">
        <f t="shared" si="237"/>
        <v>637369.92000000004</v>
      </c>
    </row>
    <row r="791" spans="1:32" s="150" customFormat="1" x14ac:dyDescent="0.2">
      <c r="A791" s="144" t="s">
        <v>777</v>
      </c>
      <c r="B791" s="144"/>
      <c r="C791" s="144"/>
      <c r="D791" s="145">
        <v>1</v>
      </c>
      <c r="E791" s="122"/>
      <c r="F791" s="146">
        <v>0.2</v>
      </c>
      <c r="G791" s="146"/>
      <c r="H791" s="122">
        <v>43810</v>
      </c>
      <c r="I791" s="122">
        <f t="shared" si="227"/>
        <v>42408.08</v>
      </c>
      <c r="J791" s="147">
        <f t="shared" si="228"/>
        <v>33926.464</v>
      </c>
      <c r="K791" s="122"/>
      <c r="L791" s="122">
        <v>0</v>
      </c>
      <c r="M791" s="122">
        <f t="shared" si="229"/>
        <v>0</v>
      </c>
      <c r="N791" s="122">
        <f t="shared" si="230"/>
        <v>0</v>
      </c>
      <c r="O791" s="122"/>
      <c r="P791" s="122">
        <v>0</v>
      </c>
      <c r="Q791" s="122">
        <f t="shared" si="231"/>
        <v>0</v>
      </c>
      <c r="R791" s="147">
        <f t="shared" si="232"/>
        <v>0</v>
      </c>
      <c r="S791" s="145">
        <v>15</v>
      </c>
      <c r="T791" s="144" t="s">
        <v>213</v>
      </c>
      <c r="U791" s="90">
        <f>SUMIF('Avoided Costs 2009-2017'!$A:$A,Actuals!T791&amp;Actuals!S791,'Avoided Costs 2009-2017'!$E:$E)*J791</f>
        <v>114746.27646353267</v>
      </c>
      <c r="V791" s="90">
        <f>SUMIF('Avoided Costs 2009-2017'!$A:$A,Actuals!T791&amp;Actuals!S791,'Avoided Costs 2009-2017'!$K:$K)*N791</f>
        <v>0</v>
      </c>
      <c r="W791" s="90">
        <f>SUMIF('Avoided Costs 2009-2017'!$A:$A,Actuals!T791&amp;Actuals!S791,'Avoided Costs 2009-2017'!$M:$M)*R791</f>
        <v>0</v>
      </c>
      <c r="X791" s="90">
        <f t="shared" si="233"/>
        <v>114746.27646353267</v>
      </c>
      <c r="Y791" s="148">
        <v>41675</v>
      </c>
      <c r="Z791" s="149">
        <f t="shared" si="234"/>
        <v>33340</v>
      </c>
      <c r="AA791" s="148"/>
      <c r="AB791" s="145"/>
      <c r="AC791" s="145"/>
      <c r="AD791" s="148">
        <f t="shared" si="235"/>
        <v>33340</v>
      </c>
      <c r="AE791" s="122">
        <f t="shared" si="236"/>
        <v>81406.276463532675</v>
      </c>
      <c r="AF791" s="167">
        <f t="shared" si="237"/>
        <v>508896.96</v>
      </c>
    </row>
    <row r="792" spans="1:32" s="150" customFormat="1" x14ac:dyDescent="0.2">
      <c r="A792" s="144" t="s">
        <v>778</v>
      </c>
      <c r="B792" s="144"/>
      <c r="C792" s="144"/>
      <c r="D792" s="145">
        <v>1</v>
      </c>
      <c r="E792" s="122"/>
      <c r="F792" s="146">
        <v>0.2</v>
      </c>
      <c r="G792" s="146"/>
      <c r="H792" s="122">
        <v>18562</v>
      </c>
      <c r="I792" s="122">
        <f t="shared" si="227"/>
        <v>17968.016</v>
      </c>
      <c r="J792" s="147">
        <f t="shared" si="228"/>
        <v>14374.4128</v>
      </c>
      <c r="K792" s="122"/>
      <c r="L792" s="122">
        <v>0</v>
      </c>
      <c r="M792" s="122">
        <f t="shared" si="229"/>
        <v>0</v>
      </c>
      <c r="N792" s="122">
        <f t="shared" si="230"/>
        <v>0</v>
      </c>
      <c r="O792" s="122"/>
      <c r="P792" s="122">
        <v>0</v>
      </c>
      <c r="Q792" s="122">
        <f t="shared" si="231"/>
        <v>0</v>
      </c>
      <c r="R792" s="147">
        <f t="shared" si="232"/>
        <v>0</v>
      </c>
      <c r="S792" s="145">
        <v>15</v>
      </c>
      <c r="T792" s="144" t="s">
        <v>213</v>
      </c>
      <c r="U792" s="90">
        <f>SUMIF('Avoided Costs 2009-2017'!$A:$A,Actuals!T792&amp;Actuals!S792,'Avoided Costs 2009-2017'!$E:$E)*J792</f>
        <v>48617.219441134301</v>
      </c>
      <c r="V792" s="90">
        <f>SUMIF('Avoided Costs 2009-2017'!$A:$A,Actuals!T792&amp;Actuals!S792,'Avoided Costs 2009-2017'!$K:$K)*N792</f>
        <v>0</v>
      </c>
      <c r="W792" s="90">
        <f>SUMIF('Avoided Costs 2009-2017'!$A:$A,Actuals!T792&amp;Actuals!S792,'Avoided Costs 2009-2017'!$M:$M)*R792</f>
        <v>0</v>
      </c>
      <c r="X792" s="90">
        <f t="shared" si="233"/>
        <v>48617.219441134301</v>
      </c>
      <c r="Y792" s="148">
        <v>19024</v>
      </c>
      <c r="Z792" s="149">
        <f t="shared" si="234"/>
        <v>15219.2</v>
      </c>
      <c r="AA792" s="148"/>
      <c r="AB792" s="145"/>
      <c r="AC792" s="145"/>
      <c r="AD792" s="148">
        <f t="shared" si="235"/>
        <v>15219.2</v>
      </c>
      <c r="AE792" s="122">
        <f t="shared" si="236"/>
        <v>33398.019441134296</v>
      </c>
      <c r="AF792" s="167">
        <f t="shared" si="237"/>
        <v>215616.19200000001</v>
      </c>
    </row>
    <row r="793" spans="1:32" s="150" customFormat="1" x14ac:dyDescent="0.2">
      <c r="A793" s="144" t="s">
        <v>779</v>
      </c>
      <c r="B793" s="144"/>
      <c r="C793" s="144"/>
      <c r="D793" s="145">
        <v>0</v>
      </c>
      <c r="E793" s="122"/>
      <c r="F793" s="146">
        <v>0.2</v>
      </c>
      <c r="G793" s="146"/>
      <c r="H793" s="122">
        <v>4640</v>
      </c>
      <c r="I793" s="122">
        <f t="shared" si="227"/>
        <v>4491.5199999999995</v>
      </c>
      <c r="J793" s="147">
        <f t="shared" si="228"/>
        <v>3593.2159999999999</v>
      </c>
      <c r="K793" s="122"/>
      <c r="L793" s="122">
        <v>0</v>
      </c>
      <c r="M793" s="122">
        <f t="shared" si="229"/>
        <v>0</v>
      </c>
      <c r="N793" s="122">
        <f t="shared" si="230"/>
        <v>0</v>
      </c>
      <c r="O793" s="122"/>
      <c r="P793" s="122">
        <v>0</v>
      </c>
      <c r="Q793" s="122">
        <f t="shared" si="231"/>
        <v>0</v>
      </c>
      <c r="R793" s="147">
        <f t="shared" si="232"/>
        <v>0</v>
      </c>
      <c r="S793" s="145">
        <v>8</v>
      </c>
      <c r="T793" s="144" t="s">
        <v>1176</v>
      </c>
      <c r="U793" s="90">
        <f>SUMIF('Avoided Costs 2009-2017'!$A:$A,Actuals!T793&amp;Actuals!S793,'Avoided Costs 2009-2017'!$E:$E)*J793</f>
        <v>7361.7934426262245</v>
      </c>
      <c r="V793" s="90">
        <f>SUMIF('Avoided Costs 2009-2017'!$A:$A,Actuals!T793&amp;Actuals!S793,'Avoided Costs 2009-2017'!$K:$K)*N793</f>
        <v>0</v>
      </c>
      <c r="W793" s="90">
        <f>SUMIF('Avoided Costs 2009-2017'!$A:$A,Actuals!T793&amp;Actuals!S793,'Avoided Costs 2009-2017'!$M:$M)*R793</f>
        <v>0</v>
      </c>
      <c r="X793" s="90">
        <f t="shared" si="233"/>
        <v>7361.7934426262245</v>
      </c>
      <c r="Y793" s="148">
        <v>12455</v>
      </c>
      <c r="Z793" s="149">
        <f t="shared" si="234"/>
        <v>9964</v>
      </c>
      <c r="AA793" s="148"/>
      <c r="AB793" s="145"/>
      <c r="AC793" s="145"/>
      <c r="AD793" s="148">
        <f t="shared" si="235"/>
        <v>9964</v>
      </c>
      <c r="AE793" s="122">
        <f t="shared" si="236"/>
        <v>-2602.2065573737755</v>
      </c>
      <c r="AF793" s="167">
        <f t="shared" si="237"/>
        <v>28745.727999999999</v>
      </c>
    </row>
    <row r="794" spans="1:32" s="150" customFormat="1" x14ac:dyDescent="0.2">
      <c r="A794" s="144" t="s">
        <v>780</v>
      </c>
      <c r="B794" s="144"/>
      <c r="C794" s="144"/>
      <c r="D794" s="145">
        <v>1</v>
      </c>
      <c r="E794" s="122"/>
      <c r="F794" s="146">
        <v>0.2</v>
      </c>
      <c r="G794" s="146"/>
      <c r="H794" s="122">
        <v>20553</v>
      </c>
      <c r="I794" s="122">
        <f t="shared" si="227"/>
        <v>19895.304</v>
      </c>
      <c r="J794" s="147">
        <f t="shared" si="228"/>
        <v>15916.243200000001</v>
      </c>
      <c r="K794" s="122"/>
      <c r="L794" s="122">
        <v>0</v>
      </c>
      <c r="M794" s="122">
        <f t="shared" si="229"/>
        <v>0</v>
      </c>
      <c r="N794" s="122">
        <f t="shared" si="230"/>
        <v>0</v>
      </c>
      <c r="O794" s="122"/>
      <c r="P794" s="122">
        <v>0</v>
      </c>
      <c r="Q794" s="122">
        <f t="shared" si="231"/>
        <v>0</v>
      </c>
      <c r="R794" s="147">
        <f t="shared" si="232"/>
        <v>0</v>
      </c>
      <c r="S794" s="145">
        <v>11</v>
      </c>
      <c r="T794" s="144" t="s">
        <v>213</v>
      </c>
      <c r="U794" s="90">
        <f>SUMIF('Avoided Costs 2009-2017'!$A:$A,Actuals!T794&amp;Actuals!S794,'Avoided Costs 2009-2017'!$E:$E)*J794</f>
        <v>44544.646895352809</v>
      </c>
      <c r="V794" s="90">
        <f>SUMIF('Avoided Costs 2009-2017'!$A:$A,Actuals!T794&amp;Actuals!S794,'Avoided Costs 2009-2017'!$K:$K)*N794</f>
        <v>0</v>
      </c>
      <c r="W794" s="90">
        <f>SUMIF('Avoided Costs 2009-2017'!$A:$A,Actuals!T794&amp;Actuals!S794,'Avoided Costs 2009-2017'!$M:$M)*R794</f>
        <v>0</v>
      </c>
      <c r="X794" s="90">
        <f t="shared" si="233"/>
        <v>44544.646895352809</v>
      </c>
      <c r="Y794" s="148">
        <v>25334</v>
      </c>
      <c r="Z794" s="149">
        <f t="shared" si="234"/>
        <v>20267.2</v>
      </c>
      <c r="AA794" s="148"/>
      <c r="AB794" s="145"/>
      <c r="AC794" s="145"/>
      <c r="AD794" s="148">
        <f t="shared" si="235"/>
        <v>20267.2</v>
      </c>
      <c r="AE794" s="122">
        <f t="shared" si="236"/>
        <v>24277.446895352808</v>
      </c>
      <c r="AF794" s="167">
        <f t="shared" si="237"/>
        <v>175078.6752</v>
      </c>
    </row>
    <row r="795" spans="1:32" s="150" customFormat="1" x14ac:dyDescent="0.2">
      <c r="A795" s="144" t="s">
        <v>781</v>
      </c>
      <c r="B795" s="144"/>
      <c r="C795" s="144"/>
      <c r="D795" s="145">
        <v>1</v>
      </c>
      <c r="E795" s="122"/>
      <c r="F795" s="146">
        <v>0.2</v>
      </c>
      <c r="G795" s="146"/>
      <c r="H795" s="122">
        <v>35503</v>
      </c>
      <c r="I795" s="122">
        <f t="shared" si="227"/>
        <v>34366.904000000002</v>
      </c>
      <c r="J795" s="147">
        <f t="shared" si="228"/>
        <v>27493.523200000003</v>
      </c>
      <c r="K795" s="122"/>
      <c r="L795" s="122">
        <v>0</v>
      </c>
      <c r="M795" s="122">
        <f t="shared" si="229"/>
        <v>0</v>
      </c>
      <c r="N795" s="122">
        <f t="shared" si="230"/>
        <v>0</v>
      </c>
      <c r="O795" s="122"/>
      <c r="P795" s="122">
        <v>0</v>
      </c>
      <c r="Q795" s="122">
        <f t="shared" si="231"/>
        <v>0</v>
      </c>
      <c r="R795" s="147">
        <f t="shared" si="232"/>
        <v>0</v>
      </c>
      <c r="S795" s="145">
        <v>11</v>
      </c>
      <c r="T795" s="144" t="s">
        <v>213</v>
      </c>
      <c r="U795" s="90">
        <f>SUMIF('Avoided Costs 2009-2017'!$A:$A,Actuals!T795&amp;Actuals!S795,'Avoided Costs 2009-2017'!$E:$E)*J795</f>
        <v>76945.876452377299</v>
      </c>
      <c r="V795" s="90">
        <f>SUMIF('Avoided Costs 2009-2017'!$A:$A,Actuals!T795&amp;Actuals!S795,'Avoided Costs 2009-2017'!$K:$K)*N795</f>
        <v>0</v>
      </c>
      <c r="W795" s="90">
        <f>SUMIF('Avoided Costs 2009-2017'!$A:$A,Actuals!T795&amp;Actuals!S795,'Avoided Costs 2009-2017'!$M:$M)*R795</f>
        <v>0</v>
      </c>
      <c r="X795" s="90">
        <f t="shared" si="233"/>
        <v>76945.876452377299</v>
      </c>
      <c r="Y795" s="148">
        <v>61374</v>
      </c>
      <c r="Z795" s="149">
        <f t="shared" si="234"/>
        <v>49099.200000000004</v>
      </c>
      <c r="AA795" s="148"/>
      <c r="AB795" s="145"/>
      <c r="AC795" s="145"/>
      <c r="AD795" s="148">
        <f t="shared" si="235"/>
        <v>49099.200000000004</v>
      </c>
      <c r="AE795" s="122">
        <f t="shared" si="236"/>
        <v>27846.676452377294</v>
      </c>
      <c r="AF795" s="167">
        <f t="shared" si="237"/>
        <v>302428.75520000001</v>
      </c>
    </row>
    <row r="796" spans="1:32" s="150" customFormat="1" x14ac:dyDescent="0.2">
      <c r="A796" s="144" t="s">
        <v>782</v>
      </c>
      <c r="B796" s="144"/>
      <c r="C796" s="144"/>
      <c r="D796" s="145">
        <v>0</v>
      </c>
      <c r="E796" s="122"/>
      <c r="F796" s="146">
        <v>0.2</v>
      </c>
      <c r="G796" s="146"/>
      <c r="H796" s="122">
        <v>32735</v>
      </c>
      <c r="I796" s="122">
        <f t="shared" si="227"/>
        <v>31687.48</v>
      </c>
      <c r="J796" s="147">
        <f t="shared" si="228"/>
        <v>25349.984</v>
      </c>
      <c r="K796" s="122"/>
      <c r="L796" s="122">
        <v>0</v>
      </c>
      <c r="M796" s="122">
        <f t="shared" si="229"/>
        <v>0</v>
      </c>
      <c r="N796" s="122">
        <f t="shared" si="230"/>
        <v>0</v>
      </c>
      <c r="O796" s="122"/>
      <c r="P796" s="122">
        <v>0</v>
      </c>
      <c r="Q796" s="122">
        <f t="shared" si="231"/>
        <v>0</v>
      </c>
      <c r="R796" s="147">
        <f t="shared" si="232"/>
        <v>0</v>
      </c>
      <c r="S796" s="145">
        <v>9</v>
      </c>
      <c r="T796" s="144" t="s">
        <v>1176</v>
      </c>
      <c r="U796" s="90">
        <f>SUMIF('Avoided Costs 2009-2017'!$A:$A,Actuals!T796&amp;Actuals!S796,'Avoided Costs 2009-2017'!$E:$E)*J796</f>
        <v>56472.469429125063</v>
      </c>
      <c r="V796" s="90">
        <f>SUMIF('Avoided Costs 2009-2017'!$A:$A,Actuals!T796&amp;Actuals!S796,'Avoided Costs 2009-2017'!$K:$K)*N796</f>
        <v>0</v>
      </c>
      <c r="W796" s="90">
        <f>SUMIF('Avoided Costs 2009-2017'!$A:$A,Actuals!T796&amp;Actuals!S796,'Avoided Costs 2009-2017'!$M:$M)*R796</f>
        <v>0</v>
      </c>
      <c r="X796" s="90">
        <f t="shared" si="233"/>
        <v>56472.469429125063</v>
      </c>
      <c r="Y796" s="148">
        <v>63000</v>
      </c>
      <c r="Z796" s="149">
        <f t="shared" si="234"/>
        <v>50400</v>
      </c>
      <c r="AA796" s="148"/>
      <c r="AB796" s="145"/>
      <c r="AC796" s="145"/>
      <c r="AD796" s="148">
        <f t="shared" si="235"/>
        <v>50400</v>
      </c>
      <c r="AE796" s="122">
        <f t="shared" si="236"/>
        <v>6072.4694291250635</v>
      </c>
      <c r="AF796" s="167">
        <f t="shared" si="237"/>
        <v>228149.856</v>
      </c>
    </row>
    <row r="797" spans="1:32" s="150" customFormat="1" x14ac:dyDescent="0.2">
      <c r="A797" s="144" t="s">
        <v>783</v>
      </c>
      <c r="B797" s="144"/>
      <c r="C797" s="144"/>
      <c r="D797" s="145">
        <v>1</v>
      </c>
      <c r="E797" s="122"/>
      <c r="F797" s="146">
        <v>0.2</v>
      </c>
      <c r="G797" s="146"/>
      <c r="H797" s="122">
        <v>119445</v>
      </c>
      <c r="I797" s="122">
        <f t="shared" si="227"/>
        <v>115622.76</v>
      </c>
      <c r="J797" s="147">
        <f t="shared" si="228"/>
        <v>92498.207999999999</v>
      </c>
      <c r="K797" s="122"/>
      <c r="L797" s="122">
        <v>0</v>
      </c>
      <c r="M797" s="122">
        <f t="shared" si="229"/>
        <v>0</v>
      </c>
      <c r="N797" s="122">
        <f t="shared" si="230"/>
        <v>0</v>
      </c>
      <c r="O797" s="122"/>
      <c r="P797" s="122">
        <v>0</v>
      </c>
      <c r="Q797" s="122">
        <f t="shared" si="231"/>
        <v>0</v>
      </c>
      <c r="R797" s="147">
        <f t="shared" si="232"/>
        <v>0</v>
      </c>
      <c r="S797" s="145">
        <v>11</v>
      </c>
      <c r="T797" s="144" t="s">
        <v>213</v>
      </c>
      <c r="U797" s="90">
        <f>SUMIF('Avoided Costs 2009-2017'!$A:$A,Actuals!T797&amp;Actuals!S797,'Avoided Costs 2009-2017'!$E:$E)*J797</f>
        <v>258873.90397583882</v>
      </c>
      <c r="V797" s="90">
        <f>SUMIF('Avoided Costs 2009-2017'!$A:$A,Actuals!T797&amp;Actuals!S797,'Avoided Costs 2009-2017'!$K:$K)*N797</f>
        <v>0</v>
      </c>
      <c r="W797" s="90">
        <f>SUMIF('Avoided Costs 2009-2017'!$A:$A,Actuals!T797&amp;Actuals!S797,'Avoided Costs 2009-2017'!$M:$M)*R797</f>
        <v>0</v>
      </c>
      <c r="X797" s="90">
        <f t="shared" si="233"/>
        <v>258873.90397583882</v>
      </c>
      <c r="Y797" s="148">
        <v>126967.33</v>
      </c>
      <c r="Z797" s="149">
        <f t="shared" si="234"/>
        <v>101573.864</v>
      </c>
      <c r="AA797" s="148"/>
      <c r="AB797" s="145"/>
      <c r="AC797" s="145"/>
      <c r="AD797" s="148">
        <f t="shared" si="235"/>
        <v>101573.864</v>
      </c>
      <c r="AE797" s="122">
        <f t="shared" si="236"/>
        <v>157300.03997583882</v>
      </c>
      <c r="AF797" s="167">
        <f t="shared" si="237"/>
        <v>1017480.2879999999</v>
      </c>
    </row>
    <row r="798" spans="1:32" s="150" customFormat="1" x14ac:dyDescent="0.2">
      <c r="A798" s="144" t="s">
        <v>784</v>
      </c>
      <c r="B798" s="144"/>
      <c r="C798" s="144"/>
      <c r="D798" s="145">
        <v>1</v>
      </c>
      <c r="E798" s="122"/>
      <c r="F798" s="146">
        <v>0.2</v>
      </c>
      <c r="G798" s="146"/>
      <c r="H798" s="122">
        <v>23942</v>
      </c>
      <c r="I798" s="122">
        <f t="shared" si="227"/>
        <v>23175.856</v>
      </c>
      <c r="J798" s="147">
        <f t="shared" si="228"/>
        <v>18540.684799999999</v>
      </c>
      <c r="K798" s="122"/>
      <c r="L798" s="122">
        <v>0</v>
      </c>
      <c r="M798" s="122">
        <f t="shared" si="229"/>
        <v>0</v>
      </c>
      <c r="N798" s="122">
        <f t="shared" si="230"/>
        <v>0</v>
      </c>
      <c r="O798" s="122"/>
      <c r="P798" s="122">
        <v>0</v>
      </c>
      <c r="Q798" s="122">
        <f t="shared" si="231"/>
        <v>0</v>
      </c>
      <c r="R798" s="147">
        <f t="shared" si="232"/>
        <v>0</v>
      </c>
      <c r="S798" s="145">
        <v>11</v>
      </c>
      <c r="T798" s="144" t="s">
        <v>213</v>
      </c>
      <c r="U798" s="90">
        <f>SUMIF('Avoided Costs 2009-2017'!$A:$A,Actuals!T798&amp;Actuals!S798,'Avoided Costs 2009-2017'!$E:$E)*J798</f>
        <v>51889.648030386648</v>
      </c>
      <c r="V798" s="90">
        <f>SUMIF('Avoided Costs 2009-2017'!$A:$A,Actuals!T798&amp;Actuals!S798,'Avoided Costs 2009-2017'!$K:$K)*N798</f>
        <v>0</v>
      </c>
      <c r="W798" s="90">
        <f>SUMIF('Avoided Costs 2009-2017'!$A:$A,Actuals!T798&amp;Actuals!S798,'Avoided Costs 2009-2017'!$M:$M)*R798</f>
        <v>0</v>
      </c>
      <c r="X798" s="90">
        <f t="shared" si="233"/>
        <v>51889.648030386648</v>
      </c>
      <c r="Y798" s="148">
        <v>29230</v>
      </c>
      <c r="Z798" s="149">
        <f t="shared" si="234"/>
        <v>23384</v>
      </c>
      <c r="AA798" s="148"/>
      <c r="AB798" s="145"/>
      <c r="AC798" s="145"/>
      <c r="AD798" s="148">
        <f t="shared" si="235"/>
        <v>23384</v>
      </c>
      <c r="AE798" s="122">
        <f t="shared" si="236"/>
        <v>28505.648030386648</v>
      </c>
      <c r="AF798" s="167">
        <f t="shared" si="237"/>
        <v>203947.53279999999</v>
      </c>
    </row>
    <row r="799" spans="1:32" s="150" customFormat="1" x14ac:dyDescent="0.2">
      <c r="A799" s="144" t="s">
        <v>785</v>
      </c>
      <c r="B799" s="144"/>
      <c r="C799" s="144"/>
      <c r="D799" s="145">
        <v>0</v>
      </c>
      <c r="E799" s="122"/>
      <c r="F799" s="146">
        <v>0.2</v>
      </c>
      <c r="G799" s="146"/>
      <c r="H799" s="122">
        <v>7466</v>
      </c>
      <c r="I799" s="122">
        <f t="shared" si="227"/>
        <v>7227.0879999999997</v>
      </c>
      <c r="J799" s="147">
        <f t="shared" si="228"/>
        <v>5781.6704</v>
      </c>
      <c r="K799" s="122"/>
      <c r="L799" s="122">
        <v>0</v>
      </c>
      <c r="M799" s="122">
        <f t="shared" si="229"/>
        <v>0</v>
      </c>
      <c r="N799" s="122">
        <f t="shared" si="230"/>
        <v>0</v>
      </c>
      <c r="O799" s="122"/>
      <c r="P799" s="122">
        <v>0</v>
      </c>
      <c r="Q799" s="122">
        <f t="shared" si="231"/>
        <v>0</v>
      </c>
      <c r="R799" s="147">
        <f t="shared" si="232"/>
        <v>0</v>
      </c>
      <c r="S799" s="145">
        <v>8</v>
      </c>
      <c r="T799" s="144" t="s">
        <v>1176</v>
      </c>
      <c r="U799" s="90">
        <f>SUMIF('Avoided Costs 2009-2017'!$A:$A,Actuals!T799&amp;Actuals!S799,'Avoided Costs 2009-2017'!$E:$E)*J799</f>
        <v>11845.506431605041</v>
      </c>
      <c r="V799" s="90">
        <f>SUMIF('Avoided Costs 2009-2017'!$A:$A,Actuals!T799&amp;Actuals!S799,'Avoided Costs 2009-2017'!$K:$K)*N799</f>
        <v>0</v>
      </c>
      <c r="W799" s="90">
        <f>SUMIF('Avoided Costs 2009-2017'!$A:$A,Actuals!T799&amp;Actuals!S799,'Avoided Costs 2009-2017'!$M:$M)*R799</f>
        <v>0</v>
      </c>
      <c r="X799" s="90">
        <f t="shared" si="233"/>
        <v>11845.506431605041</v>
      </c>
      <c r="Y799" s="148">
        <v>15238</v>
      </c>
      <c r="Z799" s="149">
        <f t="shared" si="234"/>
        <v>12190.400000000001</v>
      </c>
      <c r="AA799" s="148"/>
      <c r="AB799" s="145"/>
      <c r="AC799" s="145"/>
      <c r="AD799" s="148">
        <f t="shared" si="235"/>
        <v>12190.400000000001</v>
      </c>
      <c r="AE799" s="122">
        <f t="shared" si="236"/>
        <v>-344.89356839496031</v>
      </c>
      <c r="AF799" s="167">
        <f t="shared" si="237"/>
        <v>46253.3632</v>
      </c>
    </row>
    <row r="800" spans="1:32" s="150" customFormat="1" x14ac:dyDescent="0.2">
      <c r="A800" s="144" t="s">
        <v>786</v>
      </c>
      <c r="B800" s="144"/>
      <c r="C800" s="144"/>
      <c r="D800" s="145">
        <v>1</v>
      </c>
      <c r="E800" s="122"/>
      <c r="F800" s="146">
        <v>0.2</v>
      </c>
      <c r="G800" s="146"/>
      <c r="H800" s="122">
        <v>43404</v>
      </c>
      <c r="I800" s="122">
        <f t="shared" si="227"/>
        <v>42015.072</v>
      </c>
      <c r="J800" s="147">
        <f t="shared" si="228"/>
        <v>33612.0576</v>
      </c>
      <c r="K800" s="122"/>
      <c r="L800" s="122">
        <v>0</v>
      </c>
      <c r="M800" s="122">
        <f t="shared" si="229"/>
        <v>0</v>
      </c>
      <c r="N800" s="122">
        <f t="shared" si="230"/>
        <v>0</v>
      </c>
      <c r="O800" s="122"/>
      <c r="P800" s="122">
        <v>0</v>
      </c>
      <c r="Q800" s="122">
        <f t="shared" si="231"/>
        <v>0</v>
      </c>
      <c r="R800" s="147">
        <f t="shared" si="232"/>
        <v>0</v>
      </c>
      <c r="S800" s="145">
        <v>11</v>
      </c>
      <c r="T800" s="144" t="s">
        <v>213</v>
      </c>
      <c r="U800" s="90">
        <f>SUMIF('Avoided Costs 2009-2017'!$A:$A,Actuals!T800&amp;Actuals!S800,'Avoided Costs 2009-2017'!$E:$E)*J800</f>
        <v>94069.763725290381</v>
      </c>
      <c r="V800" s="90">
        <f>SUMIF('Avoided Costs 2009-2017'!$A:$A,Actuals!T800&amp;Actuals!S800,'Avoided Costs 2009-2017'!$K:$K)*N800</f>
        <v>0</v>
      </c>
      <c r="W800" s="90">
        <f>SUMIF('Avoided Costs 2009-2017'!$A:$A,Actuals!T800&amp;Actuals!S800,'Avoided Costs 2009-2017'!$M:$M)*R800</f>
        <v>0</v>
      </c>
      <c r="X800" s="90">
        <f t="shared" si="233"/>
        <v>94069.763725290381</v>
      </c>
      <c r="Y800" s="148">
        <v>53229</v>
      </c>
      <c r="Z800" s="149">
        <f t="shared" si="234"/>
        <v>42583.200000000004</v>
      </c>
      <c r="AA800" s="148"/>
      <c r="AB800" s="145"/>
      <c r="AC800" s="145"/>
      <c r="AD800" s="148">
        <f t="shared" si="235"/>
        <v>42583.200000000004</v>
      </c>
      <c r="AE800" s="122">
        <f t="shared" si="236"/>
        <v>51486.563725290376</v>
      </c>
      <c r="AF800" s="167">
        <f t="shared" si="237"/>
        <v>369732.6336</v>
      </c>
    </row>
    <row r="801" spans="1:32" s="150" customFormat="1" x14ac:dyDescent="0.2">
      <c r="A801" s="144" t="s">
        <v>787</v>
      </c>
      <c r="B801" s="144"/>
      <c r="C801" s="144"/>
      <c r="D801" s="145">
        <v>1</v>
      </c>
      <c r="E801" s="122"/>
      <c r="F801" s="146">
        <v>0.2</v>
      </c>
      <c r="G801" s="146"/>
      <c r="H801" s="122">
        <v>26868</v>
      </c>
      <c r="I801" s="122">
        <f t="shared" si="227"/>
        <v>26008.223999999998</v>
      </c>
      <c r="J801" s="147">
        <f t="shared" si="228"/>
        <v>20806.5792</v>
      </c>
      <c r="K801" s="122"/>
      <c r="L801" s="122">
        <v>0</v>
      </c>
      <c r="M801" s="122">
        <f t="shared" si="229"/>
        <v>0</v>
      </c>
      <c r="N801" s="122">
        <f t="shared" si="230"/>
        <v>0</v>
      </c>
      <c r="O801" s="122"/>
      <c r="P801" s="122">
        <v>0</v>
      </c>
      <c r="Q801" s="122">
        <f t="shared" si="231"/>
        <v>0</v>
      </c>
      <c r="R801" s="147">
        <f t="shared" si="232"/>
        <v>0</v>
      </c>
      <c r="S801" s="145">
        <v>11</v>
      </c>
      <c r="T801" s="144" t="s">
        <v>213</v>
      </c>
      <c r="U801" s="90">
        <f>SUMIF('Avoided Costs 2009-2017'!$A:$A,Actuals!T801&amp;Actuals!S801,'Avoided Costs 2009-2017'!$E:$E)*J801</f>
        <v>58231.186336998937</v>
      </c>
      <c r="V801" s="90">
        <f>SUMIF('Avoided Costs 2009-2017'!$A:$A,Actuals!T801&amp;Actuals!S801,'Avoided Costs 2009-2017'!$K:$K)*N801</f>
        <v>0</v>
      </c>
      <c r="W801" s="90">
        <f>SUMIF('Avoided Costs 2009-2017'!$A:$A,Actuals!T801&amp;Actuals!S801,'Avoided Costs 2009-2017'!$M:$M)*R801</f>
        <v>0</v>
      </c>
      <c r="X801" s="90">
        <f t="shared" si="233"/>
        <v>58231.186336998937</v>
      </c>
      <c r="Y801" s="148">
        <v>35848</v>
      </c>
      <c r="Z801" s="149">
        <f t="shared" si="234"/>
        <v>28678.400000000001</v>
      </c>
      <c r="AA801" s="148"/>
      <c r="AB801" s="145"/>
      <c r="AC801" s="145"/>
      <c r="AD801" s="148">
        <f t="shared" si="235"/>
        <v>28678.400000000001</v>
      </c>
      <c r="AE801" s="122">
        <f t="shared" si="236"/>
        <v>29552.786336998935</v>
      </c>
      <c r="AF801" s="167">
        <f t="shared" si="237"/>
        <v>228872.37119999999</v>
      </c>
    </row>
    <row r="802" spans="1:32" s="150" customFormat="1" x14ac:dyDescent="0.2">
      <c r="A802" s="144" t="s">
        <v>788</v>
      </c>
      <c r="B802" s="144"/>
      <c r="C802" s="144"/>
      <c r="D802" s="145">
        <v>0</v>
      </c>
      <c r="E802" s="122"/>
      <c r="F802" s="146">
        <v>0.2</v>
      </c>
      <c r="G802" s="146"/>
      <c r="H802" s="122">
        <v>100782</v>
      </c>
      <c r="I802" s="122">
        <f t="shared" si="227"/>
        <v>97556.975999999995</v>
      </c>
      <c r="J802" s="147">
        <f t="shared" si="228"/>
        <v>78045.580799999996</v>
      </c>
      <c r="K802" s="122"/>
      <c r="L802" s="122">
        <v>84224</v>
      </c>
      <c r="M802" s="122">
        <f t="shared" si="229"/>
        <v>75717.376000000004</v>
      </c>
      <c r="N802" s="122">
        <f t="shared" si="230"/>
        <v>60573.900800000003</v>
      </c>
      <c r="O802" s="122"/>
      <c r="P802" s="122">
        <v>0</v>
      </c>
      <c r="Q802" s="122">
        <f t="shared" si="231"/>
        <v>0</v>
      </c>
      <c r="R802" s="147">
        <f t="shared" si="232"/>
        <v>0</v>
      </c>
      <c r="S802" s="145">
        <v>15</v>
      </c>
      <c r="T802" s="144" t="s">
        <v>213</v>
      </c>
      <c r="U802" s="90">
        <f>SUMIF('Avoided Costs 2009-2017'!$A:$A,Actuals!T802&amp;Actuals!S802,'Avoided Costs 2009-2017'!$E:$E)*J802</f>
        <v>263966.2002864129</v>
      </c>
      <c r="V802" s="90">
        <f>SUMIF('Avoided Costs 2009-2017'!$A:$A,Actuals!T802&amp;Actuals!S802,'Avoided Costs 2009-2017'!$K:$K)*N802</f>
        <v>45220.366003821044</v>
      </c>
      <c r="W802" s="90">
        <f>SUMIF('Avoided Costs 2009-2017'!$A:$A,Actuals!T802&amp;Actuals!S802,'Avoided Costs 2009-2017'!$M:$M)*R802</f>
        <v>0</v>
      </c>
      <c r="X802" s="90">
        <f t="shared" si="233"/>
        <v>309186.56629023392</v>
      </c>
      <c r="Y802" s="148">
        <v>19600</v>
      </c>
      <c r="Z802" s="149">
        <f t="shared" si="234"/>
        <v>15680</v>
      </c>
      <c r="AA802" s="148"/>
      <c r="AB802" s="145"/>
      <c r="AC802" s="145"/>
      <c r="AD802" s="148">
        <f t="shared" si="235"/>
        <v>15680</v>
      </c>
      <c r="AE802" s="122">
        <f t="shared" si="236"/>
        <v>293506.56629023392</v>
      </c>
      <c r="AF802" s="167">
        <f t="shared" si="237"/>
        <v>1170683.7119999998</v>
      </c>
    </row>
    <row r="803" spans="1:32" s="150" customFormat="1" x14ac:dyDescent="0.2">
      <c r="A803" s="144" t="s">
        <v>789</v>
      </c>
      <c r="B803" s="144"/>
      <c r="C803" s="144"/>
      <c r="D803" s="145">
        <v>0</v>
      </c>
      <c r="E803" s="122"/>
      <c r="F803" s="146">
        <v>0.2</v>
      </c>
      <c r="G803" s="146"/>
      <c r="H803" s="122">
        <v>21266</v>
      </c>
      <c r="I803" s="122">
        <f t="shared" si="227"/>
        <v>20585.488000000001</v>
      </c>
      <c r="J803" s="147">
        <f t="shared" si="228"/>
        <v>16468.3904</v>
      </c>
      <c r="K803" s="122"/>
      <c r="L803" s="122">
        <v>0</v>
      </c>
      <c r="M803" s="122">
        <f t="shared" si="229"/>
        <v>0</v>
      </c>
      <c r="N803" s="122">
        <f t="shared" si="230"/>
        <v>0</v>
      </c>
      <c r="O803" s="122"/>
      <c r="P803" s="122">
        <v>0</v>
      </c>
      <c r="Q803" s="122">
        <f t="shared" si="231"/>
        <v>0</v>
      </c>
      <c r="R803" s="147">
        <f t="shared" si="232"/>
        <v>0</v>
      </c>
      <c r="S803" s="145">
        <v>15</v>
      </c>
      <c r="T803" s="144" t="s">
        <v>213</v>
      </c>
      <c r="U803" s="90">
        <f>SUMIF('Avoided Costs 2009-2017'!$A:$A,Actuals!T803&amp;Actuals!S803,'Avoided Costs 2009-2017'!$E:$E)*J803</f>
        <v>55699.482202088249</v>
      </c>
      <c r="V803" s="90">
        <f>SUMIF('Avoided Costs 2009-2017'!$A:$A,Actuals!T803&amp;Actuals!S803,'Avoided Costs 2009-2017'!$K:$K)*N803</f>
        <v>0</v>
      </c>
      <c r="W803" s="90">
        <f>SUMIF('Avoided Costs 2009-2017'!$A:$A,Actuals!T803&amp;Actuals!S803,'Avoided Costs 2009-2017'!$M:$M)*R803</f>
        <v>0</v>
      </c>
      <c r="X803" s="90">
        <f t="shared" si="233"/>
        <v>55699.482202088249</v>
      </c>
      <c r="Y803" s="148">
        <v>46000</v>
      </c>
      <c r="Z803" s="149">
        <f t="shared" si="234"/>
        <v>36800</v>
      </c>
      <c r="AA803" s="148"/>
      <c r="AB803" s="145"/>
      <c r="AC803" s="145"/>
      <c r="AD803" s="148">
        <f t="shared" si="235"/>
        <v>36800</v>
      </c>
      <c r="AE803" s="122">
        <f t="shared" si="236"/>
        <v>18899.482202088249</v>
      </c>
      <c r="AF803" s="167">
        <f t="shared" si="237"/>
        <v>247025.856</v>
      </c>
    </row>
    <row r="804" spans="1:32" s="150" customFormat="1" x14ac:dyDescent="0.2">
      <c r="A804" s="144" t="s">
        <v>790</v>
      </c>
      <c r="B804" s="144"/>
      <c r="C804" s="144"/>
      <c r="D804" s="145">
        <v>1</v>
      </c>
      <c r="E804" s="122"/>
      <c r="F804" s="146">
        <v>0.2</v>
      </c>
      <c r="G804" s="146"/>
      <c r="H804" s="122">
        <v>13664</v>
      </c>
      <c r="I804" s="122">
        <f t="shared" si="227"/>
        <v>13226.752</v>
      </c>
      <c r="J804" s="147">
        <f t="shared" si="228"/>
        <v>10581.401600000001</v>
      </c>
      <c r="K804" s="122"/>
      <c r="L804" s="122">
        <v>0</v>
      </c>
      <c r="M804" s="122">
        <f t="shared" si="229"/>
        <v>0</v>
      </c>
      <c r="N804" s="122">
        <f t="shared" si="230"/>
        <v>0</v>
      </c>
      <c r="O804" s="122"/>
      <c r="P804" s="122">
        <v>0</v>
      </c>
      <c r="Q804" s="122">
        <f t="shared" si="231"/>
        <v>0</v>
      </c>
      <c r="R804" s="147">
        <f t="shared" si="232"/>
        <v>0</v>
      </c>
      <c r="S804" s="145">
        <v>15</v>
      </c>
      <c r="T804" s="144" t="s">
        <v>213</v>
      </c>
      <c r="U804" s="90">
        <f>SUMIF('Avoided Costs 2009-2017'!$A:$A,Actuals!T804&amp;Actuals!S804,'Avoided Costs 2009-2017'!$E:$E)*J804</f>
        <v>35788.47572695071</v>
      </c>
      <c r="V804" s="90">
        <f>SUMIF('Avoided Costs 2009-2017'!$A:$A,Actuals!T804&amp;Actuals!S804,'Avoided Costs 2009-2017'!$K:$K)*N804</f>
        <v>0</v>
      </c>
      <c r="W804" s="90">
        <f>SUMIF('Avoided Costs 2009-2017'!$A:$A,Actuals!T804&amp;Actuals!S804,'Avoided Costs 2009-2017'!$M:$M)*R804</f>
        <v>0</v>
      </c>
      <c r="X804" s="90">
        <f t="shared" si="233"/>
        <v>35788.47572695071</v>
      </c>
      <c r="Y804" s="148">
        <v>14000</v>
      </c>
      <c r="Z804" s="149">
        <f t="shared" si="234"/>
        <v>11200</v>
      </c>
      <c r="AA804" s="148"/>
      <c r="AB804" s="145"/>
      <c r="AC804" s="145"/>
      <c r="AD804" s="148">
        <f t="shared" si="235"/>
        <v>11200</v>
      </c>
      <c r="AE804" s="122">
        <f t="shared" si="236"/>
        <v>24588.47572695071</v>
      </c>
      <c r="AF804" s="167">
        <f t="shared" si="237"/>
        <v>158721.024</v>
      </c>
    </row>
    <row r="805" spans="1:32" s="150" customFormat="1" x14ac:dyDescent="0.2">
      <c r="A805" s="144" t="s">
        <v>791</v>
      </c>
      <c r="B805" s="144"/>
      <c r="C805" s="144"/>
      <c r="D805" s="145">
        <v>0</v>
      </c>
      <c r="E805" s="122"/>
      <c r="F805" s="146">
        <v>0.2</v>
      </c>
      <c r="G805" s="146"/>
      <c r="H805" s="122">
        <v>3943</v>
      </c>
      <c r="I805" s="122">
        <f t="shared" si="227"/>
        <v>3816.8240000000001</v>
      </c>
      <c r="J805" s="147">
        <f t="shared" si="228"/>
        <v>3053.4592000000002</v>
      </c>
      <c r="K805" s="122"/>
      <c r="L805" s="122">
        <v>0</v>
      </c>
      <c r="M805" s="122">
        <f t="shared" si="229"/>
        <v>0</v>
      </c>
      <c r="N805" s="122">
        <f t="shared" si="230"/>
        <v>0</v>
      </c>
      <c r="O805" s="122"/>
      <c r="P805" s="122">
        <v>0</v>
      </c>
      <c r="Q805" s="122">
        <f t="shared" si="231"/>
        <v>0</v>
      </c>
      <c r="R805" s="147">
        <f t="shared" si="232"/>
        <v>0</v>
      </c>
      <c r="S805" s="145">
        <v>15</v>
      </c>
      <c r="T805" s="144" t="s">
        <v>213</v>
      </c>
      <c r="U805" s="90">
        <f>SUMIF('Avoided Costs 2009-2017'!$A:$A,Actuals!T805&amp;Actuals!S805,'Avoided Costs 2009-2017'!$E:$E)*J805</f>
        <v>10327.426799719457</v>
      </c>
      <c r="V805" s="90">
        <f>SUMIF('Avoided Costs 2009-2017'!$A:$A,Actuals!T805&amp;Actuals!S805,'Avoided Costs 2009-2017'!$K:$K)*N805</f>
        <v>0</v>
      </c>
      <c r="W805" s="90">
        <f>SUMIF('Avoided Costs 2009-2017'!$A:$A,Actuals!T805&amp;Actuals!S805,'Avoided Costs 2009-2017'!$M:$M)*R805</f>
        <v>0</v>
      </c>
      <c r="X805" s="90">
        <f t="shared" si="233"/>
        <v>10327.426799719457</v>
      </c>
      <c r="Y805" s="148">
        <v>3625</v>
      </c>
      <c r="Z805" s="149">
        <f t="shared" si="234"/>
        <v>2900</v>
      </c>
      <c r="AA805" s="148"/>
      <c r="AB805" s="145"/>
      <c r="AC805" s="145"/>
      <c r="AD805" s="148">
        <f t="shared" si="235"/>
        <v>2900</v>
      </c>
      <c r="AE805" s="122">
        <f t="shared" si="236"/>
        <v>7427.4267997194565</v>
      </c>
      <c r="AF805" s="167">
        <f t="shared" si="237"/>
        <v>45801.888000000006</v>
      </c>
    </row>
    <row r="806" spans="1:32" s="150" customFormat="1" x14ac:dyDescent="0.2">
      <c r="A806" s="144" t="s">
        <v>792</v>
      </c>
      <c r="B806" s="144"/>
      <c r="C806" s="144"/>
      <c r="D806" s="145">
        <v>0</v>
      </c>
      <c r="E806" s="122"/>
      <c r="F806" s="146">
        <v>0.2</v>
      </c>
      <c r="G806" s="146"/>
      <c r="H806" s="122">
        <v>1538</v>
      </c>
      <c r="I806" s="122">
        <f t="shared" si="227"/>
        <v>1488.7839999999999</v>
      </c>
      <c r="J806" s="147">
        <f t="shared" si="228"/>
        <v>1191.0272</v>
      </c>
      <c r="K806" s="122"/>
      <c r="L806" s="122">
        <v>0</v>
      </c>
      <c r="M806" s="122">
        <f t="shared" si="229"/>
        <v>0</v>
      </c>
      <c r="N806" s="122">
        <f t="shared" si="230"/>
        <v>0</v>
      </c>
      <c r="O806" s="122"/>
      <c r="P806" s="122">
        <v>0</v>
      </c>
      <c r="Q806" s="122">
        <f t="shared" si="231"/>
        <v>0</v>
      </c>
      <c r="R806" s="147">
        <f t="shared" si="232"/>
        <v>0</v>
      </c>
      <c r="S806" s="145">
        <v>15</v>
      </c>
      <c r="T806" s="144" t="s">
        <v>1176</v>
      </c>
      <c r="U806" s="90">
        <f>SUMIF('Avoided Costs 2009-2017'!$A:$A,Actuals!T806&amp;Actuals!S806,'Avoided Costs 2009-2017'!$E:$E)*J806</f>
        <v>3668.9448725918091</v>
      </c>
      <c r="V806" s="90">
        <f>SUMIF('Avoided Costs 2009-2017'!$A:$A,Actuals!T806&amp;Actuals!S806,'Avoided Costs 2009-2017'!$K:$K)*N806</f>
        <v>0</v>
      </c>
      <c r="W806" s="90">
        <f>SUMIF('Avoided Costs 2009-2017'!$A:$A,Actuals!T806&amp;Actuals!S806,'Avoided Costs 2009-2017'!$M:$M)*R806</f>
        <v>0</v>
      </c>
      <c r="X806" s="90">
        <f t="shared" si="233"/>
        <v>3668.9448725918091</v>
      </c>
      <c r="Y806" s="148">
        <v>0</v>
      </c>
      <c r="Z806" s="149">
        <f t="shared" si="234"/>
        <v>0</v>
      </c>
      <c r="AA806" s="148"/>
      <c r="AB806" s="145"/>
      <c r="AC806" s="145"/>
      <c r="AD806" s="148">
        <f t="shared" si="235"/>
        <v>0</v>
      </c>
      <c r="AE806" s="122">
        <f t="shared" si="236"/>
        <v>3668.9448725918091</v>
      </c>
      <c r="AF806" s="167">
        <f t="shared" si="237"/>
        <v>17865.407999999999</v>
      </c>
    </row>
    <row r="807" spans="1:32" s="150" customFormat="1" x14ac:dyDescent="0.2">
      <c r="A807" s="144" t="s">
        <v>793</v>
      </c>
      <c r="B807" s="144"/>
      <c r="C807" s="144"/>
      <c r="D807" s="145">
        <v>1</v>
      </c>
      <c r="E807" s="122"/>
      <c r="F807" s="146">
        <v>0.2</v>
      </c>
      <c r="G807" s="146"/>
      <c r="H807" s="122">
        <v>14852</v>
      </c>
      <c r="I807" s="122">
        <f t="shared" si="227"/>
        <v>14376.735999999999</v>
      </c>
      <c r="J807" s="147">
        <f t="shared" si="228"/>
        <v>11501.388800000001</v>
      </c>
      <c r="K807" s="122"/>
      <c r="L807" s="122">
        <v>9325</v>
      </c>
      <c r="M807" s="122">
        <f t="shared" si="229"/>
        <v>8383.1750000000011</v>
      </c>
      <c r="N807" s="122">
        <f t="shared" si="230"/>
        <v>6706.5400000000009</v>
      </c>
      <c r="O807" s="122"/>
      <c r="P807" s="122">
        <v>0</v>
      </c>
      <c r="Q807" s="122">
        <f t="shared" si="231"/>
        <v>0</v>
      </c>
      <c r="R807" s="147">
        <f t="shared" si="232"/>
        <v>0</v>
      </c>
      <c r="S807" s="145">
        <v>15</v>
      </c>
      <c r="T807" s="144" t="s">
        <v>213</v>
      </c>
      <c r="U807" s="90">
        <f>SUMIF('Avoided Costs 2009-2017'!$A:$A,Actuals!T807&amp;Actuals!S807,'Avoided Costs 2009-2017'!$E:$E)*J807</f>
        <v>38900.061584943789</v>
      </c>
      <c r="V807" s="90">
        <f>SUMIF('Avoided Costs 2009-2017'!$A:$A,Actuals!T807&amp;Actuals!S807,'Avoided Costs 2009-2017'!$K:$K)*N807</f>
        <v>5006.647903039885</v>
      </c>
      <c r="W807" s="90">
        <f>SUMIF('Avoided Costs 2009-2017'!$A:$A,Actuals!T807&amp;Actuals!S807,'Avoided Costs 2009-2017'!$M:$M)*R807</f>
        <v>0</v>
      </c>
      <c r="X807" s="90">
        <f t="shared" si="233"/>
        <v>43906.709487983673</v>
      </c>
      <c r="Y807" s="148">
        <v>6000</v>
      </c>
      <c r="Z807" s="149">
        <f t="shared" si="234"/>
        <v>4800</v>
      </c>
      <c r="AA807" s="148"/>
      <c r="AB807" s="145"/>
      <c r="AC807" s="145"/>
      <c r="AD807" s="148">
        <f t="shared" si="235"/>
        <v>4800</v>
      </c>
      <c r="AE807" s="122">
        <f t="shared" si="236"/>
        <v>39106.709487983673</v>
      </c>
      <c r="AF807" s="167">
        <f t="shared" si="237"/>
        <v>172520.83199999999</v>
      </c>
    </row>
    <row r="808" spans="1:32" s="150" customFormat="1" x14ac:dyDescent="0.2">
      <c r="A808" s="144" t="s">
        <v>794</v>
      </c>
      <c r="B808" s="144"/>
      <c r="C808" s="144"/>
      <c r="D808" s="145">
        <v>0</v>
      </c>
      <c r="E808" s="122"/>
      <c r="F808" s="146">
        <v>0.2</v>
      </c>
      <c r="G808" s="146"/>
      <c r="H808" s="122">
        <v>19337</v>
      </c>
      <c r="I808" s="122">
        <f t="shared" si="227"/>
        <v>18718.216</v>
      </c>
      <c r="J808" s="147">
        <f t="shared" si="228"/>
        <v>14974.572800000002</v>
      </c>
      <c r="K808" s="122"/>
      <c r="L808" s="122">
        <v>9325</v>
      </c>
      <c r="M808" s="122">
        <f t="shared" si="229"/>
        <v>8383.1750000000011</v>
      </c>
      <c r="N808" s="122">
        <f t="shared" si="230"/>
        <v>6706.5400000000009</v>
      </c>
      <c r="O808" s="122"/>
      <c r="P808" s="122">
        <v>0</v>
      </c>
      <c r="Q808" s="122">
        <f t="shared" si="231"/>
        <v>0</v>
      </c>
      <c r="R808" s="147">
        <f t="shared" si="232"/>
        <v>0</v>
      </c>
      <c r="S808" s="145">
        <v>15</v>
      </c>
      <c r="T808" s="144" t="s">
        <v>213</v>
      </c>
      <c r="U808" s="90">
        <f>SUMIF('Avoided Costs 2009-2017'!$A:$A,Actuals!T808&amp;Actuals!S808,'Avoided Costs 2009-2017'!$E:$E)*J808</f>
        <v>50647.083952872214</v>
      </c>
      <c r="V808" s="90">
        <f>SUMIF('Avoided Costs 2009-2017'!$A:$A,Actuals!T808&amp;Actuals!S808,'Avoided Costs 2009-2017'!$K:$K)*N808</f>
        <v>5006.647903039885</v>
      </c>
      <c r="W808" s="90">
        <f>SUMIF('Avoided Costs 2009-2017'!$A:$A,Actuals!T808&amp;Actuals!S808,'Avoided Costs 2009-2017'!$M:$M)*R808</f>
        <v>0</v>
      </c>
      <c r="X808" s="90">
        <f t="shared" si="233"/>
        <v>55653.731855912098</v>
      </c>
      <c r="Y808" s="148">
        <v>6000</v>
      </c>
      <c r="Z808" s="149">
        <f t="shared" si="234"/>
        <v>4800</v>
      </c>
      <c r="AA808" s="148"/>
      <c r="AB808" s="145"/>
      <c r="AC808" s="145"/>
      <c r="AD808" s="148">
        <f t="shared" si="235"/>
        <v>4800</v>
      </c>
      <c r="AE808" s="122">
        <f t="shared" si="236"/>
        <v>50853.731855912098</v>
      </c>
      <c r="AF808" s="167">
        <f t="shared" si="237"/>
        <v>224618.59200000003</v>
      </c>
    </row>
    <row r="809" spans="1:32" s="150" customFormat="1" x14ac:dyDescent="0.2">
      <c r="A809" s="144" t="s">
        <v>795</v>
      </c>
      <c r="B809" s="144"/>
      <c r="C809" s="144"/>
      <c r="D809" s="145">
        <v>1</v>
      </c>
      <c r="E809" s="122"/>
      <c r="F809" s="146">
        <v>0.2</v>
      </c>
      <c r="G809" s="146"/>
      <c r="H809" s="122">
        <v>5803</v>
      </c>
      <c r="I809" s="122">
        <f t="shared" si="227"/>
        <v>5617.3040000000001</v>
      </c>
      <c r="J809" s="147">
        <f t="shared" si="228"/>
        <v>4493.8432000000003</v>
      </c>
      <c r="K809" s="122"/>
      <c r="L809" s="122">
        <v>0</v>
      </c>
      <c r="M809" s="122">
        <f t="shared" si="229"/>
        <v>0</v>
      </c>
      <c r="N809" s="122">
        <f t="shared" si="230"/>
        <v>0</v>
      </c>
      <c r="O809" s="122"/>
      <c r="P809" s="122">
        <v>0</v>
      </c>
      <c r="Q809" s="122">
        <f t="shared" si="231"/>
        <v>0</v>
      </c>
      <c r="R809" s="147">
        <f t="shared" si="232"/>
        <v>0</v>
      </c>
      <c r="S809" s="145">
        <v>15</v>
      </c>
      <c r="T809" s="144" t="s">
        <v>213</v>
      </c>
      <c r="U809" s="90">
        <f>SUMIF('Avoided Costs 2009-2017'!$A:$A,Actuals!T809&amp;Actuals!S809,'Avoided Costs 2009-2017'!$E:$E)*J809</f>
        <v>15199.101627890441</v>
      </c>
      <c r="V809" s="90">
        <f>SUMIF('Avoided Costs 2009-2017'!$A:$A,Actuals!T809&amp;Actuals!S809,'Avoided Costs 2009-2017'!$K:$K)*N809</f>
        <v>0</v>
      </c>
      <c r="W809" s="90">
        <f>SUMIF('Avoided Costs 2009-2017'!$A:$A,Actuals!T809&amp;Actuals!S809,'Avoided Costs 2009-2017'!$M:$M)*R809</f>
        <v>0</v>
      </c>
      <c r="X809" s="90">
        <f t="shared" si="233"/>
        <v>15199.101627890441</v>
      </c>
      <c r="Y809" s="148">
        <v>3625</v>
      </c>
      <c r="Z809" s="149">
        <f t="shared" si="234"/>
        <v>2900</v>
      </c>
      <c r="AA809" s="148"/>
      <c r="AB809" s="145"/>
      <c r="AC809" s="145"/>
      <c r="AD809" s="148">
        <f t="shared" si="235"/>
        <v>2900</v>
      </c>
      <c r="AE809" s="122">
        <f t="shared" si="236"/>
        <v>12299.101627890441</v>
      </c>
      <c r="AF809" s="167">
        <f t="shared" si="237"/>
        <v>67407.648000000001</v>
      </c>
    </row>
    <row r="810" spans="1:32" s="150" customFormat="1" x14ac:dyDescent="0.2">
      <c r="A810" s="144" t="s">
        <v>796</v>
      </c>
      <c r="B810" s="144"/>
      <c r="C810" s="144"/>
      <c r="D810" s="145">
        <v>0</v>
      </c>
      <c r="E810" s="122"/>
      <c r="F810" s="146">
        <v>0.2</v>
      </c>
      <c r="G810" s="146"/>
      <c r="H810" s="122">
        <v>12042</v>
      </c>
      <c r="I810" s="122">
        <f t="shared" si="227"/>
        <v>11656.655999999999</v>
      </c>
      <c r="J810" s="147">
        <f t="shared" si="228"/>
        <v>9325.3248000000003</v>
      </c>
      <c r="K810" s="122"/>
      <c r="L810" s="122">
        <v>39917</v>
      </c>
      <c r="M810" s="122">
        <f t="shared" si="229"/>
        <v>35885.383000000002</v>
      </c>
      <c r="N810" s="122">
        <f t="shared" si="230"/>
        <v>28708.306400000001</v>
      </c>
      <c r="O810" s="122"/>
      <c r="P810" s="122">
        <v>0</v>
      </c>
      <c r="Q810" s="122">
        <f t="shared" si="231"/>
        <v>0</v>
      </c>
      <c r="R810" s="147">
        <f t="shared" si="232"/>
        <v>0</v>
      </c>
      <c r="S810" s="145">
        <v>15</v>
      </c>
      <c r="T810" s="144" t="s">
        <v>213</v>
      </c>
      <c r="U810" s="90">
        <f>SUMIF('Avoided Costs 2009-2017'!$A:$A,Actuals!T810&amp;Actuals!S810,'Avoided Costs 2009-2017'!$E:$E)*J810</f>
        <v>31540.165742384401</v>
      </c>
      <c r="V810" s="90">
        <f>SUMIF('Avoided Costs 2009-2017'!$A:$A,Actuals!T810&amp;Actuals!S810,'Avoided Costs 2009-2017'!$K:$K)*N810</f>
        <v>21431.674460658774</v>
      </c>
      <c r="W810" s="90">
        <f>SUMIF('Avoided Costs 2009-2017'!$A:$A,Actuals!T810&amp;Actuals!S810,'Avoided Costs 2009-2017'!$M:$M)*R810</f>
        <v>0</v>
      </c>
      <c r="X810" s="90">
        <f t="shared" si="233"/>
        <v>52971.840203043175</v>
      </c>
      <c r="Y810" s="148">
        <v>29940</v>
      </c>
      <c r="Z810" s="149">
        <f t="shared" si="234"/>
        <v>23952</v>
      </c>
      <c r="AA810" s="148"/>
      <c r="AB810" s="145"/>
      <c r="AC810" s="145"/>
      <c r="AD810" s="148">
        <f t="shared" si="235"/>
        <v>23952</v>
      </c>
      <c r="AE810" s="122">
        <f t="shared" si="236"/>
        <v>29019.840203043175</v>
      </c>
      <c r="AF810" s="167">
        <f t="shared" si="237"/>
        <v>139879.872</v>
      </c>
    </row>
    <row r="811" spans="1:32" s="150" customFormat="1" x14ac:dyDescent="0.2">
      <c r="A811" s="144" t="s">
        <v>797</v>
      </c>
      <c r="B811" s="144"/>
      <c r="C811" s="144"/>
      <c r="D811" s="145">
        <v>1</v>
      </c>
      <c r="E811" s="122"/>
      <c r="F811" s="146">
        <v>0.2</v>
      </c>
      <c r="G811" s="146"/>
      <c r="H811" s="122">
        <v>26206</v>
      </c>
      <c r="I811" s="122">
        <f t="shared" si="227"/>
        <v>25367.407999999999</v>
      </c>
      <c r="J811" s="147">
        <f t="shared" si="228"/>
        <v>20293.9264</v>
      </c>
      <c r="K811" s="122"/>
      <c r="L811" s="122">
        <v>0</v>
      </c>
      <c r="M811" s="122">
        <f t="shared" si="229"/>
        <v>0</v>
      </c>
      <c r="N811" s="122">
        <f t="shared" si="230"/>
        <v>0</v>
      </c>
      <c r="O811" s="122"/>
      <c r="P811" s="122">
        <v>0</v>
      </c>
      <c r="Q811" s="122">
        <f t="shared" si="231"/>
        <v>0</v>
      </c>
      <c r="R811" s="147">
        <f t="shared" si="232"/>
        <v>0</v>
      </c>
      <c r="S811" s="145">
        <v>15</v>
      </c>
      <c r="T811" s="144" t="s">
        <v>1176</v>
      </c>
      <c r="U811" s="90">
        <f>SUMIF('Avoided Costs 2009-2017'!$A:$A,Actuals!T811&amp;Actuals!S811,'Avoided Costs 2009-2017'!$E:$E)*J811</f>
        <v>62515.194623628704</v>
      </c>
      <c r="V811" s="90">
        <f>SUMIF('Avoided Costs 2009-2017'!$A:$A,Actuals!T811&amp;Actuals!S811,'Avoided Costs 2009-2017'!$K:$K)*N811</f>
        <v>0</v>
      </c>
      <c r="W811" s="90">
        <f>SUMIF('Avoided Costs 2009-2017'!$A:$A,Actuals!T811&amp;Actuals!S811,'Avoided Costs 2009-2017'!$M:$M)*R811</f>
        <v>0</v>
      </c>
      <c r="X811" s="90">
        <f t="shared" si="233"/>
        <v>62515.194623628704</v>
      </c>
      <c r="Y811" s="148">
        <v>27216</v>
      </c>
      <c r="Z811" s="149">
        <f t="shared" si="234"/>
        <v>21772.800000000003</v>
      </c>
      <c r="AA811" s="148"/>
      <c r="AB811" s="145"/>
      <c r="AC811" s="145"/>
      <c r="AD811" s="148">
        <f t="shared" si="235"/>
        <v>21772.800000000003</v>
      </c>
      <c r="AE811" s="122">
        <f t="shared" si="236"/>
        <v>40742.394623628701</v>
      </c>
      <c r="AF811" s="167">
        <f t="shared" si="237"/>
        <v>304408.89600000001</v>
      </c>
    </row>
    <row r="812" spans="1:32" s="150" customFormat="1" x14ac:dyDescent="0.2">
      <c r="A812" s="144" t="s">
        <v>798</v>
      </c>
      <c r="B812" s="144"/>
      <c r="C812" s="144"/>
      <c r="D812" s="145">
        <v>0</v>
      </c>
      <c r="E812" s="122"/>
      <c r="F812" s="146">
        <v>0.2</v>
      </c>
      <c r="G812" s="146"/>
      <c r="H812" s="122">
        <v>93119</v>
      </c>
      <c r="I812" s="122">
        <f t="shared" si="227"/>
        <v>90139.191999999995</v>
      </c>
      <c r="J812" s="147">
        <f t="shared" si="228"/>
        <v>72111.353600000002</v>
      </c>
      <c r="K812" s="122"/>
      <c r="L812" s="122">
        <v>0</v>
      </c>
      <c r="M812" s="122">
        <f t="shared" si="229"/>
        <v>0</v>
      </c>
      <c r="N812" s="122">
        <f t="shared" si="230"/>
        <v>0</v>
      </c>
      <c r="O812" s="122"/>
      <c r="P812" s="122">
        <v>0</v>
      </c>
      <c r="Q812" s="122">
        <f t="shared" si="231"/>
        <v>0</v>
      </c>
      <c r="R812" s="147">
        <f t="shared" si="232"/>
        <v>0</v>
      </c>
      <c r="S812" s="145">
        <v>15</v>
      </c>
      <c r="T812" s="144" t="s">
        <v>213</v>
      </c>
      <c r="U812" s="90">
        <f>SUMIF('Avoided Costs 2009-2017'!$A:$A,Actuals!T812&amp;Actuals!S812,'Avoided Costs 2009-2017'!$E:$E)*J812</f>
        <v>243895.42383035153</v>
      </c>
      <c r="V812" s="90">
        <f>SUMIF('Avoided Costs 2009-2017'!$A:$A,Actuals!T812&amp;Actuals!S812,'Avoided Costs 2009-2017'!$K:$K)*N812</f>
        <v>0</v>
      </c>
      <c r="W812" s="90">
        <f>SUMIF('Avoided Costs 2009-2017'!$A:$A,Actuals!T812&amp;Actuals!S812,'Avoided Costs 2009-2017'!$M:$M)*R812</f>
        <v>0</v>
      </c>
      <c r="X812" s="90">
        <f t="shared" si="233"/>
        <v>243895.42383035153</v>
      </c>
      <c r="Y812" s="148">
        <v>210000</v>
      </c>
      <c r="Z812" s="149">
        <f t="shared" si="234"/>
        <v>168000</v>
      </c>
      <c r="AA812" s="148"/>
      <c r="AB812" s="145"/>
      <c r="AC812" s="145"/>
      <c r="AD812" s="148">
        <f t="shared" si="235"/>
        <v>168000</v>
      </c>
      <c r="AE812" s="122">
        <f t="shared" si="236"/>
        <v>75895.42383035153</v>
      </c>
      <c r="AF812" s="167">
        <f t="shared" si="237"/>
        <v>1081670.304</v>
      </c>
    </row>
    <row r="813" spans="1:32" s="150" customFormat="1" x14ac:dyDescent="0.2">
      <c r="A813" s="144" t="s">
        <v>799</v>
      </c>
      <c r="B813" s="144"/>
      <c r="C813" s="144"/>
      <c r="D813" s="145">
        <v>0</v>
      </c>
      <c r="E813" s="122"/>
      <c r="F813" s="146">
        <v>0.2</v>
      </c>
      <c r="G813" s="146"/>
      <c r="H813" s="122">
        <v>74495</v>
      </c>
      <c r="I813" s="122">
        <f t="shared" si="227"/>
        <v>72111.16</v>
      </c>
      <c r="J813" s="147">
        <f t="shared" si="228"/>
        <v>57688.928000000007</v>
      </c>
      <c r="K813" s="122"/>
      <c r="L813" s="122">
        <v>432260</v>
      </c>
      <c r="M813" s="122">
        <f t="shared" si="229"/>
        <v>388601.74</v>
      </c>
      <c r="N813" s="122">
        <f t="shared" si="230"/>
        <v>310881.39199999999</v>
      </c>
      <c r="O813" s="122"/>
      <c r="P813" s="122">
        <v>0</v>
      </c>
      <c r="Q813" s="122">
        <f t="shared" si="231"/>
        <v>0</v>
      </c>
      <c r="R813" s="147">
        <f t="shared" si="232"/>
        <v>0</v>
      </c>
      <c r="S813" s="145">
        <v>15</v>
      </c>
      <c r="T813" s="144" t="s">
        <v>213</v>
      </c>
      <c r="U813" s="90">
        <f>SUMIF('Avoided Costs 2009-2017'!$A:$A,Actuals!T813&amp;Actuals!S813,'Avoided Costs 2009-2017'!$E:$E)*J813</f>
        <v>195115.8152282782</v>
      </c>
      <c r="V813" s="90">
        <f>SUMIF('Avoided Costs 2009-2017'!$A:$A,Actuals!T813&amp;Actuals!S813,'Avoided Costs 2009-2017'!$K:$K)*N813</f>
        <v>232082.96220568585</v>
      </c>
      <c r="W813" s="90">
        <f>SUMIF('Avoided Costs 2009-2017'!$A:$A,Actuals!T813&amp;Actuals!S813,'Avoided Costs 2009-2017'!$M:$M)*R813</f>
        <v>0</v>
      </c>
      <c r="X813" s="90">
        <f t="shared" si="233"/>
        <v>427198.77743396407</v>
      </c>
      <c r="Y813" s="148">
        <v>77500</v>
      </c>
      <c r="Z813" s="149">
        <f t="shared" si="234"/>
        <v>62000</v>
      </c>
      <c r="AA813" s="148"/>
      <c r="AB813" s="145"/>
      <c r="AC813" s="145"/>
      <c r="AD813" s="148">
        <f t="shared" si="235"/>
        <v>62000</v>
      </c>
      <c r="AE813" s="122">
        <f t="shared" si="236"/>
        <v>365198.77743396407</v>
      </c>
      <c r="AF813" s="167">
        <f t="shared" si="237"/>
        <v>865333.92000000016</v>
      </c>
    </row>
    <row r="814" spans="1:32" s="150" customFormat="1" x14ac:dyDescent="0.2">
      <c r="A814" s="144" t="s">
        <v>800</v>
      </c>
      <c r="B814" s="144"/>
      <c r="C814" s="144"/>
      <c r="D814" s="145">
        <v>1</v>
      </c>
      <c r="E814" s="122"/>
      <c r="F814" s="146">
        <v>0.2</v>
      </c>
      <c r="G814" s="146"/>
      <c r="H814" s="122">
        <v>36053</v>
      </c>
      <c r="I814" s="122">
        <f t="shared" si="227"/>
        <v>34899.303999999996</v>
      </c>
      <c r="J814" s="147">
        <f t="shared" si="228"/>
        <v>27919.443199999998</v>
      </c>
      <c r="K814" s="122"/>
      <c r="L814" s="122">
        <v>0</v>
      </c>
      <c r="M814" s="122">
        <f t="shared" si="229"/>
        <v>0</v>
      </c>
      <c r="N814" s="122">
        <f t="shared" si="230"/>
        <v>0</v>
      </c>
      <c r="O814" s="122"/>
      <c r="P814" s="122">
        <v>0</v>
      </c>
      <c r="Q814" s="122">
        <f t="shared" si="231"/>
        <v>0</v>
      </c>
      <c r="R814" s="147">
        <f t="shared" si="232"/>
        <v>0</v>
      </c>
      <c r="S814" s="145">
        <v>8</v>
      </c>
      <c r="T814" s="144" t="s">
        <v>1176</v>
      </c>
      <c r="U814" s="90">
        <f>SUMIF('Avoided Costs 2009-2017'!$A:$A,Actuals!T814&amp;Actuals!S814,'Avoided Costs 2009-2017'!$E:$E)*J814</f>
        <v>57201.452367888633</v>
      </c>
      <c r="V814" s="90">
        <f>SUMIF('Avoided Costs 2009-2017'!$A:$A,Actuals!T814&amp;Actuals!S814,'Avoided Costs 2009-2017'!$K:$K)*N814</f>
        <v>0</v>
      </c>
      <c r="W814" s="90">
        <f>SUMIF('Avoided Costs 2009-2017'!$A:$A,Actuals!T814&amp;Actuals!S814,'Avoided Costs 2009-2017'!$M:$M)*R814</f>
        <v>0</v>
      </c>
      <c r="X814" s="90">
        <f t="shared" si="233"/>
        <v>57201.452367888633</v>
      </c>
      <c r="Y814" s="148">
        <v>36230</v>
      </c>
      <c r="Z814" s="149">
        <f t="shared" si="234"/>
        <v>28984</v>
      </c>
      <c r="AA814" s="148"/>
      <c r="AB814" s="145"/>
      <c r="AC814" s="145"/>
      <c r="AD814" s="148">
        <f t="shared" si="235"/>
        <v>28984</v>
      </c>
      <c r="AE814" s="122">
        <f t="shared" si="236"/>
        <v>28217.452367888633</v>
      </c>
      <c r="AF814" s="167">
        <f t="shared" si="237"/>
        <v>223355.54559999998</v>
      </c>
    </row>
    <row r="815" spans="1:32" s="150" customFormat="1" x14ac:dyDescent="0.2">
      <c r="A815" s="144" t="s">
        <v>801</v>
      </c>
      <c r="B815" s="144"/>
      <c r="C815" s="144"/>
      <c r="D815" s="145">
        <v>1</v>
      </c>
      <c r="E815" s="122"/>
      <c r="F815" s="146">
        <v>0.2</v>
      </c>
      <c r="G815" s="146"/>
      <c r="H815" s="122">
        <v>59538</v>
      </c>
      <c r="I815" s="122">
        <f t="shared" si="227"/>
        <v>57632.784</v>
      </c>
      <c r="J815" s="147">
        <f t="shared" si="228"/>
        <v>46106.227200000001</v>
      </c>
      <c r="K815" s="122"/>
      <c r="L815" s="122">
        <v>0</v>
      </c>
      <c r="M815" s="122">
        <f t="shared" si="229"/>
        <v>0</v>
      </c>
      <c r="N815" s="122">
        <f t="shared" si="230"/>
        <v>0</v>
      </c>
      <c r="O815" s="122"/>
      <c r="P815" s="122">
        <v>0</v>
      </c>
      <c r="Q815" s="122">
        <f t="shared" si="231"/>
        <v>0</v>
      </c>
      <c r="R815" s="147">
        <f t="shared" si="232"/>
        <v>0</v>
      </c>
      <c r="S815" s="145">
        <v>15</v>
      </c>
      <c r="T815" s="144" t="s">
        <v>213</v>
      </c>
      <c r="U815" s="90">
        <f>SUMIF('Avoided Costs 2009-2017'!$A:$A,Actuals!T815&amp;Actuals!S815,'Avoided Costs 2009-2017'!$E:$E)*J815</f>
        <v>155940.7397417441</v>
      </c>
      <c r="V815" s="90">
        <f>SUMIF('Avoided Costs 2009-2017'!$A:$A,Actuals!T815&amp;Actuals!S815,'Avoided Costs 2009-2017'!$K:$K)*N815</f>
        <v>0</v>
      </c>
      <c r="W815" s="90">
        <f>SUMIF('Avoided Costs 2009-2017'!$A:$A,Actuals!T815&amp;Actuals!S815,'Avoided Costs 2009-2017'!$M:$M)*R815</f>
        <v>0</v>
      </c>
      <c r="X815" s="90">
        <f t="shared" si="233"/>
        <v>155940.7397417441</v>
      </c>
      <c r="Y815" s="148">
        <v>112072</v>
      </c>
      <c r="Z815" s="149">
        <f t="shared" si="234"/>
        <v>89657.600000000006</v>
      </c>
      <c r="AA815" s="148"/>
      <c r="AB815" s="145"/>
      <c r="AC815" s="145"/>
      <c r="AD815" s="148">
        <f t="shared" si="235"/>
        <v>89657.600000000006</v>
      </c>
      <c r="AE815" s="122">
        <f t="shared" si="236"/>
        <v>66283.139741744089</v>
      </c>
      <c r="AF815" s="167">
        <f t="shared" si="237"/>
        <v>691593.40800000005</v>
      </c>
    </row>
    <row r="816" spans="1:32" s="150" customFormat="1" x14ac:dyDescent="0.2">
      <c r="A816" s="144" t="s">
        <v>802</v>
      </c>
      <c r="B816" s="144"/>
      <c r="C816" s="144"/>
      <c r="D816" s="145">
        <v>1</v>
      </c>
      <c r="E816" s="122"/>
      <c r="F816" s="146">
        <v>0.2</v>
      </c>
      <c r="G816" s="146"/>
      <c r="H816" s="122">
        <v>20413</v>
      </c>
      <c r="I816" s="122">
        <f t="shared" ref="I816:I879" si="238">+$H$68*H816</f>
        <v>19759.784</v>
      </c>
      <c r="J816" s="147">
        <f t="shared" ref="J816:J879" si="239">I816*(1-F816)</f>
        <v>15807.8272</v>
      </c>
      <c r="K816" s="122"/>
      <c r="L816" s="122">
        <v>21911</v>
      </c>
      <c r="M816" s="122">
        <f t="shared" ref="M816:M879" si="240">+$L$68*L816</f>
        <v>19697.989000000001</v>
      </c>
      <c r="N816" s="122">
        <f t="shared" ref="N816:N879" si="241">M816*(1-F816)</f>
        <v>15758.391200000002</v>
      </c>
      <c r="O816" s="122"/>
      <c r="P816" s="122">
        <v>0</v>
      </c>
      <c r="Q816" s="122">
        <f t="shared" ref="Q816:Q879" si="242">+P816*$P$68</f>
        <v>0</v>
      </c>
      <c r="R816" s="147">
        <f t="shared" ref="R816:R879" si="243">Q816*(1-F816)</f>
        <v>0</v>
      </c>
      <c r="S816" s="145">
        <v>15</v>
      </c>
      <c r="T816" s="144" t="s">
        <v>213</v>
      </c>
      <c r="U816" s="90">
        <f>SUMIF('Avoided Costs 2009-2017'!$A:$A,Actuals!T816&amp;Actuals!S816,'Avoided Costs 2009-2017'!$E:$E)*J816</f>
        <v>53465.321649168967</v>
      </c>
      <c r="V816" s="90">
        <f>SUMIF('Avoided Costs 2009-2017'!$A:$A,Actuals!T816&amp;Actuals!S816,'Avoided Costs 2009-2017'!$K:$K)*N816</f>
        <v>11764.146080805032</v>
      </c>
      <c r="W816" s="90">
        <f>SUMIF('Avoided Costs 2009-2017'!$A:$A,Actuals!T816&amp;Actuals!S816,'Avoided Costs 2009-2017'!$M:$M)*R816</f>
        <v>0</v>
      </c>
      <c r="X816" s="90">
        <f t="shared" ref="X816:X879" si="244">SUM(U816:W816)</f>
        <v>65229.467729974</v>
      </c>
      <c r="Y816" s="148">
        <v>10040</v>
      </c>
      <c r="Z816" s="149">
        <f t="shared" ref="Z816:Z879" si="245">Y816*(1-F816)</f>
        <v>8032</v>
      </c>
      <c r="AA816" s="148"/>
      <c r="AB816" s="145"/>
      <c r="AC816" s="145"/>
      <c r="AD816" s="148">
        <f t="shared" ref="AD816:AD879" si="246">Z816+AB816</f>
        <v>8032</v>
      </c>
      <c r="AE816" s="122">
        <f t="shared" ref="AE816:AE879" si="247">X816-AD816</f>
        <v>57197.467729974</v>
      </c>
      <c r="AF816" s="167">
        <f t="shared" ref="AF816:AF879" si="248">J816*S816</f>
        <v>237117.408</v>
      </c>
    </row>
    <row r="817" spans="1:32" s="150" customFormat="1" x14ac:dyDescent="0.2">
      <c r="A817" s="144" t="s">
        <v>803</v>
      </c>
      <c r="B817" s="144"/>
      <c r="C817" s="144"/>
      <c r="D817" s="145">
        <v>0</v>
      </c>
      <c r="E817" s="122"/>
      <c r="F817" s="146">
        <v>0.2</v>
      </c>
      <c r="G817" s="146"/>
      <c r="H817" s="122">
        <v>32156</v>
      </c>
      <c r="I817" s="122">
        <f t="shared" si="238"/>
        <v>31127.007999999998</v>
      </c>
      <c r="J817" s="147">
        <f t="shared" si="239"/>
        <v>24901.606400000001</v>
      </c>
      <c r="K817" s="122"/>
      <c r="L817" s="122">
        <v>0</v>
      </c>
      <c r="M817" s="122">
        <f t="shared" si="240"/>
        <v>0</v>
      </c>
      <c r="N817" s="122">
        <f t="shared" si="241"/>
        <v>0</v>
      </c>
      <c r="O817" s="122"/>
      <c r="P817" s="122">
        <v>0</v>
      </c>
      <c r="Q817" s="122">
        <f t="shared" si="242"/>
        <v>0</v>
      </c>
      <c r="R817" s="147">
        <f t="shared" si="243"/>
        <v>0</v>
      </c>
      <c r="S817" s="145">
        <v>9</v>
      </c>
      <c r="T817" s="144" t="s">
        <v>1176</v>
      </c>
      <c r="U817" s="90">
        <f>SUMIF('Avoided Costs 2009-2017'!$A:$A,Actuals!T817&amp;Actuals!S817,'Avoided Costs 2009-2017'!$E:$E)*J817</f>
        <v>55473.613165203773</v>
      </c>
      <c r="V817" s="90">
        <f>SUMIF('Avoided Costs 2009-2017'!$A:$A,Actuals!T817&amp;Actuals!S817,'Avoided Costs 2009-2017'!$K:$K)*N817</f>
        <v>0</v>
      </c>
      <c r="W817" s="90">
        <f>SUMIF('Avoided Costs 2009-2017'!$A:$A,Actuals!T817&amp;Actuals!S817,'Avoided Costs 2009-2017'!$M:$M)*R817</f>
        <v>0</v>
      </c>
      <c r="X817" s="90">
        <f t="shared" si="244"/>
        <v>55473.613165203773</v>
      </c>
      <c r="Y817" s="148">
        <v>63000</v>
      </c>
      <c r="Z817" s="149">
        <f t="shared" si="245"/>
        <v>50400</v>
      </c>
      <c r="AA817" s="148"/>
      <c r="AB817" s="145"/>
      <c r="AC817" s="145"/>
      <c r="AD817" s="148">
        <f t="shared" si="246"/>
        <v>50400</v>
      </c>
      <c r="AE817" s="122">
        <f t="shared" si="247"/>
        <v>5073.613165203773</v>
      </c>
      <c r="AF817" s="167">
        <f t="shared" si="248"/>
        <v>224114.45759999999</v>
      </c>
    </row>
    <row r="818" spans="1:32" s="150" customFormat="1" x14ac:dyDescent="0.2">
      <c r="A818" s="144" t="s">
        <v>804</v>
      </c>
      <c r="B818" s="144"/>
      <c r="C818" s="144"/>
      <c r="D818" s="145">
        <v>1</v>
      </c>
      <c r="E818" s="122"/>
      <c r="F818" s="146">
        <v>0.2</v>
      </c>
      <c r="G818" s="146"/>
      <c r="H818" s="122">
        <v>133322</v>
      </c>
      <c r="I818" s="122">
        <f t="shared" si="238"/>
        <v>129055.696</v>
      </c>
      <c r="J818" s="147">
        <f t="shared" si="239"/>
        <v>103244.55680000001</v>
      </c>
      <c r="K818" s="122"/>
      <c r="L818" s="122">
        <v>0</v>
      </c>
      <c r="M818" s="122">
        <f t="shared" si="240"/>
        <v>0</v>
      </c>
      <c r="N818" s="122">
        <f t="shared" si="241"/>
        <v>0</v>
      </c>
      <c r="O818" s="122"/>
      <c r="P818" s="122">
        <v>0</v>
      </c>
      <c r="Q818" s="122">
        <f t="shared" si="242"/>
        <v>0</v>
      </c>
      <c r="R818" s="147">
        <f t="shared" si="243"/>
        <v>0</v>
      </c>
      <c r="S818" s="145">
        <v>11</v>
      </c>
      <c r="T818" s="144" t="s">
        <v>213</v>
      </c>
      <c r="U818" s="90">
        <f>SUMIF('Avoided Costs 2009-2017'!$A:$A,Actuals!T818&amp;Actuals!S818,'Avoided Costs 2009-2017'!$E:$E)*J818</f>
        <v>288949.61384626222</v>
      </c>
      <c r="V818" s="90">
        <f>SUMIF('Avoided Costs 2009-2017'!$A:$A,Actuals!T818&amp;Actuals!S818,'Avoided Costs 2009-2017'!$K:$K)*N818</f>
        <v>0</v>
      </c>
      <c r="W818" s="90">
        <f>SUMIF('Avoided Costs 2009-2017'!$A:$A,Actuals!T818&amp;Actuals!S818,'Avoided Costs 2009-2017'!$M:$M)*R818</f>
        <v>0</v>
      </c>
      <c r="X818" s="90">
        <f t="shared" si="244"/>
        <v>288949.61384626222</v>
      </c>
      <c r="Y818" s="148">
        <v>126967</v>
      </c>
      <c r="Z818" s="149">
        <f t="shared" si="245"/>
        <v>101573.6</v>
      </c>
      <c r="AA818" s="148"/>
      <c r="AB818" s="145"/>
      <c r="AC818" s="145"/>
      <c r="AD818" s="148">
        <f t="shared" si="246"/>
        <v>101573.6</v>
      </c>
      <c r="AE818" s="122">
        <f t="shared" si="247"/>
        <v>187376.01384626221</v>
      </c>
      <c r="AF818" s="167">
        <f t="shared" si="248"/>
        <v>1135690.1248000001</v>
      </c>
    </row>
    <row r="819" spans="1:32" s="150" customFormat="1" x14ac:dyDescent="0.2">
      <c r="A819" s="144" t="s">
        <v>805</v>
      </c>
      <c r="B819" s="144"/>
      <c r="C819" s="144"/>
      <c r="D819" s="145">
        <v>1</v>
      </c>
      <c r="E819" s="122"/>
      <c r="F819" s="146">
        <v>0.2</v>
      </c>
      <c r="G819" s="146"/>
      <c r="H819" s="122">
        <v>13520</v>
      </c>
      <c r="I819" s="122">
        <f t="shared" si="238"/>
        <v>13087.359999999999</v>
      </c>
      <c r="J819" s="147">
        <f t="shared" si="239"/>
        <v>10469.887999999999</v>
      </c>
      <c r="K819" s="122"/>
      <c r="L819" s="122">
        <v>9572</v>
      </c>
      <c r="M819" s="122">
        <f t="shared" si="240"/>
        <v>8605.228000000001</v>
      </c>
      <c r="N819" s="122">
        <f t="shared" si="241"/>
        <v>6884.1824000000015</v>
      </c>
      <c r="O819" s="122"/>
      <c r="P819" s="122">
        <v>0</v>
      </c>
      <c r="Q819" s="122">
        <f t="shared" si="242"/>
        <v>0</v>
      </c>
      <c r="R819" s="147">
        <f t="shared" si="243"/>
        <v>0</v>
      </c>
      <c r="S819" s="145">
        <v>15</v>
      </c>
      <c r="T819" s="144" t="s">
        <v>213</v>
      </c>
      <c r="U819" s="90">
        <f>SUMIF('Avoided Costs 2009-2017'!$A:$A,Actuals!T819&amp;Actuals!S819,'Avoided Costs 2009-2017'!$E:$E)*J819</f>
        <v>35411.313804769728</v>
      </c>
      <c r="V819" s="90">
        <f>SUMIF('Avoided Costs 2009-2017'!$A:$A,Actuals!T819&amp;Actuals!S819,'Avoided Costs 2009-2017'!$K:$K)*N819</f>
        <v>5139.2636705520417</v>
      </c>
      <c r="W819" s="90">
        <f>SUMIF('Avoided Costs 2009-2017'!$A:$A,Actuals!T819&amp;Actuals!S819,'Avoided Costs 2009-2017'!$M:$M)*R819</f>
        <v>0</v>
      </c>
      <c r="X819" s="90">
        <f t="shared" si="244"/>
        <v>40550.57747532177</v>
      </c>
      <c r="Y819" s="148">
        <v>13549</v>
      </c>
      <c r="Z819" s="149">
        <f t="shared" si="245"/>
        <v>10839.2</v>
      </c>
      <c r="AA819" s="148"/>
      <c r="AB819" s="145"/>
      <c r="AC819" s="145"/>
      <c r="AD819" s="148">
        <f t="shared" si="246"/>
        <v>10839.2</v>
      </c>
      <c r="AE819" s="122">
        <f t="shared" si="247"/>
        <v>29711.377475321769</v>
      </c>
      <c r="AF819" s="167">
        <f t="shared" si="248"/>
        <v>157048.31999999998</v>
      </c>
    </row>
    <row r="820" spans="1:32" s="150" customFormat="1" x14ac:dyDescent="0.2">
      <c r="A820" s="144" t="s">
        <v>806</v>
      </c>
      <c r="B820" s="144"/>
      <c r="C820" s="144"/>
      <c r="D820" s="145">
        <v>0</v>
      </c>
      <c r="E820" s="122"/>
      <c r="F820" s="146">
        <v>0.2</v>
      </c>
      <c r="G820" s="146"/>
      <c r="H820" s="122">
        <v>0</v>
      </c>
      <c r="I820" s="122">
        <f t="shared" si="238"/>
        <v>0</v>
      </c>
      <c r="J820" s="147">
        <f t="shared" si="239"/>
        <v>0</v>
      </c>
      <c r="K820" s="122"/>
      <c r="L820" s="122">
        <v>0</v>
      </c>
      <c r="M820" s="122">
        <f t="shared" si="240"/>
        <v>0</v>
      </c>
      <c r="N820" s="122">
        <f t="shared" si="241"/>
        <v>0</v>
      </c>
      <c r="O820" s="122"/>
      <c r="P820" s="122">
        <v>0</v>
      </c>
      <c r="Q820" s="122">
        <f t="shared" si="242"/>
        <v>0</v>
      </c>
      <c r="R820" s="147">
        <f t="shared" si="243"/>
        <v>0</v>
      </c>
      <c r="S820" s="145">
        <v>1</v>
      </c>
      <c r="T820" s="144" t="s">
        <v>213</v>
      </c>
      <c r="U820" s="90">
        <f>SUMIF('Avoided Costs 2009-2017'!$A:$A,Actuals!T820&amp;Actuals!S820,'Avoided Costs 2009-2017'!$E:$E)*J820</f>
        <v>0</v>
      </c>
      <c r="V820" s="90">
        <f>SUMIF('Avoided Costs 2009-2017'!$A:$A,Actuals!T820&amp;Actuals!S820,'Avoided Costs 2009-2017'!$K:$K)*N820</f>
        <v>0</v>
      </c>
      <c r="W820" s="90">
        <f>SUMIF('Avoided Costs 2009-2017'!$A:$A,Actuals!T820&amp;Actuals!S820,'Avoided Costs 2009-2017'!$M:$M)*R820</f>
        <v>0</v>
      </c>
      <c r="X820" s="90">
        <f t="shared" si="244"/>
        <v>0</v>
      </c>
      <c r="Y820" s="148">
        <v>0</v>
      </c>
      <c r="Z820" s="149">
        <f t="shared" si="245"/>
        <v>0</v>
      </c>
      <c r="AA820" s="148"/>
      <c r="AB820" s="145"/>
      <c r="AC820" s="145"/>
      <c r="AD820" s="148">
        <f t="shared" si="246"/>
        <v>0</v>
      </c>
      <c r="AE820" s="122">
        <f t="shared" si="247"/>
        <v>0</v>
      </c>
      <c r="AF820" s="167">
        <f t="shared" si="248"/>
        <v>0</v>
      </c>
    </row>
    <row r="821" spans="1:32" s="150" customFormat="1" x14ac:dyDescent="0.2">
      <c r="A821" s="144" t="s">
        <v>807</v>
      </c>
      <c r="B821" s="144"/>
      <c r="C821" s="144"/>
      <c r="D821" s="145">
        <v>1</v>
      </c>
      <c r="E821" s="122"/>
      <c r="F821" s="146">
        <v>0.2</v>
      </c>
      <c r="G821" s="146"/>
      <c r="H821" s="122">
        <v>25422</v>
      </c>
      <c r="I821" s="122">
        <f t="shared" si="238"/>
        <v>24608.495999999999</v>
      </c>
      <c r="J821" s="147">
        <f t="shared" si="239"/>
        <v>19686.7968</v>
      </c>
      <c r="K821" s="122"/>
      <c r="L821" s="122">
        <v>0</v>
      </c>
      <c r="M821" s="122">
        <f t="shared" si="240"/>
        <v>0</v>
      </c>
      <c r="N821" s="122">
        <f t="shared" si="241"/>
        <v>0</v>
      </c>
      <c r="O821" s="122"/>
      <c r="P821" s="122">
        <v>0</v>
      </c>
      <c r="Q821" s="122">
        <f t="shared" si="242"/>
        <v>0</v>
      </c>
      <c r="R821" s="147">
        <f t="shared" si="243"/>
        <v>0</v>
      </c>
      <c r="S821" s="145">
        <v>11</v>
      </c>
      <c r="T821" s="144" t="s">
        <v>213</v>
      </c>
      <c r="U821" s="90">
        <f>SUMIF('Avoided Costs 2009-2017'!$A:$A,Actuals!T821&amp;Actuals!S821,'Avoided Costs 2009-2017'!$E:$E)*J821</f>
        <v>55097.261391215834</v>
      </c>
      <c r="V821" s="90">
        <f>SUMIF('Avoided Costs 2009-2017'!$A:$A,Actuals!T821&amp;Actuals!S821,'Avoided Costs 2009-2017'!$K:$K)*N821</f>
        <v>0</v>
      </c>
      <c r="W821" s="90">
        <f>SUMIF('Avoided Costs 2009-2017'!$A:$A,Actuals!T821&amp;Actuals!S821,'Avoided Costs 2009-2017'!$M:$M)*R821</f>
        <v>0</v>
      </c>
      <c r="X821" s="90">
        <f t="shared" si="244"/>
        <v>55097.261391215834</v>
      </c>
      <c r="Y821" s="148">
        <v>16846</v>
      </c>
      <c r="Z821" s="149">
        <f t="shared" si="245"/>
        <v>13476.800000000001</v>
      </c>
      <c r="AA821" s="148"/>
      <c r="AB821" s="145"/>
      <c r="AC821" s="145"/>
      <c r="AD821" s="148">
        <f t="shared" si="246"/>
        <v>13476.800000000001</v>
      </c>
      <c r="AE821" s="122">
        <f t="shared" si="247"/>
        <v>41620.461391215831</v>
      </c>
      <c r="AF821" s="167">
        <f t="shared" si="248"/>
        <v>216554.7648</v>
      </c>
    </row>
    <row r="822" spans="1:32" s="150" customFormat="1" x14ac:dyDescent="0.2">
      <c r="A822" s="144" t="s">
        <v>808</v>
      </c>
      <c r="B822" s="144"/>
      <c r="C822" s="144"/>
      <c r="D822" s="145">
        <v>0</v>
      </c>
      <c r="E822" s="122"/>
      <c r="F822" s="146">
        <v>0.2</v>
      </c>
      <c r="G822" s="146"/>
      <c r="H822" s="122">
        <v>25528</v>
      </c>
      <c r="I822" s="122">
        <f t="shared" si="238"/>
        <v>24711.103999999999</v>
      </c>
      <c r="J822" s="147">
        <f t="shared" si="239"/>
        <v>19768.8832</v>
      </c>
      <c r="K822" s="122"/>
      <c r="L822" s="122">
        <v>0</v>
      </c>
      <c r="M822" s="122">
        <f t="shared" si="240"/>
        <v>0</v>
      </c>
      <c r="N822" s="122">
        <f t="shared" si="241"/>
        <v>0</v>
      </c>
      <c r="O822" s="122"/>
      <c r="P822" s="122">
        <v>0</v>
      </c>
      <c r="Q822" s="122">
        <f t="shared" si="242"/>
        <v>0</v>
      </c>
      <c r="R822" s="147">
        <f t="shared" si="243"/>
        <v>0</v>
      </c>
      <c r="S822" s="145">
        <v>8</v>
      </c>
      <c r="T822" s="144" t="s">
        <v>1176</v>
      </c>
      <c r="U822" s="90">
        <f>SUMIF('Avoided Costs 2009-2017'!$A:$A,Actuals!T822&amp;Actuals!S822,'Avoided Costs 2009-2017'!$E:$E)*J822</f>
        <v>40502.55668175911</v>
      </c>
      <c r="V822" s="90">
        <f>SUMIF('Avoided Costs 2009-2017'!$A:$A,Actuals!T822&amp;Actuals!S822,'Avoided Costs 2009-2017'!$K:$K)*N822</f>
        <v>0</v>
      </c>
      <c r="W822" s="90">
        <f>SUMIF('Avoided Costs 2009-2017'!$A:$A,Actuals!T822&amp;Actuals!S822,'Avoided Costs 2009-2017'!$M:$M)*R822</f>
        <v>0</v>
      </c>
      <c r="X822" s="90">
        <f t="shared" si="244"/>
        <v>40502.55668175911</v>
      </c>
      <c r="Y822" s="148">
        <v>36710</v>
      </c>
      <c r="Z822" s="149">
        <f t="shared" si="245"/>
        <v>29368</v>
      </c>
      <c r="AA822" s="148"/>
      <c r="AB822" s="145"/>
      <c r="AC822" s="145"/>
      <c r="AD822" s="148">
        <f t="shared" si="246"/>
        <v>29368</v>
      </c>
      <c r="AE822" s="122">
        <f t="shared" si="247"/>
        <v>11134.55668175911</v>
      </c>
      <c r="AF822" s="167">
        <f t="shared" si="248"/>
        <v>158151.0656</v>
      </c>
    </row>
    <row r="823" spans="1:32" s="150" customFormat="1" x14ac:dyDescent="0.2">
      <c r="A823" s="144" t="s">
        <v>809</v>
      </c>
      <c r="B823" s="144"/>
      <c r="C823" s="144"/>
      <c r="D823" s="145">
        <v>0</v>
      </c>
      <c r="E823" s="122"/>
      <c r="F823" s="146">
        <v>0.2</v>
      </c>
      <c r="G823" s="146"/>
      <c r="H823" s="122">
        <v>62464</v>
      </c>
      <c r="I823" s="122">
        <f t="shared" si="238"/>
        <v>60465.152000000002</v>
      </c>
      <c r="J823" s="147">
        <f t="shared" si="239"/>
        <v>48372.121600000006</v>
      </c>
      <c r="K823" s="122"/>
      <c r="L823" s="122">
        <v>46099</v>
      </c>
      <c r="M823" s="122">
        <f t="shared" si="240"/>
        <v>41443.001000000004</v>
      </c>
      <c r="N823" s="122">
        <f t="shared" si="241"/>
        <v>33154.400800000003</v>
      </c>
      <c r="O823" s="122"/>
      <c r="P823" s="122">
        <v>0</v>
      </c>
      <c r="Q823" s="122">
        <f t="shared" si="242"/>
        <v>0</v>
      </c>
      <c r="R823" s="147">
        <f t="shared" si="243"/>
        <v>0</v>
      </c>
      <c r="S823" s="145">
        <v>15</v>
      </c>
      <c r="T823" s="144" t="s">
        <v>213</v>
      </c>
      <c r="U823" s="90">
        <f>SUMIF('Avoided Costs 2009-2017'!$A:$A,Actuals!T823&amp;Actuals!S823,'Avoided Costs 2009-2017'!$E:$E)*J823</f>
        <v>163604.46046606041</v>
      </c>
      <c r="V823" s="90">
        <f>SUMIF('Avoided Costs 2009-2017'!$A:$A,Actuals!T823&amp;Actuals!S823,'Avoided Costs 2009-2017'!$K:$K)*N823</f>
        <v>24750.826990052083</v>
      </c>
      <c r="W823" s="90">
        <f>SUMIF('Avoided Costs 2009-2017'!$A:$A,Actuals!T823&amp;Actuals!S823,'Avoided Costs 2009-2017'!$M:$M)*R823</f>
        <v>0</v>
      </c>
      <c r="X823" s="90">
        <f t="shared" si="244"/>
        <v>188355.28745611251</v>
      </c>
      <c r="Y823" s="148">
        <v>63569</v>
      </c>
      <c r="Z823" s="149">
        <f t="shared" si="245"/>
        <v>50855.200000000004</v>
      </c>
      <c r="AA823" s="148"/>
      <c r="AB823" s="145"/>
      <c r="AC823" s="145"/>
      <c r="AD823" s="148">
        <f t="shared" si="246"/>
        <v>50855.200000000004</v>
      </c>
      <c r="AE823" s="122">
        <f t="shared" si="247"/>
        <v>137500.08745611249</v>
      </c>
      <c r="AF823" s="167">
        <f t="shared" si="248"/>
        <v>725581.82400000014</v>
      </c>
    </row>
    <row r="824" spans="1:32" s="150" customFormat="1" x14ac:dyDescent="0.2">
      <c r="A824" s="144" t="s">
        <v>810</v>
      </c>
      <c r="B824" s="144"/>
      <c r="C824" s="144"/>
      <c r="D824" s="145">
        <v>1</v>
      </c>
      <c r="E824" s="122"/>
      <c r="F824" s="146">
        <v>0.2</v>
      </c>
      <c r="G824" s="146"/>
      <c r="H824" s="122">
        <v>50740</v>
      </c>
      <c r="I824" s="122">
        <f t="shared" si="238"/>
        <v>49116.32</v>
      </c>
      <c r="J824" s="147">
        <f t="shared" si="239"/>
        <v>39293.056000000004</v>
      </c>
      <c r="K824" s="122"/>
      <c r="L824" s="122">
        <v>0</v>
      </c>
      <c r="M824" s="122">
        <f t="shared" si="240"/>
        <v>0</v>
      </c>
      <c r="N824" s="122">
        <f t="shared" si="241"/>
        <v>0</v>
      </c>
      <c r="O824" s="122"/>
      <c r="P824" s="122">
        <v>0</v>
      </c>
      <c r="Q824" s="122">
        <f t="shared" si="242"/>
        <v>0</v>
      </c>
      <c r="R824" s="147">
        <f t="shared" si="243"/>
        <v>0</v>
      </c>
      <c r="S824" s="145">
        <v>11</v>
      </c>
      <c r="T824" s="144" t="s">
        <v>213</v>
      </c>
      <c r="U824" s="90">
        <f>SUMIF('Avoided Costs 2009-2017'!$A:$A,Actuals!T824&amp;Actuals!S824,'Avoided Costs 2009-2017'!$E:$E)*J824</f>
        <v>109969.12292464367</v>
      </c>
      <c r="V824" s="90">
        <f>SUMIF('Avoided Costs 2009-2017'!$A:$A,Actuals!T824&amp;Actuals!S824,'Avoided Costs 2009-2017'!$K:$K)*N824</f>
        <v>0</v>
      </c>
      <c r="W824" s="90">
        <f>SUMIF('Avoided Costs 2009-2017'!$A:$A,Actuals!T824&amp;Actuals!S824,'Avoided Costs 2009-2017'!$M:$M)*R824</f>
        <v>0</v>
      </c>
      <c r="X824" s="90">
        <f t="shared" si="244"/>
        <v>109969.12292464367</v>
      </c>
      <c r="Y824" s="148">
        <v>58300</v>
      </c>
      <c r="Z824" s="149">
        <f t="shared" si="245"/>
        <v>46640</v>
      </c>
      <c r="AA824" s="148"/>
      <c r="AB824" s="145"/>
      <c r="AC824" s="145"/>
      <c r="AD824" s="148">
        <f t="shared" si="246"/>
        <v>46640</v>
      </c>
      <c r="AE824" s="122">
        <f t="shared" si="247"/>
        <v>63329.122924643671</v>
      </c>
      <c r="AF824" s="167">
        <f t="shared" si="248"/>
        <v>432223.61600000004</v>
      </c>
    </row>
    <row r="825" spans="1:32" s="150" customFormat="1" x14ac:dyDescent="0.2">
      <c r="A825" s="144" t="s">
        <v>811</v>
      </c>
      <c r="B825" s="144"/>
      <c r="C825" s="144"/>
      <c r="D825" s="145">
        <v>0</v>
      </c>
      <c r="E825" s="122"/>
      <c r="F825" s="146">
        <v>0.2</v>
      </c>
      <c r="G825" s="146"/>
      <c r="H825" s="122">
        <v>18841</v>
      </c>
      <c r="I825" s="122">
        <f t="shared" si="238"/>
        <v>18238.088</v>
      </c>
      <c r="J825" s="147">
        <f t="shared" si="239"/>
        <v>14590.4704</v>
      </c>
      <c r="K825" s="122"/>
      <c r="L825" s="122">
        <v>16911</v>
      </c>
      <c r="M825" s="122">
        <f t="shared" si="240"/>
        <v>15202.989</v>
      </c>
      <c r="N825" s="122">
        <f t="shared" si="241"/>
        <v>12162.3912</v>
      </c>
      <c r="O825" s="122"/>
      <c r="P825" s="122">
        <v>0</v>
      </c>
      <c r="Q825" s="122">
        <f t="shared" si="242"/>
        <v>0</v>
      </c>
      <c r="R825" s="147">
        <f t="shared" si="243"/>
        <v>0</v>
      </c>
      <c r="S825" s="145">
        <v>15</v>
      </c>
      <c r="T825" s="144" t="s">
        <v>213</v>
      </c>
      <c r="U825" s="90">
        <f>SUMIF('Avoided Costs 2009-2017'!$A:$A,Actuals!T825&amp;Actuals!S825,'Avoided Costs 2009-2017'!$E:$E)*J825</f>
        <v>49347.97066535995</v>
      </c>
      <c r="V825" s="90">
        <f>SUMIF('Avoided Costs 2009-2017'!$A:$A,Actuals!T825&amp;Actuals!S825,'Avoided Costs 2009-2017'!$K:$K)*N825</f>
        <v>9079.6163740812317</v>
      </c>
      <c r="W825" s="90">
        <f>SUMIF('Avoided Costs 2009-2017'!$A:$A,Actuals!T825&amp;Actuals!S825,'Avoided Costs 2009-2017'!$M:$M)*R825</f>
        <v>0</v>
      </c>
      <c r="X825" s="90">
        <f t="shared" si="244"/>
        <v>58427.587039441183</v>
      </c>
      <c r="Y825" s="148">
        <v>5490</v>
      </c>
      <c r="Z825" s="149">
        <f t="shared" si="245"/>
        <v>4392</v>
      </c>
      <c r="AA825" s="148"/>
      <c r="AB825" s="145"/>
      <c r="AC825" s="145"/>
      <c r="AD825" s="148">
        <f t="shared" si="246"/>
        <v>4392</v>
      </c>
      <c r="AE825" s="122">
        <f t="shared" si="247"/>
        <v>54035.587039441183</v>
      </c>
      <c r="AF825" s="167">
        <f t="shared" si="248"/>
        <v>218857.05600000001</v>
      </c>
    </row>
    <row r="826" spans="1:32" s="150" customFormat="1" x14ac:dyDescent="0.2">
      <c r="A826" s="144" t="s">
        <v>812</v>
      </c>
      <c r="B826" s="144"/>
      <c r="C826" s="144"/>
      <c r="D826" s="145">
        <v>1</v>
      </c>
      <c r="E826" s="122"/>
      <c r="F826" s="146">
        <v>0.2</v>
      </c>
      <c r="G826" s="146"/>
      <c r="H826" s="122">
        <v>37429</v>
      </c>
      <c r="I826" s="122">
        <f t="shared" si="238"/>
        <v>36231.271999999997</v>
      </c>
      <c r="J826" s="147">
        <f t="shared" si="239"/>
        <v>28985.017599999999</v>
      </c>
      <c r="K826" s="122"/>
      <c r="L826" s="122">
        <v>0</v>
      </c>
      <c r="M826" s="122">
        <f t="shared" si="240"/>
        <v>0</v>
      </c>
      <c r="N826" s="122">
        <f t="shared" si="241"/>
        <v>0</v>
      </c>
      <c r="O826" s="122"/>
      <c r="P826" s="122">
        <v>0</v>
      </c>
      <c r="Q826" s="122">
        <f t="shared" si="242"/>
        <v>0</v>
      </c>
      <c r="R826" s="147">
        <f t="shared" si="243"/>
        <v>0</v>
      </c>
      <c r="S826" s="145">
        <v>11</v>
      </c>
      <c r="T826" s="144" t="s">
        <v>213</v>
      </c>
      <c r="U826" s="90">
        <f>SUMIF('Avoided Costs 2009-2017'!$A:$A,Actuals!T826&amp;Actuals!S826,'Avoided Costs 2009-2017'!$E:$E)*J826</f>
        <v>81120.108434105001</v>
      </c>
      <c r="V826" s="90">
        <f>SUMIF('Avoided Costs 2009-2017'!$A:$A,Actuals!T826&amp;Actuals!S826,'Avoided Costs 2009-2017'!$K:$K)*N826</f>
        <v>0</v>
      </c>
      <c r="W826" s="90">
        <f>SUMIF('Avoided Costs 2009-2017'!$A:$A,Actuals!T826&amp;Actuals!S826,'Avoided Costs 2009-2017'!$M:$M)*R826</f>
        <v>0</v>
      </c>
      <c r="X826" s="90">
        <f t="shared" si="244"/>
        <v>81120.108434105001</v>
      </c>
      <c r="Y826" s="148">
        <v>28673</v>
      </c>
      <c r="Z826" s="149">
        <f t="shared" si="245"/>
        <v>22938.400000000001</v>
      </c>
      <c r="AA826" s="148"/>
      <c r="AB826" s="145"/>
      <c r="AC826" s="145"/>
      <c r="AD826" s="148">
        <f t="shared" si="246"/>
        <v>22938.400000000001</v>
      </c>
      <c r="AE826" s="122">
        <f t="shared" si="247"/>
        <v>58181.708434104999</v>
      </c>
      <c r="AF826" s="167">
        <f t="shared" si="248"/>
        <v>318835.1936</v>
      </c>
    </row>
    <row r="827" spans="1:32" s="150" customFormat="1" x14ac:dyDescent="0.2">
      <c r="A827" s="144" t="s">
        <v>813</v>
      </c>
      <c r="B827" s="144"/>
      <c r="C827" s="144"/>
      <c r="D827" s="145">
        <v>0</v>
      </c>
      <c r="E827" s="122"/>
      <c r="F827" s="146">
        <v>0.2</v>
      </c>
      <c r="G827" s="146"/>
      <c r="H827" s="122">
        <v>48998</v>
      </c>
      <c r="I827" s="122">
        <f t="shared" si="238"/>
        <v>47430.063999999998</v>
      </c>
      <c r="J827" s="147">
        <f t="shared" si="239"/>
        <v>37944.051200000002</v>
      </c>
      <c r="K827" s="122"/>
      <c r="L827" s="122">
        <v>32850</v>
      </c>
      <c r="M827" s="122">
        <f t="shared" si="240"/>
        <v>29532.15</v>
      </c>
      <c r="N827" s="122">
        <f t="shared" si="241"/>
        <v>23625.72</v>
      </c>
      <c r="O827" s="122"/>
      <c r="P827" s="122">
        <v>0</v>
      </c>
      <c r="Q827" s="122">
        <f t="shared" si="242"/>
        <v>0</v>
      </c>
      <c r="R827" s="147">
        <f t="shared" si="243"/>
        <v>0</v>
      </c>
      <c r="S827" s="145">
        <v>15</v>
      </c>
      <c r="T827" s="144" t="s">
        <v>213</v>
      </c>
      <c r="U827" s="90">
        <f>SUMIF('Avoided Costs 2009-2017'!$A:$A,Actuals!T827&amp;Actuals!S827,'Avoided Costs 2009-2017'!$E:$E)*J827</f>
        <v>128334.58238210852</v>
      </c>
      <c r="V827" s="90">
        <f>SUMIF('Avoided Costs 2009-2017'!$A:$A,Actuals!T827&amp;Actuals!S827,'Avoided Costs 2009-2017'!$K:$K)*N827</f>
        <v>17637.360173175359</v>
      </c>
      <c r="W827" s="90">
        <f>SUMIF('Avoided Costs 2009-2017'!$A:$A,Actuals!T827&amp;Actuals!S827,'Avoided Costs 2009-2017'!$M:$M)*R827</f>
        <v>0</v>
      </c>
      <c r="X827" s="90">
        <f t="shared" si="244"/>
        <v>145971.94255528389</v>
      </c>
      <c r="Y827" s="148">
        <v>58340</v>
      </c>
      <c r="Z827" s="149">
        <f t="shared" si="245"/>
        <v>46672</v>
      </c>
      <c r="AA827" s="148"/>
      <c r="AB827" s="145"/>
      <c r="AC827" s="145"/>
      <c r="AD827" s="148">
        <f t="shared" si="246"/>
        <v>46672</v>
      </c>
      <c r="AE827" s="122">
        <f t="shared" si="247"/>
        <v>99299.942555283895</v>
      </c>
      <c r="AF827" s="167">
        <f t="shared" si="248"/>
        <v>569160.76800000004</v>
      </c>
    </row>
    <row r="828" spans="1:32" s="150" customFormat="1" x14ac:dyDescent="0.2">
      <c r="A828" s="144" t="s">
        <v>814</v>
      </c>
      <c r="B828" s="144"/>
      <c r="C828" s="144"/>
      <c r="D828" s="145">
        <v>1</v>
      </c>
      <c r="E828" s="122"/>
      <c r="F828" s="146">
        <v>0.2</v>
      </c>
      <c r="G828" s="146"/>
      <c r="H828" s="122">
        <v>40831</v>
      </c>
      <c r="I828" s="122">
        <f t="shared" si="238"/>
        <v>39524.407999999996</v>
      </c>
      <c r="J828" s="147">
        <f t="shared" si="239"/>
        <v>31619.526399999999</v>
      </c>
      <c r="K828" s="122"/>
      <c r="L828" s="122">
        <v>0</v>
      </c>
      <c r="M828" s="122">
        <f t="shared" si="240"/>
        <v>0</v>
      </c>
      <c r="N828" s="122">
        <f t="shared" si="241"/>
        <v>0</v>
      </c>
      <c r="O828" s="122"/>
      <c r="P828" s="122">
        <v>0</v>
      </c>
      <c r="Q828" s="122">
        <f t="shared" si="242"/>
        <v>0</v>
      </c>
      <c r="R828" s="147">
        <f t="shared" si="243"/>
        <v>0</v>
      </c>
      <c r="S828" s="145">
        <v>11</v>
      </c>
      <c r="T828" s="144" t="s">
        <v>213</v>
      </c>
      <c r="U828" s="90">
        <f>SUMIF('Avoided Costs 2009-2017'!$A:$A,Actuals!T828&amp;Actuals!S828,'Avoided Costs 2009-2017'!$E:$E)*J828</f>
        <v>88493.284551362347</v>
      </c>
      <c r="V828" s="90">
        <f>SUMIF('Avoided Costs 2009-2017'!$A:$A,Actuals!T828&amp;Actuals!S828,'Avoided Costs 2009-2017'!$K:$K)*N828</f>
        <v>0</v>
      </c>
      <c r="W828" s="90">
        <f>SUMIF('Avoided Costs 2009-2017'!$A:$A,Actuals!T828&amp;Actuals!S828,'Avoided Costs 2009-2017'!$M:$M)*R828</f>
        <v>0</v>
      </c>
      <c r="X828" s="90">
        <f t="shared" si="244"/>
        <v>88493.284551362347</v>
      </c>
      <c r="Y828" s="148">
        <v>50350</v>
      </c>
      <c r="Z828" s="149">
        <f t="shared" si="245"/>
        <v>40280</v>
      </c>
      <c r="AA828" s="148"/>
      <c r="AB828" s="145"/>
      <c r="AC828" s="145"/>
      <c r="AD828" s="148">
        <f t="shared" si="246"/>
        <v>40280</v>
      </c>
      <c r="AE828" s="122">
        <f t="shared" si="247"/>
        <v>48213.284551362347</v>
      </c>
      <c r="AF828" s="167">
        <f t="shared" si="248"/>
        <v>347814.7904</v>
      </c>
    </row>
    <row r="829" spans="1:32" s="150" customFormat="1" x14ac:dyDescent="0.2">
      <c r="A829" s="144" t="s">
        <v>815</v>
      </c>
      <c r="B829" s="144"/>
      <c r="C829" s="144"/>
      <c r="D829" s="145">
        <v>1</v>
      </c>
      <c r="E829" s="122"/>
      <c r="F829" s="146">
        <v>0.2</v>
      </c>
      <c r="G829" s="146"/>
      <c r="H829" s="122">
        <v>18805</v>
      </c>
      <c r="I829" s="122">
        <f t="shared" si="238"/>
        <v>18203.239999999998</v>
      </c>
      <c r="J829" s="147">
        <f t="shared" si="239"/>
        <v>14562.591999999999</v>
      </c>
      <c r="K829" s="122"/>
      <c r="L829" s="122">
        <v>21271</v>
      </c>
      <c r="M829" s="122">
        <f t="shared" si="240"/>
        <v>19122.629000000001</v>
      </c>
      <c r="N829" s="122">
        <f t="shared" si="241"/>
        <v>15298.103200000001</v>
      </c>
      <c r="O829" s="122"/>
      <c r="P829" s="122">
        <v>0</v>
      </c>
      <c r="Q829" s="122">
        <f t="shared" si="242"/>
        <v>0</v>
      </c>
      <c r="R829" s="147">
        <f t="shared" si="243"/>
        <v>0</v>
      </c>
      <c r="S829" s="145">
        <v>15</v>
      </c>
      <c r="T829" s="144" t="s">
        <v>213</v>
      </c>
      <c r="U829" s="90">
        <f>SUMIF('Avoided Costs 2009-2017'!$A:$A,Actuals!T829&amp;Actuals!S829,'Avoided Costs 2009-2017'!$E:$E)*J829</f>
        <v>49253.680184814701</v>
      </c>
      <c r="V829" s="90">
        <f>SUMIF('Avoided Costs 2009-2017'!$A:$A,Actuals!T829&amp;Actuals!S829,'Avoided Costs 2009-2017'!$K:$K)*N829</f>
        <v>11420.526278344385</v>
      </c>
      <c r="W829" s="90">
        <f>SUMIF('Avoided Costs 2009-2017'!$A:$A,Actuals!T829&amp;Actuals!S829,'Avoided Costs 2009-2017'!$M:$M)*R829</f>
        <v>0</v>
      </c>
      <c r="X829" s="90">
        <f t="shared" si="244"/>
        <v>60674.206463159084</v>
      </c>
      <c r="Y829" s="148">
        <v>5725</v>
      </c>
      <c r="Z829" s="149">
        <f t="shared" si="245"/>
        <v>4580</v>
      </c>
      <c r="AA829" s="148"/>
      <c r="AB829" s="145"/>
      <c r="AC829" s="145"/>
      <c r="AD829" s="148">
        <f t="shared" si="246"/>
        <v>4580</v>
      </c>
      <c r="AE829" s="122">
        <f t="shared" si="247"/>
        <v>56094.206463159084</v>
      </c>
      <c r="AF829" s="167">
        <f t="shared" si="248"/>
        <v>218438.87999999998</v>
      </c>
    </row>
    <row r="830" spans="1:32" s="150" customFormat="1" x14ac:dyDescent="0.2">
      <c r="A830" s="144" t="s">
        <v>816</v>
      </c>
      <c r="B830" s="144"/>
      <c r="C830" s="144"/>
      <c r="D830" s="145">
        <v>0</v>
      </c>
      <c r="E830" s="122"/>
      <c r="F830" s="146">
        <v>0.2</v>
      </c>
      <c r="G830" s="146"/>
      <c r="H830" s="122">
        <v>24463</v>
      </c>
      <c r="I830" s="122">
        <f t="shared" si="238"/>
        <v>23680.184000000001</v>
      </c>
      <c r="J830" s="147">
        <f t="shared" si="239"/>
        <v>18944.147200000003</v>
      </c>
      <c r="K830" s="122"/>
      <c r="L830" s="122">
        <v>0</v>
      </c>
      <c r="M830" s="122">
        <f t="shared" si="240"/>
        <v>0</v>
      </c>
      <c r="N830" s="122">
        <f t="shared" si="241"/>
        <v>0</v>
      </c>
      <c r="O830" s="122"/>
      <c r="P830" s="122">
        <v>0</v>
      </c>
      <c r="Q830" s="122">
        <f t="shared" si="242"/>
        <v>0</v>
      </c>
      <c r="R830" s="147">
        <f t="shared" si="243"/>
        <v>0</v>
      </c>
      <c r="S830" s="145">
        <v>9</v>
      </c>
      <c r="T830" s="144" t="s">
        <v>1176</v>
      </c>
      <c r="U830" s="90">
        <f>SUMIF('Avoided Costs 2009-2017'!$A:$A,Actuals!T830&amp;Actuals!S830,'Avoided Costs 2009-2017'!$E:$E)*J830</f>
        <v>42202.108435762537</v>
      </c>
      <c r="V830" s="90">
        <f>SUMIF('Avoided Costs 2009-2017'!$A:$A,Actuals!T830&amp;Actuals!S830,'Avoided Costs 2009-2017'!$K:$K)*N830</f>
        <v>0</v>
      </c>
      <c r="W830" s="90">
        <f>SUMIF('Avoided Costs 2009-2017'!$A:$A,Actuals!T830&amp;Actuals!S830,'Avoided Costs 2009-2017'!$M:$M)*R830</f>
        <v>0</v>
      </c>
      <c r="X830" s="90">
        <f t="shared" si="244"/>
        <v>42202.108435762537</v>
      </c>
      <c r="Y830" s="148">
        <v>42343.56</v>
      </c>
      <c r="Z830" s="149">
        <f t="shared" si="245"/>
        <v>33874.847999999998</v>
      </c>
      <c r="AA830" s="148"/>
      <c r="AB830" s="145"/>
      <c r="AC830" s="145"/>
      <c r="AD830" s="148">
        <f t="shared" si="246"/>
        <v>33874.847999999998</v>
      </c>
      <c r="AE830" s="122">
        <f t="shared" si="247"/>
        <v>8327.2604357625387</v>
      </c>
      <c r="AF830" s="167">
        <f t="shared" si="248"/>
        <v>170497.32480000003</v>
      </c>
    </row>
    <row r="831" spans="1:32" s="150" customFormat="1" x14ac:dyDescent="0.2">
      <c r="A831" s="144" t="s">
        <v>817</v>
      </c>
      <c r="B831" s="144"/>
      <c r="C831" s="144"/>
      <c r="D831" s="145">
        <v>1</v>
      </c>
      <c r="E831" s="122"/>
      <c r="F831" s="146">
        <v>0.2</v>
      </c>
      <c r="G831" s="146"/>
      <c r="H831" s="122">
        <v>106475</v>
      </c>
      <c r="I831" s="122">
        <f t="shared" si="238"/>
        <v>103067.8</v>
      </c>
      <c r="J831" s="147">
        <f t="shared" si="239"/>
        <v>82454.240000000005</v>
      </c>
      <c r="K831" s="122"/>
      <c r="L831" s="122">
        <v>0</v>
      </c>
      <c r="M831" s="122">
        <f t="shared" si="240"/>
        <v>0</v>
      </c>
      <c r="N831" s="122">
        <f t="shared" si="241"/>
        <v>0</v>
      </c>
      <c r="O831" s="122"/>
      <c r="P831" s="122">
        <v>0</v>
      </c>
      <c r="Q831" s="122">
        <f t="shared" si="242"/>
        <v>0</v>
      </c>
      <c r="R831" s="147">
        <f t="shared" si="243"/>
        <v>0</v>
      </c>
      <c r="S831" s="145">
        <v>11</v>
      </c>
      <c r="T831" s="144" t="s">
        <v>213</v>
      </c>
      <c r="U831" s="90">
        <f>SUMIF('Avoided Costs 2009-2017'!$A:$A,Actuals!T831&amp;Actuals!S831,'Avoided Costs 2009-2017'!$E:$E)*J831</f>
        <v>230763.94094208584</v>
      </c>
      <c r="V831" s="90">
        <f>SUMIF('Avoided Costs 2009-2017'!$A:$A,Actuals!T831&amp;Actuals!S831,'Avoided Costs 2009-2017'!$K:$K)*N831</f>
        <v>0</v>
      </c>
      <c r="W831" s="90">
        <f>SUMIF('Avoided Costs 2009-2017'!$A:$A,Actuals!T831&amp;Actuals!S831,'Avoided Costs 2009-2017'!$M:$M)*R831</f>
        <v>0</v>
      </c>
      <c r="X831" s="90">
        <f t="shared" si="244"/>
        <v>230763.94094208584</v>
      </c>
      <c r="Y831" s="148">
        <v>106000</v>
      </c>
      <c r="Z831" s="149">
        <f t="shared" si="245"/>
        <v>84800</v>
      </c>
      <c r="AA831" s="148"/>
      <c r="AB831" s="145"/>
      <c r="AC831" s="145"/>
      <c r="AD831" s="148">
        <f t="shared" si="246"/>
        <v>84800</v>
      </c>
      <c r="AE831" s="122">
        <f t="shared" si="247"/>
        <v>145963.94094208584</v>
      </c>
      <c r="AF831" s="167">
        <f t="shared" si="248"/>
        <v>906996.64</v>
      </c>
    </row>
    <row r="832" spans="1:32" s="150" customFormat="1" x14ac:dyDescent="0.2">
      <c r="A832" s="144" t="s">
        <v>818</v>
      </c>
      <c r="B832" s="144"/>
      <c r="C832" s="144"/>
      <c r="D832" s="145">
        <v>1</v>
      </c>
      <c r="E832" s="122"/>
      <c r="F832" s="146">
        <v>0.2</v>
      </c>
      <c r="G832" s="146"/>
      <c r="H832" s="122">
        <v>83762</v>
      </c>
      <c r="I832" s="122">
        <f t="shared" si="238"/>
        <v>81081.615999999995</v>
      </c>
      <c r="J832" s="147">
        <f t="shared" si="239"/>
        <v>64865.292799999996</v>
      </c>
      <c r="K832" s="122"/>
      <c r="L832" s="122">
        <v>85082</v>
      </c>
      <c r="M832" s="122">
        <f t="shared" si="240"/>
        <v>76488.718000000008</v>
      </c>
      <c r="N832" s="122">
        <f t="shared" si="241"/>
        <v>61190.974400000006</v>
      </c>
      <c r="O832" s="122"/>
      <c r="P832" s="122">
        <v>0</v>
      </c>
      <c r="Q832" s="122">
        <f t="shared" si="242"/>
        <v>0</v>
      </c>
      <c r="R832" s="147">
        <f t="shared" si="243"/>
        <v>0</v>
      </c>
      <c r="S832" s="145">
        <v>15</v>
      </c>
      <c r="T832" s="144" t="s">
        <v>213</v>
      </c>
      <c r="U832" s="90">
        <f>SUMIF('Avoided Costs 2009-2017'!$A:$A,Actuals!T832&amp;Actuals!S832,'Avoided Costs 2009-2017'!$E:$E)*J832</f>
        <v>219387.75642863326</v>
      </c>
      <c r="V832" s="90">
        <f>SUMIF('Avoided Costs 2009-2017'!$A:$A,Actuals!T832&amp;Actuals!S832,'Avoided Costs 2009-2017'!$K:$K)*N832</f>
        <v>45681.031301494855</v>
      </c>
      <c r="W832" s="90">
        <f>SUMIF('Avoided Costs 2009-2017'!$A:$A,Actuals!T832&amp;Actuals!S832,'Avoided Costs 2009-2017'!$M:$M)*R832</f>
        <v>0</v>
      </c>
      <c r="X832" s="90">
        <f t="shared" si="244"/>
        <v>265068.7877301281</v>
      </c>
      <c r="Y832" s="148">
        <v>19200</v>
      </c>
      <c r="Z832" s="149">
        <f t="shared" si="245"/>
        <v>15360</v>
      </c>
      <c r="AA832" s="148"/>
      <c r="AB832" s="145"/>
      <c r="AC832" s="145"/>
      <c r="AD832" s="148">
        <f t="shared" si="246"/>
        <v>15360</v>
      </c>
      <c r="AE832" s="122">
        <f t="shared" si="247"/>
        <v>249708.7877301281</v>
      </c>
      <c r="AF832" s="167">
        <f t="shared" si="248"/>
        <v>972979.39199999999</v>
      </c>
    </row>
    <row r="833" spans="1:32" s="150" customFormat="1" x14ac:dyDescent="0.2">
      <c r="A833" s="144" t="s">
        <v>819</v>
      </c>
      <c r="B833" s="144"/>
      <c r="C833" s="144"/>
      <c r="D833" s="145">
        <v>1</v>
      </c>
      <c r="E833" s="122"/>
      <c r="F833" s="146">
        <v>0.2</v>
      </c>
      <c r="G833" s="146"/>
      <c r="H833" s="122">
        <v>41181</v>
      </c>
      <c r="I833" s="122">
        <f t="shared" si="238"/>
        <v>39863.207999999999</v>
      </c>
      <c r="J833" s="147">
        <f t="shared" si="239"/>
        <v>31890.5664</v>
      </c>
      <c r="K833" s="122"/>
      <c r="L833" s="122">
        <v>31906</v>
      </c>
      <c r="M833" s="122">
        <f t="shared" si="240"/>
        <v>28683.494000000002</v>
      </c>
      <c r="N833" s="122">
        <f t="shared" si="241"/>
        <v>22946.795200000004</v>
      </c>
      <c r="O833" s="122"/>
      <c r="P833" s="122">
        <v>0</v>
      </c>
      <c r="Q833" s="122">
        <f t="shared" si="242"/>
        <v>0</v>
      </c>
      <c r="R833" s="147">
        <f t="shared" si="243"/>
        <v>0</v>
      </c>
      <c r="S833" s="145">
        <v>15</v>
      </c>
      <c r="T833" s="144" t="s">
        <v>213</v>
      </c>
      <c r="U833" s="90">
        <f>SUMIF('Avoided Costs 2009-2017'!$A:$A,Actuals!T833&amp;Actuals!S833,'Avoided Costs 2009-2017'!$E:$E)*J833</f>
        <v>107860.45220371467</v>
      </c>
      <c r="V833" s="90">
        <f>SUMIF('Avoided Costs 2009-2017'!$A:$A,Actuals!T833&amp;Actuals!S833,'Avoided Costs 2009-2017'!$K:$K)*N833</f>
        <v>17130.520964545907</v>
      </c>
      <c r="W833" s="90">
        <f>SUMIF('Avoided Costs 2009-2017'!$A:$A,Actuals!T833&amp;Actuals!S833,'Avoided Costs 2009-2017'!$M:$M)*R833</f>
        <v>0</v>
      </c>
      <c r="X833" s="90">
        <f t="shared" si="244"/>
        <v>124990.97316826058</v>
      </c>
      <c r="Y833" s="148">
        <v>6800</v>
      </c>
      <c r="Z833" s="149">
        <f t="shared" si="245"/>
        <v>5440</v>
      </c>
      <c r="AA833" s="148"/>
      <c r="AB833" s="145"/>
      <c r="AC833" s="145"/>
      <c r="AD833" s="148">
        <f t="shared" si="246"/>
        <v>5440</v>
      </c>
      <c r="AE833" s="122">
        <f t="shared" si="247"/>
        <v>119550.97316826058</v>
      </c>
      <c r="AF833" s="167">
        <f t="shared" si="248"/>
        <v>478358.49599999998</v>
      </c>
    </row>
    <row r="834" spans="1:32" s="150" customFormat="1" x14ac:dyDescent="0.2">
      <c r="A834" s="144" t="s">
        <v>820</v>
      </c>
      <c r="B834" s="144"/>
      <c r="C834" s="144"/>
      <c r="D834" s="145">
        <v>1</v>
      </c>
      <c r="E834" s="122"/>
      <c r="F834" s="146">
        <v>0.2</v>
      </c>
      <c r="G834" s="146"/>
      <c r="H834" s="122">
        <v>64687</v>
      </c>
      <c r="I834" s="122">
        <f t="shared" si="238"/>
        <v>62617.015999999996</v>
      </c>
      <c r="J834" s="147">
        <f t="shared" si="239"/>
        <v>50093.612800000003</v>
      </c>
      <c r="K834" s="122"/>
      <c r="L834" s="122">
        <v>63812</v>
      </c>
      <c r="M834" s="122">
        <f t="shared" si="240"/>
        <v>57366.988000000005</v>
      </c>
      <c r="N834" s="122">
        <f t="shared" si="241"/>
        <v>45893.590400000008</v>
      </c>
      <c r="O834" s="122"/>
      <c r="P834" s="122">
        <v>0</v>
      </c>
      <c r="Q834" s="122">
        <f t="shared" si="242"/>
        <v>0</v>
      </c>
      <c r="R834" s="147">
        <f t="shared" si="243"/>
        <v>0</v>
      </c>
      <c r="S834" s="145">
        <v>15</v>
      </c>
      <c r="T834" s="144" t="s">
        <v>213</v>
      </c>
      <c r="U834" s="90">
        <f>SUMIF('Avoided Costs 2009-2017'!$A:$A,Actuals!T834&amp;Actuals!S834,'Avoided Costs 2009-2017'!$E:$E)*J834</f>
        <v>169426.89763972926</v>
      </c>
      <c r="V834" s="90">
        <f>SUMIF('Avoided Costs 2009-2017'!$A:$A,Actuals!T834&amp;Actuals!S834,'Avoided Costs 2009-2017'!$K:$K)*N834</f>
        <v>34261.041929091814</v>
      </c>
      <c r="W834" s="90">
        <f>SUMIF('Avoided Costs 2009-2017'!$A:$A,Actuals!T834&amp;Actuals!S834,'Avoided Costs 2009-2017'!$M:$M)*R834</f>
        <v>0</v>
      </c>
      <c r="X834" s="90">
        <f t="shared" si="244"/>
        <v>203687.93956882108</v>
      </c>
      <c r="Y834" s="148">
        <v>13995</v>
      </c>
      <c r="Z834" s="149">
        <f t="shared" si="245"/>
        <v>11196</v>
      </c>
      <c r="AA834" s="148"/>
      <c r="AB834" s="145"/>
      <c r="AC834" s="145"/>
      <c r="AD834" s="148">
        <f t="shared" si="246"/>
        <v>11196</v>
      </c>
      <c r="AE834" s="122">
        <f t="shared" si="247"/>
        <v>192491.93956882108</v>
      </c>
      <c r="AF834" s="167">
        <f t="shared" si="248"/>
        <v>751404.19200000004</v>
      </c>
    </row>
    <row r="835" spans="1:32" s="150" customFormat="1" x14ac:dyDescent="0.2">
      <c r="A835" s="144" t="s">
        <v>821</v>
      </c>
      <c r="B835" s="144"/>
      <c r="C835" s="144"/>
      <c r="D835" s="145">
        <v>1</v>
      </c>
      <c r="E835" s="122"/>
      <c r="F835" s="146">
        <v>0.2</v>
      </c>
      <c r="G835" s="146"/>
      <c r="H835" s="122">
        <v>40122</v>
      </c>
      <c r="I835" s="122">
        <f t="shared" si="238"/>
        <v>38838.095999999998</v>
      </c>
      <c r="J835" s="147">
        <f t="shared" si="239"/>
        <v>31070.4768</v>
      </c>
      <c r="K835" s="122"/>
      <c r="L835" s="122">
        <v>61041</v>
      </c>
      <c r="M835" s="122">
        <f t="shared" si="240"/>
        <v>54875.859000000004</v>
      </c>
      <c r="N835" s="122">
        <f t="shared" si="241"/>
        <v>43900.687200000008</v>
      </c>
      <c r="O835" s="122"/>
      <c r="P835" s="122">
        <v>0</v>
      </c>
      <c r="Q835" s="122">
        <f t="shared" si="242"/>
        <v>0</v>
      </c>
      <c r="R835" s="147">
        <f t="shared" si="243"/>
        <v>0</v>
      </c>
      <c r="S835" s="145">
        <v>15</v>
      </c>
      <c r="T835" s="144" t="s">
        <v>213</v>
      </c>
      <c r="U835" s="90">
        <f>SUMIF('Avoided Costs 2009-2017'!$A:$A,Actuals!T835&amp;Actuals!S835,'Avoided Costs 2009-2017'!$E:$E)*J835</f>
        <v>105086.74056767538</v>
      </c>
      <c r="V835" s="90">
        <f>SUMIF('Avoided Costs 2009-2017'!$A:$A,Actuals!T835&amp;Actuals!S835,'Avoided Costs 2009-2017'!$K:$K)*N835</f>
        <v>32773.275565625489</v>
      </c>
      <c r="W835" s="90">
        <f>SUMIF('Avoided Costs 2009-2017'!$A:$A,Actuals!T835&amp;Actuals!S835,'Avoided Costs 2009-2017'!$M:$M)*R835</f>
        <v>0</v>
      </c>
      <c r="X835" s="90">
        <f t="shared" si="244"/>
        <v>137860.01613330087</v>
      </c>
      <c r="Y835" s="148">
        <v>13325</v>
      </c>
      <c r="Z835" s="149">
        <f t="shared" si="245"/>
        <v>10660</v>
      </c>
      <c r="AA835" s="148"/>
      <c r="AB835" s="145"/>
      <c r="AC835" s="145"/>
      <c r="AD835" s="148">
        <f t="shared" si="246"/>
        <v>10660</v>
      </c>
      <c r="AE835" s="122">
        <f t="shared" si="247"/>
        <v>127200.01613330087</v>
      </c>
      <c r="AF835" s="167">
        <f t="shared" si="248"/>
        <v>466057.152</v>
      </c>
    </row>
    <row r="836" spans="1:32" s="150" customFormat="1" x14ac:dyDescent="0.2">
      <c r="A836" s="144" t="s">
        <v>822</v>
      </c>
      <c r="B836" s="144"/>
      <c r="C836" s="144"/>
      <c r="D836" s="145">
        <v>1</v>
      </c>
      <c r="E836" s="122"/>
      <c r="F836" s="146">
        <v>0.2</v>
      </c>
      <c r="G836" s="146"/>
      <c r="H836" s="122">
        <v>83762</v>
      </c>
      <c r="I836" s="122">
        <f t="shared" si="238"/>
        <v>81081.615999999995</v>
      </c>
      <c r="J836" s="147">
        <f t="shared" si="239"/>
        <v>64865.292799999996</v>
      </c>
      <c r="K836" s="122"/>
      <c r="L836" s="122">
        <v>85082</v>
      </c>
      <c r="M836" s="122">
        <f t="shared" si="240"/>
        <v>76488.718000000008</v>
      </c>
      <c r="N836" s="122">
        <f t="shared" si="241"/>
        <v>61190.974400000006</v>
      </c>
      <c r="O836" s="122"/>
      <c r="P836" s="122">
        <v>0</v>
      </c>
      <c r="Q836" s="122">
        <f t="shared" si="242"/>
        <v>0</v>
      </c>
      <c r="R836" s="147">
        <f t="shared" si="243"/>
        <v>0</v>
      </c>
      <c r="S836" s="145">
        <v>15</v>
      </c>
      <c r="T836" s="144" t="s">
        <v>213</v>
      </c>
      <c r="U836" s="90">
        <f>SUMIF('Avoided Costs 2009-2017'!$A:$A,Actuals!T836&amp;Actuals!S836,'Avoided Costs 2009-2017'!$E:$E)*J836</f>
        <v>219387.75642863326</v>
      </c>
      <c r="V836" s="90">
        <f>SUMIF('Avoided Costs 2009-2017'!$A:$A,Actuals!T836&amp;Actuals!S836,'Avoided Costs 2009-2017'!$K:$K)*N836</f>
        <v>45681.031301494855</v>
      </c>
      <c r="W836" s="90">
        <f>SUMIF('Avoided Costs 2009-2017'!$A:$A,Actuals!T836&amp;Actuals!S836,'Avoided Costs 2009-2017'!$M:$M)*R836</f>
        <v>0</v>
      </c>
      <c r="X836" s="90">
        <f t="shared" si="244"/>
        <v>265068.7877301281</v>
      </c>
      <c r="Y836" s="148">
        <v>19200</v>
      </c>
      <c r="Z836" s="149">
        <f t="shared" si="245"/>
        <v>15360</v>
      </c>
      <c r="AA836" s="148"/>
      <c r="AB836" s="145"/>
      <c r="AC836" s="145"/>
      <c r="AD836" s="148">
        <f t="shared" si="246"/>
        <v>15360</v>
      </c>
      <c r="AE836" s="122">
        <f t="shared" si="247"/>
        <v>249708.7877301281</v>
      </c>
      <c r="AF836" s="167">
        <f t="shared" si="248"/>
        <v>972979.39199999999</v>
      </c>
    </row>
    <row r="837" spans="1:32" s="150" customFormat="1" x14ac:dyDescent="0.2">
      <c r="A837" s="144" t="s">
        <v>823</v>
      </c>
      <c r="B837" s="144"/>
      <c r="C837" s="144"/>
      <c r="D837" s="145">
        <v>1</v>
      </c>
      <c r="E837" s="122"/>
      <c r="F837" s="146">
        <v>0.2</v>
      </c>
      <c r="G837" s="146"/>
      <c r="H837" s="122">
        <v>97688</v>
      </c>
      <c r="I837" s="122">
        <f t="shared" si="238"/>
        <v>94561.983999999997</v>
      </c>
      <c r="J837" s="147">
        <f t="shared" si="239"/>
        <v>75649.587199999994</v>
      </c>
      <c r="K837" s="122"/>
      <c r="L837" s="122">
        <v>0</v>
      </c>
      <c r="M837" s="122">
        <f t="shared" si="240"/>
        <v>0</v>
      </c>
      <c r="N837" s="122">
        <f t="shared" si="241"/>
        <v>0</v>
      </c>
      <c r="O837" s="122"/>
      <c r="P837" s="122">
        <v>0</v>
      </c>
      <c r="Q837" s="122">
        <f t="shared" si="242"/>
        <v>0</v>
      </c>
      <c r="R837" s="147">
        <f t="shared" si="243"/>
        <v>0</v>
      </c>
      <c r="S837" s="145">
        <v>11</v>
      </c>
      <c r="T837" s="144" t="s">
        <v>213</v>
      </c>
      <c r="U837" s="90">
        <f>SUMIF('Avoided Costs 2009-2017'!$A:$A,Actuals!T837&amp;Actuals!S837,'Avoided Costs 2009-2017'!$E:$E)*J837</f>
        <v>211719.82026532499</v>
      </c>
      <c r="V837" s="90">
        <f>SUMIF('Avoided Costs 2009-2017'!$A:$A,Actuals!T837&amp;Actuals!S837,'Avoided Costs 2009-2017'!$K:$K)*N837</f>
        <v>0</v>
      </c>
      <c r="W837" s="90">
        <f>SUMIF('Avoided Costs 2009-2017'!$A:$A,Actuals!T837&amp;Actuals!S837,'Avoided Costs 2009-2017'!$M:$M)*R837</f>
        <v>0</v>
      </c>
      <c r="X837" s="90">
        <f t="shared" si="244"/>
        <v>211719.82026532499</v>
      </c>
      <c r="Y837" s="148">
        <v>57770</v>
      </c>
      <c r="Z837" s="149">
        <f t="shared" si="245"/>
        <v>46216</v>
      </c>
      <c r="AA837" s="148"/>
      <c r="AB837" s="145"/>
      <c r="AC837" s="145"/>
      <c r="AD837" s="148">
        <f t="shared" si="246"/>
        <v>46216</v>
      </c>
      <c r="AE837" s="122">
        <f t="shared" si="247"/>
        <v>165503.82026532499</v>
      </c>
      <c r="AF837" s="167">
        <f t="shared" si="248"/>
        <v>832145.45919999992</v>
      </c>
    </row>
    <row r="838" spans="1:32" s="150" customFormat="1" x14ac:dyDescent="0.2">
      <c r="A838" s="144" t="s">
        <v>824</v>
      </c>
      <c r="B838" s="144"/>
      <c r="C838" s="144"/>
      <c r="D838" s="145">
        <v>1</v>
      </c>
      <c r="E838" s="122"/>
      <c r="F838" s="146">
        <v>0.2</v>
      </c>
      <c r="G838" s="146"/>
      <c r="H838" s="122">
        <v>32997</v>
      </c>
      <c r="I838" s="122">
        <f t="shared" si="238"/>
        <v>31941.095999999998</v>
      </c>
      <c r="J838" s="147">
        <f t="shared" si="239"/>
        <v>25552.876799999998</v>
      </c>
      <c r="K838" s="122"/>
      <c r="L838" s="122">
        <v>39434</v>
      </c>
      <c r="M838" s="122">
        <f t="shared" si="240"/>
        <v>35451.165999999997</v>
      </c>
      <c r="N838" s="122">
        <f t="shared" si="241"/>
        <v>28360.932799999999</v>
      </c>
      <c r="O838" s="122"/>
      <c r="P838" s="122">
        <v>0</v>
      </c>
      <c r="Q838" s="122">
        <f t="shared" si="242"/>
        <v>0</v>
      </c>
      <c r="R838" s="147">
        <f t="shared" si="243"/>
        <v>0</v>
      </c>
      <c r="S838" s="145">
        <v>15</v>
      </c>
      <c r="T838" s="144" t="s">
        <v>213</v>
      </c>
      <c r="U838" s="90">
        <f>SUMIF('Avoided Costs 2009-2017'!$A:$A,Actuals!T838&amp;Actuals!S838,'Avoided Costs 2009-2017'!$E:$E)*J838</f>
        <v>86425.082959762323</v>
      </c>
      <c r="V838" s="90">
        <f>SUMIF('Avoided Costs 2009-2017'!$A:$A,Actuals!T838&amp;Actuals!S838,'Avoided Costs 2009-2017'!$K:$K)*N838</f>
        <v>21172.348890989255</v>
      </c>
      <c r="W838" s="90">
        <f>SUMIF('Avoided Costs 2009-2017'!$A:$A,Actuals!T838&amp;Actuals!S838,'Avoided Costs 2009-2017'!$M:$M)*R838</f>
        <v>0</v>
      </c>
      <c r="X838" s="90">
        <f t="shared" si="244"/>
        <v>107597.43185075157</v>
      </c>
      <c r="Y838" s="148">
        <v>13995</v>
      </c>
      <c r="Z838" s="149">
        <f t="shared" si="245"/>
        <v>11196</v>
      </c>
      <c r="AA838" s="148"/>
      <c r="AB838" s="145"/>
      <c r="AC838" s="145"/>
      <c r="AD838" s="148">
        <f t="shared" si="246"/>
        <v>11196</v>
      </c>
      <c r="AE838" s="122">
        <f t="shared" si="247"/>
        <v>96401.431850751571</v>
      </c>
      <c r="AF838" s="167">
        <f t="shared" si="248"/>
        <v>383293.152</v>
      </c>
    </row>
    <row r="839" spans="1:32" s="150" customFormat="1" x14ac:dyDescent="0.2">
      <c r="A839" s="144" t="s">
        <v>825</v>
      </c>
      <c r="B839" s="144"/>
      <c r="C839" s="144"/>
      <c r="D839" s="145">
        <v>1</v>
      </c>
      <c r="E839" s="122"/>
      <c r="F839" s="146">
        <v>0.2</v>
      </c>
      <c r="G839" s="146"/>
      <c r="H839" s="122">
        <v>30747</v>
      </c>
      <c r="I839" s="122">
        <f t="shared" si="238"/>
        <v>29763.095999999998</v>
      </c>
      <c r="J839" s="147">
        <f t="shared" si="239"/>
        <v>23810.4768</v>
      </c>
      <c r="K839" s="122"/>
      <c r="L839" s="122">
        <v>36590</v>
      </c>
      <c r="M839" s="122">
        <f t="shared" si="240"/>
        <v>32894.410000000003</v>
      </c>
      <c r="N839" s="122">
        <f t="shared" si="241"/>
        <v>26315.528000000006</v>
      </c>
      <c r="O839" s="122"/>
      <c r="P839" s="122">
        <v>0</v>
      </c>
      <c r="Q839" s="122">
        <f t="shared" si="242"/>
        <v>0</v>
      </c>
      <c r="R839" s="147">
        <f t="shared" si="243"/>
        <v>0</v>
      </c>
      <c r="S839" s="145">
        <v>15</v>
      </c>
      <c r="T839" s="144" t="s">
        <v>213</v>
      </c>
      <c r="U839" s="90">
        <f>SUMIF('Avoided Costs 2009-2017'!$A:$A,Actuals!T839&amp;Actuals!S839,'Avoided Costs 2009-2017'!$E:$E)*J839</f>
        <v>80531.927925684533</v>
      </c>
      <c r="V839" s="90">
        <f>SUMIF('Avoided Costs 2009-2017'!$A:$A,Actuals!T839&amp;Actuals!S839,'Avoided Costs 2009-2017'!$K:$K)*N839</f>
        <v>19645.388393804762</v>
      </c>
      <c r="W839" s="90">
        <f>SUMIF('Avoided Costs 2009-2017'!$A:$A,Actuals!T839&amp;Actuals!S839,'Avoided Costs 2009-2017'!$M:$M)*R839</f>
        <v>0</v>
      </c>
      <c r="X839" s="90">
        <f t="shared" si="244"/>
        <v>100177.3163194893</v>
      </c>
      <c r="Y839" s="148">
        <v>7490</v>
      </c>
      <c r="Z839" s="149">
        <f t="shared" si="245"/>
        <v>5992</v>
      </c>
      <c r="AA839" s="148"/>
      <c r="AB839" s="145"/>
      <c r="AC839" s="145"/>
      <c r="AD839" s="148">
        <f t="shared" si="246"/>
        <v>5992</v>
      </c>
      <c r="AE839" s="122">
        <f t="shared" si="247"/>
        <v>94185.316319489299</v>
      </c>
      <c r="AF839" s="167">
        <f t="shared" si="248"/>
        <v>357157.152</v>
      </c>
    </row>
    <row r="840" spans="1:32" s="150" customFormat="1" x14ac:dyDescent="0.2">
      <c r="A840" s="144" t="s">
        <v>826</v>
      </c>
      <c r="B840" s="144"/>
      <c r="C840" s="144"/>
      <c r="D840" s="145">
        <v>0</v>
      </c>
      <c r="E840" s="122"/>
      <c r="F840" s="146">
        <v>0.2</v>
      </c>
      <c r="G840" s="146"/>
      <c r="H840" s="122">
        <v>0</v>
      </c>
      <c r="I840" s="122">
        <f t="shared" si="238"/>
        <v>0</v>
      </c>
      <c r="J840" s="147">
        <f t="shared" si="239"/>
        <v>0</v>
      </c>
      <c r="K840" s="122"/>
      <c r="L840" s="122">
        <v>0</v>
      </c>
      <c r="M840" s="122">
        <f t="shared" si="240"/>
        <v>0</v>
      </c>
      <c r="N840" s="122">
        <f t="shared" si="241"/>
        <v>0</v>
      </c>
      <c r="O840" s="122"/>
      <c r="P840" s="122">
        <v>0</v>
      </c>
      <c r="Q840" s="122">
        <f t="shared" si="242"/>
        <v>0</v>
      </c>
      <c r="R840" s="147">
        <f t="shared" si="243"/>
        <v>0</v>
      </c>
      <c r="S840" s="145">
        <v>15</v>
      </c>
      <c r="T840" s="144" t="s">
        <v>213</v>
      </c>
      <c r="U840" s="90">
        <f>SUMIF('Avoided Costs 2009-2017'!$A:$A,Actuals!T840&amp;Actuals!S840,'Avoided Costs 2009-2017'!$E:$E)*J840</f>
        <v>0</v>
      </c>
      <c r="V840" s="90">
        <f>SUMIF('Avoided Costs 2009-2017'!$A:$A,Actuals!T840&amp;Actuals!S840,'Avoided Costs 2009-2017'!$K:$K)*N840</f>
        <v>0</v>
      </c>
      <c r="W840" s="90">
        <f>SUMIF('Avoided Costs 2009-2017'!$A:$A,Actuals!T840&amp;Actuals!S840,'Avoided Costs 2009-2017'!$M:$M)*R840</f>
        <v>0</v>
      </c>
      <c r="X840" s="90">
        <f t="shared" si="244"/>
        <v>0</v>
      </c>
      <c r="Y840" s="148">
        <v>0</v>
      </c>
      <c r="Z840" s="149">
        <f t="shared" si="245"/>
        <v>0</v>
      </c>
      <c r="AA840" s="148"/>
      <c r="AB840" s="145"/>
      <c r="AC840" s="145"/>
      <c r="AD840" s="148">
        <f t="shared" si="246"/>
        <v>0</v>
      </c>
      <c r="AE840" s="122">
        <f t="shared" si="247"/>
        <v>0</v>
      </c>
      <c r="AF840" s="167">
        <f t="shared" si="248"/>
        <v>0</v>
      </c>
    </row>
    <row r="841" spans="1:32" s="150" customFormat="1" x14ac:dyDescent="0.2">
      <c r="A841" s="144" t="s">
        <v>827</v>
      </c>
      <c r="B841" s="144"/>
      <c r="C841" s="144"/>
      <c r="D841" s="145">
        <v>1</v>
      </c>
      <c r="E841" s="122"/>
      <c r="F841" s="146">
        <v>0.2</v>
      </c>
      <c r="G841" s="146"/>
      <c r="H841" s="122">
        <v>37087</v>
      </c>
      <c r="I841" s="122">
        <f t="shared" si="238"/>
        <v>35900.216</v>
      </c>
      <c r="J841" s="147">
        <f t="shared" si="239"/>
        <v>28720.1728</v>
      </c>
      <c r="K841" s="122"/>
      <c r="L841" s="122">
        <v>45781</v>
      </c>
      <c r="M841" s="122">
        <f t="shared" si="240"/>
        <v>41157.118999999999</v>
      </c>
      <c r="N841" s="122">
        <f t="shared" si="241"/>
        <v>32925.695200000002</v>
      </c>
      <c r="O841" s="122"/>
      <c r="P841" s="122">
        <v>0</v>
      </c>
      <c r="Q841" s="122">
        <f t="shared" si="242"/>
        <v>0</v>
      </c>
      <c r="R841" s="147">
        <f t="shared" si="243"/>
        <v>0</v>
      </c>
      <c r="S841" s="145">
        <v>15</v>
      </c>
      <c r="T841" s="144" t="s">
        <v>213</v>
      </c>
      <c r="U841" s="90">
        <f>SUMIF('Avoided Costs 2009-2017'!$A:$A,Actuals!T841&amp;Actuals!S841,'Avoided Costs 2009-2017'!$E:$E)*J841</f>
        <v>97137.529221708202</v>
      </c>
      <c r="V841" s="90">
        <f>SUMIF('Avoided Costs 2009-2017'!$A:$A,Actuals!T841&amp;Actuals!S841,'Avoided Costs 2009-2017'!$K:$K)*N841</f>
        <v>24580.090900704447</v>
      </c>
      <c r="W841" s="90">
        <f>SUMIF('Avoided Costs 2009-2017'!$A:$A,Actuals!T841&amp;Actuals!S841,'Avoided Costs 2009-2017'!$M:$M)*R841</f>
        <v>0</v>
      </c>
      <c r="X841" s="90">
        <f t="shared" si="244"/>
        <v>121717.62012241266</v>
      </c>
      <c r="Y841" s="148">
        <v>12480</v>
      </c>
      <c r="Z841" s="149">
        <f t="shared" si="245"/>
        <v>9984</v>
      </c>
      <c r="AA841" s="148"/>
      <c r="AB841" s="145"/>
      <c r="AC841" s="145"/>
      <c r="AD841" s="148">
        <f t="shared" si="246"/>
        <v>9984</v>
      </c>
      <c r="AE841" s="122">
        <f t="shared" si="247"/>
        <v>111733.62012241266</v>
      </c>
      <c r="AF841" s="167">
        <f t="shared" si="248"/>
        <v>430802.592</v>
      </c>
    </row>
    <row r="842" spans="1:32" s="150" customFormat="1" x14ac:dyDescent="0.2">
      <c r="A842" s="144" t="s">
        <v>828</v>
      </c>
      <c r="B842" s="144"/>
      <c r="C842" s="144"/>
      <c r="D842" s="145">
        <v>0</v>
      </c>
      <c r="E842" s="122"/>
      <c r="F842" s="146">
        <v>0.2</v>
      </c>
      <c r="G842" s="146"/>
      <c r="H842" s="122">
        <v>9634</v>
      </c>
      <c r="I842" s="122">
        <f t="shared" si="238"/>
        <v>9325.7119999999995</v>
      </c>
      <c r="J842" s="147">
        <f t="shared" si="239"/>
        <v>7460.5695999999998</v>
      </c>
      <c r="K842" s="122"/>
      <c r="L842" s="122">
        <v>0</v>
      </c>
      <c r="M842" s="122">
        <f t="shared" si="240"/>
        <v>0</v>
      </c>
      <c r="N842" s="122">
        <f t="shared" si="241"/>
        <v>0</v>
      </c>
      <c r="O842" s="122"/>
      <c r="P842" s="122">
        <v>0</v>
      </c>
      <c r="Q842" s="122">
        <f t="shared" si="242"/>
        <v>0</v>
      </c>
      <c r="R842" s="147">
        <f t="shared" si="243"/>
        <v>0</v>
      </c>
      <c r="S842" s="145">
        <v>15</v>
      </c>
      <c r="T842" s="144" t="s">
        <v>213</v>
      </c>
      <c r="U842" s="90">
        <f>SUMIF('Avoided Costs 2009-2017'!$A:$A,Actuals!T842&amp;Actuals!S842,'Avoided Costs 2009-2017'!$E:$E)*J842</f>
        <v>25233.180265913579</v>
      </c>
      <c r="V842" s="90">
        <f>SUMIF('Avoided Costs 2009-2017'!$A:$A,Actuals!T842&amp;Actuals!S842,'Avoided Costs 2009-2017'!$K:$K)*N842</f>
        <v>0</v>
      </c>
      <c r="W842" s="90">
        <f>SUMIF('Avoided Costs 2009-2017'!$A:$A,Actuals!T842&amp;Actuals!S842,'Avoided Costs 2009-2017'!$M:$M)*R842</f>
        <v>0</v>
      </c>
      <c r="X842" s="90">
        <f t="shared" si="244"/>
        <v>25233.180265913579</v>
      </c>
      <c r="Y842" s="148">
        <v>13074</v>
      </c>
      <c r="Z842" s="149">
        <f t="shared" si="245"/>
        <v>10459.200000000001</v>
      </c>
      <c r="AA842" s="148"/>
      <c r="AB842" s="145"/>
      <c r="AC842" s="145"/>
      <c r="AD842" s="148">
        <f t="shared" si="246"/>
        <v>10459.200000000001</v>
      </c>
      <c r="AE842" s="122">
        <f t="shared" si="247"/>
        <v>14773.980265913578</v>
      </c>
      <c r="AF842" s="167">
        <f t="shared" si="248"/>
        <v>111908.54399999999</v>
      </c>
    </row>
    <row r="843" spans="1:32" s="150" customFormat="1" x14ac:dyDescent="0.2">
      <c r="A843" s="144" t="s">
        <v>829</v>
      </c>
      <c r="B843" s="144"/>
      <c r="C843" s="144"/>
      <c r="D843" s="145">
        <v>1</v>
      </c>
      <c r="E843" s="122"/>
      <c r="F843" s="146">
        <v>0.2</v>
      </c>
      <c r="G843" s="146"/>
      <c r="H843" s="122">
        <v>45317</v>
      </c>
      <c r="I843" s="122">
        <f t="shared" si="238"/>
        <v>43866.856</v>
      </c>
      <c r="J843" s="147">
        <f t="shared" si="239"/>
        <v>35093.484799999998</v>
      </c>
      <c r="K843" s="122"/>
      <c r="L843" s="122">
        <v>0</v>
      </c>
      <c r="M843" s="122">
        <f t="shared" si="240"/>
        <v>0</v>
      </c>
      <c r="N843" s="122">
        <f t="shared" si="241"/>
        <v>0</v>
      </c>
      <c r="O843" s="122"/>
      <c r="P843" s="122">
        <v>0</v>
      </c>
      <c r="Q843" s="122">
        <f t="shared" si="242"/>
        <v>0</v>
      </c>
      <c r="R843" s="147">
        <f t="shared" si="243"/>
        <v>0</v>
      </c>
      <c r="S843" s="145">
        <v>25</v>
      </c>
      <c r="T843" s="144" t="s">
        <v>213</v>
      </c>
      <c r="U843" s="90">
        <f>SUMIF('Avoided Costs 2009-2017'!$A:$A,Actuals!T843&amp;Actuals!S843,'Avoided Costs 2009-2017'!$E:$E)*J843</f>
        <v>151086.99763981442</v>
      </c>
      <c r="V843" s="90">
        <f>SUMIF('Avoided Costs 2009-2017'!$A:$A,Actuals!T843&amp;Actuals!S843,'Avoided Costs 2009-2017'!$K:$K)*N843</f>
        <v>0</v>
      </c>
      <c r="W843" s="90">
        <f>SUMIF('Avoided Costs 2009-2017'!$A:$A,Actuals!T843&amp;Actuals!S843,'Avoided Costs 2009-2017'!$M:$M)*R843</f>
        <v>0</v>
      </c>
      <c r="X843" s="90">
        <f t="shared" si="244"/>
        <v>151086.99763981442</v>
      </c>
      <c r="Y843" s="148">
        <v>26743</v>
      </c>
      <c r="Z843" s="149">
        <f t="shared" si="245"/>
        <v>21394.400000000001</v>
      </c>
      <c r="AA843" s="148"/>
      <c r="AB843" s="145"/>
      <c r="AC843" s="145"/>
      <c r="AD843" s="148">
        <f t="shared" si="246"/>
        <v>21394.400000000001</v>
      </c>
      <c r="AE843" s="122">
        <f t="shared" si="247"/>
        <v>129692.59763981443</v>
      </c>
      <c r="AF843" s="167">
        <f t="shared" si="248"/>
        <v>877337.12</v>
      </c>
    </row>
    <row r="844" spans="1:32" s="150" customFormat="1" x14ac:dyDescent="0.2">
      <c r="A844" s="144" t="s">
        <v>830</v>
      </c>
      <c r="B844" s="144"/>
      <c r="C844" s="144"/>
      <c r="D844" s="145">
        <v>1</v>
      </c>
      <c r="E844" s="122"/>
      <c r="F844" s="146">
        <v>0.2</v>
      </c>
      <c r="G844" s="146"/>
      <c r="H844" s="122">
        <v>125099</v>
      </c>
      <c r="I844" s="122">
        <f t="shared" si="238"/>
        <v>121095.83199999999</v>
      </c>
      <c r="J844" s="147">
        <f t="shared" si="239"/>
        <v>96876.665600000008</v>
      </c>
      <c r="K844" s="122"/>
      <c r="L844" s="122">
        <v>0</v>
      </c>
      <c r="M844" s="122">
        <f t="shared" si="240"/>
        <v>0</v>
      </c>
      <c r="N844" s="122">
        <f t="shared" si="241"/>
        <v>0</v>
      </c>
      <c r="O844" s="122"/>
      <c r="P844" s="122">
        <v>0</v>
      </c>
      <c r="Q844" s="122">
        <f t="shared" si="242"/>
        <v>0</v>
      </c>
      <c r="R844" s="147">
        <f t="shared" si="243"/>
        <v>0</v>
      </c>
      <c r="S844" s="145">
        <v>11</v>
      </c>
      <c r="T844" s="144" t="s">
        <v>213</v>
      </c>
      <c r="U844" s="90">
        <f>SUMIF('Avoided Costs 2009-2017'!$A:$A,Actuals!T844&amp;Actuals!S844,'Avoided Costs 2009-2017'!$E:$E)*J844</f>
        <v>271127.8539367363</v>
      </c>
      <c r="V844" s="90">
        <f>SUMIF('Avoided Costs 2009-2017'!$A:$A,Actuals!T844&amp;Actuals!S844,'Avoided Costs 2009-2017'!$K:$K)*N844</f>
        <v>0</v>
      </c>
      <c r="W844" s="90">
        <f>SUMIF('Avoided Costs 2009-2017'!$A:$A,Actuals!T844&amp;Actuals!S844,'Avoided Costs 2009-2017'!$M:$M)*R844</f>
        <v>0</v>
      </c>
      <c r="X844" s="90">
        <f t="shared" si="244"/>
        <v>271127.8539367363</v>
      </c>
      <c r="Y844" s="148">
        <v>83827</v>
      </c>
      <c r="Z844" s="149">
        <f t="shared" si="245"/>
        <v>67061.600000000006</v>
      </c>
      <c r="AA844" s="148"/>
      <c r="AB844" s="145"/>
      <c r="AC844" s="145"/>
      <c r="AD844" s="148">
        <f t="shared" si="246"/>
        <v>67061.600000000006</v>
      </c>
      <c r="AE844" s="122">
        <f t="shared" si="247"/>
        <v>204066.25393673629</v>
      </c>
      <c r="AF844" s="167">
        <f t="shared" si="248"/>
        <v>1065643.3216000001</v>
      </c>
    </row>
    <row r="845" spans="1:32" s="150" customFormat="1" x14ac:dyDescent="0.2">
      <c r="A845" s="144" t="s">
        <v>831</v>
      </c>
      <c r="B845" s="144"/>
      <c r="C845" s="144"/>
      <c r="D845" s="145">
        <v>0</v>
      </c>
      <c r="E845" s="122"/>
      <c r="F845" s="146">
        <v>0.2</v>
      </c>
      <c r="G845" s="146"/>
      <c r="H845" s="122">
        <v>29468</v>
      </c>
      <c r="I845" s="122">
        <f t="shared" si="238"/>
        <v>28525.023999999998</v>
      </c>
      <c r="J845" s="147">
        <f t="shared" si="239"/>
        <v>22820.019199999999</v>
      </c>
      <c r="K845" s="122"/>
      <c r="L845" s="122">
        <v>0</v>
      </c>
      <c r="M845" s="122">
        <f t="shared" si="240"/>
        <v>0</v>
      </c>
      <c r="N845" s="122">
        <f t="shared" si="241"/>
        <v>0</v>
      </c>
      <c r="O845" s="122"/>
      <c r="P845" s="122">
        <v>0</v>
      </c>
      <c r="Q845" s="122">
        <f t="shared" si="242"/>
        <v>0</v>
      </c>
      <c r="R845" s="147">
        <f t="shared" si="243"/>
        <v>0</v>
      </c>
      <c r="S845" s="145">
        <v>8</v>
      </c>
      <c r="T845" s="144" t="s">
        <v>1176</v>
      </c>
      <c r="U845" s="90">
        <f>SUMIF('Avoided Costs 2009-2017'!$A:$A,Actuals!T845&amp;Actuals!S845,'Avoided Costs 2009-2017'!$E:$E)*J845</f>
        <v>46753.734734333964</v>
      </c>
      <c r="V845" s="90">
        <f>SUMIF('Avoided Costs 2009-2017'!$A:$A,Actuals!T845&amp;Actuals!S845,'Avoided Costs 2009-2017'!$K:$K)*N845</f>
        <v>0</v>
      </c>
      <c r="W845" s="90">
        <f>SUMIF('Avoided Costs 2009-2017'!$A:$A,Actuals!T845&amp;Actuals!S845,'Avoided Costs 2009-2017'!$M:$M)*R845</f>
        <v>0</v>
      </c>
      <c r="X845" s="90">
        <f t="shared" si="244"/>
        <v>46753.734734333964</v>
      </c>
      <c r="Y845" s="148">
        <v>42400</v>
      </c>
      <c r="Z845" s="149">
        <f t="shared" si="245"/>
        <v>33920</v>
      </c>
      <c r="AA845" s="148"/>
      <c r="AB845" s="145"/>
      <c r="AC845" s="145"/>
      <c r="AD845" s="148">
        <f t="shared" si="246"/>
        <v>33920</v>
      </c>
      <c r="AE845" s="122">
        <f t="shared" si="247"/>
        <v>12833.734734333964</v>
      </c>
      <c r="AF845" s="167">
        <f t="shared" si="248"/>
        <v>182560.15359999999</v>
      </c>
    </row>
    <row r="846" spans="1:32" s="150" customFormat="1" x14ac:dyDescent="0.2">
      <c r="A846" s="144" t="s">
        <v>832</v>
      </c>
      <c r="B846" s="144"/>
      <c r="C846" s="144"/>
      <c r="D846" s="145">
        <v>1</v>
      </c>
      <c r="E846" s="122"/>
      <c r="F846" s="146">
        <v>0.2</v>
      </c>
      <c r="G846" s="146"/>
      <c r="H846" s="122">
        <v>81300</v>
      </c>
      <c r="I846" s="122">
        <f t="shared" si="238"/>
        <v>78698.399999999994</v>
      </c>
      <c r="J846" s="147">
        <f t="shared" si="239"/>
        <v>62958.720000000001</v>
      </c>
      <c r="K846" s="122"/>
      <c r="L846" s="122">
        <v>0</v>
      </c>
      <c r="M846" s="122">
        <f t="shared" si="240"/>
        <v>0</v>
      </c>
      <c r="N846" s="122">
        <f t="shared" si="241"/>
        <v>0</v>
      </c>
      <c r="O846" s="122"/>
      <c r="P846" s="122">
        <v>0</v>
      </c>
      <c r="Q846" s="122">
        <f t="shared" si="242"/>
        <v>0</v>
      </c>
      <c r="R846" s="147">
        <f t="shared" si="243"/>
        <v>0</v>
      </c>
      <c r="S846" s="145">
        <v>11</v>
      </c>
      <c r="T846" s="144" t="s">
        <v>213</v>
      </c>
      <c r="U846" s="90">
        <f>SUMIF('Avoided Costs 2009-2017'!$A:$A,Actuals!T846&amp;Actuals!S846,'Avoided Costs 2009-2017'!$E:$E)*J846</f>
        <v>176202.00421311648</v>
      </c>
      <c r="V846" s="90">
        <f>SUMIF('Avoided Costs 2009-2017'!$A:$A,Actuals!T846&amp;Actuals!S846,'Avoided Costs 2009-2017'!$K:$K)*N846</f>
        <v>0</v>
      </c>
      <c r="W846" s="90">
        <f>SUMIF('Avoided Costs 2009-2017'!$A:$A,Actuals!T846&amp;Actuals!S846,'Avoided Costs 2009-2017'!$M:$M)*R846</f>
        <v>0</v>
      </c>
      <c r="X846" s="90">
        <f t="shared" si="244"/>
        <v>176202.00421311648</v>
      </c>
      <c r="Y846" s="148">
        <v>72132</v>
      </c>
      <c r="Z846" s="149">
        <f t="shared" si="245"/>
        <v>57705.600000000006</v>
      </c>
      <c r="AA846" s="148"/>
      <c r="AB846" s="145"/>
      <c r="AC846" s="145"/>
      <c r="AD846" s="148">
        <f t="shared" si="246"/>
        <v>57705.600000000006</v>
      </c>
      <c r="AE846" s="122">
        <f t="shared" si="247"/>
        <v>118496.40421311648</v>
      </c>
      <c r="AF846" s="167">
        <f t="shared" si="248"/>
        <v>692545.92</v>
      </c>
    </row>
    <row r="847" spans="1:32" s="150" customFormat="1" x14ac:dyDescent="0.2">
      <c r="A847" s="144" t="s">
        <v>833</v>
      </c>
      <c r="B847" s="144"/>
      <c r="C847" s="144"/>
      <c r="D847" s="145">
        <v>1</v>
      </c>
      <c r="E847" s="122"/>
      <c r="F847" s="146">
        <v>0.2</v>
      </c>
      <c r="G847" s="146"/>
      <c r="H847" s="122">
        <v>163751</v>
      </c>
      <c r="I847" s="122">
        <f t="shared" si="238"/>
        <v>158510.96799999999</v>
      </c>
      <c r="J847" s="147">
        <f t="shared" si="239"/>
        <v>126808.77439999999</v>
      </c>
      <c r="K847" s="122"/>
      <c r="L847" s="122">
        <v>0</v>
      </c>
      <c r="M847" s="122">
        <f t="shared" si="240"/>
        <v>0</v>
      </c>
      <c r="N847" s="122">
        <f t="shared" si="241"/>
        <v>0</v>
      </c>
      <c r="O847" s="122"/>
      <c r="P847" s="122">
        <v>0</v>
      </c>
      <c r="Q847" s="122">
        <f t="shared" si="242"/>
        <v>0</v>
      </c>
      <c r="R847" s="147">
        <f t="shared" si="243"/>
        <v>0</v>
      </c>
      <c r="S847" s="145">
        <v>11</v>
      </c>
      <c r="T847" s="144" t="s">
        <v>213</v>
      </c>
      <c r="U847" s="90">
        <f>SUMIF('Avoided Costs 2009-2017'!$A:$A,Actuals!T847&amp;Actuals!S847,'Avoided Costs 2009-2017'!$E:$E)*J847</f>
        <v>354898.57800617511</v>
      </c>
      <c r="V847" s="90">
        <f>SUMIF('Avoided Costs 2009-2017'!$A:$A,Actuals!T847&amp;Actuals!S847,'Avoided Costs 2009-2017'!$K:$K)*N847</f>
        <v>0</v>
      </c>
      <c r="W847" s="90">
        <f>SUMIF('Avoided Costs 2009-2017'!$A:$A,Actuals!T847&amp;Actuals!S847,'Avoided Costs 2009-2017'!$M:$M)*R847</f>
        <v>0</v>
      </c>
      <c r="X847" s="90">
        <f t="shared" si="244"/>
        <v>354898.57800617511</v>
      </c>
      <c r="Y847" s="148">
        <v>194084</v>
      </c>
      <c r="Z847" s="149">
        <f t="shared" si="245"/>
        <v>155267.20000000001</v>
      </c>
      <c r="AA847" s="148"/>
      <c r="AB847" s="145"/>
      <c r="AC847" s="145"/>
      <c r="AD847" s="148">
        <f t="shared" si="246"/>
        <v>155267.20000000001</v>
      </c>
      <c r="AE847" s="122">
        <f t="shared" si="247"/>
        <v>199631.3780061751</v>
      </c>
      <c r="AF847" s="167">
        <f t="shared" si="248"/>
        <v>1394896.5183999999</v>
      </c>
    </row>
    <row r="848" spans="1:32" s="150" customFormat="1" x14ac:dyDescent="0.2">
      <c r="A848" s="144" t="s">
        <v>834</v>
      </c>
      <c r="B848" s="144"/>
      <c r="C848" s="144"/>
      <c r="D848" s="145">
        <v>1</v>
      </c>
      <c r="E848" s="122"/>
      <c r="F848" s="146">
        <v>0.2</v>
      </c>
      <c r="G848" s="146"/>
      <c r="H848" s="122">
        <v>17533</v>
      </c>
      <c r="I848" s="122">
        <f t="shared" si="238"/>
        <v>16971.944</v>
      </c>
      <c r="J848" s="147">
        <f t="shared" si="239"/>
        <v>13577.555200000001</v>
      </c>
      <c r="K848" s="122"/>
      <c r="L848" s="122">
        <v>0</v>
      </c>
      <c r="M848" s="122">
        <f t="shared" si="240"/>
        <v>0</v>
      </c>
      <c r="N848" s="122">
        <f t="shared" si="241"/>
        <v>0</v>
      </c>
      <c r="O848" s="122"/>
      <c r="P848" s="122">
        <v>0</v>
      </c>
      <c r="Q848" s="122">
        <f t="shared" si="242"/>
        <v>0</v>
      </c>
      <c r="R848" s="147">
        <f t="shared" si="243"/>
        <v>0</v>
      </c>
      <c r="S848" s="145">
        <v>25</v>
      </c>
      <c r="T848" s="144" t="s">
        <v>213</v>
      </c>
      <c r="U848" s="90">
        <f>SUMIF('Avoided Costs 2009-2017'!$A:$A,Actuals!T848&amp;Actuals!S848,'Avoided Costs 2009-2017'!$E:$E)*J848</f>
        <v>58455.068288255323</v>
      </c>
      <c r="V848" s="90">
        <f>SUMIF('Avoided Costs 2009-2017'!$A:$A,Actuals!T848&amp;Actuals!S848,'Avoided Costs 2009-2017'!$K:$K)*N848</f>
        <v>0</v>
      </c>
      <c r="W848" s="90">
        <f>SUMIF('Avoided Costs 2009-2017'!$A:$A,Actuals!T848&amp;Actuals!S848,'Avoided Costs 2009-2017'!$M:$M)*R848</f>
        <v>0</v>
      </c>
      <c r="X848" s="90">
        <f t="shared" si="244"/>
        <v>58455.068288255323</v>
      </c>
      <c r="Y848" s="148">
        <v>24000</v>
      </c>
      <c r="Z848" s="149">
        <f t="shared" si="245"/>
        <v>19200</v>
      </c>
      <c r="AA848" s="148"/>
      <c r="AB848" s="145"/>
      <c r="AC848" s="145"/>
      <c r="AD848" s="148">
        <f t="shared" si="246"/>
        <v>19200</v>
      </c>
      <c r="AE848" s="122">
        <f t="shared" si="247"/>
        <v>39255.068288255323</v>
      </c>
      <c r="AF848" s="167">
        <f t="shared" si="248"/>
        <v>339438.88</v>
      </c>
    </row>
    <row r="849" spans="1:32" s="150" customFormat="1" x14ac:dyDescent="0.2">
      <c r="A849" s="144" t="s">
        <v>835</v>
      </c>
      <c r="B849" s="144"/>
      <c r="C849" s="144"/>
      <c r="D849" s="145">
        <v>0</v>
      </c>
      <c r="E849" s="122"/>
      <c r="F849" s="146">
        <v>0.2</v>
      </c>
      <c r="G849" s="146"/>
      <c r="H849" s="122">
        <v>16399</v>
      </c>
      <c r="I849" s="122">
        <f t="shared" si="238"/>
        <v>15874.232</v>
      </c>
      <c r="J849" s="147">
        <f t="shared" si="239"/>
        <v>12699.385600000001</v>
      </c>
      <c r="K849" s="122"/>
      <c r="L849" s="122">
        <v>0</v>
      </c>
      <c r="M849" s="122">
        <f t="shared" si="240"/>
        <v>0</v>
      </c>
      <c r="N849" s="122">
        <f t="shared" si="241"/>
        <v>0</v>
      </c>
      <c r="O849" s="122"/>
      <c r="P849" s="122">
        <v>0</v>
      </c>
      <c r="Q849" s="122">
        <f t="shared" si="242"/>
        <v>0</v>
      </c>
      <c r="R849" s="147">
        <f t="shared" si="243"/>
        <v>0</v>
      </c>
      <c r="S849" s="145">
        <v>25</v>
      </c>
      <c r="T849" s="144" t="s">
        <v>1176</v>
      </c>
      <c r="U849" s="90">
        <f>SUMIF('Avoided Costs 2009-2017'!$A:$A,Actuals!T849&amp;Actuals!S849,'Avoided Costs 2009-2017'!$E:$E)*J849</f>
        <v>49753.657314130483</v>
      </c>
      <c r="V849" s="90">
        <f>SUMIF('Avoided Costs 2009-2017'!$A:$A,Actuals!T849&amp;Actuals!S849,'Avoided Costs 2009-2017'!$K:$K)*N849</f>
        <v>0</v>
      </c>
      <c r="W849" s="90">
        <f>SUMIF('Avoided Costs 2009-2017'!$A:$A,Actuals!T849&amp;Actuals!S849,'Avoided Costs 2009-2017'!$M:$M)*R849</f>
        <v>0</v>
      </c>
      <c r="X849" s="90">
        <f t="shared" si="244"/>
        <v>49753.657314130483</v>
      </c>
      <c r="Y849" s="148">
        <v>13227</v>
      </c>
      <c r="Z849" s="149">
        <f t="shared" si="245"/>
        <v>10581.6</v>
      </c>
      <c r="AA849" s="148"/>
      <c r="AB849" s="145"/>
      <c r="AC849" s="145"/>
      <c r="AD849" s="148">
        <f t="shared" si="246"/>
        <v>10581.6</v>
      </c>
      <c r="AE849" s="122">
        <f t="shared" si="247"/>
        <v>39172.057314130485</v>
      </c>
      <c r="AF849" s="167">
        <f t="shared" si="248"/>
        <v>317484.64</v>
      </c>
    </row>
    <row r="850" spans="1:32" s="150" customFormat="1" x14ac:dyDescent="0.2">
      <c r="A850" s="144" t="s">
        <v>836</v>
      </c>
      <c r="B850" s="144"/>
      <c r="C850" s="144"/>
      <c r="D850" s="145">
        <v>0</v>
      </c>
      <c r="E850" s="122"/>
      <c r="F850" s="146">
        <v>0.2</v>
      </c>
      <c r="G850" s="146"/>
      <c r="H850" s="122">
        <v>24044</v>
      </c>
      <c r="I850" s="122">
        <f t="shared" si="238"/>
        <v>23274.592000000001</v>
      </c>
      <c r="J850" s="147">
        <f t="shared" si="239"/>
        <v>18619.673600000002</v>
      </c>
      <c r="K850" s="122"/>
      <c r="L850" s="122">
        <v>39147</v>
      </c>
      <c r="M850" s="122">
        <f t="shared" si="240"/>
        <v>35193.152999999998</v>
      </c>
      <c r="N850" s="122">
        <f t="shared" si="241"/>
        <v>28154.522400000002</v>
      </c>
      <c r="O850" s="122"/>
      <c r="P850" s="122">
        <v>0</v>
      </c>
      <c r="Q850" s="122">
        <f t="shared" si="242"/>
        <v>0</v>
      </c>
      <c r="R850" s="147">
        <f t="shared" si="243"/>
        <v>0</v>
      </c>
      <c r="S850" s="145">
        <v>15</v>
      </c>
      <c r="T850" s="144" t="s">
        <v>213</v>
      </c>
      <c r="U850" s="90">
        <f>SUMIF('Avoided Costs 2009-2017'!$A:$A,Actuals!T850&amp;Actuals!S850,'Avoided Costs 2009-2017'!$E:$E)*J850</f>
        <v>62975.564284162981</v>
      </c>
      <c r="V850" s="90">
        <f>SUMIF('Avoided Costs 2009-2017'!$A:$A,Actuals!T850&amp;Actuals!S850,'Avoided Costs 2009-2017'!$K:$K)*N850</f>
        <v>21018.25688582331</v>
      </c>
      <c r="W850" s="90">
        <f>SUMIF('Avoided Costs 2009-2017'!$A:$A,Actuals!T850&amp;Actuals!S850,'Avoided Costs 2009-2017'!$M:$M)*R850</f>
        <v>0</v>
      </c>
      <c r="X850" s="90">
        <f t="shared" si="244"/>
        <v>83993.821169986288</v>
      </c>
      <c r="Y850" s="148">
        <v>51810</v>
      </c>
      <c r="Z850" s="149">
        <f t="shared" si="245"/>
        <v>41448</v>
      </c>
      <c r="AA850" s="148"/>
      <c r="AB850" s="145"/>
      <c r="AC850" s="145"/>
      <c r="AD850" s="148">
        <f t="shared" si="246"/>
        <v>41448</v>
      </c>
      <c r="AE850" s="122">
        <f t="shared" si="247"/>
        <v>42545.821169986288</v>
      </c>
      <c r="AF850" s="167">
        <f t="shared" si="248"/>
        <v>279295.10400000005</v>
      </c>
    </row>
    <row r="851" spans="1:32" s="150" customFormat="1" x14ac:dyDescent="0.2">
      <c r="A851" s="144" t="s">
        <v>837</v>
      </c>
      <c r="B851" s="144"/>
      <c r="C851" s="144"/>
      <c r="D851" s="145">
        <v>1</v>
      </c>
      <c r="E851" s="122"/>
      <c r="F851" s="146">
        <v>0.2</v>
      </c>
      <c r="G851" s="146"/>
      <c r="H851" s="122">
        <v>79390</v>
      </c>
      <c r="I851" s="122">
        <f t="shared" si="238"/>
        <v>76849.52</v>
      </c>
      <c r="J851" s="147">
        <f t="shared" si="239"/>
        <v>61479.616000000009</v>
      </c>
      <c r="K851" s="122"/>
      <c r="L851" s="122">
        <v>0</v>
      </c>
      <c r="M851" s="122">
        <f t="shared" si="240"/>
        <v>0</v>
      </c>
      <c r="N851" s="122">
        <f t="shared" si="241"/>
        <v>0</v>
      </c>
      <c r="O851" s="122"/>
      <c r="P851" s="122">
        <v>0</v>
      </c>
      <c r="Q851" s="122">
        <f t="shared" si="242"/>
        <v>0</v>
      </c>
      <c r="R851" s="147">
        <f t="shared" si="243"/>
        <v>0</v>
      </c>
      <c r="S851" s="145">
        <v>25</v>
      </c>
      <c r="T851" s="144" t="s">
        <v>213</v>
      </c>
      <c r="U851" s="90">
        <f>SUMIF('Avoided Costs 2009-2017'!$A:$A,Actuals!T851&amp;Actuals!S851,'Avoided Costs 2009-2017'!$E:$E)*J851</f>
        <v>264686.46959474077</v>
      </c>
      <c r="V851" s="90">
        <f>SUMIF('Avoided Costs 2009-2017'!$A:$A,Actuals!T851&amp;Actuals!S851,'Avoided Costs 2009-2017'!$K:$K)*N851</f>
        <v>0</v>
      </c>
      <c r="W851" s="90">
        <f>SUMIF('Avoided Costs 2009-2017'!$A:$A,Actuals!T851&amp;Actuals!S851,'Avoided Costs 2009-2017'!$M:$M)*R851</f>
        <v>0</v>
      </c>
      <c r="X851" s="90">
        <f t="shared" si="244"/>
        <v>264686.46959474077</v>
      </c>
      <c r="Y851" s="148">
        <v>114985</v>
      </c>
      <c r="Z851" s="149">
        <f t="shared" si="245"/>
        <v>91988</v>
      </c>
      <c r="AA851" s="148"/>
      <c r="AB851" s="145"/>
      <c r="AC851" s="145"/>
      <c r="AD851" s="148">
        <f t="shared" si="246"/>
        <v>91988</v>
      </c>
      <c r="AE851" s="122">
        <f t="shared" si="247"/>
        <v>172698.46959474077</v>
      </c>
      <c r="AF851" s="167">
        <f t="shared" si="248"/>
        <v>1536990.4000000001</v>
      </c>
    </row>
    <row r="852" spans="1:32" s="150" customFormat="1" x14ac:dyDescent="0.2">
      <c r="A852" s="144" t="s">
        <v>838</v>
      </c>
      <c r="B852" s="144"/>
      <c r="C852" s="144"/>
      <c r="D852" s="145">
        <v>0</v>
      </c>
      <c r="E852" s="122"/>
      <c r="F852" s="146">
        <v>0.2</v>
      </c>
      <c r="G852" s="146"/>
      <c r="H852" s="122">
        <v>1200</v>
      </c>
      <c r="I852" s="122">
        <f t="shared" si="238"/>
        <v>1161.5999999999999</v>
      </c>
      <c r="J852" s="147">
        <f t="shared" si="239"/>
        <v>929.28</v>
      </c>
      <c r="K852" s="122"/>
      <c r="L852" s="122">
        <v>0</v>
      </c>
      <c r="M852" s="122">
        <f t="shared" si="240"/>
        <v>0</v>
      </c>
      <c r="N852" s="122">
        <f t="shared" si="241"/>
        <v>0</v>
      </c>
      <c r="O852" s="122"/>
      <c r="P852" s="122">
        <v>0</v>
      </c>
      <c r="Q852" s="122">
        <f t="shared" si="242"/>
        <v>0</v>
      </c>
      <c r="R852" s="147">
        <f t="shared" si="243"/>
        <v>0</v>
      </c>
      <c r="S852" s="145">
        <v>15</v>
      </c>
      <c r="T852" s="144" t="s">
        <v>1176</v>
      </c>
      <c r="U852" s="90">
        <f>SUMIF('Avoided Costs 2009-2017'!$A:$A,Actuals!T852&amp;Actuals!S852,'Avoided Costs 2009-2017'!$E:$E)*J852</f>
        <v>2862.6357913590186</v>
      </c>
      <c r="V852" s="90">
        <f>SUMIF('Avoided Costs 2009-2017'!$A:$A,Actuals!T852&amp;Actuals!S852,'Avoided Costs 2009-2017'!$K:$K)*N852</f>
        <v>0</v>
      </c>
      <c r="W852" s="90">
        <f>SUMIF('Avoided Costs 2009-2017'!$A:$A,Actuals!T852&amp;Actuals!S852,'Avoided Costs 2009-2017'!$M:$M)*R852</f>
        <v>0</v>
      </c>
      <c r="X852" s="90">
        <f t="shared" si="244"/>
        <v>2862.6357913590186</v>
      </c>
      <c r="Y852" s="148">
        <v>1000</v>
      </c>
      <c r="Z852" s="149">
        <f t="shared" si="245"/>
        <v>800</v>
      </c>
      <c r="AA852" s="148"/>
      <c r="AB852" s="145"/>
      <c r="AC852" s="145"/>
      <c r="AD852" s="148">
        <f t="shared" si="246"/>
        <v>800</v>
      </c>
      <c r="AE852" s="122">
        <f t="shared" si="247"/>
        <v>2062.6357913590186</v>
      </c>
      <c r="AF852" s="167">
        <f t="shared" si="248"/>
        <v>13939.199999999999</v>
      </c>
    </row>
    <row r="853" spans="1:32" s="150" customFormat="1" x14ac:dyDescent="0.2">
      <c r="A853" s="144" t="s">
        <v>839</v>
      </c>
      <c r="B853" s="144"/>
      <c r="C853" s="144"/>
      <c r="D853" s="145">
        <v>1</v>
      </c>
      <c r="E853" s="122"/>
      <c r="F853" s="146">
        <v>0.2</v>
      </c>
      <c r="G853" s="146"/>
      <c r="H853" s="122">
        <v>15367</v>
      </c>
      <c r="I853" s="122">
        <f t="shared" si="238"/>
        <v>14875.255999999999</v>
      </c>
      <c r="J853" s="147">
        <f t="shared" si="239"/>
        <v>11900.2048</v>
      </c>
      <c r="K853" s="122"/>
      <c r="L853" s="122">
        <v>0</v>
      </c>
      <c r="M853" s="122">
        <f t="shared" si="240"/>
        <v>0</v>
      </c>
      <c r="N853" s="122">
        <f t="shared" si="241"/>
        <v>0</v>
      </c>
      <c r="O853" s="122"/>
      <c r="P853" s="122">
        <v>0</v>
      </c>
      <c r="Q853" s="122">
        <f t="shared" si="242"/>
        <v>0</v>
      </c>
      <c r="R853" s="147">
        <f t="shared" si="243"/>
        <v>0</v>
      </c>
      <c r="S853" s="145">
        <v>25</v>
      </c>
      <c r="T853" s="144" t="s">
        <v>213</v>
      </c>
      <c r="U853" s="90">
        <f>SUMIF('Avoided Costs 2009-2017'!$A:$A,Actuals!T853&amp;Actuals!S853,'Avoided Costs 2009-2017'!$E:$E)*J853</f>
        <v>51233.618569875056</v>
      </c>
      <c r="V853" s="90">
        <f>SUMIF('Avoided Costs 2009-2017'!$A:$A,Actuals!T853&amp;Actuals!S853,'Avoided Costs 2009-2017'!$K:$K)*N853</f>
        <v>0</v>
      </c>
      <c r="W853" s="90">
        <f>SUMIF('Avoided Costs 2009-2017'!$A:$A,Actuals!T853&amp;Actuals!S853,'Avoided Costs 2009-2017'!$M:$M)*R853</f>
        <v>0</v>
      </c>
      <c r="X853" s="90">
        <f t="shared" si="244"/>
        <v>51233.618569875056</v>
      </c>
      <c r="Y853" s="148">
        <v>22995</v>
      </c>
      <c r="Z853" s="149">
        <f t="shared" si="245"/>
        <v>18396</v>
      </c>
      <c r="AA853" s="148"/>
      <c r="AB853" s="145"/>
      <c r="AC853" s="145"/>
      <c r="AD853" s="148">
        <f t="shared" si="246"/>
        <v>18396</v>
      </c>
      <c r="AE853" s="122">
        <f t="shared" si="247"/>
        <v>32837.618569875056</v>
      </c>
      <c r="AF853" s="167">
        <f t="shared" si="248"/>
        <v>297505.12</v>
      </c>
    </row>
    <row r="854" spans="1:32" s="150" customFormat="1" x14ac:dyDescent="0.2">
      <c r="A854" s="144" t="s">
        <v>840</v>
      </c>
      <c r="B854" s="144"/>
      <c r="C854" s="144"/>
      <c r="D854" s="145">
        <v>0</v>
      </c>
      <c r="E854" s="122"/>
      <c r="F854" s="146">
        <v>0.2</v>
      </c>
      <c r="G854" s="146"/>
      <c r="H854" s="122">
        <v>1214</v>
      </c>
      <c r="I854" s="122">
        <f t="shared" si="238"/>
        <v>1175.152</v>
      </c>
      <c r="J854" s="147">
        <f t="shared" si="239"/>
        <v>940.12160000000006</v>
      </c>
      <c r="K854" s="122"/>
      <c r="L854" s="122">
        <v>0</v>
      </c>
      <c r="M854" s="122">
        <f t="shared" si="240"/>
        <v>0</v>
      </c>
      <c r="N854" s="122">
        <f t="shared" si="241"/>
        <v>0</v>
      </c>
      <c r="O854" s="122"/>
      <c r="P854" s="122">
        <v>0</v>
      </c>
      <c r="Q854" s="122">
        <f t="shared" si="242"/>
        <v>0</v>
      </c>
      <c r="R854" s="147">
        <f t="shared" si="243"/>
        <v>0</v>
      </c>
      <c r="S854" s="145">
        <v>15</v>
      </c>
      <c r="T854" s="144" t="s">
        <v>1176</v>
      </c>
      <c r="U854" s="90">
        <f>SUMIF('Avoided Costs 2009-2017'!$A:$A,Actuals!T854&amp;Actuals!S854,'Avoided Costs 2009-2017'!$E:$E)*J854</f>
        <v>2896.0332089248741</v>
      </c>
      <c r="V854" s="90">
        <f>SUMIF('Avoided Costs 2009-2017'!$A:$A,Actuals!T854&amp;Actuals!S854,'Avoided Costs 2009-2017'!$K:$K)*N854</f>
        <v>0</v>
      </c>
      <c r="W854" s="90">
        <f>SUMIF('Avoided Costs 2009-2017'!$A:$A,Actuals!T854&amp;Actuals!S854,'Avoided Costs 2009-2017'!$M:$M)*R854</f>
        <v>0</v>
      </c>
      <c r="X854" s="90">
        <f t="shared" si="244"/>
        <v>2896.0332089248741</v>
      </c>
      <c r="Y854" s="148">
        <v>23395</v>
      </c>
      <c r="Z854" s="149">
        <f t="shared" si="245"/>
        <v>18716</v>
      </c>
      <c r="AA854" s="148"/>
      <c r="AB854" s="145"/>
      <c r="AC854" s="145"/>
      <c r="AD854" s="148">
        <f t="shared" si="246"/>
        <v>18716</v>
      </c>
      <c r="AE854" s="122">
        <f t="shared" si="247"/>
        <v>-15819.966791075127</v>
      </c>
      <c r="AF854" s="167">
        <f t="shared" si="248"/>
        <v>14101.824000000001</v>
      </c>
    </row>
    <row r="855" spans="1:32" s="150" customFormat="1" x14ac:dyDescent="0.2">
      <c r="A855" s="144" t="s">
        <v>841</v>
      </c>
      <c r="B855" s="144"/>
      <c r="C855" s="144"/>
      <c r="D855" s="145">
        <v>1</v>
      </c>
      <c r="E855" s="122"/>
      <c r="F855" s="146">
        <v>0.2</v>
      </c>
      <c r="G855" s="146"/>
      <c r="H855" s="122">
        <v>16328</v>
      </c>
      <c r="I855" s="122">
        <f t="shared" si="238"/>
        <v>15805.503999999999</v>
      </c>
      <c r="J855" s="147">
        <f t="shared" si="239"/>
        <v>12644.403200000001</v>
      </c>
      <c r="K855" s="122"/>
      <c r="L855" s="122">
        <v>0</v>
      </c>
      <c r="M855" s="122">
        <f t="shared" si="240"/>
        <v>0</v>
      </c>
      <c r="N855" s="122">
        <f t="shared" si="241"/>
        <v>0</v>
      </c>
      <c r="O855" s="122"/>
      <c r="P855" s="122">
        <v>0</v>
      </c>
      <c r="Q855" s="122">
        <f t="shared" si="242"/>
        <v>0</v>
      </c>
      <c r="R855" s="147">
        <f t="shared" si="243"/>
        <v>0</v>
      </c>
      <c r="S855" s="145">
        <v>25</v>
      </c>
      <c r="T855" s="144" t="s">
        <v>213</v>
      </c>
      <c r="U855" s="90">
        <f>SUMIF('Avoided Costs 2009-2017'!$A:$A,Actuals!T855&amp;Actuals!S855,'Avoided Costs 2009-2017'!$E:$E)*J855</f>
        <v>54437.595106977293</v>
      </c>
      <c r="V855" s="90">
        <f>SUMIF('Avoided Costs 2009-2017'!$A:$A,Actuals!T855&amp;Actuals!S855,'Avoided Costs 2009-2017'!$K:$K)*N855</f>
        <v>0</v>
      </c>
      <c r="W855" s="90">
        <f>SUMIF('Avoided Costs 2009-2017'!$A:$A,Actuals!T855&amp;Actuals!S855,'Avoided Costs 2009-2017'!$M:$M)*R855</f>
        <v>0</v>
      </c>
      <c r="X855" s="90">
        <f t="shared" si="244"/>
        <v>54437.595106977293</v>
      </c>
      <c r="Y855" s="148">
        <v>1600</v>
      </c>
      <c r="Z855" s="149">
        <f t="shared" si="245"/>
        <v>1280</v>
      </c>
      <c r="AA855" s="148"/>
      <c r="AB855" s="145"/>
      <c r="AC855" s="145"/>
      <c r="AD855" s="148">
        <f t="shared" si="246"/>
        <v>1280</v>
      </c>
      <c r="AE855" s="122">
        <f t="shared" si="247"/>
        <v>53157.595106977293</v>
      </c>
      <c r="AF855" s="167">
        <f t="shared" si="248"/>
        <v>316110.08000000002</v>
      </c>
    </row>
    <row r="856" spans="1:32" s="150" customFormat="1" x14ac:dyDescent="0.2">
      <c r="A856" s="144" t="s">
        <v>842</v>
      </c>
      <c r="B856" s="144"/>
      <c r="C856" s="144"/>
      <c r="D856" s="145">
        <v>0</v>
      </c>
      <c r="E856" s="122"/>
      <c r="F856" s="146">
        <v>0.2</v>
      </c>
      <c r="G856" s="146"/>
      <c r="H856" s="122">
        <v>1342</v>
      </c>
      <c r="I856" s="122">
        <f t="shared" si="238"/>
        <v>1299.056</v>
      </c>
      <c r="J856" s="147">
        <f t="shared" si="239"/>
        <v>1039.2448000000002</v>
      </c>
      <c r="K856" s="122"/>
      <c r="L856" s="122">
        <v>0</v>
      </c>
      <c r="M856" s="122">
        <f t="shared" si="240"/>
        <v>0</v>
      </c>
      <c r="N856" s="122">
        <f t="shared" si="241"/>
        <v>0</v>
      </c>
      <c r="O856" s="122"/>
      <c r="P856" s="122">
        <v>0</v>
      </c>
      <c r="Q856" s="122">
        <f t="shared" si="242"/>
        <v>0</v>
      </c>
      <c r="R856" s="147">
        <f t="shared" si="243"/>
        <v>0</v>
      </c>
      <c r="S856" s="145">
        <v>15</v>
      </c>
      <c r="T856" s="144" t="s">
        <v>1176</v>
      </c>
      <c r="U856" s="90">
        <f>SUMIF('Avoided Costs 2009-2017'!$A:$A,Actuals!T856&amp;Actuals!S856,'Avoided Costs 2009-2017'!$E:$E)*J856</f>
        <v>3201.3810266698365</v>
      </c>
      <c r="V856" s="90">
        <f>SUMIF('Avoided Costs 2009-2017'!$A:$A,Actuals!T856&amp;Actuals!S856,'Avoided Costs 2009-2017'!$K:$K)*N856</f>
        <v>0</v>
      </c>
      <c r="W856" s="90">
        <f>SUMIF('Avoided Costs 2009-2017'!$A:$A,Actuals!T856&amp;Actuals!S856,'Avoided Costs 2009-2017'!$M:$M)*R856</f>
        <v>0</v>
      </c>
      <c r="X856" s="90">
        <f t="shared" si="244"/>
        <v>3201.3810266698365</v>
      </c>
      <c r="Y856" s="148">
        <v>1400</v>
      </c>
      <c r="Z856" s="149">
        <f t="shared" si="245"/>
        <v>1120</v>
      </c>
      <c r="AA856" s="148"/>
      <c r="AB856" s="145"/>
      <c r="AC856" s="145"/>
      <c r="AD856" s="148">
        <f t="shared" si="246"/>
        <v>1120</v>
      </c>
      <c r="AE856" s="122">
        <f t="shared" si="247"/>
        <v>2081.3810266698365</v>
      </c>
      <c r="AF856" s="167">
        <f t="shared" si="248"/>
        <v>15588.672000000002</v>
      </c>
    </row>
    <row r="857" spans="1:32" s="150" customFormat="1" x14ac:dyDescent="0.2">
      <c r="A857" s="144" t="s">
        <v>843</v>
      </c>
      <c r="B857" s="144"/>
      <c r="C857" s="144"/>
      <c r="D857" s="145">
        <v>1</v>
      </c>
      <c r="E857" s="122"/>
      <c r="F857" s="146">
        <v>0.2</v>
      </c>
      <c r="G857" s="146"/>
      <c r="H857" s="122">
        <v>16550</v>
      </c>
      <c r="I857" s="122">
        <f t="shared" si="238"/>
        <v>16020.4</v>
      </c>
      <c r="J857" s="147">
        <f t="shared" si="239"/>
        <v>12816.32</v>
      </c>
      <c r="K857" s="122"/>
      <c r="L857" s="122">
        <v>0</v>
      </c>
      <c r="M857" s="122">
        <f t="shared" si="240"/>
        <v>0</v>
      </c>
      <c r="N857" s="122">
        <f t="shared" si="241"/>
        <v>0</v>
      </c>
      <c r="O857" s="122"/>
      <c r="P857" s="122">
        <v>0</v>
      </c>
      <c r="Q857" s="122">
        <f t="shared" si="242"/>
        <v>0</v>
      </c>
      <c r="R857" s="147">
        <f t="shared" si="243"/>
        <v>0</v>
      </c>
      <c r="S857" s="145">
        <v>25</v>
      </c>
      <c r="T857" s="144" t="s">
        <v>213</v>
      </c>
      <c r="U857" s="90">
        <f>SUMIF('Avoided Costs 2009-2017'!$A:$A,Actuals!T857&amp;Actuals!S857,'Avoided Costs 2009-2017'!$E:$E)*J857</f>
        <v>55177.743693071665</v>
      </c>
      <c r="V857" s="90">
        <f>SUMIF('Avoided Costs 2009-2017'!$A:$A,Actuals!T857&amp;Actuals!S857,'Avoided Costs 2009-2017'!$K:$K)*N857</f>
        <v>0</v>
      </c>
      <c r="W857" s="90">
        <f>SUMIF('Avoided Costs 2009-2017'!$A:$A,Actuals!T857&amp;Actuals!S857,'Avoided Costs 2009-2017'!$M:$M)*R857</f>
        <v>0</v>
      </c>
      <c r="X857" s="90">
        <f t="shared" si="244"/>
        <v>55177.743693071665</v>
      </c>
      <c r="Y857" s="148">
        <v>25095</v>
      </c>
      <c r="Z857" s="149">
        <f t="shared" si="245"/>
        <v>20076</v>
      </c>
      <c r="AA857" s="148"/>
      <c r="AB857" s="145"/>
      <c r="AC857" s="145"/>
      <c r="AD857" s="148">
        <f t="shared" si="246"/>
        <v>20076</v>
      </c>
      <c r="AE857" s="122">
        <f t="shared" si="247"/>
        <v>35101.743693071665</v>
      </c>
      <c r="AF857" s="167">
        <f t="shared" si="248"/>
        <v>320408</v>
      </c>
    </row>
    <row r="858" spans="1:32" s="150" customFormat="1" x14ac:dyDescent="0.2">
      <c r="A858" s="144" t="s">
        <v>844</v>
      </c>
      <c r="B858" s="144"/>
      <c r="C858" s="144"/>
      <c r="D858" s="145">
        <v>1</v>
      </c>
      <c r="E858" s="122"/>
      <c r="F858" s="146">
        <v>0.2</v>
      </c>
      <c r="G858" s="146"/>
      <c r="H858" s="122">
        <v>32953</v>
      </c>
      <c r="I858" s="122">
        <f t="shared" si="238"/>
        <v>31898.504000000001</v>
      </c>
      <c r="J858" s="147">
        <f t="shared" si="239"/>
        <v>25518.803200000002</v>
      </c>
      <c r="K858" s="122"/>
      <c r="L858" s="122">
        <v>0</v>
      </c>
      <c r="M858" s="122">
        <f t="shared" si="240"/>
        <v>0</v>
      </c>
      <c r="N858" s="122">
        <f t="shared" si="241"/>
        <v>0</v>
      </c>
      <c r="O858" s="122"/>
      <c r="P858" s="122">
        <v>0</v>
      </c>
      <c r="Q858" s="122">
        <f t="shared" si="242"/>
        <v>0</v>
      </c>
      <c r="R858" s="147">
        <f t="shared" si="243"/>
        <v>0</v>
      </c>
      <c r="S858" s="145">
        <v>11</v>
      </c>
      <c r="T858" s="144" t="s">
        <v>213</v>
      </c>
      <c r="U858" s="90">
        <f>SUMIF('Avoided Costs 2009-2017'!$A:$A,Actuals!T858&amp;Actuals!S858,'Avoided Costs 2009-2017'!$E:$E)*J858</f>
        <v>71419.245323921627</v>
      </c>
      <c r="V858" s="90">
        <f>SUMIF('Avoided Costs 2009-2017'!$A:$A,Actuals!T858&amp;Actuals!S858,'Avoided Costs 2009-2017'!$K:$K)*N858</f>
        <v>0</v>
      </c>
      <c r="W858" s="90">
        <f>SUMIF('Avoided Costs 2009-2017'!$A:$A,Actuals!T858&amp;Actuals!S858,'Avoided Costs 2009-2017'!$M:$M)*R858</f>
        <v>0</v>
      </c>
      <c r="X858" s="90">
        <f t="shared" si="244"/>
        <v>71419.245323921627</v>
      </c>
      <c r="Y858" s="148">
        <v>42396</v>
      </c>
      <c r="Z858" s="149">
        <f t="shared" si="245"/>
        <v>33916.800000000003</v>
      </c>
      <c r="AA858" s="148"/>
      <c r="AB858" s="145"/>
      <c r="AC858" s="145"/>
      <c r="AD858" s="148">
        <f t="shared" si="246"/>
        <v>33916.800000000003</v>
      </c>
      <c r="AE858" s="122">
        <f t="shared" si="247"/>
        <v>37502.445323921624</v>
      </c>
      <c r="AF858" s="167">
        <f t="shared" si="248"/>
        <v>280706.83520000003</v>
      </c>
    </row>
    <row r="859" spans="1:32" s="150" customFormat="1" x14ac:dyDescent="0.2">
      <c r="A859" s="144" t="s">
        <v>845</v>
      </c>
      <c r="B859" s="144"/>
      <c r="C859" s="144"/>
      <c r="D859" s="145">
        <v>0</v>
      </c>
      <c r="E859" s="122"/>
      <c r="F859" s="146">
        <v>0.2</v>
      </c>
      <c r="G859" s="146"/>
      <c r="H859" s="122">
        <v>9225</v>
      </c>
      <c r="I859" s="122">
        <f t="shared" si="238"/>
        <v>8929.7999999999993</v>
      </c>
      <c r="J859" s="147">
        <f t="shared" si="239"/>
        <v>7143.84</v>
      </c>
      <c r="K859" s="122"/>
      <c r="L859" s="122">
        <v>0</v>
      </c>
      <c r="M859" s="122">
        <f t="shared" si="240"/>
        <v>0</v>
      </c>
      <c r="N859" s="122">
        <f t="shared" si="241"/>
        <v>0</v>
      </c>
      <c r="O859" s="122"/>
      <c r="P859" s="122">
        <v>0</v>
      </c>
      <c r="Q859" s="122">
        <f t="shared" si="242"/>
        <v>0</v>
      </c>
      <c r="R859" s="147">
        <f t="shared" si="243"/>
        <v>0</v>
      </c>
      <c r="S859" s="145">
        <v>15</v>
      </c>
      <c r="T859" s="144" t="s">
        <v>1176</v>
      </c>
      <c r="U859" s="90">
        <f>SUMIF('Avoided Costs 2009-2017'!$A:$A,Actuals!T859&amp;Actuals!S859,'Avoided Costs 2009-2017'!$E:$E)*J859</f>
        <v>22006.512646072457</v>
      </c>
      <c r="V859" s="90">
        <f>SUMIF('Avoided Costs 2009-2017'!$A:$A,Actuals!T859&amp;Actuals!S859,'Avoided Costs 2009-2017'!$K:$K)*N859</f>
        <v>0</v>
      </c>
      <c r="W859" s="90">
        <f>SUMIF('Avoided Costs 2009-2017'!$A:$A,Actuals!T859&amp;Actuals!S859,'Avoided Costs 2009-2017'!$M:$M)*R859</f>
        <v>0</v>
      </c>
      <c r="X859" s="90">
        <f t="shared" si="244"/>
        <v>22006.512646072457</v>
      </c>
      <c r="Y859" s="148">
        <v>17270</v>
      </c>
      <c r="Z859" s="149">
        <f t="shared" si="245"/>
        <v>13816</v>
      </c>
      <c r="AA859" s="148"/>
      <c r="AB859" s="145"/>
      <c r="AC859" s="145"/>
      <c r="AD859" s="148">
        <f t="shared" si="246"/>
        <v>13816</v>
      </c>
      <c r="AE859" s="122">
        <f t="shared" si="247"/>
        <v>8190.5126460724568</v>
      </c>
      <c r="AF859" s="167">
        <f t="shared" si="248"/>
        <v>107157.6</v>
      </c>
    </row>
    <row r="860" spans="1:32" s="150" customFormat="1" x14ac:dyDescent="0.2">
      <c r="A860" s="144" t="s">
        <v>846</v>
      </c>
      <c r="B860" s="144"/>
      <c r="C860" s="144"/>
      <c r="D860" s="145">
        <v>1</v>
      </c>
      <c r="E860" s="122"/>
      <c r="F860" s="146">
        <v>0.2</v>
      </c>
      <c r="G860" s="146"/>
      <c r="H860" s="122">
        <v>21526</v>
      </c>
      <c r="I860" s="122">
        <f t="shared" si="238"/>
        <v>20837.167999999998</v>
      </c>
      <c r="J860" s="147">
        <f t="shared" si="239"/>
        <v>16669.734399999998</v>
      </c>
      <c r="K860" s="122"/>
      <c r="L860" s="122">
        <v>0</v>
      </c>
      <c r="M860" s="122">
        <f t="shared" si="240"/>
        <v>0</v>
      </c>
      <c r="N860" s="122">
        <f t="shared" si="241"/>
        <v>0</v>
      </c>
      <c r="O860" s="122"/>
      <c r="P860" s="122">
        <v>0</v>
      </c>
      <c r="Q860" s="122">
        <f t="shared" si="242"/>
        <v>0</v>
      </c>
      <c r="R860" s="147">
        <f t="shared" si="243"/>
        <v>0</v>
      </c>
      <c r="S860" s="145">
        <v>15</v>
      </c>
      <c r="T860" s="144" t="s">
        <v>213</v>
      </c>
      <c r="U860" s="90">
        <f>SUMIF('Avoided Costs 2009-2017'!$A:$A,Actuals!T860&amp;Actuals!S860,'Avoided Costs 2009-2017'!$E:$E)*J860</f>
        <v>56380.469006026113</v>
      </c>
      <c r="V860" s="90">
        <f>SUMIF('Avoided Costs 2009-2017'!$A:$A,Actuals!T860&amp;Actuals!S860,'Avoided Costs 2009-2017'!$K:$K)*N860</f>
        <v>0</v>
      </c>
      <c r="W860" s="90">
        <f>SUMIF('Avoided Costs 2009-2017'!$A:$A,Actuals!T860&amp;Actuals!S860,'Avoided Costs 2009-2017'!$M:$M)*R860</f>
        <v>0</v>
      </c>
      <c r="X860" s="90">
        <f t="shared" si="244"/>
        <v>56380.469006026113</v>
      </c>
      <c r="Y860" s="148">
        <v>14130</v>
      </c>
      <c r="Z860" s="149">
        <f t="shared" si="245"/>
        <v>11304</v>
      </c>
      <c r="AA860" s="148"/>
      <c r="AB860" s="145"/>
      <c r="AC860" s="145"/>
      <c r="AD860" s="148">
        <f t="shared" si="246"/>
        <v>11304</v>
      </c>
      <c r="AE860" s="122">
        <f t="shared" si="247"/>
        <v>45076.469006026113</v>
      </c>
      <c r="AF860" s="167">
        <f t="shared" si="248"/>
        <v>250046.01599999997</v>
      </c>
    </row>
    <row r="861" spans="1:32" s="150" customFormat="1" x14ac:dyDescent="0.2">
      <c r="A861" s="144" t="s">
        <v>847</v>
      </c>
      <c r="B861" s="144"/>
      <c r="C861" s="144"/>
      <c r="D861" s="145">
        <v>0</v>
      </c>
      <c r="E861" s="122"/>
      <c r="F861" s="146">
        <v>0.2</v>
      </c>
      <c r="G861" s="146"/>
      <c r="H861" s="122">
        <v>12224</v>
      </c>
      <c r="I861" s="122">
        <f t="shared" si="238"/>
        <v>11832.832</v>
      </c>
      <c r="J861" s="147">
        <f t="shared" si="239"/>
        <v>9466.2656000000006</v>
      </c>
      <c r="K861" s="122"/>
      <c r="L861" s="122">
        <v>0</v>
      </c>
      <c r="M861" s="122">
        <f t="shared" si="240"/>
        <v>0</v>
      </c>
      <c r="N861" s="122">
        <f t="shared" si="241"/>
        <v>0</v>
      </c>
      <c r="O861" s="122"/>
      <c r="P861" s="122">
        <v>0</v>
      </c>
      <c r="Q861" s="122">
        <f t="shared" si="242"/>
        <v>0</v>
      </c>
      <c r="R861" s="147">
        <f t="shared" si="243"/>
        <v>0</v>
      </c>
      <c r="S861" s="145">
        <v>15</v>
      </c>
      <c r="T861" s="144" t="s">
        <v>1176</v>
      </c>
      <c r="U861" s="90">
        <f>SUMIF('Avoided Costs 2009-2017'!$A:$A,Actuals!T861&amp;Actuals!S861,'Avoided Costs 2009-2017'!$E:$E)*J861</f>
        <v>29160.716594643873</v>
      </c>
      <c r="V861" s="90">
        <f>SUMIF('Avoided Costs 2009-2017'!$A:$A,Actuals!T861&amp;Actuals!S861,'Avoided Costs 2009-2017'!$K:$K)*N861</f>
        <v>0</v>
      </c>
      <c r="W861" s="90">
        <f>SUMIF('Avoided Costs 2009-2017'!$A:$A,Actuals!T861&amp;Actuals!S861,'Avoided Costs 2009-2017'!$M:$M)*R861</f>
        <v>0</v>
      </c>
      <c r="X861" s="90">
        <f t="shared" si="244"/>
        <v>29160.716594643873</v>
      </c>
      <c r="Y861" s="148">
        <v>7905</v>
      </c>
      <c r="Z861" s="149">
        <f t="shared" si="245"/>
        <v>6324</v>
      </c>
      <c r="AA861" s="148"/>
      <c r="AB861" s="145"/>
      <c r="AC861" s="145"/>
      <c r="AD861" s="148">
        <f t="shared" si="246"/>
        <v>6324</v>
      </c>
      <c r="AE861" s="122">
        <f t="shared" si="247"/>
        <v>22836.716594643873</v>
      </c>
      <c r="AF861" s="167">
        <f t="shared" si="248"/>
        <v>141993.984</v>
      </c>
    </row>
    <row r="862" spans="1:32" s="150" customFormat="1" x14ac:dyDescent="0.2">
      <c r="A862" s="144" t="s">
        <v>848</v>
      </c>
      <c r="B862" s="144"/>
      <c r="C862" s="144"/>
      <c r="D862" s="145">
        <v>1</v>
      </c>
      <c r="E862" s="122"/>
      <c r="F862" s="146">
        <v>0.2</v>
      </c>
      <c r="G862" s="146"/>
      <c r="H862" s="122">
        <v>28522</v>
      </c>
      <c r="I862" s="122">
        <f t="shared" si="238"/>
        <v>27609.295999999998</v>
      </c>
      <c r="J862" s="147">
        <f t="shared" si="239"/>
        <v>22087.436799999999</v>
      </c>
      <c r="K862" s="122"/>
      <c r="L862" s="122">
        <v>0</v>
      </c>
      <c r="M862" s="122">
        <f t="shared" si="240"/>
        <v>0</v>
      </c>
      <c r="N862" s="122">
        <f t="shared" si="241"/>
        <v>0</v>
      </c>
      <c r="O862" s="122"/>
      <c r="P862" s="122">
        <v>0</v>
      </c>
      <c r="Q862" s="122">
        <f t="shared" si="242"/>
        <v>0</v>
      </c>
      <c r="R862" s="147">
        <f t="shared" si="243"/>
        <v>0</v>
      </c>
      <c r="S862" s="145">
        <v>15</v>
      </c>
      <c r="T862" s="144" t="s">
        <v>213</v>
      </c>
      <c r="U862" s="90">
        <f>SUMIF('Avoided Costs 2009-2017'!$A:$A,Actuals!T862&amp;Actuals!S862,'Avoided Costs 2009-2017'!$E:$E)*J862</f>
        <v>74704.25239198537</v>
      </c>
      <c r="V862" s="90">
        <f>SUMIF('Avoided Costs 2009-2017'!$A:$A,Actuals!T862&amp;Actuals!S862,'Avoided Costs 2009-2017'!$K:$K)*N862</f>
        <v>0</v>
      </c>
      <c r="W862" s="90">
        <f>SUMIF('Avoided Costs 2009-2017'!$A:$A,Actuals!T862&amp;Actuals!S862,'Avoided Costs 2009-2017'!$M:$M)*R862</f>
        <v>0</v>
      </c>
      <c r="X862" s="90">
        <f t="shared" si="244"/>
        <v>74704.25239198537</v>
      </c>
      <c r="Y862" s="148">
        <v>18445</v>
      </c>
      <c r="Z862" s="149">
        <f t="shared" si="245"/>
        <v>14756</v>
      </c>
      <c r="AA862" s="148"/>
      <c r="AB862" s="145"/>
      <c r="AC862" s="145"/>
      <c r="AD862" s="148">
        <f t="shared" si="246"/>
        <v>14756</v>
      </c>
      <c r="AE862" s="122">
        <f t="shared" si="247"/>
        <v>59948.25239198537</v>
      </c>
      <c r="AF862" s="167">
        <f t="shared" si="248"/>
        <v>331311.55199999997</v>
      </c>
    </row>
    <row r="863" spans="1:32" s="150" customFormat="1" x14ac:dyDescent="0.2">
      <c r="A863" s="144" t="s">
        <v>849</v>
      </c>
      <c r="B863" s="144"/>
      <c r="C863" s="144"/>
      <c r="D863" s="145">
        <v>0</v>
      </c>
      <c r="E863" s="122"/>
      <c r="F863" s="146">
        <v>0.2</v>
      </c>
      <c r="G863" s="146"/>
      <c r="H863" s="122">
        <v>24807</v>
      </c>
      <c r="I863" s="122">
        <f t="shared" si="238"/>
        <v>24013.175999999999</v>
      </c>
      <c r="J863" s="147">
        <f t="shared" si="239"/>
        <v>19210.540799999999</v>
      </c>
      <c r="K863" s="122"/>
      <c r="L863" s="122">
        <v>0</v>
      </c>
      <c r="M863" s="122">
        <f t="shared" si="240"/>
        <v>0</v>
      </c>
      <c r="N863" s="122">
        <f t="shared" si="241"/>
        <v>0</v>
      </c>
      <c r="O863" s="122"/>
      <c r="P863" s="122">
        <v>0</v>
      </c>
      <c r="Q863" s="122">
        <f t="shared" si="242"/>
        <v>0</v>
      </c>
      <c r="R863" s="147">
        <f t="shared" si="243"/>
        <v>0</v>
      </c>
      <c r="S863" s="145">
        <v>9</v>
      </c>
      <c r="T863" s="144" t="s">
        <v>1176</v>
      </c>
      <c r="U863" s="90">
        <f>SUMIF('Avoided Costs 2009-2017'!$A:$A,Actuals!T863&amp;Actuals!S863,'Avoided Costs 2009-2017'!$E:$E)*J863</f>
        <v>42795.556716917839</v>
      </c>
      <c r="V863" s="90">
        <f>SUMIF('Avoided Costs 2009-2017'!$A:$A,Actuals!T863&amp;Actuals!S863,'Avoided Costs 2009-2017'!$K:$K)*N863</f>
        <v>0</v>
      </c>
      <c r="W863" s="90">
        <f>SUMIF('Avoided Costs 2009-2017'!$A:$A,Actuals!T863&amp;Actuals!S863,'Avoided Costs 2009-2017'!$M:$M)*R863</f>
        <v>0</v>
      </c>
      <c r="X863" s="90">
        <f t="shared" si="244"/>
        <v>42795.556716917839</v>
      </c>
      <c r="Y863" s="148">
        <v>30301</v>
      </c>
      <c r="Z863" s="149">
        <f t="shared" si="245"/>
        <v>24240.800000000003</v>
      </c>
      <c r="AA863" s="148"/>
      <c r="AB863" s="145"/>
      <c r="AC863" s="145"/>
      <c r="AD863" s="148">
        <f t="shared" si="246"/>
        <v>24240.800000000003</v>
      </c>
      <c r="AE863" s="122">
        <f t="shared" si="247"/>
        <v>18554.756716917836</v>
      </c>
      <c r="AF863" s="167">
        <f t="shared" si="248"/>
        <v>172894.86719999998</v>
      </c>
    </row>
    <row r="864" spans="1:32" s="150" customFormat="1" x14ac:dyDescent="0.2">
      <c r="A864" s="144" t="s">
        <v>850</v>
      </c>
      <c r="B864" s="144"/>
      <c r="C864" s="144"/>
      <c r="D864" s="145">
        <v>1</v>
      </c>
      <c r="E864" s="122"/>
      <c r="F864" s="146">
        <v>0.2</v>
      </c>
      <c r="G864" s="146"/>
      <c r="H864" s="122">
        <v>61956</v>
      </c>
      <c r="I864" s="122">
        <f t="shared" si="238"/>
        <v>59973.407999999996</v>
      </c>
      <c r="J864" s="147">
        <f t="shared" si="239"/>
        <v>47978.7264</v>
      </c>
      <c r="K864" s="122"/>
      <c r="L864" s="122">
        <v>0</v>
      </c>
      <c r="M864" s="122">
        <f t="shared" si="240"/>
        <v>0</v>
      </c>
      <c r="N864" s="122">
        <f t="shared" si="241"/>
        <v>0</v>
      </c>
      <c r="O864" s="122"/>
      <c r="P864" s="122">
        <v>0</v>
      </c>
      <c r="Q864" s="122">
        <f t="shared" si="242"/>
        <v>0</v>
      </c>
      <c r="R864" s="147">
        <f t="shared" si="243"/>
        <v>0</v>
      </c>
      <c r="S864" s="145">
        <v>11</v>
      </c>
      <c r="T864" s="144" t="s">
        <v>213</v>
      </c>
      <c r="U864" s="90">
        <f>SUMIF('Avoided Costs 2009-2017'!$A:$A,Actuals!T864&amp;Actuals!S864,'Avoided Costs 2009-2017'!$E:$E)*J864</f>
        <v>134277.63066454913</v>
      </c>
      <c r="V864" s="90">
        <f>SUMIF('Avoided Costs 2009-2017'!$A:$A,Actuals!T864&amp;Actuals!S864,'Avoided Costs 2009-2017'!$K:$K)*N864</f>
        <v>0</v>
      </c>
      <c r="W864" s="90">
        <f>SUMIF('Avoided Costs 2009-2017'!$A:$A,Actuals!T864&amp;Actuals!S864,'Avoided Costs 2009-2017'!$M:$M)*R864</f>
        <v>0</v>
      </c>
      <c r="X864" s="90">
        <f t="shared" si="244"/>
        <v>134277.63066454913</v>
      </c>
      <c r="Y864" s="148">
        <v>70701</v>
      </c>
      <c r="Z864" s="149">
        <f t="shared" si="245"/>
        <v>56560.800000000003</v>
      </c>
      <c r="AA864" s="148"/>
      <c r="AB864" s="145"/>
      <c r="AC864" s="145"/>
      <c r="AD864" s="148">
        <f t="shared" si="246"/>
        <v>56560.800000000003</v>
      </c>
      <c r="AE864" s="122">
        <f t="shared" si="247"/>
        <v>77716.830664549125</v>
      </c>
      <c r="AF864" s="167">
        <f t="shared" si="248"/>
        <v>527765.99040000001</v>
      </c>
    </row>
    <row r="865" spans="1:32" s="150" customFormat="1" x14ac:dyDescent="0.2">
      <c r="A865" s="144" t="s">
        <v>851</v>
      </c>
      <c r="B865" s="144"/>
      <c r="C865" s="144"/>
      <c r="D865" s="145">
        <v>1</v>
      </c>
      <c r="E865" s="122"/>
      <c r="F865" s="146">
        <v>0.2</v>
      </c>
      <c r="G865" s="146"/>
      <c r="H865" s="122">
        <v>46543</v>
      </c>
      <c r="I865" s="122">
        <f>+H865</f>
        <v>46543</v>
      </c>
      <c r="J865" s="147">
        <f t="shared" si="239"/>
        <v>37234.400000000001</v>
      </c>
      <c r="K865" s="122"/>
      <c r="L865" s="122">
        <v>0</v>
      </c>
      <c r="M865" s="122">
        <f t="shared" si="240"/>
        <v>0</v>
      </c>
      <c r="N865" s="122">
        <f t="shared" si="241"/>
        <v>0</v>
      </c>
      <c r="O865" s="122"/>
      <c r="P865" s="122">
        <v>0</v>
      </c>
      <c r="Q865" s="122">
        <f t="shared" si="242"/>
        <v>0</v>
      </c>
      <c r="R865" s="147">
        <f t="shared" si="243"/>
        <v>0</v>
      </c>
      <c r="S865" s="145">
        <v>11</v>
      </c>
      <c r="T865" s="144" t="s">
        <v>213</v>
      </c>
      <c r="U865" s="90">
        <f>SUMIF('Avoided Costs 2009-2017'!$A:$A,Actuals!T865&amp;Actuals!S865,'Avoided Costs 2009-2017'!$E:$E)*J865</f>
        <v>104207.58086684202</v>
      </c>
      <c r="V865" s="90">
        <f>SUMIF('Avoided Costs 2009-2017'!$A:$A,Actuals!T865&amp;Actuals!S865,'Avoided Costs 2009-2017'!$K:$K)*N865</f>
        <v>0</v>
      </c>
      <c r="W865" s="90">
        <f>SUMIF('Avoided Costs 2009-2017'!$A:$A,Actuals!T865&amp;Actuals!S865,'Avoided Costs 2009-2017'!$M:$M)*R865</f>
        <v>0</v>
      </c>
      <c r="X865" s="90">
        <f t="shared" si="244"/>
        <v>104207.58086684202</v>
      </c>
      <c r="Y865" s="148">
        <v>91690</v>
      </c>
      <c r="Z865" s="149">
        <f t="shared" si="245"/>
        <v>73352</v>
      </c>
      <c r="AA865" s="148"/>
      <c r="AB865" s="145"/>
      <c r="AC865" s="145"/>
      <c r="AD865" s="148">
        <f t="shared" si="246"/>
        <v>73352</v>
      </c>
      <c r="AE865" s="122">
        <f t="shared" si="247"/>
        <v>30855.580866842021</v>
      </c>
      <c r="AF865" s="167">
        <f t="shared" si="248"/>
        <v>409578.4</v>
      </c>
    </row>
    <row r="866" spans="1:32" s="150" customFormat="1" x14ac:dyDescent="0.2">
      <c r="A866" s="144" t="s">
        <v>852</v>
      </c>
      <c r="B866" s="144"/>
      <c r="C866" s="144"/>
      <c r="D866" s="145">
        <v>1</v>
      </c>
      <c r="E866" s="122"/>
      <c r="F866" s="146">
        <v>0.2</v>
      </c>
      <c r="G866" s="146"/>
      <c r="H866" s="122">
        <v>19803</v>
      </c>
      <c r="I866" s="122">
        <f t="shared" si="238"/>
        <v>19169.304</v>
      </c>
      <c r="J866" s="147">
        <f t="shared" si="239"/>
        <v>15335.443200000002</v>
      </c>
      <c r="K866" s="122"/>
      <c r="L866" s="122">
        <v>0</v>
      </c>
      <c r="M866" s="122">
        <f t="shared" si="240"/>
        <v>0</v>
      </c>
      <c r="N866" s="122">
        <f t="shared" si="241"/>
        <v>0</v>
      </c>
      <c r="O866" s="122"/>
      <c r="P866" s="122">
        <v>0</v>
      </c>
      <c r="Q866" s="122">
        <f t="shared" si="242"/>
        <v>0</v>
      </c>
      <c r="R866" s="147">
        <f t="shared" si="243"/>
        <v>0</v>
      </c>
      <c r="S866" s="145">
        <v>15</v>
      </c>
      <c r="T866" s="144" t="s">
        <v>213</v>
      </c>
      <c r="U866" s="90">
        <f>SUMIF('Avoided Costs 2009-2017'!$A:$A,Actuals!T866&amp;Actuals!S866,'Avoided Costs 2009-2017'!$E:$E)*J866</f>
        <v>51867.621839930107</v>
      </c>
      <c r="V866" s="90">
        <f>SUMIF('Avoided Costs 2009-2017'!$A:$A,Actuals!T866&amp;Actuals!S866,'Avoided Costs 2009-2017'!$K:$K)*N866</f>
        <v>0</v>
      </c>
      <c r="W866" s="90">
        <f>SUMIF('Avoided Costs 2009-2017'!$A:$A,Actuals!T866&amp;Actuals!S866,'Avoided Costs 2009-2017'!$M:$M)*R866</f>
        <v>0</v>
      </c>
      <c r="X866" s="90">
        <f t="shared" si="244"/>
        <v>51867.621839930107</v>
      </c>
      <c r="Y866" s="148">
        <v>46000</v>
      </c>
      <c r="Z866" s="149">
        <f t="shared" si="245"/>
        <v>36800</v>
      </c>
      <c r="AA866" s="148"/>
      <c r="AB866" s="145"/>
      <c r="AC866" s="145"/>
      <c r="AD866" s="148">
        <f t="shared" si="246"/>
        <v>36800</v>
      </c>
      <c r="AE866" s="122">
        <f t="shared" si="247"/>
        <v>15067.621839930107</v>
      </c>
      <c r="AF866" s="167">
        <f t="shared" si="248"/>
        <v>230031.64800000002</v>
      </c>
    </row>
    <row r="867" spans="1:32" s="150" customFormat="1" x14ac:dyDescent="0.2">
      <c r="A867" s="144" t="s">
        <v>909</v>
      </c>
      <c r="B867" s="144"/>
      <c r="C867" s="144"/>
      <c r="D867" s="145">
        <v>0</v>
      </c>
      <c r="E867" s="122"/>
      <c r="F867" s="146">
        <v>0.2</v>
      </c>
      <c r="G867" s="146"/>
      <c r="H867" s="122">
        <v>9758</v>
      </c>
      <c r="I867" s="122">
        <f t="shared" si="238"/>
        <v>9445.7440000000006</v>
      </c>
      <c r="J867" s="147">
        <f t="shared" si="239"/>
        <v>7556.5952000000007</v>
      </c>
      <c r="K867" s="122"/>
      <c r="L867" s="122">
        <v>0</v>
      </c>
      <c r="M867" s="122">
        <f t="shared" si="240"/>
        <v>0</v>
      </c>
      <c r="N867" s="122">
        <f t="shared" si="241"/>
        <v>0</v>
      </c>
      <c r="O867" s="122"/>
      <c r="P867" s="122">
        <v>0</v>
      </c>
      <c r="Q867" s="122">
        <f t="shared" si="242"/>
        <v>0</v>
      </c>
      <c r="R867" s="147">
        <f t="shared" si="243"/>
        <v>0</v>
      </c>
      <c r="S867" s="145">
        <v>15</v>
      </c>
      <c r="T867" s="144" t="s">
        <v>213</v>
      </c>
      <c r="U867" s="90">
        <f>SUMIF('Avoided Costs 2009-2017'!$A:$A,Actuals!T867&amp;Actuals!S867,'Avoided Costs 2009-2017'!$E:$E)*J867</f>
        <v>25557.958587791647</v>
      </c>
      <c r="V867" s="90">
        <f>SUMIF('Avoided Costs 2009-2017'!$A:$A,Actuals!T867&amp;Actuals!S867,'Avoided Costs 2009-2017'!$K:$K)*N867</f>
        <v>0</v>
      </c>
      <c r="W867" s="90">
        <f>SUMIF('Avoided Costs 2009-2017'!$A:$A,Actuals!T867&amp;Actuals!S867,'Avoided Costs 2009-2017'!$M:$M)*R867</f>
        <v>0</v>
      </c>
      <c r="X867" s="90">
        <f t="shared" si="244"/>
        <v>25557.958587791647</v>
      </c>
      <c r="Y867" s="148">
        <v>20330</v>
      </c>
      <c r="Z867" s="149">
        <f t="shared" si="245"/>
        <v>16264</v>
      </c>
      <c r="AA867" s="148"/>
      <c r="AB867" s="145"/>
      <c r="AC867" s="145"/>
      <c r="AD867" s="148">
        <f t="shared" si="246"/>
        <v>16264</v>
      </c>
      <c r="AE867" s="122">
        <f t="shared" si="247"/>
        <v>9293.958587791647</v>
      </c>
      <c r="AF867" s="167">
        <f t="shared" si="248"/>
        <v>113348.92800000001</v>
      </c>
    </row>
    <row r="868" spans="1:32" s="150" customFormat="1" x14ac:dyDescent="0.2">
      <c r="A868" s="144" t="s">
        <v>853</v>
      </c>
      <c r="B868" s="144"/>
      <c r="C868" s="144"/>
      <c r="D868" s="145">
        <v>0</v>
      </c>
      <c r="E868" s="122"/>
      <c r="F868" s="146">
        <v>0.2</v>
      </c>
      <c r="G868" s="146"/>
      <c r="H868" s="122">
        <v>11330</v>
      </c>
      <c r="I868" s="122">
        <f t="shared" si="238"/>
        <v>10967.44</v>
      </c>
      <c r="J868" s="147">
        <f t="shared" si="239"/>
        <v>8773.9520000000011</v>
      </c>
      <c r="K868" s="122"/>
      <c r="L868" s="122">
        <v>13070</v>
      </c>
      <c r="M868" s="122">
        <f t="shared" si="240"/>
        <v>11749.93</v>
      </c>
      <c r="N868" s="122">
        <f t="shared" si="241"/>
        <v>9399.9440000000013</v>
      </c>
      <c r="O868" s="122"/>
      <c r="P868" s="122">
        <v>0</v>
      </c>
      <c r="Q868" s="122">
        <f t="shared" si="242"/>
        <v>0</v>
      </c>
      <c r="R868" s="147">
        <f t="shared" si="243"/>
        <v>0</v>
      </c>
      <c r="S868" s="145">
        <v>15</v>
      </c>
      <c r="T868" s="144" t="s">
        <v>213</v>
      </c>
      <c r="U868" s="90">
        <f>SUMIF('Avoided Costs 2009-2017'!$A:$A,Actuals!T868&amp;Actuals!S868,'Avoided Costs 2009-2017'!$E:$E)*J868</f>
        <v>29675.309571600672</v>
      </c>
      <c r="V868" s="90">
        <f>SUMIF('Avoided Costs 2009-2017'!$A:$A,Actuals!T868&amp;Actuals!S868,'Avoided Costs 2009-2017'!$K:$K)*N868</f>
        <v>7017.3606533760112</v>
      </c>
      <c r="W868" s="90">
        <f>SUMIF('Avoided Costs 2009-2017'!$A:$A,Actuals!T868&amp;Actuals!S868,'Avoided Costs 2009-2017'!$M:$M)*R868</f>
        <v>0</v>
      </c>
      <c r="X868" s="90">
        <f t="shared" si="244"/>
        <v>36692.670224976682</v>
      </c>
      <c r="Y868" s="148">
        <v>8132</v>
      </c>
      <c r="Z868" s="149">
        <f t="shared" si="245"/>
        <v>6505.6</v>
      </c>
      <c r="AA868" s="148"/>
      <c r="AB868" s="145"/>
      <c r="AC868" s="145"/>
      <c r="AD868" s="148">
        <f t="shared" si="246"/>
        <v>6505.6</v>
      </c>
      <c r="AE868" s="122">
        <f t="shared" si="247"/>
        <v>30187.070224976684</v>
      </c>
      <c r="AF868" s="167">
        <f t="shared" si="248"/>
        <v>131609.28000000003</v>
      </c>
    </row>
    <row r="869" spans="1:32" s="150" customFormat="1" x14ac:dyDescent="0.2">
      <c r="A869" s="144" t="s">
        <v>854</v>
      </c>
      <c r="B869" s="144"/>
      <c r="C869" s="144"/>
      <c r="D869" s="145">
        <v>1</v>
      </c>
      <c r="E869" s="122"/>
      <c r="F869" s="146">
        <v>0.2</v>
      </c>
      <c r="G869" s="146"/>
      <c r="H869" s="122">
        <v>4393</v>
      </c>
      <c r="I869" s="122">
        <f t="shared" si="238"/>
        <v>4252.424</v>
      </c>
      <c r="J869" s="147">
        <f t="shared" si="239"/>
        <v>3401.9392000000003</v>
      </c>
      <c r="K869" s="122"/>
      <c r="L869" s="122">
        <v>0</v>
      </c>
      <c r="M869" s="122">
        <f t="shared" si="240"/>
        <v>0</v>
      </c>
      <c r="N869" s="122">
        <f t="shared" si="241"/>
        <v>0</v>
      </c>
      <c r="O869" s="122"/>
      <c r="P869" s="122">
        <v>0</v>
      </c>
      <c r="Q869" s="122">
        <f t="shared" si="242"/>
        <v>0</v>
      </c>
      <c r="R869" s="147">
        <f t="shared" si="243"/>
        <v>0</v>
      </c>
      <c r="S869" s="145">
        <v>15</v>
      </c>
      <c r="T869" s="144" t="s">
        <v>1176</v>
      </c>
      <c r="U869" s="90">
        <f>SUMIF('Avoided Costs 2009-2017'!$A:$A,Actuals!T869&amp;Actuals!S869,'Avoided Costs 2009-2017'!$E:$E)*J869</f>
        <v>10479.632526200141</v>
      </c>
      <c r="V869" s="90">
        <f>SUMIF('Avoided Costs 2009-2017'!$A:$A,Actuals!T869&amp;Actuals!S869,'Avoided Costs 2009-2017'!$K:$K)*N869</f>
        <v>0</v>
      </c>
      <c r="W869" s="90">
        <f>SUMIF('Avoided Costs 2009-2017'!$A:$A,Actuals!T869&amp;Actuals!S869,'Avoided Costs 2009-2017'!$M:$M)*R869</f>
        <v>0</v>
      </c>
      <c r="X869" s="90">
        <f t="shared" si="244"/>
        <v>10479.632526200141</v>
      </c>
      <c r="Y869" s="148">
        <v>12198</v>
      </c>
      <c r="Z869" s="149">
        <f t="shared" si="245"/>
        <v>9758.4</v>
      </c>
      <c r="AA869" s="148"/>
      <c r="AB869" s="145"/>
      <c r="AC869" s="145"/>
      <c r="AD869" s="148">
        <f t="shared" si="246"/>
        <v>9758.4</v>
      </c>
      <c r="AE869" s="122">
        <f t="shared" si="247"/>
        <v>721.23252620014136</v>
      </c>
      <c r="AF869" s="167">
        <f t="shared" si="248"/>
        <v>51029.088000000003</v>
      </c>
    </row>
    <row r="870" spans="1:32" s="150" customFormat="1" x14ac:dyDescent="0.2">
      <c r="A870" s="144" t="s">
        <v>855</v>
      </c>
      <c r="B870" s="144"/>
      <c r="C870" s="144"/>
      <c r="D870" s="145">
        <v>0</v>
      </c>
      <c r="E870" s="122"/>
      <c r="F870" s="146">
        <v>0.2</v>
      </c>
      <c r="G870" s="146"/>
      <c r="H870" s="122">
        <v>20454</v>
      </c>
      <c r="I870" s="122">
        <f t="shared" si="238"/>
        <v>19799.471999999998</v>
      </c>
      <c r="J870" s="147">
        <f t="shared" si="239"/>
        <v>15839.577599999999</v>
      </c>
      <c r="K870" s="122"/>
      <c r="L870" s="122">
        <v>0</v>
      </c>
      <c r="M870" s="122">
        <f t="shared" si="240"/>
        <v>0</v>
      </c>
      <c r="N870" s="122">
        <f t="shared" si="241"/>
        <v>0</v>
      </c>
      <c r="O870" s="122"/>
      <c r="P870" s="122">
        <v>0</v>
      </c>
      <c r="Q870" s="122">
        <f t="shared" si="242"/>
        <v>0</v>
      </c>
      <c r="R870" s="147">
        <f t="shared" si="243"/>
        <v>0</v>
      </c>
      <c r="S870" s="145">
        <v>15</v>
      </c>
      <c r="T870" s="144" t="s">
        <v>213</v>
      </c>
      <c r="U870" s="90">
        <f>SUMIF('Avoided Costs 2009-2017'!$A:$A,Actuals!T870&amp;Actuals!S870,'Avoided Costs 2009-2017'!$E:$E)*J870</f>
        <v>53572.708029789937</v>
      </c>
      <c r="V870" s="90">
        <f>SUMIF('Avoided Costs 2009-2017'!$A:$A,Actuals!T870&amp;Actuals!S870,'Avoided Costs 2009-2017'!$K:$K)*N870</f>
        <v>0</v>
      </c>
      <c r="W870" s="90">
        <f>SUMIF('Avoided Costs 2009-2017'!$A:$A,Actuals!T870&amp;Actuals!S870,'Avoided Costs 2009-2017'!$M:$M)*R870</f>
        <v>0</v>
      </c>
      <c r="X870" s="90">
        <f t="shared" si="244"/>
        <v>53572.708029789937</v>
      </c>
      <c r="Y870" s="148">
        <v>23675</v>
      </c>
      <c r="Z870" s="149">
        <f t="shared" si="245"/>
        <v>18940</v>
      </c>
      <c r="AA870" s="148"/>
      <c r="AB870" s="145"/>
      <c r="AC870" s="145"/>
      <c r="AD870" s="148">
        <f t="shared" si="246"/>
        <v>18940</v>
      </c>
      <c r="AE870" s="122">
        <f t="shared" si="247"/>
        <v>34632.708029789937</v>
      </c>
      <c r="AF870" s="167">
        <f t="shared" si="248"/>
        <v>237593.66399999999</v>
      </c>
    </row>
    <row r="871" spans="1:32" s="150" customFormat="1" x14ac:dyDescent="0.2">
      <c r="A871" s="144" t="s">
        <v>856</v>
      </c>
      <c r="B871" s="144"/>
      <c r="C871" s="144"/>
      <c r="D871" s="145">
        <v>0</v>
      </c>
      <c r="E871" s="122"/>
      <c r="F871" s="146">
        <v>0.2</v>
      </c>
      <c r="G871" s="146"/>
      <c r="H871" s="122">
        <v>5596</v>
      </c>
      <c r="I871" s="122">
        <f t="shared" si="238"/>
        <v>5416.9279999999999</v>
      </c>
      <c r="J871" s="147">
        <f t="shared" si="239"/>
        <v>4333.5424000000003</v>
      </c>
      <c r="K871" s="122"/>
      <c r="L871" s="122">
        <v>0</v>
      </c>
      <c r="M871" s="122">
        <f t="shared" si="240"/>
        <v>0</v>
      </c>
      <c r="N871" s="122">
        <f t="shared" si="241"/>
        <v>0</v>
      </c>
      <c r="O871" s="122"/>
      <c r="P871" s="122">
        <v>0</v>
      </c>
      <c r="Q871" s="122">
        <f t="shared" si="242"/>
        <v>0</v>
      </c>
      <c r="R871" s="147">
        <f t="shared" si="243"/>
        <v>0</v>
      </c>
      <c r="S871" s="145">
        <v>15</v>
      </c>
      <c r="T871" s="144" t="s">
        <v>213</v>
      </c>
      <c r="U871" s="90">
        <f>SUMIF('Avoided Costs 2009-2017'!$A:$A,Actuals!T871&amp;Actuals!S871,'Avoided Costs 2009-2017'!$E:$E)*J871</f>
        <v>14656.931364755283</v>
      </c>
      <c r="V871" s="90">
        <f>SUMIF('Avoided Costs 2009-2017'!$A:$A,Actuals!T871&amp;Actuals!S871,'Avoided Costs 2009-2017'!$K:$K)*N871</f>
        <v>0</v>
      </c>
      <c r="W871" s="90">
        <f>SUMIF('Avoided Costs 2009-2017'!$A:$A,Actuals!T871&amp;Actuals!S871,'Avoided Costs 2009-2017'!$M:$M)*R871</f>
        <v>0</v>
      </c>
      <c r="X871" s="90">
        <f t="shared" si="244"/>
        <v>14656.931364755283</v>
      </c>
      <c r="Y871" s="148">
        <v>11364</v>
      </c>
      <c r="Z871" s="149">
        <f t="shared" si="245"/>
        <v>9091.2000000000007</v>
      </c>
      <c r="AA871" s="148"/>
      <c r="AB871" s="145"/>
      <c r="AC871" s="145"/>
      <c r="AD871" s="148">
        <f t="shared" si="246"/>
        <v>9091.2000000000007</v>
      </c>
      <c r="AE871" s="122">
        <f t="shared" si="247"/>
        <v>5565.7313647552819</v>
      </c>
      <c r="AF871" s="167">
        <f t="shared" si="248"/>
        <v>65003.136000000006</v>
      </c>
    </row>
    <row r="872" spans="1:32" s="150" customFormat="1" x14ac:dyDescent="0.2">
      <c r="A872" s="144" t="s">
        <v>857</v>
      </c>
      <c r="B872" s="144"/>
      <c r="C872" s="144"/>
      <c r="D872" s="145">
        <v>1</v>
      </c>
      <c r="E872" s="122"/>
      <c r="F872" s="146">
        <v>0.2</v>
      </c>
      <c r="G872" s="146"/>
      <c r="H872" s="122">
        <v>8766</v>
      </c>
      <c r="I872" s="122">
        <f t="shared" si="238"/>
        <v>8485.4879999999994</v>
      </c>
      <c r="J872" s="147">
        <f t="shared" si="239"/>
        <v>6788.3904000000002</v>
      </c>
      <c r="K872" s="122"/>
      <c r="L872" s="122">
        <v>0</v>
      </c>
      <c r="M872" s="122">
        <f t="shared" si="240"/>
        <v>0</v>
      </c>
      <c r="N872" s="122">
        <f t="shared" si="241"/>
        <v>0</v>
      </c>
      <c r="O872" s="122"/>
      <c r="P872" s="122">
        <v>0</v>
      </c>
      <c r="Q872" s="122">
        <f t="shared" si="242"/>
        <v>0</v>
      </c>
      <c r="R872" s="147">
        <f t="shared" si="243"/>
        <v>0</v>
      </c>
      <c r="S872" s="145">
        <v>15</v>
      </c>
      <c r="T872" s="144" t="s">
        <v>1176</v>
      </c>
      <c r="U872" s="90">
        <f>SUMIF('Avoided Costs 2009-2017'!$A:$A,Actuals!T872&amp;Actuals!S872,'Avoided Costs 2009-2017'!$E:$E)*J872</f>
        <v>20911.554455877631</v>
      </c>
      <c r="V872" s="90">
        <f>SUMIF('Avoided Costs 2009-2017'!$A:$A,Actuals!T872&amp;Actuals!S872,'Avoided Costs 2009-2017'!$K:$K)*N872</f>
        <v>0</v>
      </c>
      <c r="W872" s="90">
        <f>SUMIF('Avoided Costs 2009-2017'!$A:$A,Actuals!T872&amp;Actuals!S872,'Avoided Costs 2009-2017'!$M:$M)*R872</f>
        <v>0</v>
      </c>
      <c r="X872" s="90">
        <f t="shared" si="244"/>
        <v>20911.554455877631</v>
      </c>
      <c r="Y872" s="148">
        <v>12311</v>
      </c>
      <c r="Z872" s="149">
        <f t="shared" si="245"/>
        <v>9848.8000000000011</v>
      </c>
      <c r="AA872" s="148"/>
      <c r="AB872" s="145"/>
      <c r="AC872" s="145"/>
      <c r="AD872" s="148">
        <f t="shared" si="246"/>
        <v>9848.8000000000011</v>
      </c>
      <c r="AE872" s="122">
        <f t="shared" si="247"/>
        <v>11062.75445587763</v>
      </c>
      <c r="AF872" s="167">
        <f t="shared" si="248"/>
        <v>101825.856</v>
      </c>
    </row>
    <row r="873" spans="1:32" s="150" customFormat="1" x14ac:dyDescent="0.2">
      <c r="A873" s="144" t="s">
        <v>858</v>
      </c>
      <c r="B873" s="144"/>
      <c r="C873" s="144"/>
      <c r="D873" s="145">
        <v>1</v>
      </c>
      <c r="E873" s="122"/>
      <c r="F873" s="146">
        <v>0.2</v>
      </c>
      <c r="G873" s="146"/>
      <c r="H873" s="122">
        <v>53574</v>
      </c>
      <c r="I873" s="122">
        <f t="shared" si="238"/>
        <v>51859.631999999998</v>
      </c>
      <c r="J873" s="147">
        <f t="shared" si="239"/>
        <v>41487.705600000001</v>
      </c>
      <c r="K873" s="122"/>
      <c r="L873" s="122">
        <v>5446</v>
      </c>
      <c r="M873" s="122">
        <f t="shared" si="240"/>
        <v>4895.9539999999997</v>
      </c>
      <c r="N873" s="122">
        <f t="shared" si="241"/>
        <v>3916.7631999999999</v>
      </c>
      <c r="O873" s="122"/>
      <c r="P873" s="122">
        <v>0</v>
      </c>
      <c r="Q873" s="122">
        <f t="shared" si="242"/>
        <v>0</v>
      </c>
      <c r="R873" s="147">
        <f t="shared" si="243"/>
        <v>0</v>
      </c>
      <c r="S873" s="145">
        <v>15</v>
      </c>
      <c r="T873" s="144" t="s">
        <v>213</v>
      </c>
      <c r="U873" s="90">
        <f>SUMIF('Avoided Costs 2009-2017'!$A:$A,Actuals!T873&amp;Actuals!S873,'Avoided Costs 2009-2017'!$E:$E)*J873</f>
        <v>140319.95013141521</v>
      </c>
      <c r="V873" s="90">
        <f>SUMIF('Avoided Costs 2009-2017'!$A:$A,Actuals!T873&amp;Actuals!S873,'Avoided Costs 2009-2017'!$K:$K)*N873</f>
        <v>2923.9897565635615</v>
      </c>
      <c r="W873" s="90">
        <f>SUMIF('Avoided Costs 2009-2017'!$A:$A,Actuals!T873&amp;Actuals!S873,'Avoided Costs 2009-2017'!$M:$M)*R873</f>
        <v>0</v>
      </c>
      <c r="X873" s="90">
        <f t="shared" si="244"/>
        <v>143243.93988797878</v>
      </c>
      <c r="Y873" s="148">
        <v>53680</v>
      </c>
      <c r="Z873" s="149">
        <f t="shared" si="245"/>
        <v>42944</v>
      </c>
      <c r="AA873" s="148"/>
      <c r="AB873" s="145"/>
      <c r="AC873" s="145"/>
      <c r="AD873" s="148">
        <f t="shared" si="246"/>
        <v>42944</v>
      </c>
      <c r="AE873" s="122">
        <f t="shared" si="247"/>
        <v>100299.93988797878</v>
      </c>
      <c r="AF873" s="167">
        <f t="shared" si="248"/>
        <v>622315.58400000003</v>
      </c>
    </row>
    <row r="874" spans="1:32" s="150" customFormat="1" x14ac:dyDescent="0.2">
      <c r="A874" s="144" t="s">
        <v>859</v>
      </c>
      <c r="B874" s="144"/>
      <c r="C874" s="144"/>
      <c r="D874" s="145">
        <v>0</v>
      </c>
      <c r="E874" s="122"/>
      <c r="F874" s="146">
        <v>0.2</v>
      </c>
      <c r="G874" s="146"/>
      <c r="H874" s="122">
        <v>12210</v>
      </c>
      <c r="I874" s="122">
        <f t="shared" si="238"/>
        <v>11819.279999999999</v>
      </c>
      <c r="J874" s="147">
        <f t="shared" si="239"/>
        <v>9455.4239999999991</v>
      </c>
      <c r="K874" s="122"/>
      <c r="L874" s="122">
        <v>98339</v>
      </c>
      <c r="M874" s="122">
        <f t="shared" si="240"/>
        <v>88406.760999999999</v>
      </c>
      <c r="N874" s="122">
        <f t="shared" si="241"/>
        <v>70725.408800000005</v>
      </c>
      <c r="O874" s="122"/>
      <c r="P874" s="122">
        <v>0</v>
      </c>
      <c r="Q874" s="122">
        <f t="shared" si="242"/>
        <v>0</v>
      </c>
      <c r="R874" s="147">
        <f t="shared" si="243"/>
        <v>0</v>
      </c>
      <c r="S874" s="145">
        <v>15</v>
      </c>
      <c r="T874" s="144" t="s">
        <v>213</v>
      </c>
      <c r="U874" s="90">
        <f>SUMIF('Avoided Costs 2009-2017'!$A:$A,Actuals!T874&amp;Actuals!S874,'Avoided Costs 2009-2017'!$E:$E)*J874</f>
        <v>31980.187984928874</v>
      </c>
      <c r="V874" s="90">
        <f>SUMIF('Avoided Costs 2009-2017'!$A:$A,Actuals!T874&amp;Actuals!S874,'Avoided Costs 2009-2017'!$K:$K)*N874</f>
        <v>52798.793365902333</v>
      </c>
      <c r="W874" s="90">
        <f>SUMIF('Avoided Costs 2009-2017'!$A:$A,Actuals!T874&amp;Actuals!S874,'Avoided Costs 2009-2017'!$M:$M)*R874</f>
        <v>0</v>
      </c>
      <c r="X874" s="90">
        <f t="shared" si="244"/>
        <v>84778.981350831207</v>
      </c>
      <c r="Y874" s="148">
        <v>12000</v>
      </c>
      <c r="Z874" s="149">
        <f t="shared" si="245"/>
        <v>9600</v>
      </c>
      <c r="AA874" s="148"/>
      <c r="AB874" s="145"/>
      <c r="AC874" s="145"/>
      <c r="AD874" s="148">
        <f t="shared" si="246"/>
        <v>9600</v>
      </c>
      <c r="AE874" s="122">
        <f t="shared" si="247"/>
        <v>75178.981350831207</v>
      </c>
      <c r="AF874" s="167">
        <f t="shared" si="248"/>
        <v>141831.35999999999</v>
      </c>
    </row>
    <row r="875" spans="1:32" s="150" customFormat="1" x14ac:dyDescent="0.2">
      <c r="A875" s="144" t="s">
        <v>860</v>
      </c>
      <c r="B875" s="144"/>
      <c r="C875" s="144"/>
      <c r="D875" s="145">
        <v>1</v>
      </c>
      <c r="E875" s="122"/>
      <c r="F875" s="146">
        <v>0.2</v>
      </c>
      <c r="G875" s="146"/>
      <c r="H875" s="122">
        <v>77092</v>
      </c>
      <c r="I875" s="122">
        <f t="shared" si="238"/>
        <v>74625.055999999997</v>
      </c>
      <c r="J875" s="147">
        <f t="shared" si="239"/>
        <v>59700.044800000003</v>
      </c>
      <c r="K875" s="122"/>
      <c r="L875" s="122">
        <v>0</v>
      </c>
      <c r="M875" s="122">
        <f t="shared" si="240"/>
        <v>0</v>
      </c>
      <c r="N875" s="122">
        <f t="shared" si="241"/>
        <v>0</v>
      </c>
      <c r="O875" s="122"/>
      <c r="P875" s="122">
        <v>0</v>
      </c>
      <c r="Q875" s="122">
        <f t="shared" si="242"/>
        <v>0</v>
      </c>
      <c r="R875" s="147">
        <f t="shared" si="243"/>
        <v>0</v>
      </c>
      <c r="S875" s="145">
        <v>15</v>
      </c>
      <c r="T875" s="144" t="s">
        <v>213</v>
      </c>
      <c r="U875" s="90">
        <f>SUMIF('Avoided Costs 2009-2017'!$A:$A,Actuals!T875&amp;Actuals!S875,'Avoided Costs 2009-2017'!$E:$E)*J875</f>
        <v>201917.82572761155</v>
      </c>
      <c r="V875" s="90">
        <f>SUMIF('Avoided Costs 2009-2017'!$A:$A,Actuals!T875&amp;Actuals!S875,'Avoided Costs 2009-2017'!$K:$K)*N875</f>
        <v>0</v>
      </c>
      <c r="W875" s="90">
        <f>SUMIF('Avoided Costs 2009-2017'!$A:$A,Actuals!T875&amp;Actuals!S875,'Avoided Costs 2009-2017'!$M:$M)*R875</f>
        <v>0</v>
      </c>
      <c r="X875" s="90">
        <f t="shared" si="244"/>
        <v>201917.82572761155</v>
      </c>
      <c r="Y875" s="148">
        <v>109500</v>
      </c>
      <c r="Z875" s="149">
        <f t="shared" si="245"/>
        <v>87600</v>
      </c>
      <c r="AA875" s="148"/>
      <c r="AB875" s="145"/>
      <c r="AC875" s="145"/>
      <c r="AD875" s="148">
        <f t="shared" si="246"/>
        <v>87600</v>
      </c>
      <c r="AE875" s="122">
        <f t="shared" si="247"/>
        <v>114317.82572761155</v>
      </c>
      <c r="AF875" s="167">
        <f t="shared" si="248"/>
        <v>895500.67200000002</v>
      </c>
    </row>
    <row r="876" spans="1:32" s="150" customFormat="1" x14ac:dyDescent="0.2">
      <c r="A876" s="144" t="s">
        <v>861</v>
      </c>
      <c r="B876" s="144"/>
      <c r="C876" s="144"/>
      <c r="D876" s="145">
        <v>0</v>
      </c>
      <c r="E876" s="122"/>
      <c r="F876" s="146">
        <v>0.2</v>
      </c>
      <c r="G876" s="146"/>
      <c r="H876" s="122">
        <v>16988</v>
      </c>
      <c r="I876" s="122">
        <f t="shared" si="238"/>
        <v>16444.383999999998</v>
      </c>
      <c r="J876" s="147">
        <f t="shared" si="239"/>
        <v>13155.5072</v>
      </c>
      <c r="K876" s="122"/>
      <c r="L876" s="122">
        <v>0</v>
      </c>
      <c r="M876" s="122">
        <f t="shared" si="240"/>
        <v>0</v>
      </c>
      <c r="N876" s="122">
        <f t="shared" si="241"/>
        <v>0</v>
      </c>
      <c r="O876" s="122"/>
      <c r="P876" s="122">
        <v>0</v>
      </c>
      <c r="Q876" s="122">
        <f t="shared" si="242"/>
        <v>0</v>
      </c>
      <c r="R876" s="147">
        <f t="shared" si="243"/>
        <v>0</v>
      </c>
      <c r="S876" s="145">
        <v>9</v>
      </c>
      <c r="T876" s="144" t="s">
        <v>1176</v>
      </c>
      <c r="U876" s="90">
        <f>SUMIF('Avoided Costs 2009-2017'!$A:$A,Actuals!T876&amp;Actuals!S876,'Avoided Costs 2009-2017'!$E:$E)*J876</f>
        <v>29306.684303099941</v>
      </c>
      <c r="V876" s="90">
        <f>SUMIF('Avoided Costs 2009-2017'!$A:$A,Actuals!T876&amp;Actuals!S876,'Avoided Costs 2009-2017'!$K:$K)*N876</f>
        <v>0</v>
      </c>
      <c r="W876" s="90">
        <f>SUMIF('Avoided Costs 2009-2017'!$A:$A,Actuals!T876&amp;Actuals!S876,'Avoided Costs 2009-2017'!$M:$M)*R876</f>
        <v>0</v>
      </c>
      <c r="X876" s="90">
        <f t="shared" si="244"/>
        <v>29306.684303099941</v>
      </c>
      <c r="Y876" s="148">
        <v>46154</v>
      </c>
      <c r="Z876" s="149">
        <f t="shared" si="245"/>
        <v>36923.200000000004</v>
      </c>
      <c r="AA876" s="148"/>
      <c r="AB876" s="145"/>
      <c r="AC876" s="145"/>
      <c r="AD876" s="148">
        <f t="shared" si="246"/>
        <v>36923.200000000004</v>
      </c>
      <c r="AE876" s="122">
        <f t="shared" si="247"/>
        <v>-7616.5156969000636</v>
      </c>
      <c r="AF876" s="167">
        <f t="shared" si="248"/>
        <v>118399.56479999999</v>
      </c>
    </row>
    <row r="877" spans="1:32" s="150" customFormat="1" x14ac:dyDescent="0.2">
      <c r="A877" s="144" t="s">
        <v>862</v>
      </c>
      <c r="B877" s="144"/>
      <c r="C877" s="144"/>
      <c r="D877" s="145">
        <v>1</v>
      </c>
      <c r="E877" s="122"/>
      <c r="F877" s="146">
        <v>0.2</v>
      </c>
      <c r="G877" s="146"/>
      <c r="H877" s="122">
        <v>42415</v>
      </c>
      <c r="I877" s="122">
        <f t="shared" si="238"/>
        <v>41057.72</v>
      </c>
      <c r="J877" s="147">
        <f t="shared" si="239"/>
        <v>32846.175999999999</v>
      </c>
      <c r="K877" s="122"/>
      <c r="L877" s="122">
        <v>0</v>
      </c>
      <c r="M877" s="122">
        <f t="shared" si="240"/>
        <v>0</v>
      </c>
      <c r="N877" s="122">
        <f t="shared" si="241"/>
        <v>0</v>
      </c>
      <c r="O877" s="122"/>
      <c r="P877" s="122">
        <v>0</v>
      </c>
      <c r="Q877" s="122">
        <f t="shared" si="242"/>
        <v>0</v>
      </c>
      <c r="R877" s="147">
        <f t="shared" si="243"/>
        <v>0</v>
      </c>
      <c r="S877" s="145">
        <v>11</v>
      </c>
      <c r="T877" s="144" t="s">
        <v>213</v>
      </c>
      <c r="U877" s="90">
        <f>SUMIF('Avoided Costs 2009-2017'!$A:$A,Actuals!T877&amp;Actuals!S877,'Avoided Costs 2009-2017'!$E:$E)*J877</f>
        <v>91926.297769979516</v>
      </c>
      <c r="V877" s="90">
        <f>SUMIF('Avoided Costs 2009-2017'!$A:$A,Actuals!T877&amp;Actuals!S877,'Avoided Costs 2009-2017'!$K:$K)*N877</f>
        <v>0</v>
      </c>
      <c r="W877" s="90">
        <f>SUMIF('Avoided Costs 2009-2017'!$A:$A,Actuals!T877&amp;Actuals!S877,'Avoided Costs 2009-2017'!$M:$M)*R877</f>
        <v>0</v>
      </c>
      <c r="X877" s="90">
        <f t="shared" si="244"/>
        <v>91926.297769979516</v>
      </c>
      <c r="Y877" s="148">
        <v>90598</v>
      </c>
      <c r="Z877" s="149">
        <f t="shared" si="245"/>
        <v>72478.400000000009</v>
      </c>
      <c r="AA877" s="148"/>
      <c r="AB877" s="145"/>
      <c r="AC877" s="145"/>
      <c r="AD877" s="148">
        <f t="shared" si="246"/>
        <v>72478.400000000009</v>
      </c>
      <c r="AE877" s="122">
        <f t="shared" si="247"/>
        <v>19447.897769979507</v>
      </c>
      <c r="AF877" s="167">
        <f t="shared" si="248"/>
        <v>361307.93599999999</v>
      </c>
    </row>
    <row r="878" spans="1:32" s="150" customFormat="1" x14ac:dyDescent="0.2">
      <c r="A878" s="144" t="s">
        <v>863</v>
      </c>
      <c r="B878" s="144"/>
      <c r="C878" s="144"/>
      <c r="D878" s="145">
        <v>1</v>
      </c>
      <c r="E878" s="122"/>
      <c r="F878" s="146">
        <v>0.2</v>
      </c>
      <c r="G878" s="146"/>
      <c r="H878" s="122">
        <v>97196</v>
      </c>
      <c r="I878" s="122">
        <f t="shared" si="238"/>
        <v>94085.728000000003</v>
      </c>
      <c r="J878" s="147">
        <f t="shared" si="239"/>
        <v>75268.582399999999</v>
      </c>
      <c r="K878" s="122"/>
      <c r="L878" s="122">
        <v>0</v>
      </c>
      <c r="M878" s="122">
        <f t="shared" si="240"/>
        <v>0</v>
      </c>
      <c r="N878" s="122">
        <f t="shared" si="241"/>
        <v>0</v>
      </c>
      <c r="O878" s="122"/>
      <c r="P878" s="122">
        <v>0</v>
      </c>
      <c r="Q878" s="122">
        <f t="shared" si="242"/>
        <v>0</v>
      </c>
      <c r="R878" s="147">
        <f t="shared" si="243"/>
        <v>0</v>
      </c>
      <c r="S878" s="145">
        <v>11</v>
      </c>
      <c r="T878" s="144" t="s">
        <v>213</v>
      </c>
      <c r="U878" s="90">
        <f>SUMIF('Avoided Costs 2009-2017'!$A:$A,Actuals!T878&amp;Actuals!S878,'Avoided Costs 2009-2017'!$E:$E)*J878</f>
        <v>210653.50555348178</v>
      </c>
      <c r="V878" s="90">
        <f>SUMIF('Avoided Costs 2009-2017'!$A:$A,Actuals!T878&amp;Actuals!S878,'Avoided Costs 2009-2017'!$K:$K)*N878</f>
        <v>0</v>
      </c>
      <c r="W878" s="90">
        <f>SUMIF('Avoided Costs 2009-2017'!$A:$A,Actuals!T878&amp;Actuals!S878,'Avoided Costs 2009-2017'!$M:$M)*R878</f>
        <v>0</v>
      </c>
      <c r="X878" s="90">
        <f t="shared" si="244"/>
        <v>210653.50555348178</v>
      </c>
      <c r="Y878" s="148">
        <v>18391</v>
      </c>
      <c r="Z878" s="149">
        <f t="shared" si="245"/>
        <v>14712.800000000001</v>
      </c>
      <c r="AA878" s="148"/>
      <c r="AB878" s="145"/>
      <c r="AC878" s="145"/>
      <c r="AD878" s="148">
        <f t="shared" si="246"/>
        <v>14712.800000000001</v>
      </c>
      <c r="AE878" s="122">
        <f t="shared" si="247"/>
        <v>195940.70555348179</v>
      </c>
      <c r="AF878" s="167">
        <f t="shared" si="248"/>
        <v>827954.40639999998</v>
      </c>
    </row>
    <row r="879" spans="1:32" s="150" customFormat="1" x14ac:dyDescent="0.2">
      <c r="A879" s="144" t="s">
        <v>864</v>
      </c>
      <c r="B879" s="144"/>
      <c r="C879" s="144"/>
      <c r="D879" s="145">
        <v>1</v>
      </c>
      <c r="E879" s="122"/>
      <c r="F879" s="146">
        <v>0.2</v>
      </c>
      <c r="G879" s="146"/>
      <c r="H879" s="122">
        <v>35068</v>
      </c>
      <c r="I879" s="122">
        <f t="shared" si="238"/>
        <v>33945.824000000001</v>
      </c>
      <c r="J879" s="147">
        <f t="shared" si="239"/>
        <v>27156.659200000002</v>
      </c>
      <c r="K879" s="122"/>
      <c r="L879" s="122">
        <v>0</v>
      </c>
      <c r="M879" s="122">
        <f t="shared" si="240"/>
        <v>0</v>
      </c>
      <c r="N879" s="122">
        <f t="shared" si="241"/>
        <v>0</v>
      </c>
      <c r="O879" s="122"/>
      <c r="P879" s="122">
        <v>0</v>
      </c>
      <c r="Q879" s="122">
        <f t="shared" si="242"/>
        <v>0</v>
      </c>
      <c r="R879" s="147">
        <f t="shared" si="243"/>
        <v>0</v>
      </c>
      <c r="S879" s="145">
        <v>11</v>
      </c>
      <c r="T879" s="144" t="s">
        <v>213</v>
      </c>
      <c r="U879" s="90">
        <f>SUMIF('Avoided Costs 2009-2017'!$A:$A,Actuals!T879&amp;Actuals!S879,'Avoided Costs 2009-2017'!$E:$E)*J879</f>
        <v>76003.098201052504</v>
      </c>
      <c r="V879" s="90">
        <f>SUMIF('Avoided Costs 2009-2017'!$A:$A,Actuals!T879&amp;Actuals!S879,'Avoided Costs 2009-2017'!$K:$K)*N879</f>
        <v>0</v>
      </c>
      <c r="W879" s="90">
        <f>SUMIF('Avoided Costs 2009-2017'!$A:$A,Actuals!T879&amp;Actuals!S879,'Avoided Costs 2009-2017'!$M:$M)*R879</f>
        <v>0</v>
      </c>
      <c r="X879" s="90">
        <f t="shared" si="244"/>
        <v>76003.098201052504</v>
      </c>
      <c r="Y879" s="148">
        <v>42400</v>
      </c>
      <c r="Z879" s="149">
        <f t="shared" si="245"/>
        <v>33920</v>
      </c>
      <c r="AA879" s="148"/>
      <c r="AB879" s="145"/>
      <c r="AC879" s="145"/>
      <c r="AD879" s="148">
        <f t="shared" si="246"/>
        <v>33920</v>
      </c>
      <c r="AE879" s="122">
        <f t="shared" si="247"/>
        <v>42083.098201052504</v>
      </c>
      <c r="AF879" s="167">
        <f t="shared" si="248"/>
        <v>298723.2512</v>
      </c>
    </row>
    <row r="880" spans="1:32" s="150" customFormat="1" x14ac:dyDescent="0.2">
      <c r="A880" s="144" t="s">
        <v>865</v>
      </c>
      <c r="B880" s="144"/>
      <c r="C880" s="144"/>
      <c r="D880" s="145">
        <v>0</v>
      </c>
      <c r="E880" s="122"/>
      <c r="F880" s="146">
        <v>0.2</v>
      </c>
      <c r="G880" s="146"/>
      <c r="H880" s="122">
        <v>23379</v>
      </c>
      <c r="I880" s="122">
        <f t="shared" ref="I880:I896" si="249">+$H$68*H880</f>
        <v>22630.871999999999</v>
      </c>
      <c r="J880" s="147">
        <f t="shared" ref="J880:J896" si="250">I880*(1-F880)</f>
        <v>18104.6976</v>
      </c>
      <c r="K880" s="122"/>
      <c r="L880" s="122">
        <v>0</v>
      </c>
      <c r="M880" s="122">
        <f t="shared" ref="M880:M896" si="251">+$L$68*L880</f>
        <v>0</v>
      </c>
      <c r="N880" s="122">
        <f t="shared" ref="N880:N896" si="252">M880*(1-F880)</f>
        <v>0</v>
      </c>
      <c r="O880" s="122"/>
      <c r="P880" s="122">
        <v>0</v>
      </c>
      <c r="Q880" s="122">
        <f t="shared" ref="Q880:Q896" si="253">+P880*$P$68</f>
        <v>0</v>
      </c>
      <c r="R880" s="147">
        <f t="shared" ref="R880:R896" si="254">Q880*(1-F880)</f>
        <v>0</v>
      </c>
      <c r="S880" s="145">
        <v>15</v>
      </c>
      <c r="T880" s="144" t="s">
        <v>213</v>
      </c>
      <c r="U880" s="90">
        <f>SUMIF('Avoided Costs 2009-2017'!$A:$A,Actuals!T880&amp;Actuals!S880,'Avoided Costs 2009-2017'!$E:$E)*J880</f>
        <v>61233.809574091087</v>
      </c>
      <c r="V880" s="90">
        <f>SUMIF('Avoided Costs 2009-2017'!$A:$A,Actuals!T880&amp;Actuals!S880,'Avoided Costs 2009-2017'!$K:$K)*N880</f>
        <v>0</v>
      </c>
      <c r="W880" s="90">
        <f>SUMIF('Avoided Costs 2009-2017'!$A:$A,Actuals!T880&amp;Actuals!S880,'Avoided Costs 2009-2017'!$M:$M)*R880</f>
        <v>0</v>
      </c>
      <c r="X880" s="90">
        <f t="shared" ref="X880:X896" si="255">SUM(U880:W880)</f>
        <v>61233.809574091087</v>
      </c>
      <c r="Y880" s="148">
        <v>44417</v>
      </c>
      <c r="Z880" s="149">
        <f t="shared" ref="Z880:Z896" si="256">Y880*(1-F880)</f>
        <v>35533.599999999999</v>
      </c>
      <c r="AA880" s="148"/>
      <c r="AB880" s="145"/>
      <c r="AC880" s="145"/>
      <c r="AD880" s="148">
        <f t="shared" ref="AD880:AD897" si="257">Z880+AB880</f>
        <v>35533.599999999999</v>
      </c>
      <c r="AE880" s="122">
        <f t="shared" ref="AE880:AE897" si="258">X880-AD880</f>
        <v>25700.209574091088</v>
      </c>
      <c r="AF880" s="167">
        <f t="shared" ref="AF880:AF896" si="259">J880*S880</f>
        <v>271570.46399999998</v>
      </c>
    </row>
    <row r="881" spans="1:32" s="150" customFormat="1" x14ac:dyDescent="0.2">
      <c r="A881" s="144" t="s">
        <v>866</v>
      </c>
      <c r="B881" s="144"/>
      <c r="C881" s="144"/>
      <c r="D881" s="145">
        <v>1</v>
      </c>
      <c r="E881" s="122"/>
      <c r="F881" s="146">
        <v>0.2</v>
      </c>
      <c r="G881" s="146"/>
      <c r="H881" s="122">
        <v>23176</v>
      </c>
      <c r="I881" s="122">
        <f t="shared" si="249"/>
        <v>22434.367999999999</v>
      </c>
      <c r="J881" s="147">
        <f t="shared" si="250"/>
        <v>17947.4944</v>
      </c>
      <c r="K881" s="122"/>
      <c r="L881" s="122">
        <v>0</v>
      </c>
      <c r="M881" s="122">
        <f t="shared" si="251"/>
        <v>0</v>
      </c>
      <c r="N881" s="122">
        <f t="shared" si="252"/>
        <v>0</v>
      </c>
      <c r="O881" s="122"/>
      <c r="P881" s="122">
        <v>0</v>
      </c>
      <c r="Q881" s="122">
        <f t="shared" si="253"/>
        <v>0</v>
      </c>
      <c r="R881" s="147">
        <f t="shared" si="254"/>
        <v>0</v>
      </c>
      <c r="S881" s="145">
        <v>11</v>
      </c>
      <c r="T881" s="144" t="s">
        <v>213</v>
      </c>
      <c r="U881" s="90">
        <f>SUMIF('Avoided Costs 2009-2017'!$A:$A,Actuals!T881&amp;Actuals!S881,'Avoided Costs 2009-2017'!$E:$E)*J881</f>
        <v>50229.491385525056</v>
      </c>
      <c r="V881" s="90">
        <f>SUMIF('Avoided Costs 2009-2017'!$A:$A,Actuals!T881&amp;Actuals!S881,'Avoided Costs 2009-2017'!$K:$K)*N881</f>
        <v>0</v>
      </c>
      <c r="W881" s="90">
        <f>SUMIF('Avoided Costs 2009-2017'!$A:$A,Actuals!T881&amp;Actuals!S881,'Avoided Costs 2009-2017'!$M:$M)*R881</f>
        <v>0</v>
      </c>
      <c r="X881" s="90">
        <f t="shared" si="255"/>
        <v>50229.491385525056</v>
      </c>
      <c r="Y881" s="148">
        <v>34450</v>
      </c>
      <c r="Z881" s="149">
        <f t="shared" si="256"/>
        <v>27560</v>
      </c>
      <c r="AA881" s="148"/>
      <c r="AB881" s="145"/>
      <c r="AC881" s="145"/>
      <c r="AD881" s="148">
        <f t="shared" si="257"/>
        <v>27560</v>
      </c>
      <c r="AE881" s="122">
        <f t="shared" si="258"/>
        <v>22669.491385525056</v>
      </c>
      <c r="AF881" s="167">
        <f t="shared" si="259"/>
        <v>197422.43839999998</v>
      </c>
    </row>
    <row r="882" spans="1:32" s="150" customFormat="1" x14ac:dyDescent="0.2">
      <c r="A882" s="144" t="s">
        <v>867</v>
      </c>
      <c r="B882" s="144"/>
      <c r="C882" s="144"/>
      <c r="D882" s="145">
        <v>1</v>
      </c>
      <c r="E882" s="122"/>
      <c r="F882" s="146">
        <v>0.2</v>
      </c>
      <c r="G882" s="146"/>
      <c r="H882" s="122">
        <v>740782</v>
      </c>
      <c r="I882" s="122">
        <f t="shared" si="249"/>
        <v>717076.97600000002</v>
      </c>
      <c r="J882" s="147">
        <f t="shared" si="250"/>
        <v>573661.5808</v>
      </c>
      <c r="K882" s="122"/>
      <c r="L882" s="122">
        <v>0</v>
      </c>
      <c r="M882" s="122">
        <f t="shared" si="251"/>
        <v>0</v>
      </c>
      <c r="N882" s="122">
        <f t="shared" si="252"/>
        <v>0</v>
      </c>
      <c r="O882" s="122"/>
      <c r="P882" s="122">
        <v>0</v>
      </c>
      <c r="Q882" s="122">
        <f t="shared" si="253"/>
        <v>0</v>
      </c>
      <c r="R882" s="147">
        <f t="shared" si="254"/>
        <v>0</v>
      </c>
      <c r="S882" s="145">
        <v>11</v>
      </c>
      <c r="T882" s="144" t="s">
        <v>213</v>
      </c>
      <c r="U882" s="90">
        <f>SUMIF('Avoided Costs 2009-2017'!$A:$A,Actuals!T882&amp;Actuals!S882,'Avoided Costs 2009-2017'!$E:$E)*J882</f>
        <v>1605501.51396065</v>
      </c>
      <c r="V882" s="90">
        <f>SUMIF('Avoided Costs 2009-2017'!$A:$A,Actuals!T882&amp;Actuals!S882,'Avoided Costs 2009-2017'!$K:$K)*N882</f>
        <v>0</v>
      </c>
      <c r="W882" s="90">
        <f>SUMIF('Avoided Costs 2009-2017'!$A:$A,Actuals!T882&amp;Actuals!S882,'Avoided Costs 2009-2017'!$M:$M)*R882</f>
        <v>0</v>
      </c>
      <c r="X882" s="90">
        <f t="shared" si="255"/>
        <v>1605501.51396065</v>
      </c>
      <c r="Y882" s="148">
        <v>738131</v>
      </c>
      <c r="Z882" s="149">
        <f t="shared" si="256"/>
        <v>590504.80000000005</v>
      </c>
      <c r="AA882" s="148"/>
      <c r="AB882" s="145"/>
      <c r="AC882" s="145"/>
      <c r="AD882" s="148">
        <f t="shared" si="257"/>
        <v>590504.80000000005</v>
      </c>
      <c r="AE882" s="122">
        <f t="shared" si="258"/>
        <v>1014996.7139606499</v>
      </c>
      <c r="AF882" s="167">
        <f t="shared" si="259"/>
        <v>6310277.3887999998</v>
      </c>
    </row>
    <row r="883" spans="1:32" s="150" customFormat="1" x14ac:dyDescent="0.2">
      <c r="A883" s="144" t="s">
        <v>868</v>
      </c>
      <c r="B883" s="144"/>
      <c r="C883" s="144"/>
      <c r="D883" s="145">
        <v>1</v>
      </c>
      <c r="E883" s="122"/>
      <c r="F883" s="146">
        <v>0.2</v>
      </c>
      <c r="G883" s="146"/>
      <c r="H883" s="122">
        <v>15159</v>
      </c>
      <c r="I883" s="122">
        <f t="shared" si="249"/>
        <v>14673.912</v>
      </c>
      <c r="J883" s="147">
        <f t="shared" si="250"/>
        <v>11739.1296</v>
      </c>
      <c r="K883" s="122"/>
      <c r="L883" s="122">
        <v>0</v>
      </c>
      <c r="M883" s="122">
        <f t="shared" si="251"/>
        <v>0</v>
      </c>
      <c r="N883" s="122">
        <f t="shared" si="252"/>
        <v>0</v>
      </c>
      <c r="O883" s="122"/>
      <c r="P883" s="122">
        <v>0</v>
      </c>
      <c r="Q883" s="122">
        <f t="shared" si="253"/>
        <v>0</v>
      </c>
      <c r="R883" s="147">
        <f t="shared" si="254"/>
        <v>0</v>
      </c>
      <c r="S883" s="145">
        <v>15</v>
      </c>
      <c r="T883" s="144" t="s">
        <v>213</v>
      </c>
      <c r="U883" s="90">
        <f>SUMIF('Avoided Costs 2009-2017'!$A:$A,Actuals!T883&amp;Actuals!S883,'Avoided Costs 2009-2017'!$E:$E)*J883</f>
        <v>39704.149849593516</v>
      </c>
      <c r="V883" s="90">
        <f>SUMIF('Avoided Costs 2009-2017'!$A:$A,Actuals!T883&amp;Actuals!S883,'Avoided Costs 2009-2017'!$K:$K)*N883</f>
        <v>0</v>
      </c>
      <c r="W883" s="90">
        <f>SUMIF('Avoided Costs 2009-2017'!$A:$A,Actuals!T883&amp;Actuals!S883,'Avoided Costs 2009-2017'!$M:$M)*R883</f>
        <v>0</v>
      </c>
      <c r="X883" s="90">
        <f t="shared" si="255"/>
        <v>39704.149849593516</v>
      </c>
      <c r="Y883" s="148">
        <v>6729</v>
      </c>
      <c r="Z883" s="149">
        <f t="shared" si="256"/>
        <v>5383.2000000000007</v>
      </c>
      <c r="AA883" s="148"/>
      <c r="AB883" s="145"/>
      <c r="AC883" s="145"/>
      <c r="AD883" s="148">
        <f t="shared" si="257"/>
        <v>5383.2000000000007</v>
      </c>
      <c r="AE883" s="122">
        <f t="shared" si="258"/>
        <v>34320.949849593511</v>
      </c>
      <c r="AF883" s="167">
        <f t="shared" si="259"/>
        <v>176086.94400000002</v>
      </c>
    </row>
    <row r="884" spans="1:32" s="150" customFormat="1" x14ac:dyDescent="0.2">
      <c r="A884" s="144" t="s">
        <v>869</v>
      </c>
      <c r="B884" s="144"/>
      <c r="C884" s="144"/>
      <c r="D884" s="145">
        <v>1</v>
      </c>
      <c r="E884" s="122"/>
      <c r="F884" s="146">
        <v>0.2</v>
      </c>
      <c r="G884" s="146"/>
      <c r="H884" s="122">
        <v>55365</v>
      </c>
      <c r="I884" s="122">
        <f t="shared" si="249"/>
        <v>53593.32</v>
      </c>
      <c r="J884" s="147">
        <f t="shared" si="250"/>
        <v>42874.656000000003</v>
      </c>
      <c r="K884" s="122"/>
      <c r="L884" s="122">
        <v>54346</v>
      </c>
      <c r="M884" s="122">
        <f t="shared" si="251"/>
        <v>48857.054000000004</v>
      </c>
      <c r="N884" s="122">
        <f t="shared" si="252"/>
        <v>39085.643200000006</v>
      </c>
      <c r="O884" s="122"/>
      <c r="P884" s="122">
        <v>0</v>
      </c>
      <c r="Q884" s="122">
        <f t="shared" si="253"/>
        <v>0</v>
      </c>
      <c r="R884" s="147">
        <f t="shared" si="254"/>
        <v>0</v>
      </c>
      <c r="S884" s="145">
        <v>15</v>
      </c>
      <c r="T884" s="144" t="s">
        <v>213</v>
      </c>
      <c r="U884" s="90">
        <f>SUMIF('Avoided Costs 2009-2017'!$A:$A,Actuals!T884&amp;Actuals!S884,'Avoided Costs 2009-2017'!$E:$E)*J884</f>
        <v>145010.90153854113</v>
      </c>
      <c r="V884" s="90">
        <f>SUMIF('Avoided Costs 2009-2017'!$A:$A,Actuals!T884&amp;Actuals!S884,'Avoided Costs 2009-2017'!$K:$K)*N884</f>
        <v>29178.690288322316</v>
      </c>
      <c r="W884" s="90">
        <f>SUMIF('Avoided Costs 2009-2017'!$A:$A,Actuals!T884&amp;Actuals!S884,'Avoided Costs 2009-2017'!$M:$M)*R884</f>
        <v>0</v>
      </c>
      <c r="X884" s="90">
        <f t="shared" si="255"/>
        <v>174189.59182686344</v>
      </c>
      <c r="Y884" s="148">
        <v>14790</v>
      </c>
      <c r="Z884" s="149">
        <f t="shared" si="256"/>
        <v>11832</v>
      </c>
      <c r="AA884" s="148"/>
      <c r="AB884" s="145"/>
      <c r="AC884" s="145"/>
      <c r="AD884" s="148">
        <f t="shared" si="257"/>
        <v>11832</v>
      </c>
      <c r="AE884" s="122">
        <f t="shared" si="258"/>
        <v>162357.59182686344</v>
      </c>
      <c r="AF884" s="167">
        <f t="shared" si="259"/>
        <v>643119.84000000008</v>
      </c>
    </row>
    <row r="885" spans="1:32" s="150" customFormat="1" x14ac:dyDescent="0.2">
      <c r="A885" s="144" t="s">
        <v>870</v>
      </c>
      <c r="B885" s="144"/>
      <c r="C885" s="144"/>
      <c r="D885" s="145">
        <v>1</v>
      </c>
      <c r="E885" s="122"/>
      <c r="F885" s="146">
        <v>0.2</v>
      </c>
      <c r="G885" s="146"/>
      <c r="H885" s="122">
        <v>8397</v>
      </c>
      <c r="I885" s="122">
        <f t="shared" si="249"/>
        <v>8128.2959999999994</v>
      </c>
      <c r="J885" s="147">
        <f t="shared" si="250"/>
        <v>6502.6368000000002</v>
      </c>
      <c r="K885" s="122"/>
      <c r="L885" s="122">
        <v>0</v>
      </c>
      <c r="M885" s="122">
        <f t="shared" si="251"/>
        <v>0</v>
      </c>
      <c r="N885" s="122">
        <f t="shared" si="252"/>
        <v>0</v>
      </c>
      <c r="O885" s="122"/>
      <c r="P885" s="122">
        <v>0</v>
      </c>
      <c r="Q885" s="122">
        <f t="shared" si="253"/>
        <v>0</v>
      </c>
      <c r="R885" s="147">
        <f t="shared" si="254"/>
        <v>0</v>
      </c>
      <c r="S885" s="145">
        <v>15</v>
      </c>
      <c r="T885" s="144" t="s">
        <v>213</v>
      </c>
      <c r="U885" s="90">
        <f>SUMIF('Avoided Costs 2009-2017'!$A:$A,Actuals!T885&amp;Actuals!S885,'Avoided Costs 2009-2017'!$E:$E)*J885</f>
        <v>21993.254587178359</v>
      </c>
      <c r="V885" s="90">
        <f>SUMIF('Avoided Costs 2009-2017'!$A:$A,Actuals!T885&amp;Actuals!S885,'Avoided Costs 2009-2017'!$K:$K)*N885</f>
        <v>0</v>
      </c>
      <c r="W885" s="90">
        <f>SUMIF('Avoided Costs 2009-2017'!$A:$A,Actuals!T885&amp;Actuals!S885,'Avoided Costs 2009-2017'!$M:$M)*R885</f>
        <v>0</v>
      </c>
      <c r="X885" s="90">
        <f t="shared" si="255"/>
        <v>21993.254587178359</v>
      </c>
      <c r="Y885" s="148">
        <v>3708</v>
      </c>
      <c r="Z885" s="149">
        <f t="shared" si="256"/>
        <v>2966.4</v>
      </c>
      <c r="AA885" s="148"/>
      <c r="AB885" s="145"/>
      <c r="AC885" s="145"/>
      <c r="AD885" s="148">
        <f t="shared" si="257"/>
        <v>2966.4</v>
      </c>
      <c r="AE885" s="122">
        <f t="shared" si="258"/>
        <v>19026.854587178357</v>
      </c>
      <c r="AF885" s="167">
        <f t="shared" si="259"/>
        <v>97539.551999999996</v>
      </c>
    </row>
    <row r="886" spans="1:32" s="150" customFormat="1" x14ac:dyDescent="0.2">
      <c r="A886" s="144" t="s">
        <v>871</v>
      </c>
      <c r="B886" s="144"/>
      <c r="C886" s="144"/>
      <c r="D886" s="145">
        <v>1</v>
      </c>
      <c r="E886" s="122"/>
      <c r="F886" s="146">
        <v>0.2</v>
      </c>
      <c r="G886" s="146"/>
      <c r="H886" s="122">
        <v>8471</v>
      </c>
      <c r="I886" s="122">
        <f t="shared" si="249"/>
        <v>8199.9279999999999</v>
      </c>
      <c r="J886" s="147">
        <f t="shared" si="250"/>
        <v>6559.9423999999999</v>
      </c>
      <c r="K886" s="122"/>
      <c r="L886" s="122">
        <v>0</v>
      </c>
      <c r="M886" s="122">
        <f t="shared" si="251"/>
        <v>0</v>
      </c>
      <c r="N886" s="122">
        <f t="shared" si="252"/>
        <v>0</v>
      </c>
      <c r="O886" s="122"/>
      <c r="P886" s="122">
        <v>0</v>
      </c>
      <c r="Q886" s="122">
        <f t="shared" si="253"/>
        <v>0</v>
      </c>
      <c r="R886" s="147">
        <f t="shared" si="254"/>
        <v>0</v>
      </c>
      <c r="S886" s="145">
        <v>15</v>
      </c>
      <c r="T886" s="144" t="s">
        <v>213</v>
      </c>
      <c r="U886" s="90">
        <f>SUMIF('Avoided Costs 2009-2017'!$A:$A,Actuals!T886&amp;Actuals!S886,'Avoided Costs 2009-2017'!$E:$E)*J886</f>
        <v>22187.073908299139</v>
      </c>
      <c r="V886" s="90">
        <f>SUMIF('Avoided Costs 2009-2017'!$A:$A,Actuals!T886&amp;Actuals!S886,'Avoided Costs 2009-2017'!$K:$K)*N886</f>
        <v>0</v>
      </c>
      <c r="W886" s="90">
        <f>SUMIF('Avoided Costs 2009-2017'!$A:$A,Actuals!T886&amp;Actuals!S886,'Avoided Costs 2009-2017'!$M:$M)*R886</f>
        <v>0</v>
      </c>
      <c r="X886" s="90">
        <f t="shared" si="255"/>
        <v>22187.073908299139</v>
      </c>
      <c r="Y886" s="148">
        <v>3489</v>
      </c>
      <c r="Z886" s="149">
        <f t="shared" si="256"/>
        <v>2791.2000000000003</v>
      </c>
      <c r="AA886" s="148"/>
      <c r="AB886" s="145"/>
      <c r="AC886" s="145"/>
      <c r="AD886" s="148">
        <f t="shared" si="257"/>
        <v>2791.2000000000003</v>
      </c>
      <c r="AE886" s="122">
        <f t="shared" si="258"/>
        <v>19395.873908299138</v>
      </c>
      <c r="AF886" s="167">
        <f t="shared" si="259"/>
        <v>98399.135999999999</v>
      </c>
    </row>
    <row r="887" spans="1:32" s="150" customFormat="1" x14ac:dyDescent="0.2">
      <c r="A887" s="144" t="s">
        <v>872</v>
      </c>
      <c r="B887" s="144"/>
      <c r="C887" s="144"/>
      <c r="D887" s="145">
        <v>0</v>
      </c>
      <c r="E887" s="122"/>
      <c r="F887" s="146">
        <v>0.2</v>
      </c>
      <c r="G887" s="146"/>
      <c r="H887" s="122">
        <v>19562</v>
      </c>
      <c r="I887" s="122">
        <f t="shared" si="249"/>
        <v>18936.016</v>
      </c>
      <c r="J887" s="147">
        <f t="shared" si="250"/>
        <v>15148.8128</v>
      </c>
      <c r="K887" s="122"/>
      <c r="L887" s="122">
        <v>0</v>
      </c>
      <c r="M887" s="122">
        <f t="shared" si="251"/>
        <v>0</v>
      </c>
      <c r="N887" s="122">
        <f t="shared" si="252"/>
        <v>0</v>
      </c>
      <c r="O887" s="122"/>
      <c r="P887" s="122">
        <v>0</v>
      </c>
      <c r="Q887" s="122">
        <f t="shared" si="253"/>
        <v>0</v>
      </c>
      <c r="R887" s="147">
        <f t="shared" si="254"/>
        <v>0</v>
      </c>
      <c r="S887" s="145">
        <v>15</v>
      </c>
      <c r="T887" s="144" t="s">
        <v>213</v>
      </c>
      <c r="U887" s="90">
        <f>SUMIF('Avoided Costs 2009-2017'!$A:$A,Actuals!T887&amp;Actuals!S887,'Avoided Costs 2009-2017'!$E:$E)*J887</f>
        <v>51236.399456279985</v>
      </c>
      <c r="V887" s="90">
        <f>SUMIF('Avoided Costs 2009-2017'!$A:$A,Actuals!T887&amp;Actuals!S887,'Avoided Costs 2009-2017'!$K:$K)*N887</f>
        <v>0</v>
      </c>
      <c r="W887" s="90">
        <f>SUMIF('Avoided Costs 2009-2017'!$A:$A,Actuals!T887&amp;Actuals!S887,'Avoided Costs 2009-2017'!$M:$M)*R887</f>
        <v>0</v>
      </c>
      <c r="X887" s="90">
        <f t="shared" si="255"/>
        <v>51236.399456279985</v>
      </c>
      <c r="Y887" s="148">
        <v>61000</v>
      </c>
      <c r="Z887" s="149">
        <f t="shared" si="256"/>
        <v>48800</v>
      </c>
      <c r="AA887" s="148"/>
      <c r="AB887" s="145"/>
      <c r="AC887" s="145"/>
      <c r="AD887" s="148">
        <f t="shared" si="257"/>
        <v>48800</v>
      </c>
      <c r="AE887" s="122">
        <f t="shared" si="258"/>
        <v>2436.3994562799853</v>
      </c>
      <c r="AF887" s="167">
        <f t="shared" si="259"/>
        <v>227232.19199999998</v>
      </c>
    </row>
    <row r="888" spans="1:32" s="150" customFormat="1" x14ac:dyDescent="0.2">
      <c r="A888" s="144" t="s">
        <v>873</v>
      </c>
      <c r="B888" s="144"/>
      <c r="C888" s="144"/>
      <c r="D888" s="145">
        <v>1</v>
      </c>
      <c r="E888" s="122"/>
      <c r="F888" s="146">
        <v>0.2</v>
      </c>
      <c r="G888" s="146"/>
      <c r="H888" s="122">
        <v>28236</v>
      </c>
      <c r="I888" s="122">
        <f t="shared" si="249"/>
        <v>27332.448</v>
      </c>
      <c r="J888" s="147">
        <f t="shared" si="250"/>
        <v>21865.958400000003</v>
      </c>
      <c r="K888" s="122"/>
      <c r="L888" s="122">
        <v>0</v>
      </c>
      <c r="M888" s="122">
        <f t="shared" si="251"/>
        <v>0</v>
      </c>
      <c r="N888" s="122">
        <f t="shared" si="252"/>
        <v>0</v>
      </c>
      <c r="O888" s="122"/>
      <c r="P888" s="122">
        <v>0</v>
      </c>
      <c r="Q888" s="122">
        <f t="shared" si="253"/>
        <v>0</v>
      </c>
      <c r="R888" s="147">
        <f t="shared" si="254"/>
        <v>0</v>
      </c>
      <c r="S888" s="145">
        <v>25</v>
      </c>
      <c r="T888" s="144" t="s">
        <v>213</v>
      </c>
      <c r="U888" s="90">
        <f>SUMIF('Avoided Costs 2009-2017'!$A:$A,Actuals!T888&amp;Actuals!S888,'Avoided Costs 2009-2017'!$E:$E)*J888</f>
        <v>94138.898544868382</v>
      </c>
      <c r="V888" s="90">
        <f>SUMIF('Avoided Costs 2009-2017'!$A:$A,Actuals!T888&amp;Actuals!S888,'Avoided Costs 2009-2017'!$K:$K)*N888</f>
        <v>0</v>
      </c>
      <c r="W888" s="90">
        <f>SUMIF('Avoided Costs 2009-2017'!$A:$A,Actuals!T888&amp;Actuals!S888,'Avoided Costs 2009-2017'!$M:$M)*R888</f>
        <v>0</v>
      </c>
      <c r="X888" s="90">
        <f t="shared" si="255"/>
        <v>94138.898544868382</v>
      </c>
      <c r="Y888" s="148">
        <v>92300</v>
      </c>
      <c r="Z888" s="149">
        <f t="shared" si="256"/>
        <v>73840</v>
      </c>
      <c r="AA888" s="148"/>
      <c r="AB888" s="145"/>
      <c r="AC888" s="145"/>
      <c r="AD888" s="148">
        <f t="shared" si="257"/>
        <v>73840</v>
      </c>
      <c r="AE888" s="122">
        <f t="shared" si="258"/>
        <v>20298.898544868382</v>
      </c>
      <c r="AF888" s="167">
        <f t="shared" si="259"/>
        <v>546648.96000000008</v>
      </c>
    </row>
    <row r="889" spans="1:32" s="150" customFormat="1" x14ac:dyDescent="0.2">
      <c r="A889" s="144" t="s">
        <v>874</v>
      </c>
      <c r="B889" s="144"/>
      <c r="C889" s="144"/>
      <c r="D889" s="145">
        <v>0</v>
      </c>
      <c r="E889" s="122"/>
      <c r="F889" s="146">
        <v>0.2</v>
      </c>
      <c r="G889" s="146"/>
      <c r="H889" s="122">
        <v>33514</v>
      </c>
      <c r="I889" s="122">
        <f t="shared" si="249"/>
        <v>32441.552</v>
      </c>
      <c r="J889" s="147">
        <f t="shared" si="250"/>
        <v>25953.241600000001</v>
      </c>
      <c r="K889" s="122"/>
      <c r="L889" s="122">
        <v>0</v>
      </c>
      <c r="M889" s="122">
        <f t="shared" si="251"/>
        <v>0</v>
      </c>
      <c r="N889" s="122">
        <f t="shared" si="252"/>
        <v>0</v>
      </c>
      <c r="O889" s="122"/>
      <c r="P889" s="122">
        <v>0</v>
      </c>
      <c r="Q889" s="122">
        <f t="shared" si="253"/>
        <v>0</v>
      </c>
      <c r="R889" s="147">
        <f t="shared" si="254"/>
        <v>0</v>
      </c>
      <c r="S889" s="145">
        <v>15</v>
      </c>
      <c r="T889" s="144" t="s">
        <v>213</v>
      </c>
      <c r="U889" s="90">
        <f>SUMIF('Avoided Costs 2009-2017'!$A:$A,Actuals!T889&amp;Actuals!S889,'Avoided Costs 2009-2017'!$E:$E)*J889</f>
        <v>87779.199027592666</v>
      </c>
      <c r="V889" s="90">
        <f>SUMIF('Avoided Costs 2009-2017'!$A:$A,Actuals!T889&amp;Actuals!S889,'Avoided Costs 2009-2017'!$K:$K)*N889</f>
        <v>0</v>
      </c>
      <c r="W889" s="90">
        <f>SUMIF('Avoided Costs 2009-2017'!$A:$A,Actuals!T889&amp;Actuals!S889,'Avoided Costs 2009-2017'!$M:$M)*R889</f>
        <v>0</v>
      </c>
      <c r="X889" s="90">
        <f t="shared" si="255"/>
        <v>87779.199027592666</v>
      </c>
      <c r="Y889" s="148">
        <v>70000</v>
      </c>
      <c r="Z889" s="149">
        <f t="shared" si="256"/>
        <v>56000</v>
      </c>
      <c r="AA889" s="148"/>
      <c r="AB889" s="145"/>
      <c r="AC889" s="145"/>
      <c r="AD889" s="148">
        <f t="shared" si="257"/>
        <v>56000</v>
      </c>
      <c r="AE889" s="122">
        <f t="shared" si="258"/>
        <v>31779.199027592666</v>
      </c>
      <c r="AF889" s="167">
        <f t="shared" si="259"/>
        <v>389298.62400000001</v>
      </c>
    </row>
    <row r="890" spans="1:32" s="150" customFormat="1" x14ac:dyDescent="0.2">
      <c r="A890" s="144" t="s">
        <v>875</v>
      </c>
      <c r="B890" s="144"/>
      <c r="C890" s="144"/>
      <c r="D890" s="145">
        <v>1</v>
      </c>
      <c r="E890" s="122"/>
      <c r="F890" s="146">
        <v>0.2</v>
      </c>
      <c r="G890" s="146"/>
      <c r="H890" s="122">
        <v>60325</v>
      </c>
      <c r="I890" s="122">
        <f t="shared" si="249"/>
        <v>58394.6</v>
      </c>
      <c r="J890" s="147">
        <f t="shared" si="250"/>
        <v>46715.68</v>
      </c>
      <c r="K890" s="122"/>
      <c r="L890" s="122">
        <v>0</v>
      </c>
      <c r="M890" s="122">
        <f t="shared" si="251"/>
        <v>0</v>
      </c>
      <c r="N890" s="122">
        <f t="shared" si="252"/>
        <v>0</v>
      </c>
      <c r="O890" s="122"/>
      <c r="P890" s="122">
        <v>0</v>
      </c>
      <c r="Q890" s="122">
        <f t="shared" si="253"/>
        <v>0</v>
      </c>
      <c r="R890" s="147">
        <f t="shared" si="254"/>
        <v>0</v>
      </c>
      <c r="S890" s="145">
        <v>11</v>
      </c>
      <c r="T890" s="144" t="s">
        <v>213</v>
      </c>
      <c r="U890" s="90">
        <f>SUMIF('Avoided Costs 2009-2017'!$A:$A,Actuals!T890&amp;Actuals!S890,'Avoided Costs 2009-2017'!$E:$E)*J890</f>
        <v>130742.75404866238</v>
      </c>
      <c r="V890" s="90">
        <f>SUMIF('Avoided Costs 2009-2017'!$A:$A,Actuals!T890&amp;Actuals!S890,'Avoided Costs 2009-2017'!$K:$K)*N890</f>
        <v>0</v>
      </c>
      <c r="W890" s="90">
        <f>SUMIF('Avoided Costs 2009-2017'!$A:$A,Actuals!T890&amp;Actuals!S890,'Avoided Costs 2009-2017'!$M:$M)*R890</f>
        <v>0</v>
      </c>
      <c r="X890" s="90">
        <f t="shared" si="255"/>
        <v>130742.75404866238</v>
      </c>
      <c r="Y890" s="148">
        <v>69080</v>
      </c>
      <c r="Z890" s="149">
        <f t="shared" si="256"/>
        <v>55264</v>
      </c>
      <c r="AA890" s="148"/>
      <c r="AB890" s="145"/>
      <c r="AC890" s="145"/>
      <c r="AD890" s="148">
        <f t="shared" si="257"/>
        <v>55264</v>
      </c>
      <c r="AE890" s="122">
        <f t="shared" si="258"/>
        <v>75478.754048662377</v>
      </c>
      <c r="AF890" s="167">
        <f t="shared" si="259"/>
        <v>513872.48</v>
      </c>
    </row>
    <row r="891" spans="1:32" s="150" customFormat="1" x14ac:dyDescent="0.2">
      <c r="A891" s="144" t="s">
        <v>876</v>
      </c>
      <c r="B891" s="144"/>
      <c r="C891" s="144"/>
      <c r="D891" s="145">
        <v>1</v>
      </c>
      <c r="E891" s="122"/>
      <c r="F891" s="146">
        <v>0.2</v>
      </c>
      <c r="G891" s="146"/>
      <c r="H891" s="122">
        <v>11560</v>
      </c>
      <c r="I891" s="122">
        <f t="shared" si="249"/>
        <v>11190.08</v>
      </c>
      <c r="J891" s="147">
        <f t="shared" si="250"/>
        <v>8952.0640000000003</v>
      </c>
      <c r="K891" s="122"/>
      <c r="L891" s="122">
        <v>0</v>
      </c>
      <c r="M891" s="122">
        <f t="shared" si="251"/>
        <v>0</v>
      </c>
      <c r="N891" s="122">
        <f t="shared" si="252"/>
        <v>0</v>
      </c>
      <c r="O891" s="122"/>
      <c r="P891" s="122">
        <v>0</v>
      </c>
      <c r="Q891" s="122">
        <f t="shared" si="253"/>
        <v>0</v>
      </c>
      <c r="R891" s="147">
        <f t="shared" si="254"/>
        <v>0</v>
      </c>
      <c r="S891" s="145">
        <v>25</v>
      </c>
      <c r="T891" s="144" t="s">
        <v>213</v>
      </c>
      <c r="U891" s="90">
        <f>SUMIF('Avoided Costs 2009-2017'!$A:$A,Actuals!T891&amp;Actuals!S891,'Avoided Costs 2009-2017'!$E:$E)*J891</f>
        <v>38541.070519148547</v>
      </c>
      <c r="V891" s="90">
        <f>SUMIF('Avoided Costs 2009-2017'!$A:$A,Actuals!T891&amp;Actuals!S891,'Avoided Costs 2009-2017'!$K:$K)*N891</f>
        <v>0</v>
      </c>
      <c r="W891" s="90">
        <f>SUMIF('Avoided Costs 2009-2017'!$A:$A,Actuals!T891&amp;Actuals!S891,'Avoided Costs 2009-2017'!$M:$M)*R891</f>
        <v>0</v>
      </c>
      <c r="X891" s="90">
        <f t="shared" si="255"/>
        <v>38541.070519148547</v>
      </c>
      <c r="Y891" s="148">
        <v>18000</v>
      </c>
      <c r="Z891" s="149">
        <f t="shared" si="256"/>
        <v>14400</v>
      </c>
      <c r="AA891" s="148"/>
      <c r="AB891" s="145"/>
      <c r="AC891" s="145"/>
      <c r="AD891" s="148">
        <f t="shared" si="257"/>
        <v>14400</v>
      </c>
      <c r="AE891" s="122">
        <f t="shared" si="258"/>
        <v>24141.070519148547</v>
      </c>
      <c r="AF891" s="167">
        <f t="shared" si="259"/>
        <v>223801.60000000001</v>
      </c>
    </row>
    <row r="892" spans="1:32" s="150" customFormat="1" x14ac:dyDescent="0.2">
      <c r="A892" s="144" t="s">
        <v>877</v>
      </c>
      <c r="B892" s="144"/>
      <c r="C892" s="144"/>
      <c r="D892" s="145">
        <v>0</v>
      </c>
      <c r="E892" s="122"/>
      <c r="F892" s="146">
        <v>0.2</v>
      </c>
      <c r="G892" s="146"/>
      <c r="H892" s="122">
        <v>42382</v>
      </c>
      <c r="I892" s="122">
        <f>+H892</f>
        <v>42382</v>
      </c>
      <c r="J892" s="147">
        <f t="shared" si="250"/>
        <v>33905.599999999999</v>
      </c>
      <c r="K892" s="122"/>
      <c r="L892" s="122">
        <v>0</v>
      </c>
      <c r="M892" s="122">
        <f t="shared" si="251"/>
        <v>0</v>
      </c>
      <c r="N892" s="122">
        <f t="shared" si="252"/>
        <v>0</v>
      </c>
      <c r="O892" s="122"/>
      <c r="P892" s="122">
        <v>0</v>
      </c>
      <c r="Q892" s="122">
        <f t="shared" si="253"/>
        <v>0</v>
      </c>
      <c r="R892" s="147">
        <f t="shared" si="254"/>
        <v>0</v>
      </c>
      <c r="S892" s="145">
        <v>15</v>
      </c>
      <c r="T892" s="144" t="s">
        <v>213</v>
      </c>
      <c r="U892" s="90">
        <f>SUMIF('Avoided Costs 2009-2017'!$A:$A,Actuals!T892&amp;Actuals!S892,'Avoided Costs 2009-2017'!$E:$E)*J892</f>
        <v>114675.71012593454</v>
      </c>
      <c r="V892" s="90">
        <f>SUMIF('Avoided Costs 2009-2017'!$A:$A,Actuals!T892&amp;Actuals!S892,'Avoided Costs 2009-2017'!$K:$K)*N892</f>
        <v>0</v>
      </c>
      <c r="W892" s="90">
        <f>SUMIF('Avoided Costs 2009-2017'!$A:$A,Actuals!T892&amp;Actuals!S892,'Avoided Costs 2009-2017'!$M:$M)*R892</f>
        <v>0</v>
      </c>
      <c r="X892" s="90">
        <f t="shared" si="255"/>
        <v>114675.71012593454</v>
      </c>
      <c r="Y892" s="148">
        <v>109596</v>
      </c>
      <c r="Z892" s="149">
        <f t="shared" si="256"/>
        <v>87676.800000000003</v>
      </c>
      <c r="AA892" s="148"/>
      <c r="AB892" s="145"/>
      <c r="AC892" s="145"/>
      <c r="AD892" s="148">
        <f t="shared" si="257"/>
        <v>87676.800000000003</v>
      </c>
      <c r="AE892" s="122">
        <f t="shared" si="258"/>
        <v>26998.910125934533</v>
      </c>
      <c r="AF892" s="167">
        <f t="shared" si="259"/>
        <v>508584</v>
      </c>
    </row>
    <row r="893" spans="1:32" s="150" customFormat="1" x14ac:dyDescent="0.2">
      <c r="A893" s="144" t="s">
        <v>878</v>
      </c>
      <c r="B893" s="144"/>
      <c r="C893" s="144"/>
      <c r="D893" s="145">
        <v>1</v>
      </c>
      <c r="E893" s="122"/>
      <c r="F893" s="146">
        <v>0.2</v>
      </c>
      <c r="G893" s="146"/>
      <c r="H893" s="122">
        <v>63573</v>
      </c>
      <c r="I893" s="122">
        <f>+H893</f>
        <v>63573</v>
      </c>
      <c r="J893" s="147">
        <f t="shared" si="250"/>
        <v>50858.400000000001</v>
      </c>
      <c r="K893" s="122"/>
      <c r="L893" s="122">
        <v>0</v>
      </c>
      <c r="M893" s="122">
        <f t="shared" si="251"/>
        <v>0</v>
      </c>
      <c r="N893" s="122">
        <f t="shared" si="252"/>
        <v>0</v>
      </c>
      <c r="O893" s="122"/>
      <c r="P893" s="122">
        <v>0</v>
      </c>
      <c r="Q893" s="122">
        <f t="shared" si="253"/>
        <v>0</v>
      </c>
      <c r="R893" s="147">
        <f t="shared" si="254"/>
        <v>0</v>
      </c>
      <c r="S893" s="145">
        <v>11</v>
      </c>
      <c r="T893" s="144" t="s">
        <v>213</v>
      </c>
      <c r="U893" s="90">
        <f>SUMIF('Avoided Costs 2009-2017'!$A:$A,Actuals!T893&amp;Actuals!S893,'Avoided Costs 2009-2017'!$E:$E)*J893</f>
        <v>142336.9473056689</v>
      </c>
      <c r="V893" s="90">
        <f>SUMIF('Avoided Costs 2009-2017'!$A:$A,Actuals!T893&amp;Actuals!S893,'Avoided Costs 2009-2017'!$K:$K)*N893</f>
        <v>0</v>
      </c>
      <c r="W893" s="90">
        <f>SUMIF('Avoided Costs 2009-2017'!$A:$A,Actuals!T893&amp;Actuals!S893,'Avoided Costs 2009-2017'!$M:$M)*R893</f>
        <v>0</v>
      </c>
      <c r="X893" s="90">
        <f t="shared" si="255"/>
        <v>142336.9473056689</v>
      </c>
      <c r="Y893" s="148">
        <v>87129</v>
      </c>
      <c r="Z893" s="149">
        <f t="shared" si="256"/>
        <v>69703.199999999997</v>
      </c>
      <c r="AA893" s="148"/>
      <c r="AB893" s="145"/>
      <c r="AC893" s="145"/>
      <c r="AD893" s="148">
        <f t="shared" si="257"/>
        <v>69703.199999999997</v>
      </c>
      <c r="AE893" s="122">
        <f t="shared" si="258"/>
        <v>72633.747305668905</v>
      </c>
      <c r="AF893" s="167">
        <f t="shared" si="259"/>
        <v>559442.4</v>
      </c>
    </row>
    <row r="894" spans="1:32" s="150" customFormat="1" x14ac:dyDescent="0.2">
      <c r="A894" s="144" t="s">
        <v>879</v>
      </c>
      <c r="B894" s="144"/>
      <c r="C894" s="144"/>
      <c r="D894" s="145">
        <v>1</v>
      </c>
      <c r="E894" s="122"/>
      <c r="F894" s="146">
        <v>0.2</v>
      </c>
      <c r="G894" s="146"/>
      <c r="H894" s="122">
        <v>17011</v>
      </c>
      <c r="I894" s="122">
        <f t="shared" si="249"/>
        <v>16466.648000000001</v>
      </c>
      <c r="J894" s="147">
        <f t="shared" si="250"/>
        <v>13173.318400000002</v>
      </c>
      <c r="K894" s="122"/>
      <c r="L894" s="122">
        <v>23017</v>
      </c>
      <c r="M894" s="122">
        <f t="shared" si="251"/>
        <v>20692.282999999999</v>
      </c>
      <c r="N894" s="122">
        <f t="shared" si="252"/>
        <v>16553.826400000002</v>
      </c>
      <c r="O894" s="122"/>
      <c r="P894" s="122">
        <v>0</v>
      </c>
      <c r="Q894" s="122">
        <f t="shared" si="253"/>
        <v>0</v>
      </c>
      <c r="R894" s="147">
        <f t="shared" si="254"/>
        <v>0</v>
      </c>
      <c r="S894" s="145">
        <v>15</v>
      </c>
      <c r="T894" s="144" t="s">
        <v>213</v>
      </c>
      <c r="U894" s="90">
        <f>SUMIF('Avoided Costs 2009-2017'!$A:$A,Actuals!T894&amp;Actuals!S894,'Avoided Costs 2009-2017'!$E:$E)*J894</f>
        <v>44554.87123764334</v>
      </c>
      <c r="V894" s="90">
        <f>SUMIF('Avoided Costs 2009-2017'!$A:$A,Actuals!T894&amp;Actuals!S894,'Avoided Costs 2009-2017'!$K:$K)*N894</f>
        <v>12357.964051932337</v>
      </c>
      <c r="W894" s="90">
        <f>SUMIF('Avoided Costs 2009-2017'!$A:$A,Actuals!T894&amp;Actuals!S894,'Avoided Costs 2009-2017'!$M:$M)*R894</f>
        <v>0</v>
      </c>
      <c r="X894" s="90">
        <f t="shared" si="255"/>
        <v>56912.835289575676</v>
      </c>
      <c r="Y894" s="148">
        <v>9543</v>
      </c>
      <c r="Z894" s="149">
        <f t="shared" si="256"/>
        <v>7634.4000000000005</v>
      </c>
      <c r="AA894" s="148"/>
      <c r="AB894" s="145"/>
      <c r="AC894" s="145"/>
      <c r="AD894" s="148">
        <f t="shared" si="257"/>
        <v>7634.4000000000005</v>
      </c>
      <c r="AE894" s="122">
        <f t="shared" si="258"/>
        <v>49278.435289575675</v>
      </c>
      <c r="AF894" s="167">
        <f t="shared" si="259"/>
        <v>197599.77600000004</v>
      </c>
    </row>
    <row r="895" spans="1:32" s="150" customFormat="1" x14ac:dyDescent="0.2">
      <c r="A895" s="144" t="s">
        <v>880</v>
      </c>
      <c r="B895" s="144"/>
      <c r="C895" s="144"/>
      <c r="D895" s="145">
        <v>1</v>
      </c>
      <c r="E895" s="122"/>
      <c r="F895" s="146">
        <v>0.2</v>
      </c>
      <c r="G895" s="146"/>
      <c r="H895" s="122">
        <v>46099</v>
      </c>
      <c r="I895" s="122">
        <f t="shared" si="249"/>
        <v>44623.832000000002</v>
      </c>
      <c r="J895" s="147">
        <f t="shared" si="250"/>
        <v>35699.065600000002</v>
      </c>
      <c r="K895" s="122"/>
      <c r="L895" s="122">
        <v>0</v>
      </c>
      <c r="M895" s="122">
        <f t="shared" si="251"/>
        <v>0</v>
      </c>
      <c r="N895" s="122">
        <f t="shared" si="252"/>
        <v>0</v>
      </c>
      <c r="O895" s="122"/>
      <c r="P895" s="122">
        <v>0</v>
      </c>
      <c r="Q895" s="122">
        <f t="shared" si="253"/>
        <v>0</v>
      </c>
      <c r="R895" s="147">
        <f t="shared" si="254"/>
        <v>0</v>
      </c>
      <c r="S895" s="145">
        <v>15</v>
      </c>
      <c r="T895" s="144" t="s">
        <v>213</v>
      </c>
      <c r="U895" s="90">
        <f>SUMIF('Avoided Costs 2009-2017'!$A:$A,Actuals!T895&amp;Actuals!S895,'Avoided Costs 2009-2017'!$E:$E)*J895</f>
        <v>120741.57951820118</v>
      </c>
      <c r="V895" s="90">
        <f>SUMIF('Avoided Costs 2009-2017'!$A:$A,Actuals!T895&amp;Actuals!S895,'Avoided Costs 2009-2017'!$K:$K)*N895</f>
        <v>0</v>
      </c>
      <c r="W895" s="90">
        <f>SUMIF('Avoided Costs 2009-2017'!$A:$A,Actuals!T895&amp;Actuals!S895,'Avoided Costs 2009-2017'!$M:$M)*R895</f>
        <v>0</v>
      </c>
      <c r="X895" s="90">
        <f t="shared" si="255"/>
        <v>120741.57951820118</v>
      </c>
      <c r="Y895" s="148">
        <v>52198</v>
      </c>
      <c r="Z895" s="149">
        <f t="shared" si="256"/>
        <v>41758.400000000001</v>
      </c>
      <c r="AA895" s="148"/>
      <c r="AB895" s="145"/>
      <c r="AC895" s="145"/>
      <c r="AD895" s="148">
        <f t="shared" si="257"/>
        <v>41758.400000000001</v>
      </c>
      <c r="AE895" s="122">
        <f t="shared" si="258"/>
        <v>78983.179518201185</v>
      </c>
      <c r="AF895" s="167">
        <f t="shared" si="259"/>
        <v>535485.98400000005</v>
      </c>
    </row>
    <row r="896" spans="1:32" s="150" customFormat="1" x14ac:dyDescent="0.2">
      <c r="A896" s="144" t="s">
        <v>881</v>
      </c>
      <c r="B896" s="144"/>
      <c r="C896" s="144"/>
      <c r="D896" s="145">
        <v>1</v>
      </c>
      <c r="E896" s="122"/>
      <c r="F896" s="146">
        <v>0.2</v>
      </c>
      <c r="G896" s="146"/>
      <c r="H896" s="122">
        <v>18606</v>
      </c>
      <c r="I896" s="122">
        <f t="shared" si="249"/>
        <v>18010.608</v>
      </c>
      <c r="J896" s="147">
        <f t="shared" si="250"/>
        <v>14408.486400000002</v>
      </c>
      <c r="K896" s="122"/>
      <c r="L896" s="122">
        <v>21271</v>
      </c>
      <c r="M896" s="122">
        <f t="shared" si="251"/>
        <v>19122.629000000001</v>
      </c>
      <c r="N896" s="122">
        <f t="shared" si="252"/>
        <v>15298.103200000001</v>
      </c>
      <c r="O896" s="122"/>
      <c r="P896" s="122">
        <v>0</v>
      </c>
      <c r="Q896" s="122">
        <f t="shared" si="253"/>
        <v>0</v>
      </c>
      <c r="R896" s="147">
        <f t="shared" si="254"/>
        <v>0</v>
      </c>
      <c r="S896" s="145">
        <v>15</v>
      </c>
      <c r="T896" s="144" t="s">
        <v>213</v>
      </c>
      <c r="U896" s="90">
        <f>SUMIF('Avoided Costs 2009-2017'!$A:$A,Actuals!T896&amp;Actuals!S896,'Avoided Costs 2009-2017'!$E:$E)*J896</f>
        <v>48732.463361800714</v>
      </c>
      <c r="V896" s="90">
        <f>SUMIF('Avoided Costs 2009-2017'!$A:$A,Actuals!T896&amp;Actuals!S896,'Avoided Costs 2009-2017'!$K:$K)*N896</f>
        <v>11420.526278344385</v>
      </c>
      <c r="W896" s="90">
        <f>SUMIF('Avoided Costs 2009-2017'!$A:$A,Actuals!T896&amp;Actuals!S896,'Avoided Costs 2009-2017'!$M:$M)*R896</f>
        <v>0</v>
      </c>
      <c r="X896" s="90">
        <f t="shared" si="255"/>
        <v>60152.989640145097</v>
      </c>
      <c r="Y896" s="148">
        <v>11950</v>
      </c>
      <c r="Z896" s="149">
        <f t="shared" si="256"/>
        <v>9560</v>
      </c>
      <c r="AA896" s="148"/>
      <c r="AB896" s="145"/>
      <c r="AC896" s="145"/>
      <c r="AD896" s="148">
        <f t="shared" si="257"/>
        <v>9560</v>
      </c>
      <c r="AE896" s="122">
        <f t="shared" si="258"/>
        <v>50592.989640145097</v>
      </c>
      <c r="AF896" s="167">
        <f t="shared" si="259"/>
        <v>216127.29600000003</v>
      </c>
    </row>
    <row r="897" spans="1:32" s="4" customFormat="1" x14ac:dyDescent="0.2">
      <c r="A897" s="152" t="s">
        <v>200</v>
      </c>
      <c r="B897" s="152" t="s">
        <v>1232</v>
      </c>
      <c r="C897" s="152"/>
      <c r="D897" s="153">
        <f>SUM(D496:D896)</f>
        <v>257</v>
      </c>
      <c r="E897" s="147"/>
      <c r="F897" s="154"/>
      <c r="G897" s="155"/>
      <c r="H897" s="237">
        <f>SUM(H496:H896)</f>
        <v>17955964</v>
      </c>
      <c r="I897" s="237">
        <f>SUM(I496:I896)</f>
        <v>17384712.711999994</v>
      </c>
      <c r="J897" s="237">
        <f>SUM(J496:J896)</f>
        <v>13907770.169600006</v>
      </c>
      <c r="K897" s="147"/>
      <c r="L897" s="237">
        <f>SUM(L496:L896)</f>
        <v>6255179</v>
      </c>
      <c r="M897" s="237">
        <f>SUM(M496:M896)</f>
        <v>5292141.1399999997</v>
      </c>
      <c r="N897" s="237">
        <f>SUM(N496:N896)</f>
        <v>4233712.9119999986</v>
      </c>
      <c r="O897" s="156"/>
      <c r="P897" s="237">
        <f>SUM(P496:P896)</f>
        <v>0</v>
      </c>
      <c r="Q897" s="237">
        <f>SUM(Q496:Q896)</f>
        <v>0</v>
      </c>
      <c r="R897" s="237">
        <f>SUM(R496:R896)</f>
        <v>0</v>
      </c>
      <c r="S897" s="153"/>
      <c r="T897" s="152"/>
      <c r="U897" s="238">
        <f>SUM(U496:U896)</f>
        <v>41325621.898825906</v>
      </c>
      <c r="V897" s="238">
        <f>SUM(V496:V896)</f>
        <v>3160602.9149065977</v>
      </c>
      <c r="W897" s="238">
        <f>SUM(W496:W896)</f>
        <v>0</v>
      </c>
      <c r="X897" s="238">
        <f>SUM(X496:X896)</f>
        <v>44486224.81373252</v>
      </c>
      <c r="Y897" s="157"/>
      <c r="Z897" s="238">
        <f>SUM(Z496:Z896)</f>
        <v>13118008.31199999</v>
      </c>
      <c r="AA897" s="148">
        <v>1936064.45</v>
      </c>
      <c r="AB897" s="148">
        <v>82775.58</v>
      </c>
      <c r="AC897" s="149">
        <f>AB897+AA897</f>
        <v>2018840.03</v>
      </c>
      <c r="AD897" s="149">
        <f t="shared" si="257"/>
        <v>13200783.89199999</v>
      </c>
      <c r="AE897" s="158">
        <f t="shared" si="258"/>
        <v>31285440.92173253</v>
      </c>
      <c r="AF897" s="168">
        <f>SUM(AF496:AF896)</f>
        <v>175193410.53439996</v>
      </c>
    </row>
    <row r="898" spans="1:32" x14ac:dyDescent="0.2">
      <c r="A898" s="134"/>
      <c r="J898" s="26"/>
      <c r="K898" s="51"/>
      <c r="L898" s="51"/>
      <c r="O898" s="92"/>
      <c r="P898" s="36"/>
      <c r="R898" s="26"/>
      <c r="S898" s="26"/>
      <c r="Z898" s="53"/>
      <c r="AA898" s="63"/>
      <c r="AC898" s="53"/>
      <c r="AD898" s="53"/>
      <c r="AE898" s="53"/>
      <c r="AF898" s="166"/>
    </row>
    <row r="899" spans="1:32" x14ac:dyDescent="0.2">
      <c r="A899" s="134" t="s">
        <v>979</v>
      </c>
      <c r="B899" s="30" t="s">
        <v>971</v>
      </c>
      <c r="J899" s="26"/>
      <c r="K899" s="51"/>
      <c r="L899" s="51"/>
      <c r="O899" s="92"/>
      <c r="P899" s="36"/>
      <c r="R899" s="26"/>
      <c r="S899" s="26"/>
      <c r="Z899" s="53"/>
      <c r="AA899" s="63"/>
      <c r="AC899" s="53"/>
      <c r="AD899" s="53"/>
      <c r="AE899" s="53"/>
      <c r="AF899" s="166"/>
    </row>
    <row r="900" spans="1:32" s="150" customFormat="1" x14ac:dyDescent="0.2">
      <c r="A900" s="144" t="s">
        <v>264</v>
      </c>
      <c r="B900" s="144"/>
      <c r="C900" s="144"/>
      <c r="D900" s="145">
        <v>0</v>
      </c>
      <c r="E900" s="122"/>
      <c r="F900" s="146">
        <v>0.2</v>
      </c>
      <c r="G900" s="146"/>
      <c r="H900" s="122">
        <v>14043</v>
      </c>
      <c r="I900" s="122">
        <f t="shared" ref="I900:I923" si="260">+$H$68*H900</f>
        <v>13593.624</v>
      </c>
      <c r="J900" s="147">
        <f t="shared" ref="J900:J923" si="261">I900*(1-F900)</f>
        <v>10874.8992</v>
      </c>
      <c r="K900" s="122"/>
      <c r="L900" s="122">
        <v>0</v>
      </c>
      <c r="M900" s="122">
        <f t="shared" ref="M900:M923" si="262">+$L$68*L900</f>
        <v>0</v>
      </c>
      <c r="N900" s="122">
        <f t="shared" ref="N900:N923" si="263">M900*(1-F900)</f>
        <v>0</v>
      </c>
      <c r="O900" s="122"/>
      <c r="P900" s="122">
        <v>0</v>
      </c>
      <c r="Q900" s="122">
        <f t="shared" ref="Q900:Q923" si="264">+P900*$P$68</f>
        <v>0</v>
      </c>
      <c r="R900" s="147">
        <f t="shared" ref="R900:R923" si="265">Q900*(1-F900)</f>
        <v>0</v>
      </c>
      <c r="S900" s="145">
        <v>8</v>
      </c>
      <c r="T900" s="144" t="s">
        <v>1176</v>
      </c>
      <c r="U900" s="90">
        <f>SUMIF('Avoided Costs 2009-2017'!$A:$A,Actuals!T900&amp;Actuals!S900,'Avoided Costs 2009-2017'!$E:$E)*J900</f>
        <v>22280.531317844845</v>
      </c>
      <c r="V900" s="90">
        <f>SUMIF('Avoided Costs 2009-2017'!$A:$A,Actuals!T900&amp;Actuals!S900,'Avoided Costs 2009-2017'!$K:$K)*N900</f>
        <v>0</v>
      </c>
      <c r="W900" s="90">
        <f>SUMIF('Avoided Costs 2009-2017'!$A:$A,Actuals!T900&amp;Actuals!S900,'Avoided Costs 2009-2017'!$M:$M)*R900</f>
        <v>0</v>
      </c>
      <c r="X900" s="90">
        <f t="shared" ref="X900:X923" si="266">SUM(U900:W900)</f>
        <v>22280.531317844845</v>
      </c>
      <c r="Y900" s="148">
        <v>13559</v>
      </c>
      <c r="Z900" s="149">
        <f t="shared" ref="Z900:Z923" si="267">Y900*(1-F900)</f>
        <v>10847.2</v>
      </c>
      <c r="AA900" s="148"/>
      <c r="AB900" s="145"/>
      <c r="AC900" s="145"/>
      <c r="AD900" s="148">
        <f t="shared" ref="AD900:AD924" si="268">Z900+AB900</f>
        <v>10847.2</v>
      </c>
      <c r="AE900" s="122">
        <f t="shared" ref="AE900:AE924" si="269">X900-AD900</f>
        <v>11433.331317844844</v>
      </c>
      <c r="AF900" s="167">
        <f t="shared" ref="AF900:AF923" si="270">J900*S900</f>
        <v>86999.193599999999</v>
      </c>
    </row>
    <row r="901" spans="1:32" s="150" customFormat="1" x14ac:dyDescent="0.2">
      <c r="A901" s="144" t="s">
        <v>265</v>
      </c>
      <c r="B901" s="144"/>
      <c r="C901" s="144"/>
      <c r="D901" s="145">
        <v>0</v>
      </c>
      <c r="E901" s="122"/>
      <c r="F901" s="146">
        <v>0.2</v>
      </c>
      <c r="G901" s="146"/>
      <c r="H901" s="122">
        <v>27063</v>
      </c>
      <c r="I901" s="122">
        <f t="shared" si="260"/>
        <v>26196.984</v>
      </c>
      <c r="J901" s="147">
        <f t="shared" si="261"/>
        <v>20957.587200000002</v>
      </c>
      <c r="K901" s="122"/>
      <c r="L901" s="122">
        <v>16337</v>
      </c>
      <c r="M901" s="122">
        <f t="shared" si="262"/>
        <v>14686.963</v>
      </c>
      <c r="N901" s="122">
        <f t="shared" si="263"/>
        <v>11749.570400000001</v>
      </c>
      <c r="O901" s="122"/>
      <c r="P901" s="122">
        <v>0</v>
      </c>
      <c r="Q901" s="122">
        <f t="shared" si="264"/>
        <v>0</v>
      </c>
      <c r="R901" s="147">
        <f t="shared" si="265"/>
        <v>0</v>
      </c>
      <c r="S901" s="145">
        <v>15</v>
      </c>
      <c r="T901" s="144" t="s">
        <v>213</v>
      </c>
      <c r="U901" s="90">
        <f>SUMIF('Avoided Costs 2009-2017'!$A:$A,Actuals!T901&amp;Actuals!S901,'Avoided Costs 2009-2017'!$E:$E)*J901</f>
        <v>70882.868749887813</v>
      </c>
      <c r="V901" s="90">
        <f>SUMIF('Avoided Costs 2009-2017'!$A:$A,Actuals!T901&amp;Actuals!S901,'Avoided Costs 2009-2017'!$K:$K)*N901</f>
        <v>8771.4323637493399</v>
      </c>
      <c r="W901" s="90">
        <f>SUMIF('Avoided Costs 2009-2017'!$A:$A,Actuals!T901&amp;Actuals!S901,'Avoided Costs 2009-2017'!$M:$M)*R901</f>
        <v>0</v>
      </c>
      <c r="X901" s="90">
        <f t="shared" si="266"/>
        <v>79654.30111363715</v>
      </c>
      <c r="Y901" s="148">
        <v>1000</v>
      </c>
      <c r="Z901" s="149">
        <f t="shared" si="267"/>
        <v>800</v>
      </c>
      <c r="AA901" s="148"/>
      <c r="AB901" s="145"/>
      <c r="AC901" s="145"/>
      <c r="AD901" s="148">
        <f t="shared" si="268"/>
        <v>800</v>
      </c>
      <c r="AE901" s="122">
        <f t="shared" si="269"/>
        <v>78854.30111363715</v>
      </c>
      <c r="AF901" s="167">
        <f t="shared" si="270"/>
        <v>314363.80800000002</v>
      </c>
    </row>
    <row r="902" spans="1:32" s="150" customFormat="1" x14ac:dyDescent="0.2">
      <c r="A902" s="144" t="s">
        <v>266</v>
      </c>
      <c r="B902" s="144"/>
      <c r="C902" s="144"/>
      <c r="D902" s="145">
        <v>1</v>
      </c>
      <c r="E902" s="122"/>
      <c r="F902" s="146">
        <v>0.2</v>
      </c>
      <c r="G902" s="146"/>
      <c r="H902" s="122">
        <v>12498</v>
      </c>
      <c r="I902" s="122">
        <f t="shared" si="260"/>
        <v>12098.064</v>
      </c>
      <c r="J902" s="147">
        <f t="shared" si="261"/>
        <v>9678.4512000000013</v>
      </c>
      <c r="K902" s="122"/>
      <c r="L902" s="122">
        <v>0</v>
      </c>
      <c r="M902" s="122">
        <f t="shared" si="262"/>
        <v>0</v>
      </c>
      <c r="N902" s="122">
        <f t="shared" si="263"/>
        <v>0</v>
      </c>
      <c r="O902" s="122"/>
      <c r="P902" s="122">
        <v>0</v>
      </c>
      <c r="Q902" s="122">
        <f t="shared" si="264"/>
        <v>0</v>
      </c>
      <c r="R902" s="147">
        <f t="shared" si="265"/>
        <v>0</v>
      </c>
      <c r="S902" s="145">
        <v>11</v>
      </c>
      <c r="T902" s="144" t="s">
        <v>213</v>
      </c>
      <c r="U902" s="90">
        <f>SUMIF('Avoided Costs 2009-2017'!$A:$A,Actuals!T902&amp;Actuals!S902,'Avoided Costs 2009-2017'!$E:$E)*J902</f>
        <v>27086.994448407502</v>
      </c>
      <c r="V902" s="90">
        <f>SUMIF('Avoided Costs 2009-2017'!$A:$A,Actuals!T902&amp;Actuals!S902,'Avoided Costs 2009-2017'!$K:$K)*N902</f>
        <v>0</v>
      </c>
      <c r="W902" s="90">
        <f>SUMIF('Avoided Costs 2009-2017'!$A:$A,Actuals!T902&amp;Actuals!S902,'Avoided Costs 2009-2017'!$M:$M)*R902</f>
        <v>0</v>
      </c>
      <c r="X902" s="90">
        <f t="shared" si="266"/>
        <v>27086.994448407502</v>
      </c>
      <c r="Y902" s="148">
        <v>18689</v>
      </c>
      <c r="Z902" s="149">
        <f t="shared" si="267"/>
        <v>14951.2</v>
      </c>
      <c r="AA902" s="148"/>
      <c r="AB902" s="145"/>
      <c r="AC902" s="145"/>
      <c r="AD902" s="148">
        <f t="shared" si="268"/>
        <v>14951.2</v>
      </c>
      <c r="AE902" s="122">
        <f t="shared" si="269"/>
        <v>12135.794448407501</v>
      </c>
      <c r="AF902" s="167">
        <f t="shared" si="270"/>
        <v>106462.96320000001</v>
      </c>
    </row>
    <row r="903" spans="1:32" s="150" customFormat="1" x14ac:dyDescent="0.2">
      <c r="A903" s="144" t="s">
        <v>267</v>
      </c>
      <c r="B903" s="144"/>
      <c r="C903" s="144"/>
      <c r="D903" s="145">
        <v>0</v>
      </c>
      <c r="E903" s="122"/>
      <c r="F903" s="146">
        <v>0.2</v>
      </c>
      <c r="G903" s="146"/>
      <c r="H903" s="122">
        <v>11052</v>
      </c>
      <c r="I903" s="122">
        <f t="shared" si="260"/>
        <v>10698.335999999999</v>
      </c>
      <c r="J903" s="147">
        <f t="shared" si="261"/>
        <v>8558.6687999999995</v>
      </c>
      <c r="K903" s="122"/>
      <c r="L903" s="122">
        <v>45029</v>
      </c>
      <c r="M903" s="122">
        <f t="shared" si="262"/>
        <v>40481.071000000004</v>
      </c>
      <c r="N903" s="122">
        <f t="shared" si="263"/>
        <v>32384.856800000005</v>
      </c>
      <c r="O903" s="122"/>
      <c r="P903" s="122">
        <v>0</v>
      </c>
      <c r="Q903" s="122">
        <f t="shared" si="264"/>
        <v>0</v>
      </c>
      <c r="R903" s="147">
        <f t="shared" si="265"/>
        <v>0</v>
      </c>
      <c r="S903" s="145">
        <v>15</v>
      </c>
      <c r="T903" s="144" t="s">
        <v>213</v>
      </c>
      <c r="U903" s="90">
        <f>SUMIF('Avoided Costs 2009-2017'!$A:$A,Actuals!T903&amp;Actuals!S903,'Avoided Costs 2009-2017'!$E:$E)*J903</f>
        <v>28947.177527390166</v>
      </c>
      <c r="V903" s="90">
        <f>SUMIF('Avoided Costs 2009-2017'!$A:$A,Actuals!T903&amp;Actuals!S903,'Avoided Costs 2009-2017'!$K:$K)*N903</f>
        <v>24176.337632813189</v>
      </c>
      <c r="W903" s="90">
        <f>SUMIF('Avoided Costs 2009-2017'!$A:$A,Actuals!T903&amp;Actuals!S903,'Avoided Costs 2009-2017'!$M:$M)*R903</f>
        <v>0</v>
      </c>
      <c r="X903" s="90">
        <f t="shared" si="266"/>
        <v>53123.515160203358</v>
      </c>
      <c r="Y903" s="148">
        <v>0</v>
      </c>
      <c r="Z903" s="149">
        <f t="shared" si="267"/>
        <v>0</v>
      </c>
      <c r="AA903" s="148"/>
      <c r="AB903" s="145"/>
      <c r="AC903" s="145"/>
      <c r="AD903" s="148">
        <f t="shared" si="268"/>
        <v>0</v>
      </c>
      <c r="AE903" s="122">
        <f t="shared" si="269"/>
        <v>53123.515160203358</v>
      </c>
      <c r="AF903" s="167">
        <f t="shared" si="270"/>
        <v>128380.03199999999</v>
      </c>
    </row>
    <row r="904" spans="1:32" s="150" customFormat="1" x14ac:dyDescent="0.2">
      <c r="A904" s="144" t="s">
        <v>268</v>
      </c>
      <c r="B904" s="144"/>
      <c r="C904" s="144"/>
      <c r="D904" s="145">
        <v>0</v>
      </c>
      <c r="E904" s="122"/>
      <c r="F904" s="146">
        <v>0.2</v>
      </c>
      <c r="G904" s="146"/>
      <c r="H904" s="122">
        <v>2320</v>
      </c>
      <c r="I904" s="122">
        <f t="shared" si="260"/>
        <v>2245.7599999999998</v>
      </c>
      <c r="J904" s="147">
        <f t="shared" si="261"/>
        <v>1796.6079999999999</v>
      </c>
      <c r="K904" s="122"/>
      <c r="L904" s="122">
        <v>0</v>
      </c>
      <c r="M904" s="122">
        <f t="shared" si="262"/>
        <v>0</v>
      </c>
      <c r="N904" s="122">
        <f t="shared" si="263"/>
        <v>0</v>
      </c>
      <c r="O904" s="122"/>
      <c r="P904" s="122">
        <v>0</v>
      </c>
      <c r="Q904" s="122">
        <f t="shared" si="264"/>
        <v>0</v>
      </c>
      <c r="R904" s="147">
        <f t="shared" si="265"/>
        <v>0</v>
      </c>
      <c r="S904" s="145">
        <v>5</v>
      </c>
      <c r="T904" s="144" t="s">
        <v>213</v>
      </c>
      <c r="U904" s="90">
        <f>SUMIF('Avoided Costs 2009-2017'!$A:$A,Actuals!T904&amp;Actuals!S904,'Avoided Costs 2009-2017'!$E:$E)*J904</f>
        <v>2697.7422930389907</v>
      </c>
      <c r="V904" s="90">
        <f>SUMIF('Avoided Costs 2009-2017'!$A:$A,Actuals!T904&amp;Actuals!S904,'Avoided Costs 2009-2017'!$K:$K)*N904</f>
        <v>0</v>
      </c>
      <c r="W904" s="90">
        <f>SUMIF('Avoided Costs 2009-2017'!$A:$A,Actuals!T904&amp;Actuals!S904,'Avoided Costs 2009-2017'!$M:$M)*R904</f>
        <v>0</v>
      </c>
      <c r="X904" s="90">
        <f t="shared" si="266"/>
        <v>2697.7422930389907</v>
      </c>
      <c r="Y904" s="148">
        <v>0</v>
      </c>
      <c r="Z904" s="149">
        <f t="shared" si="267"/>
        <v>0</v>
      </c>
      <c r="AA904" s="148"/>
      <c r="AB904" s="145"/>
      <c r="AC904" s="145"/>
      <c r="AD904" s="148">
        <f t="shared" si="268"/>
        <v>0</v>
      </c>
      <c r="AE904" s="122">
        <f t="shared" si="269"/>
        <v>2697.7422930389907</v>
      </c>
      <c r="AF904" s="167">
        <f t="shared" si="270"/>
        <v>8983.0399999999991</v>
      </c>
    </row>
    <row r="905" spans="1:32" s="150" customFormat="1" x14ac:dyDescent="0.2">
      <c r="A905" s="144" t="s">
        <v>269</v>
      </c>
      <c r="B905" s="144"/>
      <c r="C905" s="144"/>
      <c r="D905" s="145">
        <v>1</v>
      </c>
      <c r="E905" s="122"/>
      <c r="F905" s="146">
        <v>0.2</v>
      </c>
      <c r="G905" s="146"/>
      <c r="H905" s="122">
        <v>1641</v>
      </c>
      <c r="I905" s="122">
        <f t="shared" si="260"/>
        <v>1588.4880000000001</v>
      </c>
      <c r="J905" s="147">
        <f t="shared" si="261"/>
        <v>1270.7904000000001</v>
      </c>
      <c r="K905" s="122"/>
      <c r="L905" s="122">
        <v>0</v>
      </c>
      <c r="M905" s="122">
        <f t="shared" si="262"/>
        <v>0</v>
      </c>
      <c r="N905" s="122">
        <f t="shared" si="263"/>
        <v>0</v>
      </c>
      <c r="O905" s="122"/>
      <c r="P905" s="122">
        <v>0</v>
      </c>
      <c r="Q905" s="122">
        <f t="shared" si="264"/>
        <v>0</v>
      </c>
      <c r="R905" s="147">
        <f t="shared" si="265"/>
        <v>0</v>
      </c>
      <c r="S905" s="145">
        <v>15</v>
      </c>
      <c r="T905" s="144" t="s">
        <v>1176</v>
      </c>
      <c r="U905" s="90">
        <f>SUMIF('Avoided Costs 2009-2017'!$A:$A,Actuals!T905&amp;Actuals!S905,'Avoided Costs 2009-2017'!$E:$E)*J905</f>
        <v>3914.6544446834582</v>
      </c>
      <c r="V905" s="90">
        <f>SUMIF('Avoided Costs 2009-2017'!$A:$A,Actuals!T905&amp;Actuals!S905,'Avoided Costs 2009-2017'!$K:$K)*N905</f>
        <v>0</v>
      </c>
      <c r="W905" s="90">
        <f>SUMIF('Avoided Costs 2009-2017'!$A:$A,Actuals!T905&amp;Actuals!S905,'Avoided Costs 2009-2017'!$M:$M)*R905</f>
        <v>0</v>
      </c>
      <c r="X905" s="90">
        <f t="shared" si="266"/>
        <v>3914.6544446834582</v>
      </c>
      <c r="Y905" s="148">
        <v>34100</v>
      </c>
      <c r="Z905" s="149">
        <f t="shared" si="267"/>
        <v>27280</v>
      </c>
      <c r="AA905" s="148"/>
      <c r="AB905" s="145"/>
      <c r="AC905" s="145"/>
      <c r="AD905" s="148">
        <f t="shared" si="268"/>
        <v>27280</v>
      </c>
      <c r="AE905" s="122">
        <f t="shared" si="269"/>
        <v>-23365.34555531654</v>
      </c>
      <c r="AF905" s="167">
        <f t="shared" si="270"/>
        <v>19061.856</v>
      </c>
    </row>
    <row r="906" spans="1:32" s="150" customFormat="1" x14ac:dyDescent="0.2">
      <c r="A906" s="144" t="s">
        <v>270</v>
      </c>
      <c r="B906" s="144"/>
      <c r="C906" s="144"/>
      <c r="D906" s="145">
        <v>1</v>
      </c>
      <c r="E906" s="122"/>
      <c r="F906" s="146">
        <v>0.2</v>
      </c>
      <c r="G906" s="146"/>
      <c r="H906" s="122">
        <v>53676</v>
      </c>
      <c r="I906" s="122">
        <f t="shared" si="260"/>
        <v>51958.367999999995</v>
      </c>
      <c r="J906" s="147">
        <f t="shared" si="261"/>
        <v>41566.6944</v>
      </c>
      <c r="K906" s="122"/>
      <c r="L906" s="122">
        <v>0</v>
      </c>
      <c r="M906" s="122">
        <f t="shared" si="262"/>
        <v>0</v>
      </c>
      <c r="N906" s="122">
        <f t="shared" si="263"/>
        <v>0</v>
      </c>
      <c r="O906" s="122"/>
      <c r="P906" s="122">
        <v>0</v>
      </c>
      <c r="Q906" s="122">
        <f t="shared" si="264"/>
        <v>0</v>
      </c>
      <c r="R906" s="147">
        <f t="shared" si="265"/>
        <v>0</v>
      </c>
      <c r="S906" s="145">
        <v>8</v>
      </c>
      <c r="T906" s="144" t="s">
        <v>1176</v>
      </c>
      <c r="U906" s="90">
        <f>SUMIF('Avoided Costs 2009-2017'!$A:$A,Actuals!T906&amp;Actuals!S906,'Avoided Costs 2009-2017'!$E:$E)*J906</f>
        <v>85161.988109139056</v>
      </c>
      <c r="V906" s="90">
        <f>SUMIF('Avoided Costs 2009-2017'!$A:$A,Actuals!T906&amp;Actuals!S906,'Avoided Costs 2009-2017'!$K:$K)*N906</f>
        <v>0</v>
      </c>
      <c r="W906" s="90">
        <f>SUMIF('Avoided Costs 2009-2017'!$A:$A,Actuals!T906&amp;Actuals!S906,'Avoided Costs 2009-2017'!$M:$M)*R906</f>
        <v>0</v>
      </c>
      <c r="X906" s="90">
        <f t="shared" si="266"/>
        <v>85161.988109139056</v>
      </c>
      <c r="Y906" s="148">
        <v>37543</v>
      </c>
      <c r="Z906" s="149">
        <f t="shared" si="267"/>
        <v>30034.400000000001</v>
      </c>
      <c r="AA906" s="148"/>
      <c r="AB906" s="145"/>
      <c r="AC906" s="145"/>
      <c r="AD906" s="148">
        <f t="shared" si="268"/>
        <v>30034.400000000001</v>
      </c>
      <c r="AE906" s="122">
        <f t="shared" si="269"/>
        <v>55127.588109139055</v>
      </c>
      <c r="AF906" s="167">
        <f t="shared" si="270"/>
        <v>332533.5552</v>
      </c>
    </row>
    <row r="907" spans="1:32" s="150" customFormat="1" x14ac:dyDescent="0.2">
      <c r="A907" s="144" t="s">
        <v>271</v>
      </c>
      <c r="B907" s="144"/>
      <c r="C907" s="144"/>
      <c r="D907" s="145">
        <v>1</v>
      </c>
      <c r="E907" s="122"/>
      <c r="F907" s="146">
        <v>0.2</v>
      </c>
      <c r="G907" s="146"/>
      <c r="H907" s="122">
        <v>6969</v>
      </c>
      <c r="I907" s="122">
        <f t="shared" si="260"/>
        <v>6745.9920000000002</v>
      </c>
      <c r="J907" s="147">
        <f t="shared" si="261"/>
        <v>5396.7936000000009</v>
      </c>
      <c r="K907" s="122"/>
      <c r="L907" s="122">
        <v>10635</v>
      </c>
      <c r="M907" s="122">
        <f t="shared" si="262"/>
        <v>9560.8649999999998</v>
      </c>
      <c r="N907" s="122">
        <f t="shared" si="263"/>
        <v>7648.692</v>
      </c>
      <c r="O907" s="122"/>
      <c r="P907" s="122">
        <v>0</v>
      </c>
      <c r="Q907" s="122">
        <f t="shared" si="264"/>
        <v>0</v>
      </c>
      <c r="R907" s="147">
        <f t="shared" si="265"/>
        <v>0</v>
      </c>
      <c r="S907" s="145">
        <v>15</v>
      </c>
      <c r="T907" s="144" t="s">
        <v>213</v>
      </c>
      <c r="U907" s="90">
        <f>SUMIF('Avoided Costs 2009-2017'!$A:$A,Actuals!T907&amp;Actuals!S907,'Avoided Costs 2009-2017'!$E:$E)*J907</f>
        <v>18253.065525550319</v>
      </c>
      <c r="V907" s="90">
        <f>SUMIF('Avoided Costs 2009-2017'!$A:$A,Actuals!T907&amp;Actuals!S907,'Avoided Costs 2009-2017'!$K:$K)*N907</f>
        <v>5709.9946862015195</v>
      </c>
      <c r="W907" s="90">
        <f>SUMIF('Avoided Costs 2009-2017'!$A:$A,Actuals!T907&amp;Actuals!S907,'Avoided Costs 2009-2017'!$M:$M)*R907</f>
        <v>0</v>
      </c>
      <c r="X907" s="90">
        <f t="shared" si="266"/>
        <v>23963.060211751839</v>
      </c>
      <c r="Y907" s="148">
        <v>5200</v>
      </c>
      <c r="Z907" s="149">
        <f t="shared" si="267"/>
        <v>4160</v>
      </c>
      <c r="AA907" s="148"/>
      <c r="AB907" s="145"/>
      <c r="AC907" s="145"/>
      <c r="AD907" s="148">
        <f t="shared" si="268"/>
        <v>4160</v>
      </c>
      <c r="AE907" s="122">
        <f t="shared" si="269"/>
        <v>19803.060211751839</v>
      </c>
      <c r="AF907" s="167">
        <f t="shared" si="270"/>
        <v>80951.90400000001</v>
      </c>
    </row>
    <row r="908" spans="1:32" s="150" customFormat="1" x14ac:dyDescent="0.2">
      <c r="A908" s="144" t="s">
        <v>272</v>
      </c>
      <c r="B908" s="144"/>
      <c r="C908" s="144"/>
      <c r="D908" s="145">
        <v>0</v>
      </c>
      <c r="E908" s="122"/>
      <c r="F908" s="146">
        <v>0.2</v>
      </c>
      <c r="G908" s="146"/>
      <c r="H908" s="122">
        <v>32213</v>
      </c>
      <c r="I908" s="122">
        <f t="shared" si="260"/>
        <v>31182.183999999997</v>
      </c>
      <c r="J908" s="147">
        <f t="shared" si="261"/>
        <v>24945.747199999998</v>
      </c>
      <c r="K908" s="122"/>
      <c r="L908" s="122">
        <v>0</v>
      </c>
      <c r="M908" s="122">
        <f t="shared" si="262"/>
        <v>0</v>
      </c>
      <c r="N908" s="122">
        <f t="shared" si="263"/>
        <v>0</v>
      </c>
      <c r="O908" s="122"/>
      <c r="P908" s="122">
        <v>0</v>
      </c>
      <c r="Q908" s="122">
        <f t="shared" si="264"/>
        <v>0</v>
      </c>
      <c r="R908" s="147">
        <f t="shared" si="265"/>
        <v>0</v>
      </c>
      <c r="S908" s="145">
        <v>8</v>
      </c>
      <c r="T908" s="144" t="s">
        <v>1176</v>
      </c>
      <c r="U908" s="90">
        <f>SUMIF('Avoided Costs 2009-2017'!$A:$A,Actuals!T908&amp;Actuals!S908,'Avoided Costs 2009-2017'!$E:$E)*J908</f>
        <v>51108.933656749687</v>
      </c>
      <c r="V908" s="90">
        <f>SUMIF('Avoided Costs 2009-2017'!$A:$A,Actuals!T908&amp;Actuals!S908,'Avoided Costs 2009-2017'!$K:$K)*N908</f>
        <v>0</v>
      </c>
      <c r="W908" s="90">
        <f>SUMIF('Avoided Costs 2009-2017'!$A:$A,Actuals!T908&amp;Actuals!S908,'Avoided Costs 2009-2017'!$M:$M)*R908</f>
        <v>0</v>
      </c>
      <c r="X908" s="90">
        <f t="shared" si="266"/>
        <v>51108.933656749687</v>
      </c>
      <c r="Y908" s="148">
        <v>25637</v>
      </c>
      <c r="Z908" s="149">
        <f t="shared" si="267"/>
        <v>20509.600000000002</v>
      </c>
      <c r="AA908" s="148"/>
      <c r="AB908" s="145"/>
      <c r="AC908" s="145"/>
      <c r="AD908" s="148">
        <f t="shared" si="268"/>
        <v>20509.600000000002</v>
      </c>
      <c r="AE908" s="122">
        <f t="shared" si="269"/>
        <v>30599.333656749684</v>
      </c>
      <c r="AF908" s="167">
        <f t="shared" si="270"/>
        <v>199565.97759999998</v>
      </c>
    </row>
    <row r="909" spans="1:32" s="150" customFormat="1" x14ac:dyDescent="0.2">
      <c r="A909" s="144" t="s">
        <v>273</v>
      </c>
      <c r="B909" s="144"/>
      <c r="C909" s="144"/>
      <c r="D909" s="145">
        <v>1</v>
      </c>
      <c r="E909" s="122"/>
      <c r="F909" s="146">
        <v>0.2</v>
      </c>
      <c r="G909" s="146"/>
      <c r="H909" s="122">
        <v>36388</v>
      </c>
      <c r="I909" s="122">
        <f t="shared" si="260"/>
        <v>35223.584000000003</v>
      </c>
      <c r="J909" s="147">
        <f t="shared" si="261"/>
        <v>28178.867200000004</v>
      </c>
      <c r="K909" s="122"/>
      <c r="L909" s="122">
        <v>0</v>
      </c>
      <c r="M909" s="122">
        <f t="shared" si="262"/>
        <v>0</v>
      </c>
      <c r="N909" s="122">
        <f t="shared" si="263"/>
        <v>0</v>
      </c>
      <c r="O909" s="122"/>
      <c r="P909" s="122">
        <v>0</v>
      </c>
      <c r="Q909" s="122">
        <f t="shared" si="264"/>
        <v>0</v>
      </c>
      <c r="R909" s="147">
        <f t="shared" si="265"/>
        <v>0</v>
      </c>
      <c r="S909" s="145">
        <v>11</v>
      </c>
      <c r="T909" s="144" t="s">
        <v>213</v>
      </c>
      <c r="U909" s="90">
        <f>SUMIF('Avoided Costs 2009-2017'!$A:$A,Actuals!T909&amp;Actuals!S909,'Avoided Costs 2009-2017'!$E:$E)*J909</f>
        <v>78863.942549900166</v>
      </c>
      <c r="V909" s="90">
        <f>SUMIF('Avoided Costs 2009-2017'!$A:$A,Actuals!T909&amp;Actuals!S909,'Avoided Costs 2009-2017'!$K:$K)*N909</f>
        <v>0</v>
      </c>
      <c r="W909" s="90">
        <f>SUMIF('Avoided Costs 2009-2017'!$A:$A,Actuals!T909&amp;Actuals!S909,'Avoided Costs 2009-2017'!$M:$M)*R909</f>
        <v>0</v>
      </c>
      <c r="X909" s="90">
        <f t="shared" si="266"/>
        <v>78863.942549900166</v>
      </c>
      <c r="Y909" s="148">
        <v>51273</v>
      </c>
      <c r="Z909" s="149">
        <f t="shared" si="267"/>
        <v>41018.400000000001</v>
      </c>
      <c r="AA909" s="148"/>
      <c r="AB909" s="145"/>
      <c r="AC909" s="145"/>
      <c r="AD909" s="148">
        <f t="shared" si="268"/>
        <v>41018.400000000001</v>
      </c>
      <c r="AE909" s="122">
        <f t="shared" si="269"/>
        <v>37845.542549900165</v>
      </c>
      <c r="AF909" s="167">
        <f t="shared" si="270"/>
        <v>309967.53920000006</v>
      </c>
    </row>
    <row r="910" spans="1:32" s="150" customFormat="1" x14ac:dyDescent="0.2">
      <c r="A910" s="144" t="s">
        <v>274</v>
      </c>
      <c r="B910" s="144"/>
      <c r="C910" s="144"/>
      <c r="D910" s="145">
        <v>0</v>
      </c>
      <c r="E910" s="122"/>
      <c r="F910" s="146">
        <v>0.2</v>
      </c>
      <c r="G910" s="146"/>
      <c r="H910" s="122">
        <v>13799</v>
      </c>
      <c r="I910" s="122">
        <f t="shared" si="260"/>
        <v>13357.431999999999</v>
      </c>
      <c r="J910" s="147">
        <f t="shared" si="261"/>
        <v>10685.945599999999</v>
      </c>
      <c r="K910" s="122"/>
      <c r="L910" s="122">
        <v>15772</v>
      </c>
      <c r="M910" s="122">
        <f t="shared" si="262"/>
        <v>14179.028</v>
      </c>
      <c r="N910" s="122">
        <f t="shared" si="263"/>
        <v>11343.222400000001</v>
      </c>
      <c r="O910" s="122"/>
      <c r="P910" s="122">
        <v>0</v>
      </c>
      <c r="Q910" s="122">
        <f t="shared" si="264"/>
        <v>0</v>
      </c>
      <c r="R910" s="147">
        <f t="shared" si="265"/>
        <v>0</v>
      </c>
      <c r="S910" s="145">
        <v>15</v>
      </c>
      <c r="T910" s="144" t="s">
        <v>213</v>
      </c>
      <c r="U910" s="90">
        <f>SUMIF('Avoided Costs 2009-2017'!$A:$A,Actuals!T910&amp;Actuals!S910,'Avoided Costs 2009-2017'!$E:$E)*J910</f>
        <v>36142.065028995377</v>
      </c>
      <c r="V910" s="90">
        <f>SUMIF('Avoided Costs 2009-2017'!$A:$A,Actuals!T910&amp;Actuals!S910,'Avoided Costs 2009-2017'!$K:$K)*N910</f>
        <v>8468.0805068895515</v>
      </c>
      <c r="W910" s="90">
        <f>SUMIF('Avoided Costs 2009-2017'!$A:$A,Actuals!T910&amp;Actuals!S910,'Avoided Costs 2009-2017'!$M:$M)*R910</f>
        <v>0</v>
      </c>
      <c r="X910" s="90">
        <f t="shared" si="266"/>
        <v>44610.145535884927</v>
      </c>
      <c r="Y910" s="148">
        <v>3840</v>
      </c>
      <c r="Z910" s="149">
        <f t="shared" si="267"/>
        <v>3072</v>
      </c>
      <c r="AA910" s="148"/>
      <c r="AB910" s="145"/>
      <c r="AC910" s="145"/>
      <c r="AD910" s="148">
        <f t="shared" si="268"/>
        <v>3072</v>
      </c>
      <c r="AE910" s="122">
        <f t="shared" si="269"/>
        <v>41538.145535884927</v>
      </c>
      <c r="AF910" s="167">
        <f t="shared" si="270"/>
        <v>160289.18399999998</v>
      </c>
    </row>
    <row r="911" spans="1:32" s="150" customFormat="1" x14ac:dyDescent="0.2">
      <c r="A911" s="144" t="s">
        <v>275</v>
      </c>
      <c r="B911" s="144"/>
      <c r="C911" s="144"/>
      <c r="D911" s="145">
        <v>1</v>
      </c>
      <c r="E911" s="122"/>
      <c r="F911" s="146">
        <v>0.2</v>
      </c>
      <c r="G911" s="146"/>
      <c r="H911" s="122">
        <v>10696</v>
      </c>
      <c r="I911" s="122">
        <f t="shared" si="260"/>
        <v>10353.727999999999</v>
      </c>
      <c r="J911" s="147">
        <f t="shared" si="261"/>
        <v>8282.982399999999</v>
      </c>
      <c r="K911" s="122"/>
      <c r="L911" s="122">
        <v>0</v>
      </c>
      <c r="M911" s="122">
        <f t="shared" si="262"/>
        <v>0</v>
      </c>
      <c r="N911" s="122">
        <f t="shared" si="263"/>
        <v>0</v>
      </c>
      <c r="O911" s="122"/>
      <c r="P911" s="122">
        <v>0</v>
      </c>
      <c r="Q911" s="122">
        <f t="shared" si="264"/>
        <v>0</v>
      </c>
      <c r="R911" s="147">
        <f t="shared" si="265"/>
        <v>0</v>
      </c>
      <c r="S911" s="145">
        <v>8</v>
      </c>
      <c r="T911" s="144" t="s">
        <v>1176</v>
      </c>
      <c r="U911" s="90">
        <f>SUMIF('Avoided Costs 2009-2017'!$A:$A,Actuals!T911&amp;Actuals!S911,'Avoided Costs 2009-2017'!$E:$E)*J911</f>
        <v>16970.203159984932</v>
      </c>
      <c r="V911" s="90">
        <f>SUMIF('Avoided Costs 2009-2017'!$A:$A,Actuals!T911&amp;Actuals!S911,'Avoided Costs 2009-2017'!$K:$K)*N911</f>
        <v>0</v>
      </c>
      <c r="W911" s="90">
        <f>SUMIF('Avoided Costs 2009-2017'!$A:$A,Actuals!T911&amp;Actuals!S911,'Avoided Costs 2009-2017'!$M:$M)*R911</f>
        <v>0</v>
      </c>
      <c r="X911" s="90">
        <f t="shared" si="266"/>
        <v>16970.203159984932</v>
      </c>
      <c r="Y911" s="148">
        <v>20972</v>
      </c>
      <c r="Z911" s="149">
        <f t="shared" si="267"/>
        <v>16777.600000000002</v>
      </c>
      <c r="AA911" s="148"/>
      <c r="AB911" s="145"/>
      <c r="AC911" s="145"/>
      <c r="AD911" s="148">
        <f t="shared" si="268"/>
        <v>16777.600000000002</v>
      </c>
      <c r="AE911" s="122">
        <f t="shared" si="269"/>
        <v>192.60315998493024</v>
      </c>
      <c r="AF911" s="167">
        <f t="shared" si="270"/>
        <v>66263.859199999992</v>
      </c>
    </row>
    <row r="912" spans="1:32" s="150" customFormat="1" x14ac:dyDescent="0.2">
      <c r="A912" s="144" t="s">
        <v>276</v>
      </c>
      <c r="B912" s="144"/>
      <c r="C912" s="144"/>
      <c r="D912" s="145">
        <v>1</v>
      </c>
      <c r="E912" s="122"/>
      <c r="F912" s="146">
        <v>0.2</v>
      </c>
      <c r="G912" s="146"/>
      <c r="H912" s="122">
        <v>11146</v>
      </c>
      <c r="I912" s="122">
        <f t="shared" si="260"/>
        <v>10789.328</v>
      </c>
      <c r="J912" s="147">
        <f t="shared" si="261"/>
        <v>8631.4624000000003</v>
      </c>
      <c r="K912" s="122"/>
      <c r="L912" s="122">
        <v>0</v>
      </c>
      <c r="M912" s="122">
        <f t="shared" si="262"/>
        <v>0</v>
      </c>
      <c r="N912" s="122">
        <f t="shared" si="263"/>
        <v>0</v>
      </c>
      <c r="O912" s="122"/>
      <c r="P912" s="122">
        <v>0</v>
      </c>
      <c r="Q912" s="122">
        <f t="shared" si="264"/>
        <v>0</v>
      </c>
      <c r="R912" s="147">
        <f t="shared" si="265"/>
        <v>0</v>
      </c>
      <c r="S912" s="145">
        <v>15</v>
      </c>
      <c r="T912" s="144" t="s">
        <v>213</v>
      </c>
      <c r="U912" s="90">
        <f>SUMIF('Avoided Costs 2009-2017'!$A:$A,Actuals!T912&amp;Actuals!S912,'Avoided Costs 2009-2017'!$E:$E)*J912</f>
        <v>29193.380448813863</v>
      </c>
      <c r="V912" s="90">
        <f>SUMIF('Avoided Costs 2009-2017'!$A:$A,Actuals!T912&amp;Actuals!S912,'Avoided Costs 2009-2017'!$K:$K)*N912</f>
        <v>0</v>
      </c>
      <c r="W912" s="90">
        <f>SUMIF('Avoided Costs 2009-2017'!$A:$A,Actuals!T912&amp;Actuals!S912,'Avoided Costs 2009-2017'!$M:$M)*R912</f>
        <v>0</v>
      </c>
      <c r="X912" s="90">
        <f t="shared" si="266"/>
        <v>29193.380448813863</v>
      </c>
      <c r="Y912" s="148">
        <v>30735</v>
      </c>
      <c r="Z912" s="149">
        <f t="shared" si="267"/>
        <v>24588</v>
      </c>
      <c r="AA912" s="148"/>
      <c r="AB912" s="145"/>
      <c r="AC912" s="145"/>
      <c r="AD912" s="148">
        <f t="shared" si="268"/>
        <v>24588</v>
      </c>
      <c r="AE912" s="122">
        <f t="shared" si="269"/>
        <v>4605.380448813863</v>
      </c>
      <c r="AF912" s="167">
        <f t="shared" si="270"/>
        <v>129471.936</v>
      </c>
    </row>
    <row r="913" spans="1:32" s="150" customFormat="1" x14ac:dyDescent="0.2">
      <c r="A913" s="144" t="s">
        <v>277</v>
      </c>
      <c r="B913" s="144"/>
      <c r="C913" s="144"/>
      <c r="D913" s="145">
        <v>0</v>
      </c>
      <c r="E913" s="122"/>
      <c r="F913" s="146">
        <v>0.2</v>
      </c>
      <c r="G913" s="146"/>
      <c r="H913" s="122">
        <v>59426</v>
      </c>
      <c r="I913" s="122">
        <f t="shared" si="260"/>
        <v>57524.367999999995</v>
      </c>
      <c r="J913" s="147">
        <f t="shared" si="261"/>
        <v>46019.494399999996</v>
      </c>
      <c r="K913" s="122"/>
      <c r="L913" s="122">
        <v>0</v>
      </c>
      <c r="M913" s="122">
        <f t="shared" si="262"/>
        <v>0</v>
      </c>
      <c r="N913" s="122">
        <f t="shared" si="263"/>
        <v>0</v>
      </c>
      <c r="O913" s="122"/>
      <c r="P913" s="122">
        <v>0</v>
      </c>
      <c r="Q913" s="122">
        <f t="shared" si="264"/>
        <v>0</v>
      </c>
      <c r="R913" s="147">
        <f t="shared" si="265"/>
        <v>0</v>
      </c>
      <c r="S913" s="145">
        <v>15</v>
      </c>
      <c r="T913" s="144" t="s">
        <v>213</v>
      </c>
      <c r="U913" s="90">
        <f>SUMIF('Avoided Costs 2009-2017'!$A:$A,Actuals!T913&amp;Actuals!S913,'Avoided Costs 2009-2017'!$E:$E)*J913</f>
        <v>155647.39158004776</v>
      </c>
      <c r="V913" s="90">
        <f>SUMIF('Avoided Costs 2009-2017'!$A:$A,Actuals!T913&amp;Actuals!S913,'Avoided Costs 2009-2017'!$K:$K)*N913</f>
        <v>0</v>
      </c>
      <c r="W913" s="90">
        <f>SUMIF('Avoided Costs 2009-2017'!$A:$A,Actuals!T913&amp;Actuals!S913,'Avoided Costs 2009-2017'!$M:$M)*R913</f>
        <v>0</v>
      </c>
      <c r="X913" s="90">
        <f t="shared" si="266"/>
        <v>155647.39158004776</v>
      </c>
      <c r="Y913" s="148">
        <v>28502</v>
      </c>
      <c r="Z913" s="149">
        <f t="shared" si="267"/>
        <v>22801.600000000002</v>
      </c>
      <c r="AA913" s="148"/>
      <c r="AB913" s="145"/>
      <c r="AC913" s="145"/>
      <c r="AD913" s="148">
        <f t="shared" si="268"/>
        <v>22801.600000000002</v>
      </c>
      <c r="AE913" s="122">
        <f t="shared" si="269"/>
        <v>132845.79158004775</v>
      </c>
      <c r="AF913" s="167">
        <f t="shared" si="270"/>
        <v>690292.41599999997</v>
      </c>
    </row>
    <row r="914" spans="1:32" s="150" customFormat="1" x14ac:dyDescent="0.2">
      <c r="A914" s="144" t="s">
        <v>278</v>
      </c>
      <c r="B914" s="144"/>
      <c r="C914" s="144"/>
      <c r="D914" s="145">
        <v>0</v>
      </c>
      <c r="E914" s="122"/>
      <c r="F914" s="146">
        <v>0.2</v>
      </c>
      <c r="G914" s="146"/>
      <c r="H914" s="122">
        <v>11108</v>
      </c>
      <c r="I914" s="122">
        <f t="shared" si="260"/>
        <v>10752.544</v>
      </c>
      <c r="J914" s="147">
        <f t="shared" si="261"/>
        <v>8602.0352000000003</v>
      </c>
      <c r="K914" s="122"/>
      <c r="L914" s="122">
        <v>7351</v>
      </c>
      <c r="M914" s="122">
        <f t="shared" si="262"/>
        <v>6608.549</v>
      </c>
      <c r="N914" s="122">
        <f t="shared" si="263"/>
        <v>5286.8392000000003</v>
      </c>
      <c r="O914" s="122"/>
      <c r="P914" s="122">
        <v>0</v>
      </c>
      <c r="Q914" s="122">
        <f t="shared" si="264"/>
        <v>0</v>
      </c>
      <c r="R914" s="147">
        <f t="shared" si="265"/>
        <v>0</v>
      </c>
      <c r="S914" s="145">
        <v>15</v>
      </c>
      <c r="T914" s="144" t="s">
        <v>213</v>
      </c>
      <c r="U914" s="90">
        <f>SUMIF('Avoided Costs 2009-2017'!$A:$A,Actuals!T914&amp;Actuals!S914,'Avoided Costs 2009-2017'!$E:$E)*J914</f>
        <v>29093.851608238325</v>
      </c>
      <c r="V914" s="90">
        <f>SUMIF('Avoided Costs 2009-2017'!$A:$A,Actuals!T914&amp;Actuals!S914,'Avoided Costs 2009-2017'!$K:$K)*N914</f>
        <v>3946.7955748253289</v>
      </c>
      <c r="W914" s="90">
        <f>SUMIF('Avoided Costs 2009-2017'!$A:$A,Actuals!T914&amp;Actuals!S914,'Avoided Costs 2009-2017'!$M:$M)*R914</f>
        <v>0</v>
      </c>
      <c r="X914" s="90">
        <f t="shared" si="266"/>
        <v>33040.647183063651</v>
      </c>
      <c r="Y914" s="148">
        <v>3700</v>
      </c>
      <c r="Z914" s="149">
        <f t="shared" si="267"/>
        <v>2960</v>
      </c>
      <c r="AA914" s="148"/>
      <c r="AB914" s="145"/>
      <c r="AC914" s="145"/>
      <c r="AD914" s="148">
        <f t="shared" si="268"/>
        <v>2960</v>
      </c>
      <c r="AE914" s="122">
        <f t="shared" si="269"/>
        <v>30080.647183063651</v>
      </c>
      <c r="AF914" s="167">
        <f t="shared" si="270"/>
        <v>129030.52800000001</v>
      </c>
    </row>
    <row r="915" spans="1:32" s="150" customFormat="1" x14ac:dyDescent="0.2">
      <c r="A915" s="144" t="s">
        <v>279</v>
      </c>
      <c r="B915" s="144"/>
      <c r="C915" s="144"/>
      <c r="D915" s="145">
        <v>0</v>
      </c>
      <c r="E915" s="122"/>
      <c r="F915" s="146">
        <v>0.2</v>
      </c>
      <c r="G915" s="146"/>
      <c r="H915" s="122">
        <v>6303</v>
      </c>
      <c r="I915" s="122">
        <f t="shared" si="260"/>
        <v>6101.3040000000001</v>
      </c>
      <c r="J915" s="147">
        <f t="shared" si="261"/>
        <v>4881.0432000000001</v>
      </c>
      <c r="K915" s="122"/>
      <c r="L915" s="122">
        <v>0</v>
      </c>
      <c r="M915" s="122">
        <f t="shared" si="262"/>
        <v>0</v>
      </c>
      <c r="N915" s="122">
        <f t="shared" si="263"/>
        <v>0</v>
      </c>
      <c r="O915" s="122"/>
      <c r="P915" s="122">
        <v>0</v>
      </c>
      <c r="Q915" s="122">
        <f t="shared" si="264"/>
        <v>0</v>
      </c>
      <c r="R915" s="147">
        <f t="shared" si="265"/>
        <v>0</v>
      </c>
      <c r="S915" s="145">
        <v>8</v>
      </c>
      <c r="T915" s="144" t="s">
        <v>1176</v>
      </c>
      <c r="U915" s="90">
        <f>SUMIF('Avoided Costs 2009-2017'!$A:$A,Actuals!T915&amp;Actuals!S915,'Avoided Costs 2009-2017'!$E:$E)*J915</f>
        <v>10000.298290705408</v>
      </c>
      <c r="V915" s="90">
        <f>SUMIF('Avoided Costs 2009-2017'!$A:$A,Actuals!T915&amp;Actuals!S915,'Avoided Costs 2009-2017'!$K:$K)*N915</f>
        <v>0</v>
      </c>
      <c r="W915" s="90">
        <f>SUMIF('Avoided Costs 2009-2017'!$A:$A,Actuals!T915&amp;Actuals!S915,'Avoided Costs 2009-2017'!$M:$M)*R915</f>
        <v>0</v>
      </c>
      <c r="X915" s="90">
        <f t="shared" si="266"/>
        <v>10000.298290705408</v>
      </c>
      <c r="Y915" s="148">
        <v>16642</v>
      </c>
      <c r="Z915" s="149">
        <f t="shared" si="267"/>
        <v>13313.6</v>
      </c>
      <c r="AA915" s="148"/>
      <c r="AB915" s="145"/>
      <c r="AC915" s="145"/>
      <c r="AD915" s="148">
        <f t="shared" si="268"/>
        <v>13313.6</v>
      </c>
      <c r="AE915" s="122">
        <f t="shared" si="269"/>
        <v>-3313.301709294592</v>
      </c>
      <c r="AF915" s="167">
        <f t="shared" si="270"/>
        <v>39048.345600000001</v>
      </c>
    </row>
    <row r="916" spans="1:32" s="150" customFormat="1" x14ac:dyDescent="0.2">
      <c r="A916" s="144" t="s">
        <v>280</v>
      </c>
      <c r="B916" s="144"/>
      <c r="C916" s="144"/>
      <c r="D916" s="145">
        <v>1</v>
      </c>
      <c r="E916" s="122"/>
      <c r="F916" s="146">
        <v>0.2</v>
      </c>
      <c r="G916" s="146"/>
      <c r="H916" s="122">
        <v>36962</v>
      </c>
      <c r="I916" s="122">
        <f t="shared" si="260"/>
        <v>35779.216</v>
      </c>
      <c r="J916" s="147">
        <f t="shared" si="261"/>
        <v>28623.372800000001</v>
      </c>
      <c r="K916" s="122"/>
      <c r="L916" s="122">
        <v>0</v>
      </c>
      <c r="M916" s="122">
        <f t="shared" si="262"/>
        <v>0</v>
      </c>
      <c r="N916" s="122">
        <f t="shared" si="263"/>
        <v>0</v>
      </c>
      <c r="O916" s="122"/>
      <c r="P916" s="122">
        <v>0</v>
      </c>
      <c r="Q916" s="122">
        <f t="shared" si="264"/>
        <v>0</v>
      </c>
      <c r="R916" s="147">
        <f t="shared" si="265"/>
        <v>0</v>
      </c>
      <c r="S916" s="145">
        <v>11</v>
      </c>
      <c r="T916" s="144" t="s">
        <v>213</v>
      </c>
      <c r="U916" s="90">
        <f>SUMIF('Avoided Costs 2009-2017'!$A:$A,Actuals!T916&amp;Actuals!S916,'Avoided Costs 2009-2017'!$E:$E)*J916</f>
        <v>80107.976380383901</v>
      </c>
      <c r="V916" s="90">
        <f>SUMIF('Avoided Costs 2009-2017'!$A:$A,Actuals!T916&amp;Actuals!S916,'Avoided Costs 2009-2017'!$K:$K)*N916</f>
        <v>0</v>
      </c>
      <c r="W916" s="90">
        <f>SUMIF('Avoided Costs 2009-2017'!$A:$A,Actuals!T916&amp;Actuals!S916,'Avoided Costs 2009-2017'!$M:$M)*R916</f>
        <v>0</v>
      </c>
      <c r="X916" s="90">
        <f t="shared" si="266"/>
        <v>80107.976380383901</v>
      </c>
      <c r="Y916" s="148">
        <v>14416</v>
      </c>
      <c r="Z916" s="149">
        <f t="shared" si="267"/>
        <v>11532.800000000001</v>
      </c>
      <c r="AA916" s="148"/>
      <c r="AB916" s="145"/>
      <c r="AC916" s="145"/>
      <c r="AD916" s="148">
        <f t="shared" si="268"/>
        <v>11532.800000000001</v>
      </c>
      <c r="AE916" s="122">
        <f t="shared" si="269"/>
        <v>68575.176380383899</v>
      </c>
      <c r="AF916" s="167">
        <f t="shared" si="270"/>
        <v>314857.10080000001</v>
      </c>
    </row>
    <row r="917" spans="1:32" s="150" customFormat="1" x14ac:dyDescent="0.2">
      <c r="A917" s="144" t="s">
        <v>281</v>
      </c>
      <c r="B917" s="144"/>
      <c r="C917" s="144"/>
      <c r="D917" s="145">
        <v>0</v>
      </c>
      <c r="E917" s="122"/>
      <c r="F917" s="146">
        <v>0.2</v>
      </c>
      <c r="G917" s="146"/>
      <c r="H917" s="122">
        <v>19932</v>
      </c>
      <c r="I917" s="122">
        <f t="shared" si="260"/>
        <v>19294.175999999999</v>
      </c>
      <c r="J917" s="147">
        <f t="shared" si="261"/>
        <v>15435.3408</v>
      </c>
      <c r="K917" s="122"/>
      <c r="L917" s="122">
        <v>9706</v>
      </c>
      <c r="M917" s="122">
        <f t="shared" si="262"/>
        <v>8725.6939999999995</v>
      </c>
      <c r="N917" s="122">
        <f t="shared" si="263"/>
        <v>6980.5551999999998</v>
      </c>
      <c r="O917" s="122"/>
      <c r="P917" s="122">
        <v>0</v>
      </c>
      <c r="Q917" s="122">
        <f t="shared" si="264"/>
        <v>0</v>
      </c>
      <c r="R917" s="147">
        <f t="shared" si="265"/>
        <v>0</v>
      </c>
      <c r="S917" s="145">
        <v>15</v>
      </c>
      <c r="T917" s="144" t="s">
        <v>213</v>
      </c>
      <c r="U917" s="90">
        <f>SUMIF('Avoided Costs 2009-2017'!$A:$A,Actuals!T917&amp;Actuals!S917,'Avoided Costs 2009-2017'!$E:$E)*J917</f>
        <v>52205.496061883896</v>
      </c>
      <c r="V917" s="90">
        <f>SUMIF('Avoided Costs 2009-2017'!$A:$A,Actuals!T917&amp;Actuals!S917,'Avoided Costs 2009-2017'!$K:$K)*N917</f>
        <v>5211.2090666922377</v>
      </c>
      <c r="W917" s="90">
        <f>SUMIF('Avoided Costs 2009-2017'!$A:$A,Actuals!T917&amp;Actuals!S917,'Avoided Costs 2009-2017'!$M:$M)*R917</f>
        <v>0</v>
      </c>
      <c r="X917" s="90">
        <f t="shared" si="266"/>
        <v>57416.705128576134</v>
      </c>
      <c r="Y917" s="148">
        <v>10150</v>
      </c>
      <c r="Z917" s="149">
        <f t="shared" si="267"/>
        <v>8120</v>
      </c>
      <c r="AA917" s="148"/>
      <c r="AB917" s="145"/>
      <c r="AC917" s="145"/>
      <c r="AD917" s="148">
        <f t="shared" si="268"/>
        <v>8120</v>
      </c>
      <c r="AE917" s="122">
        <f t="shared" si="269"/>
        <v>49296.705128576134</v>
      </c>
      <c r="AF917" s="167">
        <f t="shared" si="270"/>
        <v>231530.11199999999</v>
      </c>
    </row>
    <row r="918" spans="1:32" s="150" customFormat="1" x14ac:dyDescent="0.2">
      <c r="A918" s="144" t="s">
        <v>282</v>
      </c>
      <c r="B918" s="144"/>
      <c r="C918" s="144"/>
      <c r="D918" s="145">
        <v>1</v>
      </c>
      <c r="E918" s="122"/>
      <c r="F918" s="146">
        <v>0.2</v>
      </c>
      <c r="G918" s="146"/>
      <c r="H918" s="122">
        <v>5246</v>
      </c>
      <c r="I918" s="122">
        <f t="shared" si="260"/>
        <v>5078.1279999999997</v>
      </c>
      <c r="J918" s="147">
        <f t="shared" si="261"/>
        <v>4062.5023999999999</v>
      </c>
      <c r="K918" s="122"/>
      <c r="L918" s="122">
        <v>0</v>
      </c>
      <c r="M918" s="122">
        <f t="shared" si="262"/>
        <v>0</v>
      </c>
      <c r="N918" s="122">
        <f t="shared" si="263"/>
        <v>0</v>
      </c>
      <c r="O918" s="122"/>
      <c r="P918" s="122">
        <v>0</v>
      </c>
      <c r="Q918" s="122">
        <f t="shared" si="264"/>
        <v>0</v>
      </c>
      <c r="R918" s="147">
        <f t="shared" si="265"/>
        <v>0</v>
      </c>
      <c r="S918" s="145">
        <v>15</v>
      </c>
      <c r="T918" s="144" t="s">
        <v>213</v>
      </c>
      <c r="U918" s="90">
        <f>SUMIF('Avoided Costs 2009-2017'!$A:$A,Actuals!T918&amp;Actuals!S918,'Avoided Costs 2009-2017'!$E:$E)*J918</f>
        <v>13740.218359454289</v>
      </c>
      <c r="V918" s="90">
        <f>SUMIF('Avoided Costs 2009-2017'!$A:$A,Actuals!T918&amp;Actuals!S918,'Avoided Costs 2009-2017'!$K:$K)*N918</f>
        <v>0</v>
      </c>
      <c r="W918" s="90">
        <f>SUMIF('Avoided Costs 2009-2017'!$A:$A,Actuals!T918&amp;Actuals!S918,'Avoided Costs 2009-2017'!$M:$M)*R918</f>
        <v>0</v>
      </c>
      <c r="X918" s="90">
        <f t="shared" si="266"/>
        <v>13740.218359454289</v>
      </c>
      <c r="Y918" s="148">
        <v>750</v>
      </c>
      <c r="Z918" s="149">
        <f t="shared" si="267"/>
        <v>600</v>
      </c>
      <c r="AA918" s="148"/>
      <c r="AB918" s="145"/>
      <c r="AC918" s="145"/>
      <c r="AD918" s="148">
        <f t="shared" si="268"/>
        <v>600</v>
      </c>
      <c r="AE918" s="122">
        <f t="shared" si="269"/>
        <v>13140.218359454289</v>
      </c>
      <c r="AF918" s="167">
        <f t="shared" si="270"/>
        <v>60937.536</v>
      </c>
    </row>
    <row r="919" spans="1:32" s="150" customFormat="1" x14ac:dyDescent="0.2">
      <c r="A919" s="144" t="s">
        <v>283</v>
      </c>
      <c r="B919" s="144"/>
      <c r="C919" s="144"/>
      <c r="D919" s="145">
        <v>0</v>
      </c>
      <c r="E919" s="122"/>
      <c r="F919" s="146">
        <v>0.2</v>
      </c>
      <c r="G919" s="146"/>
      <c r="H919" s="122">
        <v>37841</v>
      </c>
      <c r="I919" s="122">
        <f t="shared" si="260"/>
        <v>36630.087999999996</v>
      </c>
      <c r="J919" s="147">
        <f t="shared" si="261"/>
        <v>29304.070399999997</v>
      </c>
      <c r="K919" s="122"/>
      <c r="L919" s="122">
        <v>0</v>
      </c>
      <c r="M919" s="122">
        <f t="shared" si="262"/>
        <v>0</v>
      </c>
      <c r="N919" s="122">
        <f t="shared" si="263"/>
        <v>0</v>
      </c>
      <c r="O919" s="122"/>
      <c r="P919" s="122">
        <v>0</v>
      </c>
      <c r="Q919" s="122">
        <f t="shared" si="264"/>
        <v>0</v>
      </c>
      <c r="R919" s="147">
        <f t="shared" si="265"/>
        <v>0</v>
      </c>
      <c r="S919" s="145">
        <v>8</v>
      </c>
      <c r="T919" s="144" t="s">
        <v>1176</v>
      </c>
      <c r="U919" s="90">
        <f>SUMIF('Avoided Costs 2009-2017'!$A:$A,Actuals!T919&amp;Actuals!S919,'Avoided Costs 2009-2017'!$E:$E)*J919</f>
        <v>60038.281392762707</v>
      </c>
      <c r="V919" s="90">
        <f>SUMIF('Avoided Costs 2009-2017'!$A:$A,Actuals!T919&amp;Actuals!S919,'Avoided Costs 2009-2017'!$K:$K)*N919</f>
        <v>0</v>
      </c>
      <c r="W919" s="90">
        <f>SUMIF('Avoided Costs 2009-2017'!$A:$A,Actuals!T919&amp;Actuals!S919,'Avoided Costs 2009-2017'!$M:$M)*R919</f>
        <v>0</v>
      </c>
      <c r="X919" s="90">
        <f t="shared" si="266"/>
        <v>60038.281392762707</v>
      </c>
      <c r="Y919" s="148">
        <v>25792</v>
      </c>
      <c r="Z919" s="149">
        <f t="shared" si="267"/>
        <v>20633.600000000002</v>
      </c>
      <c r="AA919" s="148"/>
      <c r="AB919" s="145"/>
      <c r="AC919" s="145"/>
      <c r="AD919" s="148">
        <f t="shared" si="268"/>
        <v>20633.600000000002</v>
      </c>
      <c r="AE919" s="122">
        <f t="shared" si="269"/>
        <v>39404.681392762708</v>
      </c>
      <c r="AF919" s="167">
        <f t="shared" si="270"/>
        <v>234432.56319999998</v>
      </c>
    </row>
    <row r="920" spans="1:32" s="150" customFormat="1" x14ac:dyDescent="0.2">
      <c r="A920" s="144" t="s">
        <v>284</v>
      </c>
      <c r="B920" s="144"/>
      <c r="C920" s="144"/>
      <c r="D920" s="145">
        <v>1</v>
      </c>
      <c r="E920" s="122"/>
      <c r="F920" s="146">
        <v>0.2</v>
      </c>
      <c r="G920" s="146"/>
      <c r="H920" s="122">
        <v>38238</v>
      </c>
      <c r="I920" s="122">
        <f t="shared" si="260"/>
        <v>37014.383999999998</v>
      </c>
      <c r="J920" s="147">
        <f t="shared" si="261"/>
        <v>29611.5072</v>
      </c>
      <c r="K920" s="122"/>
      <c r="L920" s="122">
        <v>0</v>
      </c>
      <c r="M920" s="122">
        <f t="shared" si="262"/>
        <v>0</v>
      </c>
      <c r="N920" s="122">
        <f t="shared" si="263"/>
        <v>0</v>
      </c>
      <c r="O920" s="122"/>
      <c r="P920" s="122">
        <v>0</v>
      </c>
      <c r="Q920" s="122">
        <f t="shared" si="264"/>
        <v>0</v>
      </c>
      <c r="R920" s="147">
        <f t="shared" si="265"/>
        <v>0</v>
      </c>
      <c r="S920" s="145">
        <v>11</v>
      </c>
      <c r="T920" s="144" t="s">
        <v>213</v>
      </c>
      <c r="U920" s="90">
        <f>SUMIF('Avoided Costs 2009-2017'!$A:$A,Actuals!T920&amp;Actuals!S920,'Avoided Costs 2009-2017'!$E:$E)*J920</f>
        <v>82873.459250936634</v>
      </c>
      <c r="V920" s="90">
        <f>SUMIF('Avoided Costs 2009-2017'!$A:$A,Actuals!T920&amp;Actuals!S920,'Avoided Costs 2009-2017'!$K:$K)*N920</f>
        <v>0</v>
      </c>
      <c r="W920" s="90">
        <f>SUMIF('Avoided Costs 2009-2017'!$A:$A,Actuals!T920&amp;Actuals!S920,'Avoided Costs 2009-2017'!$M:$M)*R920</f>
        <v>0</v>
      </c>
      <c r="X920" s="90">
        <f t="shared" si="266"/>
        <v>82873.459250936634</v>
      </c>
      <c r="Y920" s="148">
        <v>38688</v>
      </c>
      <c r="Z920" s="149">
        <f t="shared" si="267"/>
        <v>30950.400000000001</v>
      </c>
      <c r="AA920" s="148"/>
      <c r="AB920" s="145"/>
      <c r="AC920" s="145"/>
      <c r="AD920" s="148">
        <f t="shared" si="268"/>
        <v>30950.400000000001</v>
      </c>
      <c r="AE920" s="122">
        <f t="shared" si="269"/>
        <v>51923.059250936632</v>
      </c>
      <c r="AF920" s="167">
        <f t="shared" si="270"/>
        <v>325726.57919999998</v>
      </c>
    </row>
    <row r="921" spans="1:32" s="150" customFormat="1" x14ac:dyDescent="0.2">
      <c r="A921" s="144" t="s">
        <v>285</v>
      </c>
      <c r="B921" s="144"/>
      <c r="C921" s="144"/>
      <c r="D921" s="145">
        <v>1</v>
      </c>
      <c r="E921" s="122"/>
      <c r="F921" s="146">
        <v>0.2</v>
      </c>
      <c r="G921" s="146"/>
      <c r="H921" s="122">
        <v>19209</v>
      </c>
      <c r="I921" s="122">
        <f t="shared" si="260"/>
        <v>18594.311999999998</v>
      </c>
      <c r="J921" s="147">
        <f t="shared" si="261"/>
        <v>14875.4496</v>
      </c>
      <c r="K921" s="122"/>
      <c r="L921" s="122">
        <v>22334</v>
      </c>
      <c r="M921" s="122">
        <f t="shared" si="262"/>
        <v>20078.266</v>
      </c>
      <c r="N921" s="122">
        <f t="shared" si="263"/>
        <v>16062.612800000001</v>
      </c>
      <c r="O921" s="122"/>
      <c r="P921" s="122">
        <v>0</v>
      </c>
      <c r="Q921" s="122">
        <f t="shared" si="264"/>
        <v>0</v>
      </c>
      <c r="R921" s="147">
        <f t="shared" si="265"/>
        <v>0</v>
      </c>
      <c r="S921" s="145">
        <v>15</v>
      </c>
      <c r="T921" s="144" t="s">
        <v>213</v>
      </c>
      <c r="U921" s="90">
        <f>SUMIF('Avoided Costs 2009-2017'!$A:$A,Actuals!T921&amp;Actuals!S921,'Avoided Costs 2009-2017'!$E:$E)*J921</f>
        <v>50311.82891093356</v>
      </c>
      <c r="V921" s="90">
        <f>SUMIF('Avoided Costs 2009-2017'!$A:$A,Actuals!T921&amp;Actuals!S921,'Avoided Costs 2009-2017'!$K:$K)*N921</f>
        <v>11991.257293993865</v>
      </c>
      <c r="W921" s="90">
        <f>SUMIF('Avoided Costs 2009-2017'!$A:$A,Actuals!T921&amp;Actuals!S921,'Avoided Costs 2009-2017'!$M:$M)*R921</f>
        <v>0</v>
      </c>
      <c r="X921" s="90">
        <f t="shared" si="266"/>
        <v>62303.086204927429</v>
      </c>
      <c r="Y921" s="148">
        <v>12500</v>
      </c>
      <c r="Z921" s="149">
        <f t="shared" si="267"/>
        <v>10000</v>
      </c>
      <c r="AA921" s="148"/>
      <c r="AB921" s="145"/>
      <c r="AC921" s="145"/>
      <c r="AD921" s="148">
        <f t="shared" si="268"/>
        <v>10000</v>
      </c>
      <c r="AE921" s="122">
        <f t="shared" si="269"/>
        <v>52303.086204927429</v>
      </c>
      <c r="AF921" s="167">
        <f t="shared" si="270"/>
        <v>223131.74400000001</v>
      </c>
    </row>
    <row r="922" spans="1:32" s="150" customFormat="1" x14ac:dyDescent="0.2">
      <c r="A922" s="144" t="s">
        <v>286</v>
      </c>
      <c r="B922" s="144"/>
      <c r="C922" s="144"/>
      <c r="D922" s="145">
        <v>0</v>
      </c>
      <c r="E922" s="122"/>
      <c r="F922" s="146">
        <v>0.2</v>
      </c>
      <c r="G922" s="146"/>
      <c r="H922" s="122">
        <v>6227</v>
      </c>
      <c r="I922" s="122">
        <f t="shared" si="260"/>
        <v>6027.7359999999999</v>
      </c>
      <c r="J922" s="147">
        <f t="shared" si="261"/>
        <v>4822.1887999999999</v>
      </c>
      <c r="K922" s="122"/>
      <c r="L922" s="122">
        <v>0</v>
      </c>
      <c r="M922" s="122">
        <f t="shared" si="262"/>
        <v>0</v>
      </c>
      <c r="N922" s="122">
        <f t="shared" si="263"/>
        <v>0</v>
      </c>
      <c r="O922" s="122"/>
      <c r="P922" s="122">
        <v>0</v>
      </c>
      <c r="Q922" s="122">
        <f t="shared" si="264"/>
        <v>0</v>
      </c>
      <c r="R922" s="147">
        <f t="shared" si="265"/>
        <v>0</v>
      </c>
      <c r="S922" s="145">
        <v>11</v>
      </c>
      <c r="T922" s="144" t="s">
        <v>213</v>
      </c>
      <c r="U922" s="90">
        <f>SUMIF('Avoided Costs 2009-2017'!$A:$A,Actuals!T922&amp;Actuals!S922,'Avoided Costs 2009-2017'!$E:$E)*J922</f>
        <v>13495.816485056288</v>
      </c>
      <c r="V922" s="90">
        <f>SUMIF('Avoided Costs 2009-2017'!$A:$A,Actuals!T922&amp;Actuals!S922,'Avoided Costs 2009-2017'!$K:$K)*N922</f>
        <v>0</v>
      </c>
      <c r="W922" s="90">
        <f>SUMIF('Avoided Costs 2009-2017'!$A:$A,Actuals!T922&amp;Actuals!S922,'Avoided Costs 2009-2017'!$M:$M)*R922</f>
        <v>0</v>
      </c>
      <c r="X922" s="90">
        <f t="shared" si="266"/>
        <v>13495.816485056288</v>
      </c>
      <c r="Y922" s="148">
        <v>31691</v>
      </c>
      <c r="Z922" s="149">
        <f t="shared" si="267"/>
        <v>25352.800000000003</v>
      </c>
      <c r="AA922" s="148"/>
      <c r="AB922" s="145"/>
      <c r="AC922" s="145"/>
      <c r="AD922" s="148">
        <f t="shared" si="268"/>
        <v>25352.800000000003</v>
      </c>
      <c r="AE922" s="122">
        <f t="shared" si="269"/>
        <v>-11856.983514943715</v>
      </c>
      <c r="AF922" s="167">
        <f t="shared" si="270"/>
        <v>53044.076799999995</v>
      </c>
    </row>
    <row r="923" spans="1:32" s="150" customFormat="1" x14ac:dyDescent="0.2">
      <c r="A923" s="144" t="s">
        <v>287</v>
      </c>
      <c r="B923" s="144"/>
      <c r="C923" s="144"/>
      <c r="D923" s="145">
        <v>0</v>
      </c>
      <c r="E923" s="122"/>
      <c r="F923" s="146">
        <v>0.2</v>
      </c>
      <c r="G923" s="146"/>
      <c r="H923" s="122">
        <v>9775</v>
      </c>
      <c r="I923" s="122">
        <f t="shared" si="260"/>
        <v>9462.1999999999989</v>
      </c>
      <c r="J923" s="147">
        <f t="shared" si="261"/>
        <v>7569.7599999999993</v>
      </c>
      <c r="K923" s="122"/>
      <c r="L923" s="122">
        <v>0</v>
      </c>
      <c r="M923" s="122">
        <f t="shared" si="262"/>
        <v>0</v>
      </c>
      <c r="N923" s="122">
        <f t="shared" si="263"/>
        <v>0</v>
      </c>
      <c r="O923" s="122"/>
      <c r="P923" s="122">
        <v>0</v>
      </c>
      <c r="Q923" s="122">
        <f t="shared" si="264"/>
        <v>0</v>
      </c>
      <c r="R923" s="147">
        <f t="shared" si="265"/>
        <v>0</v>
      </c>
      <c r="S923" s="145">
        <v>8</v>
      </c>
      <c r="T923" s="144" t="s">
        <v>1176</v>
      </c>
      <c r="U923" s="90">
        <f>SUMIF('Avoided Costs 2009-2017'!$A:$A,Actuals!T923&amp;Actuals!S923,'Avoided Costs 2009-2017'!$E:$E)*J923</f>
        <v>15508.950625360203</v>
      </c>
      <c r="V923" s="90">
        <f>SUMIF('Avoided Costs 2009-2017'!$A:$A,Actuals!T923&amp;Actuals!S923,'Avoided Costs 2009-2017'!$K:$K)*N923</f>
        <v>0</v>
      </c>
      <c r="W923" s="90">
        <f>SUMIF('Avoided Costs 2009-2017'!$A:$A,Actuals!T923&amp;Actuals!S923,'Avoided Costs 2009-2017'!$M:$M)*R923</f>
        <v>0</v>
      </c>
      <c r="X923" s="90">
        <f t="shared" si="266"/>
        <v>15508.950625360203</v>
      </c>
      <c r="Y923" s="148">
        <v>20598</v>
      </c>
      <c r="Z923" s="149">
        <f t="shared" si="267"/>
        <v>16478.400000000001</v>
      </c>
      <c r="AA923" s="148"/>
      <c r="AB923" s="145"/>
      <c r="AC923" s="145"/>
      <c r="AD923" s="148">
        <f t="shared" si="268"/>
        <v>16478.400000000001</v>
      </c>
      <c r="AE923" s="122">
        <f t="shared" si="269"/>
        <v>-969.44937463979841</v>
      </c>
      <c r="AF923" s="167">
        <f t="shared" si="270"/>
        <v>60558.079999999994</v>
      </c>
    </row>
    <row r="924" spans="1:32" s="4" customFormat="1" x14ac:dyDescent="0.2">
      <c r="A924" s="152" t="s">
        <v>200</v>
      </c>
      <c r="B924" s="152" t="s">
        <v>1137</v>
      </c>
      <c r="C924" s="152"/>
      <c r="D924" s="153">
        <f>SUM(D900:D923)</f>
        <v>11</v>
      </c>
      <c r="E924" s="147"/>
      <c r="F924" s="154"/>
      <c r="G924" s="155"/>
      <c r="H924" s="237">
        <f>SUM(H900:H923)</f>
        <v>483771</v>
      </c>
      <c r="I924" s="237">
        <f>SUM(I900:I923)</f>
        <v>468290.32800000004</v>
      </c>
      <c r="J924" s="237">
        <f>SUM(J900:J923)</f>
        <v>374632.26240000007</v>
      </c>
      <c r="K924" s="147"/>
      <c r="L924" s="237">
        <f>SUM(L900:L923)</f>
        <v>127164</v>
      </c>
      <c r="M924" s="237">
        <f>SUM(M900:M923)</f>
        <v>114320.436</v>
      </c>
      <c r="N924" s="237">
        <f>SUM(N900:N923)</f>
        <v>91456.348800000007</v>
      </c>
      <c r="O924" s="156"/>
      <c r="P924" s="237">
        <f>SUM(P900:P923)</f>
        <v>0</v>
      </c>
      <c r="Q924" s="237">
        <f>SUM(Q900:Q923)</f>
        <v>0</v>
      </c>
      <c r="R924" s="237">
        <f>SUM(R900:R923)</f>
        <v>0</v>
      </c>
      <c r="S924" s="153"/>
      <c r="T924" s="152"/>
      <c r="U924" s="238">
        <f>SUM(U900:U923)</f>
        <v>1034527.1162061492</v>
      </c>
      <c r="V924" s="238">
        <f>SUM(V900:V923)</f>
        <v>68275.107125165028</v>
      </c>
      <c r="W924" s="238">
        <f>SUM(W900:W923)</f>
        <v>0</v>
      </c>
      <c r="X924" s="238">
        <f>SUM(X900:X923)</f>
        <v>1102802.2233313143</v>
      </c>
      <c r="Y924" s="157"/>
      <c r="Z924" s="149">
        <f>SUM(Z900:Z923)</f>
        <v>356781.60000000003</v>
      </c>
      <c r="AA924" s="148">
        <v>49495.3</v>
      </c>
      <c r="AB924" s="148">
        <v>15145.95</v>
      </c>
      <c r="AC924" s="149">
        <f t="shared" ref="AC924:AC926" si="271">AB924+AA924</f>
        <v>64641.25</v>
      </c>
      <c r="AD924" s="149">
        <f t="shared" si="268"/>
        <v>371927.55000000005</v>
      </c>
      <c r="AE924" s="158">
        <f t="shared" si="269"/>
        <v>730874.67333131423</v>
      </c>
      <c r="AF924" s="168">
        <f>SUM(AF900:AF923)</f>
        <v>4305883.9296000013</v>
      </c>
    </row>
    <row r="925" spans="1:32" x14ac:dyDescent="0.2">
      <c r="A925" s="134"/>
      <c r="J925" s="26"/>
      <c r="K925" s="51"/>
      <c r="L925" s="51"/>
      <c r="O925" s="92"/>
      <c r="P925" s="36"/>
      <c r="R925" s="26"/>
      <c r="S925" s="26"/>
      <c r="Z925" s="53"/>
      <c r="AA925" s="63"/>
      <c r="AC925" s="53"/>
      <c r="AD925" s="53"/>
      <c r="AE925" s="53"/>
      <c r="AF925" s="166"/>
    </row>
    <row r="926" spans="1:32" x14ac:dyDescent="0.2">
      <c r="A926" s="152" t="s">
        <v>958</v>
      </c>
      <c r="B926" s="152" t="s">
        <v>972</v>
      </c>
      <c r="C926" s="152"/>
      <c r="D926" s="153">
        <v>0</v>
      </c>
      <c r="E926" s="147">
        <v>0</v>
      </c>
      <c r="F926" s="154">
        <v>0.2</v>
      </c>
      <c r="G926" s="155"/>
      <c r="H926" s="147"/>
      <c r="I926" s="147"/>
      <c r="J926" s="147">
        <f>H926*(1-F926)</f>
        <v>0</v>
      </c>
      <c r="K926" s="147">
        <v>0</v>
      </c>
      <c r="L926" s="147">
        <v>0</v>
      </c>
      <c r="M926" s="147"/>
      <c r="N926" s="122">
        <f>L926*(1-F926)</f>
        <v>0</v>
      </c>
      <c r="O926" s="156">
        <v>0</v>
      </c>
      <c r="P926" s="147">
        <v>0</v>
      </c>
      <c r="Q926" s="122">
        <f>+P926*$P$68</f>
        <v>0</v>
      </c>
      <c r="R926" s="147">
        <f>Q926*(1-F926)</f>
        <v>0</v>
      </c>
      <c r="S926" s="153">
        <v>15</v>
      </c>
      <c r="T926" s="152" t="s">
        <v>1239</v>
      </c>
      <c r="U926" s="90">
        <f>SUMIF('Avoided Costs 2009-2017'!$A:$A,Actuals!T926&amp;Actuals!S926,'Avoided Costs 2009-2017'!$E:$E)*J926</f>
        <v>0</v>
      </c>
      <c r="V926" s="90">
        <f>SUMIF('Avoided Costs 2009-2017'!$A:$A,Actuals!T926&amp;Actuals!S926,'Avoided Costs 2009-2017'!$K:$K)*N926</f>
        <v>0</v>
      </c>
      <c r="W926" s="90">
        <f>SUMIF('Avoided Costs 2009-2017'!$A:$A,Actuals!T926&amp;Actuals!S926,'Avoided Costs 2009-2017'!$M:$M)*R926</f>
        <v>0</v>
      </c>
      <c r="X926" s="90">
        <f>SUM(U926:W926)</f>
        <v>0</v>
      </c>
      <c r="Y926" s="157">
        <v>0</v>
      </c>
      <c r="Z926" s="149">
        <f>Y926*(1-F926)</f>
        <v>0</v>
      </c>
      <c r="AA926" s="148">
        <v>0</v>
      </c>
      <c r="AB926" s="148">
        <v>5782.44</v>
      </c>
      <c r="AC926" s="149">
        <f t="shared" si="271"/>
        <v>5782.44</v>
      </c>
      <c r="AD926" s="149">
        <f>Z926+AB926</f>
        <v>5782.44</v>
      </c>
      <c r="AE926" s="158">
        <f>X926-AD926</f>
        <v>-5782.44</v>
      </c>
      <c r="AF926" s="168">
        <f t="shared" ref="AF926:AF950" si="272">J926*S926</f>
        <v>0</v>
      </c>
    </row>
    <row r="927" spans="1:32" x14ac:dyDescent="0.2">
      <c r="A927" s="134"/>
      <c r="J927" s="26"/>
      <c r="K927" s="51"/>
      <c r="L927" s="51"/>
      <c r="O927" s="92"/>
      <c r="P927" s="36"/>
      <c r="R927" s="26"/>
      <c r="S927" s="26"/>
      <c r="Z927" s="53"/>
      <c r="AA927" s="63"/>
      <c r="AC927" s="53"/>
      <c r="AD927" s="53"/>
      <c r="AE927" s="159"/>
      <c r="AF927" s="169">
        <f t="shared" si="272"/>
        <v>0</v>
      </c>
    </row>
    <row r="928" spans="1:32" s="4" customFormat="1" x14ac:dyDescent="0.2">
      <c r="A928" s="138" t="s">
        <v>960</v>
      </c>
      <c r="B928" s="160" t="s">
        <v>1276</v>
      </c>
      <c r="C928" s="101"/>
      <c r="D928" s="153">
        <v>0</v>
      </c>
      <c r="E928" s="147">
        <v>40</v>
      </c>
      <c r="F928" s="86">
        <v>0.1</v>
      </c>
      <c r="G928" s="86">
        <v>0.32</v>
      </c>
      <c r="H928" s="87">
        <f t="shared" ref="H928:H938" si="273">D928*E928</f>
        <v>0</v>
      </c>
      <c r="I928" s="87">
        <f>+H928</f>
        <v>0</v>
      </c>
      <c r="J928" s="88">
        <f t="shared" ref="J928:J949" si="274">(E928*D928)*(1-F928)*(1-G928)</f>
        <v>0</v>
      </c>
      <c r="K928" s="87"/>
      <c r="L928" s="87"/>
      <c r="M928" s="87"/>
      <c r="N928" s="88">
        <f>(K928*D928)*(1-F928)</f>
        <v>0</v>
      </c>
      <c r="O928" s="156">
        <v>7.351</v>
      </c>
      <c r="P928" s="89">
        <f t="shared" ref="P928:P949" si="275">O928*D928</f>
        <v>0</v>
      </c>
      <c r="Q928" s="122">
        <f>+P928</f>
        <v>0</v>
      </c>
      <c r="R928" s="88">
        <f t="shared" ref="R928:R950" si="276">(O928*D928)*(1-F928)*(1-G928)</f>
        <v>0</v>
      </c>
      <c r="S928" s="88">
        <v>10</v>
      </c>
      <c r="T928" s="102" t="s">
        <v>1176</v>
      </c>
      <c r="U928" s="90">
        <f>SUMIF('Avoided Costs 2009-2017'!$A:$A,Actuals!T928&amp;Actuals!S928,'Avoided Costs 2009-2017'!$E:$E)*J928</f>
        <v>0</v>
      </c>
      <c r="V928" s="90">
        <f>SUMIF('Avoided Costs 2009-2017'!$A:$A,Actuals!T928&amp;Actuals!S928,'Avoided Costs 2009-2017'!$K:$K)*N928</f>
        <v>0</v>
      </c>
      <c r="W928" s="90">
        <f>SUMIF('Avoided Costs 2009-2017'!$A:$A,Actuals!T928&amp;Actuals!S928,'Avoided Costs 2009-2017'!$M:$M)*R928</f>
        <v>0</v>
      </c>
      <c r="X928" s="90">
        <f t="shared" ref="X928:X950" si="277">SUM(U928:W928)</f>
        <v>0</v>
      </c>
      <c r="Y928" s="157">
        <v>17</v>
      </c>
      <c r="Z928" s="90">
        <f t="shared" ref="Z928:Z949" si="278">(Y928*D928)*(1-F928)</f>
        <v>0</v>
      </c>
      <c r="AA928" s="148"/>
      <c r="AB928" s="148"/>
      <c r="AC928" s="90"/>
      <c r="AD928" s="90">
        <v>15163.48</v>
      </c>
      <c r="AE928" s="149">
        <f t="shared" ref="AE928:AE950" si="279">X928-AD928</f>
        <v>-15163.48</v>
      </c>
      <c r="AF928" s="161">
        <f t="shared" si="272"/>
        <v>0</v>
      </c>
    </row>
    <row r="929" spans="1:32" s="4" customFormat="1" x14ac:dyDescent="0.2">
      <c r="A929" s="138" t="s">
        <v>1297</v>
      </c>
      <c r="B929" s="160" t="s">
        <v>1298</v>
      </c>
      <c r="C929" s="101"/>
      <c r="D929" s="153">
        <v>274</v>
      </c>
      <c r="E929" s="147">
        <v>28</v>
      </c>
      <c r="F929" s="86">
        <v>0.1</v>
      </c>
      <c r="G929" s="86">
        <v>0.32</v>
      </c>
      <c r="H929" s="87">
        <f t="shared" si="273"/>
        <v>7672</v>
      </c>
      <c r="I929" s="87">
        <f t="shared" ref="I929:I950" si="280">+H929</f>
        <v>7672</v>
      </c>
      <c r="J929" s="88">
        <f t="shared" si="274"/>
        <v>4695.2640000000001</v>
      </c>
      <c r="K929" s="87"/>
      <c r="L929" s="87"/>
      <c r="M929" s="87"/>
      <c r="N929" s="88"/>
      <c r="O929" s="156">
        <v>5.4870000000000001</v>
      </c>
      <c r="P929" s="89">
        <f t="shared" si="275"/>
        <v>1503.4380000000001</v>
      </c>
      <c r="Q929" s="122">
        <f t="shared" ref="Q929:Q950" si="281">+P929</f>
        <v>1503.4380000000001</v>
      </c>
      <c r="R929" s="88">
        <f t="shared" si="276"/>
        <v>920.10405600000013</v>
      </c>
      <c r="S929" s="88">
        <v>10</v>
      </c>
      <c r="T929" s="102" t="s">
        <v>1176</v>
      </c>
      <c r="U929" s="90">
        <f>SUMIF('Avoided Costs 2009-2017'!$A:$A,Actuals!T929&amp;Actuals!S929,'Avoided Costs 2009-2017'!$E:$E)*J929</f>
        <v>11244.766038330175</v>
      </c>
      <c r="V929" s="90">
        <f>SUMIF('Avoided Costs 2009-2017'!$A:$A,Actuals!T929&amp;Actuals!S929,'Avoided Costs 2009-2017'!$K:$K)*N929</f>
        <v>0</v>
      </c>
      <c r="W929" s="90">
        <f>SUMIF('Avoided Costs 2009-2017'!$A:$A,Actuals!T929&amp;Actuals!S929,'Avoided Costs 2009-2017'!$M:$M)*R929</f>
        <v>9223.9879378755086</v>
      </c>
      <c r="X929" s="90">
        <f t="shared" si="277"/>
        <v>20468.753976205684</v>
      </c>
      <c r="Y929" s="157">
        <v>17</v>
      </c>
      <c r="Z929" s="90">
        <f t="shared" si="278"/>
        <v>4192.2</v>
      </c>
      <c r="AA929" s="110"/>
      <c r="AB929" s="110"/>
      <c r="AC929" s="90"/>
      <c r="AD929" s="90">
        <f t="shared" ref="AD929:AD949" si="282">Z929+AB929</f>
        <v>4192.2</v>
      </c>
      <c r="AE929" s="149">
        <f t="shared" si="279"/>
        <v>16276.553976205683</v>
      </c>
      <c r="AF929" s="161">
        <f t="shared" si="272"/>
        <v>46952.639999999999</v>
      </c>
    </row>
    <row r="930" spans="1:32" s="4" customFormat="1" x14ac:dyDescent="0.2">
      <c r="A930" s="138" t="s">
        <v>1305</v>
      </c>
      <c r="B930" s="160" t="s">
        <v>1306</v>
      </c>
      <c r="C930" s="101"/>
      <c r="D930" s="153">
        <v>0</v>
      </c>
      <c r="E930" s="147">
        <v>4</v>
      </c>
      <c r="F930" s="86">
        <v>0.1</v>
      </c>
      <c r="G930" s="86">
        <v>0.32</v>
      </c>
      <c r="H930" s="87">
        <f t="shared" si="273"/>
        <v>0</v>
      </c>
      <c r="I930" s="87">
        <f t="shared" si="280"/>
        <v>0</v>
      </c>
      <c r="J930" s="88">
        <f t="shared" si="274"/>
        <v>0</v>
      </c>
      <c r="K930" s="87"/>
      <c r="L930" s="87"/>
      <c r="M930" s="87"/>
      <c r="N930" s="88"/>
      <c r="O930" s="156">
        <v>1.7270000000000001</v>
      </c>
      <c r="P930" s="89">
        <f t="shared" si="275"/>
        <v>0</v>
      </c>
      <c r="Q930" s="122">
        <f t="shared" si="281"/>
        <v>0</v>
      </c>
      <c r="R930" s="88">
        <f t="shared" si="276"/>
        <v>0</v>
      </c>
      <c r="S930" s="88">
        <v>10</v>
      </c>
      <c r="T930" s="102" t="s">
        <v>1176</v>
      </c>
      <c r="U930" s="90">
        <f>SUMIF('Avoided Costs 2009-2017'!$A:$A,Actuals!T930&amp;Actuals!S930,'Avoided Costs 2009-2017'!$E:$E)*J930</f>
        <v>0</v>
      </c>
      <c r="V930" s="90">
        <f>SUMIF('Avoided Costs 2009-2017'!$A:$A,Actuals!T930&amp;Actuals!S930,'Avoided Costs 2009-2017'!$K:$K)*N930</f>
        <v>0</v>
      </c>
      <c r="W930" s="90">
        <f>SUMIF('Avoided Costs 2009-2017'!$A:$A,Actuals!T930&amp;Actuals!S930,'Avoided Costs 2009-2017'!$M:$M)*R930</f>
        <v>0</v>
      </c>
      <c r="X930" s="90">
        <f t="shared" si="277"/>
        <v>0</v>
      </c>
      <c r="Y930" s="157">
        <v>17</v>
      </c>
      <c r="Z930" s="90">
        <f t="shared" si="278"/>
        <v>0</v>
      </c>
      <c r="AA930" s="110"/>
      <c r="AB930" s="110"/>
      <c r="AC930" s="90"/>
      <c r="AD930" s="90">
        <f t="shared" si="282"/>
        <v>0</v>
      </c>
      <c r="AE930" s="149">
        <f t="shared" si="279"/>
        <v>0</v>
      </c>
      <c r="AF930" s="161">
        <f t="shared" si="272"/>
        <v>0</v>
      </c>
    </row>
    <row r="931" spans="1:32" s="4" customFormat="1" x14ac:dyDescent="0.2">
      <c r="A931" s="138" t="s">
        <v>1307</v>
      </c>
      <c r="B931" s="160" t="s">
        <v>1308</v>
      </c>
      <c r="C931" s="101"/>
      <c r="D931" s="153">
        <v>751</v>
      </c>
      <c r="E931" s="147">
        <v>91</v>
      </c>
      <c r="F931" s="86">
        <v>0.1</v>
      </c>
      <c r="G931" s="86">
        <v>0.32</v>
      </c>
      <c r="H931" s="87">
        <f t="shared" si="273"/>
        <v>68341</v>
      </c>
      <c r="I931" s="87">
        <f t="shared" si="280"/>
        <v>68341</v>
      </c>
      <c r="J931" s="88">
        <f t="shared" si="274"/>
        <v>41824.691999999995</v>
      </c>
      <c r="K931" s="87"/>
      <c r="L931" s="87"/>
      <c r="M931" s="87"/>
      <c r="N931" s="88"/>
      <c r="O931" s="156">
        <v>15.114000000000001</v>
      </c>
      <c r="P931" s="89">
        <f t="shared" si="275"/>
        <v>11350.614000000001</v>
      </c>
      <c r="Q931" s="122">
        <f t="shared" si="281"/>
        <v>11350.614000000001</v>
      </c>
      <c r="R931" s="88">
        <f t="shared" si="276"/>
        <v>6946.5757679999997</v>
      </c>
      <c r="S931" s="88">
        <v>10</v>
      </c>
      <c r="T931" s="102" t="s">
        <v>1176</v>
      </c>
      <c r="U931" s="90">
        <f>SUMIF('Avoided Costs 2009-2017'!$A:$A,Actuals!T931&amp;Actuals!S931,'Avoided Costs 2009-2017'!$E:$E)*J931</f>
        <v>100166.65221917654</v>
      </c>
      <c r="V931" s="90">
        <f>SUMIF('Avoided Costs 2009-2017'!$A:$A,Actuals!T931&amp;Actuals!S931,'Avoided Costs 2009-2017'!$K:$K)*N931</f>
        <v>0</v>
      </c>
      <c r="W931" s="90">
        <f>SUMIF('Avoided Costs 2009-2017'!$A:$A,Actuals!T931&amp;Actuals!S931,'Avoided Costs 2009-2017'!$M:$M)*R931</f>
        <v>69639.005149185308</v>
      </c>
      <c r="X931" s="90">
        <f t="shared" si="277"/>
        <v>169805.65736836183</v>
      </c>
      <c r="Y931" s="157">
        <v>17</v>
      </c>
      <c r="Z931" s="90">
        <f t="shared" si="278"/>
        <v>11490.300000000001</v>
      </c>
      <c r="AA931" s="110"/>
      <c r="AB931" s="110"/>
      <c r="AC931" s="90"/>
      <c r="AD931" s="90">
        <f t="shared" si="282"/>
        <v>11490.300000000001</v>
      </c>
      <c r="AE931" s="149">
        <f t="shared" si="279"/>
        <v>158315.35736836185</v>
      </c>
      <c r="AF931" s="161">
        <f t="shared" si="272"/>
        <v>418246.91999999993</v>
      </c>
    </row>
    <row r="932" spans="1:32" s="4" customFormat="1" x14ac:dyDescent="0.2">
      <c r="A932" s="138" t="s">
        <v>1309</v>
      </c>
      <c r="B932" s="160" t="s">
        <v>1310</v>
      </c>
      <c r="C932" s="101"/>
      <c r="D932" s="153">
        <v>0</v>
      </c>
      <c r="E932" s="147">
        <v>79</v>
      </c>
      <c r="F932" s="86">
        <v>0.1</v>
      </c>
      <c r="G932" s="86">
        <v>0.32</v>
      </c>
      <c r="H932" s="87">
        <f t="shared" si="273"/>
        <v>0</v>
      </c>
      <c r="I932" s="87">
        <f t="shared" si="280"/>
        <v>0</v>
      </c>
      <c r="J932" s="88">
        <f t="shared" si="274"/>
        <v>0</v>
      </c>
      <c r="K932" s="87"/>
      <c r="L932" s="87"/>
      <c r="M932" s="87"/>
      <c r="N932" s="88"/>
      <c r="O932" s="156">
        <v>13.25</v>
      </c>
      <c r="P932" s="89">
        <f t="shared" si="275"/>
        <v>0</v>
      </c>
      <c r="Q932" s="122">
        <f t="shared" si="281"/>
        <v>0</v>
      </c>
      <c r="R932" s="88">
        <f t="shared" si="276"/>
        <v>0</v>
      </c>
      <c r="S932" s="88">
        <v>10</v>
      </c>
      <c r="T932" s="102" t="s">
        <v>1176</v>
      </c>
      <c r="U932" s="90">
        <f>SUMIF('Avoided Costs 2009-2017'!$A:$A,Actuals!T932&amp;Actuals!S932,'Avoided Costs 2009-2017'!$E:$E)*J932</f>
        <v>0</v>
      </c>
      <c r="V932" s="90">
        <f>SUMIF('Avoided Costs 2009-2017'!$A:$A,Actuals!T932&amp;Actuals!S932,'Avoided Costs 2009-2017'!$K:$K)*N932</f>
        <v>0</v>
      </c>
      <c r="W932" s="90">
        <f>SUMIF('Avoided Costs 2009-2017'!$A:$A,Actuals!T932&amp;Actuals!S932,'Avoided Costs 2009-2017'!$M:$M)*R932</f>
        <v>0</v>
      </c>
      <c r="X932" s="90">
        <f t="shared" si="277"/>
        <v>0</v>
      </c>
      <c r="Y932" s="157">
        <v>17</v>
      </c>
      <c r="Z932" s="90">
        <f t="shared" si="278"/>
        <v>0</v>
      </c>
      <c r="AA932" s="110"/>
      <c r="AB932" s="110"/>
      <c r="AC932" s="90"/>
      <c r="AD932" s="90">
        <f t="shared" si="282"/>
        <v>0</v>
      </c>
      <c r="AE932" s="149">
        <f t="shared" si="279"/>
        <v>0</v>
      </c>
      <c r="AF932" s="161">
        <f t="shared" si="272"/>
        <v>0</v>
      </c>
    </row>
    <row r="933" spans="1:32" s="4" customFormat="1" x14ac:dyDescent="0.2">
      <c r="A933" s="138" t="s">
        <v>1311</v>
      </c>
      <c r="B933" s="160" t="s">
        <v>1312</v>
      </c>
      <c r="C933" s="101"/>
      <c r="D933" s="153">
        <v>532</v>
      </c>
      <c r="E933" s="147">
        <v>55</v>
      </c>
      <c r="F933" s="86">
        <v>0.1</v>
      </c>
      <c r="G933" s="86">
        <v>0.32</v>
      </c>
      <c r="H933" s="87">
        <f t="shared" si="273"/>
        <v>29260</v>
      </c>
      <c r="I933" s="87">
        <f t="shared" si="280"/>
        <v>29260</v>
      </c>
      <c r="J933" s="88">
        <f t="shared" si="274"/>
        <v>17907.12</v>
      </c>
      <c r="K933" s="87"/>
      <c r="L933" s="87"/>
      <c r="M933" s="87"/>
      <c r="N933" s="88"/>
      <c r="O933" s="156">
        <v>9.49</v>
      </c>
      <c r="P933" s="89">
        <f t="shared" si="275"/>
        <v>5048.68</v>
      </c>
      <c r="Q933" s="122">
        <f t="shared" si="281"/>
        <v>5048.68</v>
      </c>
      <c r="R933" s="88">
        <f t="shared" si="276"/>
        <v>3089.7921600000004</v>
      </c>
      <c r="S933" s="88">
        <v>10</v>
      </c>
      <c r="T933" s="102" t="s">
        <v>1176</v>
      </c>
      <c r="U933" s="90">
        <f>SUMIF('Avoided Costs 2009-2017'!$A:$A,Actuals!T933&amp;Actuals!S933,'Avoided Costs 2009-2017'!$E:$E)*J933</f>
        <v>42886.0602556753</v>
      </c>
      <c r="V933" s="90">
        <f>SUMIF('Avoided Costs 2009-2017'!$A:$A,Actuals!T933&amp;Actuals!S933,'Avoided Costs 2009-2017'!$K:$K)*N933</f>
        <v>0</v>
      </c>
      <c r="W933" s="90">
        <f>SUMIF('Avoided Costs 2009-2017'!$A:$A,Actuals!T933&amp;Actuals!S933,'Avoided Costs 2009-2017'!$M:$M)*R933</f>
        <v>30974.980958438809</v>
      </c>
      <c r="X933" s="90">
        <f t="shared" si="277"/>
        <v>73861.041214114113</v>
      </c>
      <c r="Y933" s="157">
        <v>17</v>
      </c>
      <c r="Z933" s="90">
        <f t="shared" si="278"/>
        <v>8139.6</v>
      </c>
      <c r="AA933" s="110"/>
      <c r="AB933" s="110"/>
      <c r="AC933" s="90"/>
      <c r="AD933" s="90">
        <f t="shared" si="282"/>
        <v>8139.6</v>
      </c>
      <c r="AE933" s="149">
        <f t="shared" si="279"/>
        <v>65721.441214114107</v>
      </c>
      <c r="AF933" s="161">
        <f t="shared" si="272"/>
        <v>179071.19999999998</v>
      </c>
    </row>
    <row r="934" spans="1:32" s="4" customFormat="1" x14ac:dyDescent="0.2">
      <c r="A934" s="138" t="s">
        <v>1313</v>
      </c>
      <c r="B934" s="160" t="s">
        <v>1314</v>
      </c>
      <c r="C934" s="101"/>
      <c r="D934" s="153">
        <v>0</v>
      </c>
      <c r="E934" s="147">
        <v>28</v>
      </c>
      <c r="F934" s="86">
        <v>0.1</v>
      </c>
      <c r="G934" s="86">
        <v>0.32</v>
      </c>
      <c r="H934" s="87">
        <f t="shared" si="273"/>
        <v>0</v>
      </c>
      <c r="I934" s="87">
        <f t="shared" si="280"/>
        <v>0</v>
      </c>
      <c r="J934" s="88">
        <f t="shared" si="274"/>
        <v>0</v>
      </c>
      <c r="K934" s="87"/>
      <c r="L934" s="87"/>
      <c r="M934" s="87"/>
      <c r="N934" s="88"/>
      <c r="O934" s="156">
        <v>5.1970000000000001</v>
      </c>
      <c r="P934" s="89">
        <f t="shared" si="275"/>
        <v>0</v>
      </c>
      <c r="Q934" s="122">
        <f t="shared" si="281"/>
        <v>0</v>
      </c>
      <c r="R934" s="88">
        <f t="shared" si="276"/>
        <v>0</v>
      </c>
      <c r="S934" s="88">
        <v>10</v>
      </c>
      <c r="T934" s="102" t="s">
        <v>1176</v>
      </c>
      <c r="U934" s="90">
        <f>SUMIF('Avoided Costs 2009-2017'!$A:$A,Actuals!T934&amp;Actuals!S934,'Avoided Costs 2009-2017'!$E:$E)*J934</f>
        <v>0</v>
      </c>
      <c r="V934" s="90">
        <f>SUMIF('Avoided Costs 2009-2017'!$A:$A,Actuals!T934&amp;Actuals!S934,'Avoided Costs 2009-2017'!$K:$K)*N934</f>
        <v>0</v>
      </c>
      <c r="W934" s="90">
        <f>SUMIF('Avoided Costs 2009-2017'!$A:$A,Actuals!T934&amp;Actuals!S934,'Avoided Costs 2009-2017'!$M:$M)*R934</f>
        <v>0</v>
      </c>
      <c r="X934" s="90">
        <f t="shared" si="277"/>
        <v>0</v>
      </c>
      <c r="Y934" s="157">
        <v>17</v>
      </c>
      <c r="Z934" s="90">
        <f t="shared" si="278"/>
        <v>0</v>
      </c>
      <c r="AA934" s="110"/>
      <c r="AB934" s="110"/>
      <c r="AC934" s="90"/>
      <c r="AD934" s="90">
        <f t="shared" si="282"/>
        <v>0</v>
      </c>
      <c r="AE934" s="149">
        <f t="shared" si="279"/>
        <v>0</v>
      </c>
      <c r="AF934" s="161">
        <f t="shared" si="272"/>
        <v>0</v>
      </c>
    </row>
    <row r="935" spans="1:32" s="4" customFormat="1" x14ac:dyDescent="0.2">
      <c r="A935" s="138" t="s">
        <v>1315</v>
      </c>
      <c r="B935" s="160" t="s">
        <v>1316</v>
      </c>
      <c r="C935" s="101"/>
      <c r="D935" s="161">
        <v>1150</v>
      </c>
      <c r="E935" s="147">
        <v>16</v>
      </c>
      <c r="F935" s="86">
        <v>0.1</v>
      </c>
      <c r="G935" s="86">
        <v>0.32</v>
      </c>
      <c r="H935" s="87">
        <f t="shared" si="273"/>
        <v>18400</v>
      </c>
      <c r="I935" s="87">
        <f t="shared" si="280"/>
        <v>18400</v>
      </c>
      <c r="J935" s="88">
        <f t="shared" si="274"/>
        <v>11260.8</v>
      </c>
      <c r="K935" s="87"/>
      <c r="L935" s="87"/>
      <c r="M935" s="87"/>
      <c r="N935" s="88"/>
      <c r="O935" s="156">
        <v>5.3769999999999998</v>
      </c>
      <c r="P935" s="89">
        <f t="shared" si="275"/>
        <v>6183.55</v>
      </c>
      <c r="Q935" s="122">
        <f t="shared" si="281"/>
        <v>6183.55</v>
      </c>
      <c r="R935" s="88">
        <f t="shared" si="276"/>
        <v>3784.3326000000002</v>
      </c>
      <c r="S935" s="88">
        <v>10</v>
      </c>
      <c r="T935" s="102" t="s">
        <v>1176</v>
      </c>
      <c r="U935" s="90">
        <f>SUMIF('Avoided Costs 2009-2017'!$A:$A,Actuals!T935&amp;Actuals!S935,'Avoided Costs 2009-2017'!$E:$E)*J935</f>
        <v>26968.677672741815</v>
      </c>
      <c r="V935" s="90">
        <f>SUMIF('Avoided Costs 2009-2017'!$A:$A,Actuals!T935&amp;Actuals!S935,'Avoided Costs 2009-2017'!$K:$K)*N935</f>
        <v>0</v>
      </c>
      <c r="W935" s="90">
        <f>SUMIF('Avoided Costs 2009-2017'!$A:$A,Actuals!T935&amp;Actuals!S935,'Avoided Costs 2009-2017'!$M:$M)*R935</f>
        <v>37937.707183967745</v>
      </c>
      <c r="X935" s="90">
        <f t="shared" si="277"/>
        <v>64906.384856709556</v>
      </c>
      <c r="Y935" s="157">
        <v>2</v>
      </c>
      <c r="Z935" s="90">
        <f t="shared" si="278"/>
        <v>2070</v>
      </c>
      <c r="AA935" s="110"/>
      <c r="AB935" s="110"/>
      <c r="AC935" s="90"/>
      <c r="AD935" s="90">
        <f t="shared" si="282"/>
        <v>2070</v>
      </c>
      <c r="AE935" s="149">
        <f t="shared" si="279"/>
        <v>62836.384856709556</v>
      </c>
      <c r="AF935" s="161">
        <f t="shared" si="272"/>
        <v>112608</v>
      </c>
    </row>
    <row r="936" spans="1:32" s="4" customFormat="1" x14ac:dyDescent="0.2">
      <c r="A936" s="138" t="s">
        <v>1317</v>
      </c>
      <c r="B936" s="160" t="s">
        <v>1318</v>
      </c>
      <c r="C936" s="101"/>
      <c r="D936" s="153">
        <v>54</v>
      </c>
      <c r="E936" s="147">
        <v>39</v>
      </c>
      <c r="F936" s="86">
        <v>0.1</v>
      </c>
      <c r="G936" s="86">
        <v>0.32</v>
      </c>
      <c r="H936" s="87">
        <f t="shared" si="273"/>
        <v>2106</v>
      </c>
      <c r="I936" s="87">
        <f t="shared" si="280"/>
        <v>2106</v>
      </c>
      <c r="J936" s="88">
        <f t="shared" si="274"/>
        <v>1288.8719999999998</v>
      </c>
      <c r="K936" s="87"/>
      <c r="L936" s="87"/>
      <c r="M936" s="87"/>
      <c r="N936" s="88"/>
      <c r="O936" s="156">
        <v>8.0719999999999992</v>
      </c>
      <c r="P936" s="89">
        <f t="shared" si="275"/>
        <v>435.88799999999998</v>
      </c>
      <c r="Q936" s="122">
        <f t="shared" si="281"/>
        <v>435.88799999999998</v>
      </c>
      <c r="R936" s="88">
        <f t="shared" si="276"/>
        <v>266.76345599999996</v>
      </c>
      <c r="S936" s="88">
        <v>10</v>
      </c>
      <c r="T936" s="102" t="s">
        <v>1176</v>
      </c>
      <c r="U936" s="90">
        <f>SUMIF('Avoided Costs 2009-2017'!$A:$A,Actuals!T936&amp;Actuals!S936,'Avoided Costs 2009-2017'!$E:$E)*J936</f>
        <v>3086.7410423257752</v>
      </c>
      <c r="V936" s="90">
        <f>SUMIF('Avoided Costs 2009-2017'!$A:$A,Actuals!T936&amp;Actuals!S936,'Avoided Costs 2009-2017'!$K:$K)*N936</f>
        <v>0</v>
      </c>
      <c r="W936" s="90">
        <f>SUMIF('Avoided Costs 2009-2017'!$A:$A,Actuals!T936&amp;Actuals!S936,'Avoided Costs 2009-2017'!$M:$M)*R936</f>
        <v>2674.2876355823646</v>
      </c>
      <c r="X936" s="90">
        <f t="shared" si="277"/>
        <v>5761.0286779081398</v>
      </c>
      <c r="Y936" s="157">
        <v>2</v>
      </c>
      <c r="Z936" s="90">
        <f t="shared" si="278"/>
        <v>97.2</v>
      </c>
      <c r="AA936" s="110"/>
      <c r="AB936" s="110"/>
      <c r="AC936" s="90"/>
      <c r="AD936" s="90">
        <f t="shared" si="282"/>
        <v>97.2</v>
      </c>
      <c r="AE936" s="149">
        <f t="shared" si="279"/>
        <v>5663.82867790814</v>
      </c>
      <c r="AF936" s="161">
        <f t="shared" si="272"/>
        <v>12888.719999999998</v>
      </c>
    </row>
    <row r="937" spans="1:32" s="4" customFormat="1" x14ac:dyDescent="0.2">
      <c r="A937" s="138" t="s">
        <v>1277</v>
      </c>
      <c r="B937" s="160" t="s">
        <v>1278</v>
      </c>
      <c r="C937" s="101"/>
      <c r="D937" s="153">
        <v>791</v>
      </c>
      <c r="E937" s="147">
        <v>4</v>
      </c>
      <c r="F937" s="86">
        <v>0.1</v>
      </c>
      <c r="G937" s="86">
        <v>0.32</v>
      </c>
      <c r="H937" s="87">
        <f t="shared" si="273"/>
        <v>3164</v>
      </c>
      <c r="I937" s="87">
        <f t="shared" si="280"/>
        <v>3164</v>
      </c>
      <c r="J937" s="88">
        <f t="shared" si="274"/>
        <v>1936.3679999999997</v>
      </c>
      <c r="K937" s="87"/>
      <c r="L937" s="87"/>
      <c r="M937" s="87"/>
      <c r="N937" s="88"/>
      <c r="O937" s="156">
        <v>1.3819999999999999</v>
      </c>
      <c r="P937" s="89">
        <f t="shared" si="275"/>
        <v>1093.1619999999998</v>
      </c>
      <c r="Q937" s="122">
        <f t="shared" si="281"/>
        <v>1093.1619999999998</v>
      </c>
      <c r="R937" s="88">
        <f t="shared" si="276"/>
        <v>669.01514399999985</v>
      </c>
      <c r="S937" s="88">
        <v>10</v>
      </c>
      <c r="T937" s="102" t="s">
        <v>1176</v>
      </c>
      <c r="U937" s="90">
        <f>SUMIF('Avoided Costs 2009-2017'!$A:$A,Actuals!T937&amp;Actuals!S937,'Avoided Costs 2009-2017'!$E:$E)*J937</f>
        <v>4637.4400085084289</v>
      </c>
      <c r="V937" s="90">
        <f>SUMIF('Avoided Costs 2009-2017'!$A:$A,Actuals!T937&amp;Actuals!S937,'Avoided Costs 2009-2017'!$K:$K)*N937</f>
        <v>0</v>
      </c>
      <c r="W937" s="90">
        <f>SUMIF('Avoided Costs 2009-2017'!$A:$A,Actuals!T937&amp;Actuals!S937,'Avoided Costs 2009-2017'!$M:$M)*R937</f>
        <v>6706.8366651261067</v>
      </c>
      <c r="X937" s="90">
        <f t="shared" si="277"/>
        <v>11344.276673634537</v>
      </c>
      <c r="Y937" s="157">
        <v>2</v>
      </c>
      <c r="Z937" s="90">
        <f t="shared" si="278"/>
        <v>1423.8</v>
      </c>
      <c r="AA937" s="110"/>
      <c r="AB937" s="110"/>
      <c r="AC937" s="90"/>
      <c r="AD937" s="90">
        <f t="shared" si="282"/>
        <v>1423.8</v>
      </c>
      <c r="AE937" s="149">
        <f t="shared" si="279"/>
        <v>9920.4766736345373</v>
      </c>
      <c r="AF937" s="161">
        <f t="shared" si="272"/>
        <v>19363.679999999997</v>
      </c>
    </row>
    <row r="938" spans="1:32" s="4" customFormat="1" x14ac:dyDescent="0.2">
      <c r="A938" s="138" t="s">
        <v>1279</v>
      </c>
      <c r="B938" s="160" t="s">
        <v>1280</v>
      </c>
      <c r="C938" s="101"/>
      <c r="D938" s="153">
        <v>736</v>
      </c>
      <c r="E938" s="147">
        <v>11</v>
      </c>
      <c r="F938" s="86">
        <v>0.1</v>
      </c>
      <c r="G938" s="86">
        <v>0.32</v>
      </c>
      <c r="H938" s="87">
        <f t="shared" si="273"/>
        <v>8096</v>
      </c>
      <c r="I938" s="87">
        <f t="shared" si="280"/>
        <v>8096</v>
      </c>
      <c r="J938" s="88">
        <f t="shared" si="274"/>
        <v>4954.7519999999995</v>
      </c>
      <c r="K938" s="87"/>
      <c r="L938" s="87"/>
      <c r="M938" s="87"/>
      <c r="N938" s="88"/>
      <c r="O938" s="156">
        <v>2.371</v>
      </c>
      <c r="P938" s="89">
        <f t="shared" si="275"/>
        <v>1745.056</v>
      </c>
      <c r="Q938" s="122">
        <f t="shared" si="281"/>
        <v>1745.056</v>
      </c>
      <c r="R938" s="88">
        <f t="shared" si="276"/>
        <v>1067.9742719999999</v>
      </c>
      <c r="S938" s="88">
        <v>10</v>
      </c>
      <c r="T938" s="102" t="s">
        <v>1176</v>
      </c>
      <c r="U938" s="90">
        <f>SUMIF('Avoided Costs 2009-2017'!$A:$A,Actuals!T938&amp;Actuals!S938,'Avoided Costs 2009-2017'!$E:$E)*J938</f>
        <v>11866.218176006398</v>
      </c>
      <c r="V938" s="90">
        <f>SUMIF('Avoided Costs 2009-2017'!$A:$A,Actuals!T938&amp;Actuals!S938,'Avoided Costs 2009-2017'!$K:$K)*N938</f>
        <v>0</v>
      </c>
      <c r="W938" s="90">
        <f>SUMIF('Avoided Costs 2009-2017'!$A:$A,Actuals!T938&amp;Actuals!S938,'Avoided Costs 2009-2017'!$M:$M)*R938</f>
        <v>10706.377978285291</v>
      </c>
      <c r="X938" s="90">
        <f t="shared" si="277"/>
        <v>22572.596154291688</v>
      </c>
      <c r="Y938" s="157">
        <v>1.5</v>
      </c>
      <c r="Z938" s="90">
        <f t="shared" si="278"/>
        <v>993.6</v>
      </c>
      <c r="AA938" s="110"/>
      <c r="AB938" s="110"/>
      <c r="AC938" s="90"/>
      <c r="AD938" s="90">
        <f t="shared" si="282"/>
        <v>993.6</v>
      </c>
      <c r="AE938" s="149">
        <f t="shared" si="279"/>
        <v>21578.99615429169</v>
      </c>
      <c r="AF938" s="161">
        <f t="shared" si="272"/>
        <v>49547.519999999997</v>
      </c>
    </row>
    <row r="939" spans="1:32" s="4" customFormat="1" x14ac:dyDescent="0.2">
      <c r="A939" s="138" t="s">
        <v>1281</v>
      </c>
      <c r="B939" s="160" t="s">
        <v>1282</v>
      </c>
      <c r="C939" s="101"/>
      <c r="D939" s="161">
        <v>2045</v>
      </c>
      <c r="E939" s="147">
        <v>40</v>
      </c>
      <c r="F939" s="86">
        <v>0.1</v>
      </c>
      <c r="G939" s="155">
        <v>0.19</v>
      </c>
      <c r="H939" s="87">
        <f>D939*E939</f>
        <v>81800</v>
      </c>
      <c r="I939" s="87">
        <f t="shared" si="280"/>
        <v>81800</v>
      </c>
      <c r="J939" s="88">
        <f>(E939*D939)*(1-F939)*(1-G939)</f>
        <v>59632.200000000004</v>
      </c>
      <c r="K939" s="87"/>
      <c r="L939" s="87"/>
      <c r="M939" s="87"/>
      <c r="N939" s="88"/>
      <c r="O939" s="156">
        <v>7.351</v>
      </c>
      <c r="P939" s="89">
        <f>O939*D939</f>
        <v>15032.795</v>
      </c>
      <c r="Q939" s="122">
        <f t="shared" si="281"/>
        <v>15032.795</v>
      </c>
      <c r="R939" s="88">
        <f t="shared" si="276"/>
        <v>10958.907555</v>
      </c>
      <c r="S939" s="88">
        <v>10</v>
      </c>
      <c r="T939" s="102" t="s">
        <v>1176</v>
      </c>
      <c r="U939" s="90">
        <f>SUMIF('Avoided Costs 2009-2017'!$A:$A,Actuals!T939&amp;Actuals!S939,'Avoided Costs 2009-2017'!$E:$E)*J939</f>
        <v>142814.15003520841</v>
      </c>
      <c r="V939" s="90">
        <f>SUMIF('Avoided Costs 2009-2017'!$A:$A,Actuals!T939&amp;Actuals!S939,'Avoided Costs 2009-2017'!$K:$K)*N939</f>
        <v>0</v>
      </c>
      <c r="W939" s="90">
        <f>SUMIF('Avoided Costs 2009-2017'!$A:$A,Actuals!T939&amp;Actuals!S939,'Avoided Costs 2009-2017'!$M:$M)*R939</f>
        <v>109862.39049859461</v>
      </c>
      <c r="X939" s="90">
        <f t="shared" si="277"/>
        <v>252676.54053380303</v>
      </c>
      <c r="Y939" s="157">
        <v>17</v>
      </c>
      <c r="Z939" s="90">
        <f>(Y939*D939)*(1-F939)</f>
        <v>31288.5</v>
      </c>
      <c r="AA939" s="110"/>
      <c r="AB939" s="110"/>
      <c r="AC939" s="90"/>
      <c r="AD939" s="90">
        <f t="shared" si="282"/>
        <v>31288.5</v>
      </c>
      <c r="AE939" s="149">
        <f t="shared" si="279"/>
        <v>221388.04053380303</v>
      </c>
      <c r="AF939" s="161">
        <f t="shared" si="272"/>
        <v>596322</v>
      </c>
    </row>
    <row r="940" spans="1:32" s="4" customFormat="1" x14ac:dyDescent="0.2">
      <c r="A940" s="138" t="s">
        <v>1283</v>
      </c>
      <c r="B940" s="160" t="s">
        <v>1284</v>
      </c>
      <c r="C940" s="101"/>
      <c r="D940" s="153">
        <v>342</v>
      </c>
      <c r="E940" s="147">
        <v>28</v>
      </c>
      <c r="F940" s="86">
        <v>0.1</v>
      </c>
      <c r="G940" s="155">
        <v>0.19</v>
      </c>
      <c r="H940" s="87">
        <f t="shared" ref="H940:H949" si="283">D940*E940</f>
        <v>9576</v>
      </c>
      <c r="I940" s="87">
        <f t="shared" si="280"/>
        <v>9576</v>
      </c>
      <c r="J940" s="88">
        <f t="shared" si="274"/>
        <v>6980.9040000000005</v>
      </c>
      <c r="K940" s="87"/>
      <c r="L940" s="87"/>
      <c r="M940" s="87"/>
      <c r="N940" s="88"/>
      <c r="O940" s="156">
        <v>5.4870000000000001</v>
      </c>
      <c r="P940" s="89">
        <f t="shared" si="275"/>
        <v>1876.5540000000001</v>
      </c>
      <c r="Q940" s="122">
        <f t="shared" si="281"/>
        <v>1876.5540000000001</v>
      </c>
      <c r="R940" s="88">
        <f t="shared" si="276"/>
        <v>1368.0078660000004</v>
      </c>
      <c r="S940" s="88">
        <v>10</v>
      </c>
      <c r="T940" s="102" t="s">
        <v>1176</v>
      </c>
      <c r="U940" s="90">
        <f>SUMIF('Avoided Costs 2009-2017'!$A:$A,Actuals!T940&amp;Actuals!S940,'Avoided Costs 2009-2017'!$E:$E)*J940</f>
        <v>16718.683383094813</v>
      </c>
      <c r="V940" s="90">
        <f>SUMIF('Avoided Costs 2009-2017'!$A:$A,Actuals!T940&amp;Actuals!S940,'Avoided Costs 2009-2017'!$K:$K)*N940</f>
        <v>0</v>
      </c>
      <c r="W940" s="90">
        <f>SUMIF('Avoided Costs 2009-2017'!$A:$A,Actuals!T940&amp;Actuals!S940,'Avoided Costs 2009-2017'!$M:$M)*R940</f>
        <v>13714.196750484511</v>
      </c>
      <c r="X940" s="90">
        <f t="shared" si="277"/>
        <v>30432.880133579325</v>
      </c>
      <c r="Y940" s="157">
        <v>17</v>
      </c>
      <c r="Z940" s="90">
        <f t="shared" si="278"/>
        <v>5232.6000000000004</v>
      </c>
      <c r="AA940" s="110"/>
      <c r="AB940" s="110"/>
      <c r="AC940" s="90"/>
      <c r="AD940" s="90">
        <f t="shared" si="282"/>
        <v>5232.6000000000004</v>
      </c>
      <c r="AE940" s="149">
        <f t="shared" si="279"/>
        <v>25200.280133579327</v>
      </c>
      <c r="AF940" s="161">
        <f t="shared" si="272"/>
        <v>69809.040000000008</v>
      </c>
    </row>
    <row r="941" spans="1:32" s="4" customFormat="1" x14ac:dyDescent="0.2">
      <c r="A941" s="138" t="s">
        <v>1285</v>
      </c>
      <c r="B941" s="160" t="s">
        <v>1286</v>
      </c>
      <c r="C941" s="101"/>
      <c r="D941" s="161">
        <v>1532</v>
      </c>
      <c r="E941" s="147">
        <v>4</v>
      </c>
      <c r="F941" s="86">
        <v>0.1</v>
      </c>
      <c r="G941" s="155">
        <v>0.19</v>
      </c>
      <c r="H941" s="87">
        <f t="shared" si="283"/>
        <v>6128</v>
      </c>
      <c r="I941" s="87">
        <f t="shared" si="280"/>
        <v>6128</v>
      </c>
      <c r="J941" s="88">
        <f t="shared" si="274"/>
        <v>4467.3119999999999</v>
      </c>
      <c r="K941" s="87"/>
      <c r="L941" s="87"/>
      <c r="M941" s="87"/>
      <c r="N941" s="88"/>
      <c r="O941" s="156">
        <v>1.7270000000000001</v>
      </c>
      <c r="P941" s="89">
        <f t="shared" si="275"/>
        <v>2645.7640000000001</v>
      </c>
      <c r="Q941" s="122">
        <f t="shared" si="281"/>
        <v>2645.7640000000001</v>
      </c>
      <c r="R941" s="88">
        <f t="shared" si="276"/>
        <v>1928.7619560000003</v>
      </c>
      <c r="S941" s="88">
        <v>10</v>
      </c>
      <c r="T941" s="102" t="s">
        <v>1176</v>
      </c>
      <c r="U941" s="90">
        <f>SUMIF('Avoided Costs 2009-2017'!$A:$A,Actuals!T941&amp;Actuals!S941,'Avoided Costs 2009-2017'!$E:$E)*J941</f>
        <v>10698.839992857665</v>
      </c>
      <c r="V941" s="90">
        <f>SUMIF('Avoided Costs 2009-2017'!$A:$A,Actuals!T941&amp;Actuals!S941,'Avoided Costs 2009-2017'!$K:$K)*N941</f>
        <v>0</v>
      </c>
      <c r="W941" s="90">
        <f>SUMIF('Avoided Costs 2009-2017'!$A:$A,Actuals!T941&amp;Actuals!S941,'Avoided Costs 2009-2017'!$M:$M)*R941</f>
        <v>19335.722846957186</v>
      </c>
      <c r="X941" s="90">
        <f t="shared" si="277"/>
        <v>30034.562839814851</v>
      </c>
      <c r="Y941" s="157">
        <v>17</v>
      </c>
      <c r="Z941" s="90">
        <f t="shared" si="278"/>
        <v>23439.600000000002</v>
      </c>
      <c r="AA941" s="110"/>
      <c r="AB941" s="110"/>
      <c r="AC941" s="90"/>
      <c r="AD941" s="90">
        <f t="shared" si="282"/>
        <v>23439.600000000002</v>
      </c>
      <c r="AE941" s="149">
        <f t="shared" si="279"/>
        <v>6594.9628398148488</v>
      </c>
      <c r="AF941" s="161">
        <f t="shared" si="272"/>
        <v>44673.119999999995</v>
      </c>
    </row>
    <row r="942" spans="1:32" s="4" customFormat="1" x14ac:dyDescent="0.2">
      <c r="A942" s="138" t="s">
        <v>1287</v>
      </c>
      <c r="B942" s="160" t="s">
        <v>1288</v>
      </c>
      <c r="C942" s="101"/>
      <c r="D942" s="161">
        <v>1736</v>
      </c>
      <c r="E942" s="147">
        <v>91</v>
      </c>
      <c r="F942" s="86">
        <v>0.1</v>
      </c>
      <c r="G942" s="155">
        <v>0.19</v>
      </c>
      <c r="H942" s="87">
        <f t="shared" si="283"/>
        <v>157976</v>
      </c>
      <c r="I942" s="87">
        <f t="shared" si="280"/>
        <v>157976</v>
      </c>
      <c r="J942" s="88">
        <f t="shared" si="274"/>
        <v>115164.504</v>
      </c>
      <c r="K942" s="87"/>
      <c r="L942" s="87"/>
      <c r="M942" s="87"/>
      <c r="N942" s="88"/>
      <c r="O942" s="156">
        <v>15.114000000000001</v>
      </c>
      <c r="P942" s="89">
        <f t="shared" si="275"/>
        <v>26237.904000000002</v>
      </c>
      <c r="Q942" s="122">
        <f t="shared" si="281"/>
        <v>26237.904000000002</v>
      </c>
      <c r="R942" s="88">
        <f>(O942*D942)*(1-F942)*(1-G942)</f>
        <v>19127.432016000006</v>
      </c>
      <c r="S942" s="88">
        <v>10</v>
      </c>
      <c r="T942" s="102" t="s">
        <v>1176</v>
      </c>
      <c r="U942" s="90">
        <f>SUMIF('Avoided Costs 2009-2017'!$A:$A,Actuals!T942&amp;Actuals!S942,'Avoided Costs 2009-2017'!$E:$E)*J942</f>
        <v>275809.39078193251</v>
      </c>
      <c r="V942" s="90">
        <f>SUMIF('Avoided Costs 2009-2017'!$A:$A,Actuals!T942&amp;Actuals!S942,'Avoided Costs 2009-2017'!$K:$K)*N942</f>
        <v>0</v>
      </c>
      <c r="W942" s="90">
        <f>SUMIF('Avoided Costs 2009-2017'!$A:$A,Actuals!T942&amp;Actuals!S942,'Avoided Costs 2009-2017'!$M:$M)*R942</f>
        <v>191751.35795523314</v>
      </c>
      <c r="X942" s="90">
        <f t="shared" si="277"/>
        <v>467560.74873716565</v>
      </c>
      <c r="Y942" s="157">
        <v>17</v>
      </c>
      <c r="Z942" s="90">
        <f t="shared" si="278"/>
        <v>26560.799999999999</v>
      </c>
      <c r="AA942" s="110"/>
      <c r="AB942" s="110"/>
      <c r="AC942" s="90"/>
      <c r="AD942" s="90">
        <f t="shared" si="282"/>
        <v>26560.799999999999</v>
      </c>
      <c r="AE942" s="149">
        <f t="shared" si="279"/>
        <v>440999.94873716566</v>
      </c>
      <c r="AF942" s="161">
        <f t="shared" si="272"/>
        <v>1151645.04</v>
      </c>
    </row>
    <row r="943" spans="1:32" s="4" customFormat="1" x14ac:dyDescent="0.2">
      <c r="A943" s="138" t="s">
        <v>1289</v>
      </c>
      <c r="B943" s="160" t="s">
        <v>1290</v>
      </c>
      <c r="C943" s="101"/>
      <c r="D943" s="153">
        <v>364</v>
      </c>
      <c r="E943" s="147">
        <v>79</v>
      </c>
      <c r="F943" s="86">
        <v>0.1</v>
      </c>
      <c r="G943" s="155">
        <v>0.19</v>
      </c>
      <c r="H943" s="87">
        <f t="shared" si="283"/>
        <v>28756</v>
      </c>
      <c r="I943" s="87">
        <f t="shared" si="280"/>
        <v>28756</v>
      </c>
      <c r="J943" s="88">
        <f t="shared" si="274"/>
        <v>20963.124000000003</v>
      </c>
      <c r="K943" s="87"/>
      <c r="L943" s="87"/>
      <c r="M943" s="87"/>
      <c r="N943" s="88"/>
      <c r="O943" s="156">
        <v>13.25</v>
      </c>
      <c r="P943" s="89">
        <f t="shared" si="275"/>
        <v>4823</v>
      </c>
      <c r="Q943" s="122">
        <f t="shared" si="281"/>
        <v>4823</v>
      </c>
      <c r="R943" s="88">
        <f t="shared" si="276"/>
        <v>3515.9670000000001</v>
      </c>
      <c r="S943" s="88">
        <v>10</v>
      </c>
      <c r="T943" s="102" t="s">
        <v>1176</v>
      </c>
      <c r="U943" s="90">
        <f>SUMIF('Avoided Costs 2009-2017'!$A:$A,Actuals!T943&amp;Actuals!S943,'Avoided Costs 2009-2017'!$E:$E)*J943</f>
        <v>50204.935188416297</v>
      </c>
      <c r="V943" s="90">
        <f>SUMIF('Avoided Costs 2009-2017'!$A:$A,Actuals!T943&amp;Actuals!S943,'Avoided Costs 2009-2017'!$K:$K)*N943</f>
        <v>0</v>
      </c>
      <c r="W943" s="90">
        <f>SUMIF('Avoided Costs 2009-2017'!$A:$A,Actuals!T943&amp;Actuals!S943,'Avoided Costs 2009-2017'!$M:$M)*R943</f>
        <v>35247.358150944114</v>
      </c>
      <c r="X943" s="90">
        <f t="shared" si="277"/>
        <v>85452.293339360418</v>
      </c>
      <c r="Y943" s="157">
        <v>17</v>
      </c>
      <c r="Z943" s="90">
        <f t="shared" si="278"/>
        <v>5569.2</v>
      </c>
      <c r="AA943" s="110"/>
      <c r="AB943" s="110"/>
      <c r="AC943" s="90"/>
      <c r="AD943" s="90">
        <f t="shared" si="282"/>
        <v>5569.2</v>
      </c>
      <c r="AE943" s="149">
        <f t="shared" si="279"/>
        <v>79883.093339360421</v>
      </c>
      <c r="AF943" s="161">
        <f t="shared" si="272"/>
        <v>209631.24000000005</v>
      </c>
    </row>
    <row r="944" spans="1:32" s="4" customFormat="1" x14ac:dyDescent="0.2">
      <c r="A944" s="138" t="s">
        <v>1291</v>
      </c>
      <c r="B944" s="160" t="s">
        <v>1292</v>
      </c>
      <c r="C944" s="101"/>
      <c r="D944" s="161">
        <v>2631</v>
      </c>
      <c r="E944" s="147">
        <v>55</v>
      </c>
      <c r="F944" s="86">
        <v>0.1</v>
      </c>
      <c r="G944" s="155">
        <v>0.19</v>
      </c>
      <c r="H944" s="87">
        <f t="shared" si="283"/>
        <v>144705</v>
      </c>
      <c r="I944" s="87">
        <f t="shared" si="280"/>
        <v>144705</v>
      </c>
      <c r="J944" s="88">
        <f t="shared" si="274"/>
        <v>105489.94500000001</v>
      </c>
      <c r="K944" s="87"/>
      <c r="L944" s="87"/>
      <c r="M944" s="87"/>
      <c r="N944" s="88"/>
      <c r="O944" s="156">
        <v>9.49</v>
      </c>
      <c r="P944" s="89">
        <f t="shared" si="275"/>
        <v>24968.190000000002</v>
      </c>
      <c r="Q944" s="122">
        <f t="shared" si="281"/>
        <v>24968.190000000002</v>
      </c>
      <c r="R944" s="88">
        <f>(O944*D944)*(1-F944)*(1-G944)</f>
        <v>18201.810510000003</v>
      </c>
      <c r="S944" s="88">
        <v>10</v>
      </c>
      <c r="T944" s="102" t="s">
        <v>1176</v>
      </c>
      <c r="U944" s="90">
        <f>SUMIF('Avoided Costs 2009-2017'!$A:$A,Actuals!T944&amp;Actuals!S944,'Avoided Costs 2009-2017'!$E:$E)*J944</f>
        <v>252639.62812768744</v>
      </c>
      <c r="V944" s="90">
        <f>SUMIF('Avoided Costs 2009-2017'!$A:$A,Actuals!T944&amp;Actuals!S944,'Avoided Costs 2009-2017'!$K:$K)*N944</f>
        <v>0</v>
      </c>
      <c r="W944" s="90">
        <f>SUMIF('Avoided Costs 2009-2017'!$A:$A,Actuals!T944&amp;Actuals!S944,'Avoided Costs 2009-2017'!$M:$M)*R944</f>
        <v>182472.05791225823</v>
      </c>
      <c r="X944" s="90">
        <f t="shared" si="277"/>
        <v>435111.68603994569</v>
      </c>
      <c r="Y944" s="157">
        <v>17</v>
      </c>
      <c r="Z944" s="90">
        <f t="shared" si="278"/>
        <v>40254.300000000003</v>
      </c>
      <c r="AA944" s="110"/>
      <c r="AB944" s="110"/>
      <c r="AC944" s="90"/>
      <c r="AD944" s="90">
        <f t="shared" si="282"/>
        <v>40254.300000000003</v>
      </c>
      <c r="AE944" s="149">
        <f t="shared" si="279"/>
        <v>394857.3860399457</v>
      </c>
      <c r="AF944" s="161">
        <f t="shared" si="272"/>
        <v>1054899.4500000002</v>
      </c>
    </row>
    <row r="945" spans="1:32" s="4" customFormat="1" x14ac:dyDescent="0.2">
      <c r="A945" s="138" t="s">
        <v>1293</v>
      </c>
      <c r="B945" s="160" t="s">
        <v>1294</v>
      </c>
      <c r="C945" s="101"/>
      <c r="D945" s="161">
        <v>4940</v>
      </c>
      <c r="E945" s="147">
        <v>28</v>
      </c>
      <c r="F945" s="86">
        <v>0.1</v>
      </c>
      <c r="G945" s="155">
        <v>0.19</v>
      </c>
      <c r="H945" s="87">
        <f t="shared" si="283"/>
        <v>138320</v>
      </c>
      <c r="I945" s="87">
        <f t="shared" si="280"/>
        <v>138320</v>
      </c>
      <c r="J945" s="88">
        <f t="shared" si="274"/>
        <v>100835.28000000001</v>
      </c>
      <c r="K945" s="87"/>
      <c r="L945" s="87"/>
      <c r="M945" s="87"/>
      <c r="N945" s="88"/>
      <c r="O945" s="156">
        <v>5.1970000000000001</v>
      </c>
      <c r="P945" s="89">
        <f t="shared" si="275"/>
        <v>25673.18</v>
      </c>
      <c r="Q945" s="122">
        <f>+P945</f>
        <v>25673.18</v>
      </c>
      <c r="R945" s="88">
        <f t="shared" si="276"/>
        <v>18715.748220000001</v>
      </c>
      <c r="S945" s="88">
        <v>10</v>
      </c>
      <c r="T945" s="102" t="s">
        <v>1176</v>
      </c>
      <c r="U945" s="90">
        <f>SUMIF('Avoided Costs 2009-2017'!$A:$A,Actuals!T945&amp;Actuals!S945,'Avoided Costs 2009-2017'!$E:$E)*J945</f>
        <v>241492.09331136954</v>
      </c>
      <c r="V945" s="90">
        <f>SUMIF('Avoided Costs 2009-2017'!$A:$A,Actuals!T945&amp;Actuals!S945,'Avoided Costs 2009-2017'!$K:$K)*N945</f>
        <v>0</v>
      </c>
      <c r="W945" s="90">
        <f>SUMIF('Avoided Costs 2009-2017'!$A:$A,Actuals!T945&amp;Actuals!S945,'Avoided Costs 2009-2017'!$M:$M)*R945</f>
        <v>187624.25260909298</v>
      </c>
      <c r="X945" s="90">
        <f t="shared" si="277"/>
        <v>429116.34592046251</v>
      </c>
      <c r="Y945" s="157">
        <v>17</v>
      </c>
      <c r="Z945" s="90">
        <f t="shared" si="278"/>
        <v>75582</v>
      </c>
      <c r="AA945" s="110"/>
      <c r="AB945" s="110"/>
      <c r="AC945" s="90"/>
      <c r="AD945" s="90">
        <f t="shared" si="282"/>
        <v>75582</v>
      </c>
      <c r="AE945" s="149">
        <f t="shared" si="279"/>
        <v>353534.34592046251</v>
      </c>
      <c r="AF945" s="161">
        <f t="shared" si="272"/>
        <v>1008352.8000000002</v>
      </c>
    </row>
    <row r="946" spans="1:32" s="4" customFormat="1" x14ac:dyDescent="0.2">
      <c r="A946" s="138" t="s">
        <v>1295</v>
      </c>
      <c r="B946" s="160" t="s">
        <v>1296</v>
      </c>
      <c r="C946" s="101"/>
      <c r="D946" s="161">
        <v>1262</v>
      </c>
      <c r="E946" s="147">
        <v>16</v>
      </c>
      <c r="F946" s="86">
        <v>0.1</v>
      </c>
      <c r="G946" s="155">
        <v>0.38</v>
      </c>
      <c r="H946" s="87">
        <f t="shared" si="283"/>
        <v>20192</v>
      </c>
      <c r="I946" s="87">
        <f t="shared" si="280"/>
        <v>20192</v>
      </c>
      <c r="J946" s="88">
        <f t="shared" si="274"/>
        <v>11267.135999999999</v>
      </c>
      <c r="K946" s="87"/>
      <c r="L946" s="87"/>
      <c r="M946" s="87"/>
      <c r="N946" s="88"/>
      <c r="O946" s="156">
        <v>5.3769999999999998</v>
      </c>
      <c r="P946" s="89">
        <f t="shared" si="275"/>
        <v>6785.7739999999994</v>
      </c>
      <c r="Q946" s="122">
        <f t="shared" si="281"/>
        <v>6785.7739999999994</v>
      </c>
      <c r="R946" s="88">
        <f t="shared" si="276"/>
        <v>3786.4618919999994</v>
      </c>
      <c r="S946" s="88">
        <v>10</v>
      </c>
      <c r="T946" s="102" t="s">
        <v>1176</v>
      </c>
      <c r="U946" s="90">
        <f>SUMIF('Avoided Costs 2009-2017'!$A:$A,Actuals!T946&amp;Actuals!S946,'Avoided Costs 2009-2017'!$E:$E)*J946</f>
        <v>26983.851864782744</v>
      </c>
      <c r="V946" s="90">
        <f>SUMIF('Avoided Costs 2009-2017'!$A:$A,Actuals!T946&amp;Actuals!S946,'Avoided Costs 2009-2017'!$K:$K)*N946</f>
        <v>0</v>
      </c>
      <c r="W946" s="90">
        <f>SUMIF('Avoided Costs 2009-2017'!$A:$A,Actuals!T946&amp;Actuals!S946,'Avoided Costs 2009-2017'!$M:$M)*R946</f>
        <v>37959.053208470228</v>
      </c>
      <c r="X946" s="90">
        <f t="shared" si="277"/>
        <v>64942.905073252972</v>
      </c>
      <c r="Y946" s="157">
        <v>2</v>
      </c>
      <c r="Z946" s="90">
        <f t="shared" si="278"/>
        <v>2271.6</v>
      </c>
      <c r="AA946" s="110"/>
      <c r="AB946" s="110"/>
      <c r="AC946" s="90"/>
      <c r="AD946" s="90">
        <f t="shared" si="282"/>
        <v>2271.6</v>
      </c>
      <c r="AE946" s="149">
        <f t="shared" si="279"/>
        <v>62671.305073252974</v>
      </c>
      <c r="AF946" s="161">
        <f t="shared" si="272"/>
        <v>112671.35999999999</v>
      </c>
    </row>
    <row r="947" spans="1:32" s="4" customFormat="1" x14ac:dyDescent="0.2">
      <c r="A947" s="138" t="s">
        <v>1299</v>
      </c>
      <c r="B947" s="160" t="s">
        <v>1300</v>
      </c>
      <c r="C947" s="101"/>
      <c r="D947" s="161">
        <v>10154</v>
      </c>
      <c r="E947" s="147">
        <v>39</v>
      </c>
      <c r="F947" s="86">
        <v>0.1</v>
      </c>
      <c r="G947" s="155">
        <v>0.38</v>
      </c>
      <c r="H947" s="87">
        <f t="shared" si="283"/>
        <v>396006</v>
      </c>
      <c r="I947" s="87">
        <f t="shared" si="280"/>
        <v>396006</v>
      </c>
      <c r="J947" s="88">
        <f t="shared" si="274"/>
        <v>220971.34800000003</v>
      </c>
      <c r="K947" s="87"/>
      <c r="L947" s="87"/>
      <c r="M947" s="87"/>
      <c r="N947" s="88"/>
      <c r="O947" s="156">
        <v>8.0719999999999992</v>
      </c>
      <c r="P947" s="103">
        <f t="shared" si="275"/>
        <v>81963.087999999989</v>
      </c>
      <c r="Q947" s="122">
        <f t="shared" si="281"/>
        <v>81963.087999999989</v>
      </c>
      <c r="R947" s="88">
        <f t="shared" si="276"/>
        <v>45735.40310399999</v>
      </c>
      <c r="S947" s="88">
        <v>10</v>
      </c>
      <c r="T947" s="102" t="s">
        <v>1176</v>
      </c>
      <c r="U947" s="90">
        <f>SUMIF('Avoided Costs 2009-2017'!$A:$A,Actuals!T947&amp;Actuals!S947,'Avoided Costs 2009-2017'!$E:$E)*J947</f>
        <v>529207.96560841706</v>
      </c>
      <c r="V947" s="90">
        <f>SUMIF('Avoided Costs 2009-2017'!$A:$A,Actuals!T947&amp;Actuals!S947,'Avoided Costs 2009-2017'!$K:$K)*N947</f>
        <v>0</v>
      </c>
      <c r="W947" s="90">
        <f>SUMIF('Avoided Costs 2009-2017'!$A:$A,Actuals!T947&amp;Actuals!S947,'Avoided Costs 2009-2017'!$M:$M)*R947</f>
        <v>458494.67113442434</v>
      </c>
      <c r="X947" s="90">
        <f t="shared" si="277"/>
        <v>987702.63674284145</v>
      </c>
      <c r="Y947" s="157">
        <v>2</v>
      </c>
      <c r="Z947" s="90">
        <f t="shared" si="278"/>
        <v>18277.2</v>
      </c>
      <c r="AA947" s="110"/>
      <c r="AB947" s="110"/>
      <c r="AC947" s="90"/>
      <c r="AD947" s="90">
        <f t="shared" si="282"/>
        <v>18277.2</v>
      </c>
      <c r="AE947" s="149">
        <f t="shared" si="279"/>
        <v>969425.4367428415</v>
      </c>
      <c r="AF947" s="161">
        <f t="shared" si="272"/>
        <v>2209713.4800000004</v>
      </c>
    </row>
    <row r="948" spans="1:32" s="4" customFormat="1" x14ac:dyDescent="0.2">
      <c r="A948" s="138" t="s">
        <v>1301</v>
      </c>
      <c r="B948" s="160" t="s">
        <v>1302</v>
      </c>
      <c r="C948" s="101"/>
      <c r="D948" s="161">
        <v>1014</v>
      </c>
      <c r="E948" s="147">
        <v>4</v>
      </c>
      <c r="F948" s="86">
        <v>0.1</v>
      </c>
      <c r="G948" s="155">
        <v>0.66</v>
      </c>
      <c r="H948" s="87">
        <f t="shared" si="283"/>
        <v>4056</v>
      </c>
      <c r="I948" s="87">
        <f t="shared" si="280"/>
        <v>4056</v>
      </c>
      <c r="J948" s="88">
        <f t="shared" si="274"/>
        <v>1241.136</v>
      </c>
      <c r="K948" s="87"/>
      <c r="L948" s="87"/>
      <c r="M948" s="87"/>
      <c r="N948" s="88"/>
      <c r="O948" s="156">
        <v>1.3819999999999999</v>
      </c>
      <c r="P948" s="89">
        <f t="shared" si="275"/>
        <v>1401.348</v>
      </c>
      <c r="Q948" s="122">
        <f t="shared" si="281"/>
        <v>1401.348</v>
      </c>
      <c r="R948" s="88">
        <f t="shared" si="276"/>
        <v>428.81248799999992</v>
      </c>
      <c r="S948" s="88">
        <v>10</v>
      </c>
      <c r="T948" s="102" t="s">
        <v>1176</v>
      </c>
      <c r="U948" s="90">
        <f>SUMIF('Avoided Costs 2009-2017'!$A:$A,Actuals!T948&amp;Actuals!S948,'Avoided Costs 2009-2017'!$E:$E)*J948</f>
        <v>2972.4173000174133</v>
      </c>
      <c r="V948" s="90">
        <f>SUMIF('Avoided Costs 2009-2017'!$A:$A,Actuals!T948&amp;Actuals!S948,'Avoided Costs 2009-2017'!$K:$K)*N948</f>
        <v>0</v>
      </c>
      <c r="W948" s="90">
        <f>SUMIF('Avoided Costs 2009-2017'!$A:$A,Actuals!T948&amp;Actuals!S948,'Avoided Costs 2009-2017'!$M:$M)*R948</f>
        <v>4298.8194553968851</v>
      </c>
      <c r="X948" s="90">
        <f t="shared" si="277"/>
        <v>7271.2367554142984</v>
      </c>
      <c r="Y948" s="157">
        <v>2</v>
      </c>
      <c r="Z948" s="90">
        <f t="shared" si="278"/>
        <v>1825.2</v>
      </c>
      <c r="AA948" s="110"/>
      <c r="AB948" s="110"/>
      <c r="AC948" s="90"/>
      <c r="AD948" s="90">
        <f t="shared" si="282"/>
        <v>1825.2</v>
      </c>
      <c r="AE948" s="149">
        <f t="shared" si="279"/>
        <v>5446.0367554142986</v>
      </c>
      <c r="AF948" s="161">
        <f t="shared" si="272"/>
        <v>12411.36</v>
      </c>
    </row>
    <row r="949" spans="1:32" s="4" customFormat="1" x14ac:dyDescent="0.2">
      <c r="A949" s="138" t="s">
        <v>1303</v>
      </c>
      <c r="B949" s="160" t="s">
        <v>1304</v>
      </c>
      <c r="C949" s="101"/>
      <c r="D949" s="161">
        <v>10024</v>
      </c>
      <c r="E949" s="147">
        <v>11</v>
      </c>
      <c r="F949" s="86">
        <v>0.1</v>
      </c>
      <c r="G949" s="155">
        <v>0.66</v>
      </c>
      <c r="H949" s="87">
        <f t="shared" si="283"/>
        <v>110264</v>
      </c>
      <c r="I949" s="87">
        <f t="shared" si="280"/>
        <v>110264</v>
      </c>
      <c r="J949" s="88">
        <f t="shared" si="274"/>
        <v>33740.784</v>
      </c>
      <c r="K949" s="87"/>
      <c r="L949" s="87"/>
      <c r="M949" s="87"/>
      <c r="N949" s="88"/>
      <c r="O949" s="156">
        <v>2.371</v>
      </c>
      <c r="P949" s="89">
        <f t="shared" si="275"/>
        <v>23766.903999999999</v>
      </c>
      <c r="Q949" s="122">
        <f t="shared" si="281"/>
        <v>23766.903999999999</v>
      </c>
      <c r="R949" s="88">
        <f t="shared" si="276"/>
        <v>7272.6726239999989</v>
      </c>
      <c r="S949" s="88">
        <v>10</v>
      </c>
      <c r="T949" s="102" t="s">
        <v>1176</v>
      </c>
      <c r="U949" s="90">
        <f>SUMIF('Avoided Costs 2009-2017'!$A:$A,Actuals!T949&amp;Actuals!S949,'Avoided Costs 2009-2017'!$E:$E)*J949</f>
        <v>80806.366165956628</v>
      </c>
      <c r="V949" s="90">
        <f>SUMIF('Avoided Costs 2009-2017'!$A:$A,Actuals!T949&amp;Actuals!S949,'Avoided Costs 2009-2017'!$K:$K)*N949</f>
        <v>0</v>
      </c>
      <c r="W949" s="90">
        <f>SUMIF('Avoided Costs 2009-2017'!$A:$A,Actuals!T949&amp;Actuals!S949,'Avoided Costs 2009-2017'!$M:$M)*R949</f>
        <v>72908.106558649291</v>
      </c>
      <c r="X949" s="90">
        <f t="shared" si="277"/>
        <v>153714.47272460593</v>
      </c>
      <c r="Y949" s="157">
        <v>1.5</v>
      </c>
      <c r="Z949" s="90">
        <f t="shared" si="278"/>
        <v>13532.4</v>
      </c>
      <c r="AA949" s="110"/>
      <c r="AB949" s="110"/>
      <c r="AC949" s="90"/>
      <c r="AD949" s="90">
        <f t="shared" si="282"/>
        <v>13532.4</v>
      </c>
      <c r="AE949" s="149">
        <f t="shared" si="279"/>
        <v>140182.07272460594</v>
      </c>
      <c r="AF949" s="161">
        <f t="shared" si="272"/>
        <v>337407.83999999997</v>
      </c>
    </row>
    <row r="950" spans="1:32" s="4" customFormat="1" x14ac:dyDescent="0.2">
      <c r="A950" s="138" t="s">
        <v>959</v>
      </c>
      <c r="B950" s="101" t="s">
        <v>973</v>
      </c>
      <c r="C950" s="101"/>
      <c r="D950" s="88">
        <v>453</v>
      </c>
      <c r="E950" s="87">
        <v>117</v>
      </c>
      <c r="F950" s="86">
        <v>0.1</v>
      </c>
      <c r="G950" s="86"/>
      <c r="H950" s="87">
        <f>D950*E950</f>
        <v>53001</v>
      </c>
      <c r="I950" s="87">
        <f t="shared" si="280"/>
        <v>53001</v>
      </c>
      <c r="J950" s="88">
        <f>(E950*D950)*(1-F950)</f>
        <v>47700.9</v>
      </c>
      <c r="K950" s="87">
        <v>396</v>
      </c>
      <c r="L950" s="87">
        <f>K950*D950</f>
        <v>179388</v>
      </c>
      <c r="M950" s="87"/>
      <c r="N950" s="88">
        <f>(K950*D950)*(1-F950)</f>
        <v>161449.20000000001</v>
      </c>
      <c r="O950" s="100">
        <v>58.124000000000002</v>
      </c>
      <c r="P950" s="89">
        <f>O950*D950</f>
        <v>26330.172000000002</v>
      </c>
      <c r="Q950" s="122">
        <f t="shared" si="281"/>
        <v>26330.172000000002</v>
      </c>
      <c r="R950" s="88">
        <f t="shared" si="276"/>
        <v>23697.154800000004</v>
      </c>
      <c r="S950" s="88">
        <v>11</v>
      </c>
      <c r="T950" s="102" t="s">
        <v>1176</v>
      </c>
      <c r="U950" s="90">
        <f>SUMIF('Avoided Costs 2009-2017'!$A:$A,Actuals!T950&amp;Actuals!S950,'Avoided Costs 2009-2017'!$E:$E)*J950</f>
        <v>121693.70161356351</v>
      </c>
      <c r="V950" s="90">
        <f>SUMIF('Avoided Costs 2009-2017'!$A:$A,Actuals!T950&amp;Actuals!S950,'Avoided Costs 2009-2017'!$K:$K)*N950</f>
        <v>99263.388347767672</v>
      </c>
      <c r="W950" s="90">
        <f>SUMIF('Avoided Costs 2009-2017'!$A:$A,Actuals!T950&amp;Actuals!S950,'Avoided Costs 2009-2017'!$M:$M)*R950</f>
        <v>253542.31163154636</v>
      </c>
      <c r="X950" s="90">
        <f t="shared" si="277"/>
        <v>474499.40159287752</v>
      </c>
      <c r="Y950" s="110">
        <v>600</v>
      </c>
      <c r="Z950" s="90">
        <f>(Y950*D950)*(1-F950)</f>
        <v>244620</v>
      </c>
      <c r="AA950" s="148"/>
      <c r="AB950" s="148"/>
      <c r="AC950" s="90"/>
      <c r="AD950" s="90">
        <v>244991.04</v>
      </c>
      <c r="AE950" s="149">
        <f t="shared" si="279"/>
        <v>229508.36159287751</v>
      </c>
      <c r="AF950" s="161">
        <f t="shared" si="272"/>
        <v>524709.9</v>
      </c>
    </row>
    <row r="951" spans="1:32" s="4" customFormat="1" x14ac:dyDescent="0.2">
      <c r="A951" s="152" t="s">
        <v>982</v>
      </c>
      <c r="B951" s="152"/>
      <c r="C951" s="249"/>
      <c r="D951" s="250">
        <f>SUM(D928:D950)</f>
        <v>40785</v>
      </c>
      <c r="E951" s="251"/>
      <c r="F951" s="252"/>
      <c r="G951" s="253"/>
      <c r="H951" s="250">
        <f>SUM(H928:H950)</f>
        <v>1287819</v>
      </c>
      <c r="I951" s="250">
        <f>SUM(I928:I950)</f>
        <v>1287819</v>
      </c>
      <c r="J951" s="250">
        <f>SUM(J928:J950)</f>
        <v>812322.44100000011</v>
      </c>
      <c r="K951" s="251"/>
      <c r="L951" s="250">
        <f>SUM(L928:L950)</f>
        <v>179388</v>
      </c>
      <c r="M951" s="250">
        <f>SUM(M928:M950)</f>
        <v>0</v>
      </c>
      <c r="N951" s="250">
        <f>SUM(N928:N950)</f>
        <v>161449.20000000001</v>
      </c>
      <c r="O951" s="254"/>
      <c r="P951" s="250">
        <f>SUM(P928:P950)</f>
        <v>268865.06100000005</v>
      </c>
      <c r="Q951" s="250">
        <f>SUM(Q928:Q950)</f>
        <v>268865.06100000005</v>
      </c>
      <c r="R951" s="250">
        <f>SUM(R928:R950)</f>
        <v>171481.69748700003</v>
      </c>
      <c r="S951" s="255"/>
      <c r="T951" s="249"/>
      <c r="U951" s="256">
        <f>SUM(U928:U950)</f>
        <v>1952898.5787860686</v>
      </c>
      <c r="V951" s="256">
        <f>SUM(V928:V950)</f>
        <v>99263.388347767672</v>
      </c>
      <c r="W951" s="256">
        <f>SUM(W928:W950)</f>
        <v>1735073.4822205128</v>
      </c>
      <c r="X951" s="256">
        <f>SUM(X928:X950)</f>
        <v>3787235.4493543496</v>
      </c>
      <c r="Y951" s="257"/>
      <c r="Z951" s="256">
        <f>SUM(Z928:Z950)</f>
        <v>516860.10000000003</v>
      </c>
      <c r="AA951" s="148">
        <v>229051.36</v>
      </c>
      <c r="AB951" s="148">
        <v>15534.52</v>
      </c>
      <c r="AC951" s="258">
        <v>244585.88</v>
      </c>
      <c r="AD951" s="259">
        <f>SUM(AD928:AD950)</f>
        <v>532394.62</v>
      </c>
      <c r="AE951" s="260">
        <f>SUM(AE928:AE950)</f>
        <v>3254840.8293543491</v>
      </c>
      <c r="AF951" s="261">
        <f>SUM(AF926:AF950)</f>
        <v>8170925.3100000015</v>
      </c>
    </row>
    <row r="952" spans="1:32" s="4" customFormat="1" x14ac:dyDescent="0.2">
      <c r="A952" s="135"/>
      <c r="B952" s="135"/>
      <c r="C952" s="135"/>
      <c r="D952" s="262"/>
      <c r="E952" s="263"/>
      <c r="F952" s="264"/>
      <c r="G952" s="265"/>
      <c r="H952" s="266"/>
      <c r="I952" s="266"/>
      <c r="J952" s="262"/>
      <c r="K952" s="263"/>
      <c r="L952" s="266"/>
      <c r="M952" s="266"/>
      <c r="N952" s="262"/>
      <c r="O952" s="267"/>
      <c r="P952" s="266"/>
      <c r="Q952" s="266"/>
      <c r="R952" s="262"/>
      <c r="S952" s="268"/>
      <c r="T952" s="135"/>
      <c r="U952" s="141"/>
      <c r="V952" s="141"/>
      <c r="W952" s="141"/>
      <c r="X952" s="141"/>
      <c r="Y952" s="141"/>
      <c r="Z952" s="141"/>
      <c r="AA952" s="141"/>
      <c r="AB952" s="141"/>
      <c r="AC952" s="141"/>
      <c r="AD952" s="141"/>
      <c r="AE952" s="141"/>
      <c r="AF952" s="269"/>
    </row>
    <row r="953" spans="1:32" x14ac:dyDescent="0.2">
      <c r="A953" s="140" t="s">
        <v>1157</v>
      </c>
      <c r="B953" s="140"/>
      <c r="C953" s="79"/>
      <c r="D953" s="56">
        <f>D951+D926+D924+D897</f>
        <v>41053</v>
      </c>
      <c r="E953" s="54"/>
      <c r="F953" s="55"/>
      <c r="G953" s="55"/>
      <c r="H953" s="56">
        <f>H951+H926+H924+H897</f>
        <v>19727554</v>
      </c>
      <c r="I953" s="56"/>
      <c r="J953" s="56">
        <f>J951+J926+J924+J897</f>
        <v>15094724.873000007</v>
      </c>
      <c r="K953" s="56"/>
      <c r="L953" s="56">
        <f>L951+L926+L924+L897</f>
        <v>6561731</v>
      </c>
      <c r="M953" s="56">
        <f>M951+M926+M924+M897</f>
        <v>5406461.5759999994</v>
      </c>
      <c r="N953" s="56">
        <f>N951+N926+N924+N897</f>
        <v>4486618.4607999986</v>
      </c>
      <c r="O953" s="95"/>
      <c r="P953" s="56">
        <f>P951+P926+P924+P897</f>
        <v>268865.06100000005</v>
      </c>
      <c r="Q953" s="56">
        <f>Q951+Q926+Q924+Q897</f>
        <v>268865.06100000005</v>
      </c>
      <c r="R953" s="56">
        <f>R951+R926+R924+R897</f>
        <v>171481.69748700003</v>
      </c>
      <c r="S953" s="56"/>
      <c r="T953" s="25"/>
      <c r="U953" s="62">
        <f>U951+U926+U924+U897</f>
        <v>44313047.593818121</v>
      </c>
      <c r="V953" s="62">
        <f>V951+V926+V924+V897</f>
        <v>3328141.4103795304</v>
      </c>
      <c r="W953" s="62">
        <f>W951+W926+W924+W897</f>
        <v>1735073.4822205128</v>
      </c>
      <c r="X953" s="62">
        <f>X951+X926+X924+X897</f>
        <v>49376262.486418188</v>
      </c>
      <c r="Y953" s="62"/>
      <c r="Z953" s="62">
        <f t="shared" ref="Z953:AF953" si="284">Z951+Z926+Z924+Z897</f>
        <v>13991650.011999989</v>
      </c>
      <c r="AA953" s="62">
        <f t="shared" si="284"/>
        <v>2214611.11</v>
      </c>
      <c r="AB953" s="62">
        <f t="shared" si="284"/>
        <v>119238.49</v>
      </c>
      <c r="AC953" s="62">
        <f t="shared" si="284"/>
        <v>2333849.6000000001</v>
      </c>
      <c r="AD953" s="62">
        <f t="shared" si="284"/>
        <v>14110888.501999989</v>
      </c>
      <c r="AE953" s="62">
        <f t="shared" si="284"/>
        <v>35265373.984418191</v>
      </c>
      <c r="AF953" s="230">
        <f t="shared" si="284"/>
        <v>187670219.77399996</v>
      </c>
    </row>
    <row r="954" spans="1:32" s="4" customFormat="1" x14ac:dyDescent="0.2">
      <c r="A954" s="135"/>
      <c r="B954" s="30"/>
      <c r="C954" s="30"/>
      <c r="D954" s="26"/>
      <c r="E954" s="31"/>
      <c r="F954" s="32"/>
      <c r="G954" s="32"/>
      <c r="H954" s="31"/>
      <c r="I954" s="31"/>
      <c r="J954" s="26"/>
      <c r="K954" s="26"/>
      <c r="L954" s="26"/>
      <c r="M954" s="31"/>
      <c r="N954" s="26"/>
      <c r="O954" s="92"/>
      <c r="P954" s="36"/>
      <c r="Q954" s="31"/>
      <c r="R954" s="26"/>
      <c r="S954" s="26"/>
      <c r="T954" s="5"/>
      <c r="U954" s="53"/>
      <c r="V954" s="53"/>
      <c r="W954" s="53"/>
      <c r="X954" s="53"/>
      <c r="Y954" s="63"/>
      <c r="Z954" s="53"/>
      <c r="AA954" s="63"/>
      <c r="AB954" s="63"/>
      <c r="AC954" s="53"/>
      <c r="AD954" s="53"/>
      <c r="AE954" s="53"/>
      <c r="AF954" s="166"/>
    </row>
    <row r="955" spans="1:32" x14ac:dyDescent="0.2">
      <c r="A955" s="138" t="s">
        <v>1159</v>
      </c>
      <c r="B955" s="30" t="s">
        <v>1165</v>
      </c>
      <c r="H955" s="236">
        <v>0</v>
      </c>
      <c r="I955" s="236"/>
      <c r="J955" s="236"/>
      <c r="K955" s="236"/>
      <c r="L955" s="236">
        <v>0</v>
      </c>
      <c r="M955" s="236"/>
      <c r="O955" s="92"/>
      <c r="P955" s="236">
        <v>0</v>
      </c>
      <c r="Q955" s="236"/>
    </row>
    <row r="956" spans="1:32" s="150" customFormat="1" x14ac:dyDescent="0.2">
      <c r="A956" s="144" t="s">
        <v>1111</v>
      </c>
      <c r="B956" s="144"/>
      <c r="C956" s="144"/>
      <c r="D956" s="145">
        <v>1</v>
      </c>
      <c r="E956" s="122"/>
      <c r="F956" s="146">
        <v>0.26</v>
      </c>
      <c r="G956" s="146"/>
      <c r="H956" s="122">
        <v>242501</v>
      </c>
      <c r="I956" s="122">
        <f>+H956</f>
        <v>242501</v>
      </c>
      <c r="J956" s="147">
        <f t="shared" ref="J956:J976" si="285">I956*(1-F956)</f>
        <v>179450.74</v>
      </c>
      <c r="K956" s="122"/>
      <c r="L956" s="122">
        <v>290615</v>
      </c>
      <c r="M956" s="122">
        <f>+L956</f>
        <v>290615</v>
      </c>
      <c r="N956" s="122">
        <f t="shared" ref="N956:N976" si="286">M956*(1-F956)</f>
        <v>215055.1</v>
      </c>
      <c r="O956" s="122"/>
      <c r="P956" s="122">
        <v>0</v>
      </c>
      <c r="Q956" s="122">
        <f t="shared" ref="Q956:Q976" si="287">+P956*$P$68</f>
        <v>0</v>
      </c>
      <c r="R956" s="147">
        <f t="shared" ref="R956:R976" si="288">Q956*(1-F956)</f>
        <v>0</v>
      </c>
      <c r="S956" s="145">
        <v>25</v>
      </c>
      <c r="T956" s="144" t="s">
        <v>1239</v>
      </c>
      <c r="U956" s="90">
        <f>SUMIF('Avoided Costs 2009-2017'!$A:$A,Actuals!T956&amp;Actuals!S956,'Avoided Costs 2009-2017'!$E:$E)*J956</f>
        <v>759988.4383983406</v>
      </c>
      <c r="V956" s="90">
        <f>SUMIF('Avoided Costs 2009-2017'!$A:$A,Actuals!T956&amp;Actuals!S956,'Avoided Costs 2009-2017'!$K:$K)*N956</f>
        <v>205782.22447760659</v>
      </c>
      <c r="W956" s="90">
        <f>SUMIF('Avoided Costs 2009-2017'!$A:$A,Actuals!T956&amp;Actuals!S956,'Avoided Costs 2009-2017'!$M:$M)*R956</f>
        <v>0</v>
      </c>
      <c r="X956" s="90">
        <f t="shared" ref="X956:X976" si="289">SUM(U956:W956)</f>
        <v>965770.66287594719</v>
      </c>
      <c r="Y956" s="148">
        <v>623196</v>
      </c>
      <c r="Z956" s="149">
        <f t="shared" ref="Z956:Z976" si="290">Y956*(1-F956)</f>
        <v>461165.04</v>
      </c>
      <c r="AA956" s="148"/>
      <c r="AB956" s="145"/>
      <c r="AC956" s="145"/>
      <c r="AD956" s="148">
        <f t="shared" ref="AD956:AD977" si="291">Z956+AB956</f>
        <v>461165.04</v>
      </c>
      <c r="AE956" s="122">
        <f t="shared" ref="AE956:AE977" si="292">X956-AD956</f>
        <v>504605.62287594721</v>
      </c>
      <c r="AF956" s="167">
        <f t="shared" ref="AF956:AF976" si="293">J956*S956</f>
        <v>4486268.5</v>
      </c>
    </row>
    <row r="957" spans="1:32" s="150" customFormat="1" x14ac:dyDescent="0.2">
      <c r="A957" s="144" t="s">
        <v>1112</v>
      </c>
      <c r="B957" s="144"/>
      <c r="C957" s="144"/>
      <c r="D957" s="145">
        <v>1</v>
      </c>
      <c r="E957" s="122"/>
      <c r="F957" s="146">
        <v>0.26</v>
      </c>
      <c r="G957" s="146"/>
      <c r="H957" s="122">
        <v>71854</v>
      </c>
      <c r="I957" s="122">
        <f t="shared" ref="I957:I976" si="294">+$H$68*H957</f>
        <v>69554.671999999991</v>
      </c>
      <c r="J957" s="147">
        <f t="shared" si="285"/>
        <v>51470.457279999995</v>
      </c>
      <c r="K957" s="122"/>
      <c r="L957" s="122">
        <v>0</v>
      </c>
      <c r="M957" s="122">
        <f t="shared" ref="M957:M976" si="295">+$L$68*L957</f>
        <v>0</v>
      </c>
      <c r="N957" s="122">
        <f t="shared" si="286"/>
        <v>0</v>
      </c>
      <c r="O957" s="122"/>
      <c r="P957" s="122">
        <v>0</v>
      </c>
      <c r="Q957" s="122">
        <f t="shared" si="287"/>
        <v>0</v>
      </c>
      <c r="R957" s="147">
        <f t="shared" si="288"/>
        <v>0</v>
      </c>
      <c r="S957" s="145">
        <v>25</v>
      </c>
      <c r="T957" s="144" t="s">
        <v>1239</v>
      </c>
      <c r="U957" s="90">
        <f>SUMIF('Avoided Costs 2009-2017'!$A:$A,Actuals!T957&amp;Actuals!S957,'Avoided Costs 2009-2017'!$E:$E)*J957</f>
        <v>217981.56113413465</v>
      </c>
      <c r="V957" s="90">
        <f>SUMIF('Avoided Costs 2009-2017'!$A:$A,Actuals!T957&amp;Actuals!S957,'Avoided Costs 2009-2017'!$K:$K)*N957</f>
        <v>0</v>
      </c>
      <c r="W957" s="90">
        <f>SUMIF('Avoided Costs 2009-2017'!$A:$A,Actuals!T957&amp;Actuals!S957,'Avoided Costs 2009-2017'!$M:$M)*R957</f>
        <v>0</v>
      </c>
      <c r="X957" s="90">
        <f t="shared" si="289"/>
        <v>217981.56113413465</v>
      </c>
      <c r="Y957" s="148">
        <v>47157</v>
      </c>
      <c r="Z957" s="149">
        <f t="shared" si="290"/>
        <v>34896.18</v>
      </c>
      <c r="AA957" s="148"/>
      <c r="AB957" s="145"/>
      <c r="AC957" s="145"/>
      <c r="AD957" s="148">
        <f t="shared" si="291"/>
        <v>34896.18</v>
      </c>
      <c r="AE957" s="122">
        <f t="shared" si="292"/>
        <v>183085.38113413466</v>
      </c>
      <c r="AF957" s="167">
        <f t="shared" si="293"/>
        <v>1286761.4319999998</v>
      </c>
    </row>
    <row r="958" spans="1:32" s="150" customFormat="1" x14ac:dyDescent="0.2">
      <c r="A958" s="144" t="s">
        <v>1113</v>
      </c>
      <c r="B958" s="144"/>
      <c r="C958" s="144"/>
      <c r="D958" s="145">
        <v>1</v>
      </c>
      <c r="E958" s="122"/>
      <c r="F958" s="146">
        <v>0.26</v>
      </c>
      <c r="G958" s="146"/>
      <c r="H958" s="122">
        <v>94501</v>
      </c>
      <c r="I958" s="122">
        <f t="shared" si="294"/>
        <v>91476.967999999993</v>
      </c>
      <c r="J958" s="147">
        <f t="shared" si="285"/>
        <v>67692.956319999998</v>
      </c>
      <c r="K958" s="122"/>
      <c r="L958" s="122">
        <v>194374</v>
      </c>
      <c r="M958" s="122">
        <f t="shared" si="295"/>
        <v>174742.226</v>
      </c>
      <c r="N958" s="122">
        <f t="shared" si="286"/>
        <v>129309.24724</v>
      </c>
      <c r="O958" s="122"/>
      <c r="P958" s="122">
        <v>0</v>
      </c>
      <c r="Q958" s="122">
        <f t="shared" si="287"/>
        <v>0</v>
      </c>
      <c r="R958" s="147">
        <f t="shared" si="288"/>
        <v>0</v>
      </c>
      <c r="S958" s="145">
        <v>25</v>
      </c>
      <c r="T958" s="144" t="s">
        <v>1239</v>
      </c>
      <c r="U958" s="90">
        <f>SUMIF('Avoided Costs 2009-2017'!$A:$A,Actuals!T958&amp;Actuals!S958,'Avoided Costs 2009-2017'!$E:$E)*J958</f>
        <v>286685.16030752443</v>
      </c>
      <c r="V958" s="90">
        <f>SUMIF('Avoided Costs 2009-2017'!$A:$A,Actuals!T958&amp;Actuals!S958,'Avoided Costs 2009-2017'!$K:$K)*N958</f>
        <v>123733.61311855431</v>
      </c>
      <c r="W958" s="90">
        <f>SUMIF('Avoided Costs 2009-2017'!$A:$A,Actuals!T958&amp;Actuals!S958,'Avoided Costs 2009-2017'!$M:$M)*R958</f>
        <v>0</v>
      </c>
      <c r="X958" s="90">
        <f t="shared" si="289"/>
        <v>410418.77342607873</v>
      </c>
      <c r="Y958" s="148">
        <v>120500</v>
      </c>
      <c r="Z958" s="149">
        <f t="shared" si="290"/>
        <v>89170</v>
      </c>
      <c r="AA958" s="148"/>
      <c r="AB958" s="145"/>
      <c r="AC958" s="145"/>
      <c r="AD958" s="148">
        <f t="shared" si="291"/>
        <v>89170</v>
      </c>
      <c r="AE958" s="122">
        <f t="shared" si="292"/>
        <v>321248.77342607873</v>
      </c>
      <c r="AF958" s="167">
        <f t="shared" si="293"/>
        <v>1692323.9079999998</v>
      </c>
    </row>
    <row r="959" spans="1:32" s="150" customFormat="1" x14ac:dyDescent="0.2">
      <c r="A959" s="144" t="s">
        <v>1114</v>
      </c>
      <c r="B959" s="144"/>
      <c r="C959" s="144"/>
      <c r="D959" s="145">
        <v>1</v>
      </c>
      <c r="E959" s="122"/>
      <c r="F959" s="146">
        <v>0.26</v>
      </c>
      <c r="G959" s="146"/>
      <c r="H959" s="122">
        <v>51669</v>
      </c>
      <c r="I959" s="122">
        <f>+H959</f>
        <v>51669</v>
      </c>
      <c r="J959" s="147">
        <f t="shared" si="285"/>
        <v>38235.06</v>
      </c>
      <c r="K959" s="122"/>
      <c r="L959" s="122">
        <v>10021</v>
      </c>
      <c r="M959" s="122">
        <f>+L959</f>
        <v>10021</v>
      </c>
      <c r="N959" s="122">
        <f t="shared" si="286"/>
        <v>7415.54</v>
      </c>
      <c r="O959" s="122"/>
      <c r="P959" s="122">
        <v>0</v>
      </c>
      <c r="Q959" s="122">
        <f t="shared" si="287"/>
        <v>0</v>
      </c>
      <c r="R959" s="147">
        <f t="shared" si="288"/>
        <v>0</v>
      </c>
      <c r="S959" s="145">
        <v>25</v>
      </c>
      <c r="T959" s="144" t="s">
        <v>1239</v>
      </c>
      <c r="U959" s="90">
        <f>SUMIF('Avoided Costs 2009-2017'!$A:$A,Actuals!T959&amp;Actuals!S959,'Avoided Costs 2009-2017'!$E:$E)*J959</f>
        <v>161928.58018566464</v>
      </c>
      <c r="V959" s="90">
        <f>SUMIF('Avoided Costs 2009-2017'!$A:$A,Actuals!T959&amp;Actuals!S959,'Avoided Costs 2009-2017'!$K:$K)*N959</f>
        <v>7095.7922732484403</v>
      </c>
      <c r="W959" s="90">
        <f>SUMIF('Avoided Costs 2009-2017'!$A:$A,Actuals!T959&amp;Actuals!S959,'Avoided Costs 2009-2017'!$M:$M)*R959</f>
        <v>0</v>
      </c>
      <c r="X959" s="90">
        <f t="shared" si="289"/>
        <v>169024.37245891307</v>
      </c>
      <c r="Y959" s="148">
        <v>58400</v>
      </c>
      <c r="Z959" s="149">
        <f t="shared" si="290"/>
        <v>43216</v>
      </c>
      <c r="AA959" s="148"/>
      <c r="AB959" s="145"/>
      <c r="AC959" s="145"/>
      <c r="AD959" s="148">
        <f t="shared" si="291"/>
        <v>43216</v>
      </c>
      <c r="AE959" s="122">
        <f t="shared" si="292"/>
        <v>125808.37245891307</v>
      </c>
      <c r="AF959" s="167">
        <f t="shared" si="293"/>
        <v>955876.5</v>
      </c>
    </row>
    <row r="960" spans="1:32" s="150" customFormat="1" x14ac:dyDescent="0.2">
      <c r="A960" s="144" t="s">
        <v>1115</v>
      </c>
      <c r="B960" s="144"/>
      <c r="C960" s="144"/>
      <c r="D960" s="145">
        <v>1</v>
      </c>
      <c r="E960" s="122"/>
      <c r="F960" s="146">
        <v>0.26</v>
      </c>
      <c r="G960" s="146"/>
      <c r="H960" s="122">
        <v>118435</v>
      </c>
      <c r="I960" s="122">
        <f t="shared" si="294"/>
        <v>114645.08</v>
      </c>
      <c r="J960" s="147">
        <f t="shared" si="285"/>
        <v>84837.359200000006</v>
      </c>
      <c r="K960" s="122"/>
      <c r="L960" s="122">
        <v>-248545</v>
      </c>
      <c r="M960" s="122">
        <f t="shared" si="295"/>
        <v>-223441.95500000002</v>
      </c>
      <c r="N960" s="122">
        <f t="shared" si="286"/>
        <v>-165347.04670000001</v>
      </c>
      <c r="O960" s="122"/>
      <c r="P960" s="122">
        <v>0</v>
      </c>
      <c r="Q960" s="122">
        <f t="shared" si="287"/>
        <v>0</v>
      </c>
      <c r="R960" s="147">
        <f t="shared" si="288"/>
        <v>0</v>
      </c>
      <c r="S960" s="145">
        <v>25</v>
      </c>
      <c r="T960" s="144" t="s">
        <v>1239</v>
      </c>
      <c r="U960" s="90">
        <f>SUMIF('Avoided Costs 2009-2017'!$A:$A,Actuals!T960&amp;Actuals!S960,'Avoided Costs 2009-2017'!$E:$E)*J960</f>
        <v>359293.09701507556</v>
      </c>
      <c r="V960" s="90">
        <f>SUMIF('Avoided Costs 2009-2017'!$A:$A,Actuals!T960&amp;Actuals!S960,'Avoided Costs 2009-2017'!$K:$K)*N960</f>
        <v>-158217.51300354514</v>
      </c>
      <c r="W960" s="90">
        <f>SUMIF('Avoided Costs 2009-2017'!$A:$A,Actuals!T960&amp;Actuals!S960,'Avoided Costs 2009-2017'!$M:$M)*R960</f>
        <v>0</v>
      </c>
      <c r="X960" s="90">
        <f t="shared" si="289"/>
        <v>201075.58401153042</v>
      </c>
      <c r="Y960" s="148">
        <v>100000</v>
      </c>
      <c r="Z960" s="149">
        <f t="shared" si="290"/>
        <v>74000</v>
      </c>
      <c r="AA960" s="148"/>
      <c r="AB960" s="145"/>
      <c r="AC960" s="145"/>
      <c r="AD960" s="148">
        <f t="shared" si="291"/>
        <v>74000</v>
      </c>
      <c r="AE960" s="122">
        <f t="shared" si="292"/>
        <v>127075.58401153042</v>
      </c>
      <c r="AF960" s="167">
        <f t="shared" si="293"/>
        <v>2120933.98</v>
      </c>
    </row>
    <row r="961" spans="1:32" s="150" customFormat="1" x14ac:dyDescent="0.2">
      <c r="A961" s="144" t="s">
        <v>1116</v>
      </c>
      <c r="B961" s="144"/>
      <c r="C961" s="144"/>
      <c r="D961" s="145">
        <v>1</v>
      </c>
      <c r="E961" s="122"/>
      <c r="F961" s="146">
        <v>0.26</v>
      </c>
      <c r="G961" s="146"/>
      <c r="H961" s="122">
        <v>196205</v>
      </c>
      <c r="I961" s="122">
        <f>+H961</f>
        <v>196205</v>
      </c>
      <c r="J961" s="147">
        <f t="shared" si="285"/>
        <v>145191.70000000001</v>
      </c>
      <c r="K961" s="122"/>
      <c r="L961" s="122">
        <v>328743</v>
      </c>
      <c r="M961" s="122">
        <f>+L961</f>
        <v>328743</v>
      </c>
      <c r="N961" s="122">
        <f t="shared" si="286"/>
        <v>243269.82</v>
      </c>
      <c r="O961" s="122"/>
      <c r="P961" s="122">
        <v>0</v>
      </c>
      <c r="Q961" s="122">
        <f t="shared" si="287"/>
        <v>0</v>
      </c>
      <c r="R961" s="147">
        <f t="shared" si="288"/>
        <v>0</v>
      </c>
      <c r="S961" s="145">
        <v>25</v>
      </c>
      <c r="T961" s="144" t="s">
        <v>1239</v>
      </c>
      <c r="U961" s="90">
        <f>SUMIF('Avoided Costs 2009-2017'!$A:$A,Actuals!T961&amp;Actuals!S961,'Avoided Costs 2009-2017'!$E:$E)*J961</f>
        <v>614898.62539101462</v>
      </c>
      <c r="V961" s="90">
        <f>SUMIF('Avoided Costs 2009-2017'!$A:$A,Actuals!T961&amp;Actuals!S961,'Avoided Costs 2009-2017'!$K:$K)*N961</f>
        <v>232780.36516161181</v>
      </c>
      <c r="W961" s="90">
        <f>SUMIF('Avoided Costs 2009-2017'!$A:$A,Actuals!T961&amp;Actuals!S961,'Avoided Costs 2009-2017'!$M:$M)*R961</f>
        <v>0</v>
      </c>
      <c r="X961" s="90">
        <f t="shared" si="289"/>
        <v>847678.99055262643</v>
      </c>
      <c r="Y961" s="148">
        <v>554615</v>
      </c>
      <c r="Z961" s="149">
        <f t="shared" si="290"/>
        <v>410415.1</v>
      </c>
      <c r="AA961" s="148"/>
      <c r="AB961" s="145"/>
      <c r="AC961" s="145"/>
      <c r="AD961" s="148">
        <f t="shared" si="291"/>
        <v>410415.1</v>
      </c>
      <c r="AE961" s="122">
        <f t="shared" si="292"/>
        <v>437263.89055262646</v>
      </c>
      <c r="AF961" s="167">
        <f t="shared" si="293"/>
        <v>3629792.5000000005</v>
      </c>
    </row>
    <row r="962" spans="1:32" s="150" customFormat="1" x14ac:dyDescent="0.2">
      <c r="A962" s="144" t="s">
        <v>1117</v>
      </c>
      <c r="B962" s="144"/>
      <c r="C962" s="144"/>
      <c r="D962" s="145">
        <v>1</v>
      </c>
      <c r="E962" s="122"/>
      <c r="F962" s="146">
        <v>0.26</v>
      </c>
      <c r="G962" s="146"/>
      <c r="H962" s="122">
        <v>96409</v>
      </c>
      <c r="I962" s="122">
        <f t="shared" si="294"/>
        <v>93323.911999999997</v>
      </c>
      <c r="J962" s="147">
        <f t="shared" si="285"/>
        <v>69059.694879999995</v>
      </c>
      <c r="K962" s="122"/>
      <c r="L962" s="122">
        <v>250836</v>
      </c>
      <c r="M962" s="122">
        <f t="shared" si="295"/>
        <v>225501.56400000001</v>
      </c>
      <c r="N962" s="122">
        <f t="shared" si="286"/>
        <v>166871.15736000001</v>
      </c>
      <c r="O962" s="122"/>
      <c r="P962" s="122">
        <v>0</v>
      </c>
      <c r="Q962" s="122">
        <f t="shared" si="287"/>
        <v>0</v>
      </c>
      <c r="R962" s="147">
        <f t="shared" si="288"/>
        <v>0</v>
      </c>
      <c r="S962" s="145">
        <v>25</v>
      </c>
      <c r="T962" s="144" t="s">
        <v>1239</v>
      </c>
      <c r="U962" s="90">
        <f>SUMIF('Avoided Costs 2009-2017'!$A:$A,Actuals!T962&amp;Actuals!S962,'Avoided Costs 2009-2017'!$E:$E)*J962</f>
        <v>292473.40895956784</v>
      </c>
      <c r="V962" s="90">
        <f>SUMIF('Avoided Costs 2009-2017'!$A:$A,Actuals!T962&amp;Actuals!S962,'Avoided Costs 2009-2017'!$K:$K)*N962</f>
        <v>159675.90614076826</v>
      </c>
      <c r="W962" s="90">
        <f>SUMIF('Avoided Costs 2009-2017'!$A:$A,Actuals!T962&amp;Actuals!S962,'Avoided Costs 2009-2017'!$M:$M)*R962</f>
        <v>0</v>
      </c>
      <c r="X962" s="90">
        <f t="shared" si="289"/>
        <v>452149.3151003361</v>
      </c>
      <c r="Y962" s="148">
        <v>325000</v>
      </c>
      <c r="Z962" s="149">
        <f t="shared" si="290"/>
        <v>240500</v>
      </c>
      <c r="AA962" s="148"/>
      <c r="AB962" s="145"/>
      <c r="AC962" s="145"/>
      <c r="AD962" s="148">
        <f t="shared" si="291"/>
        <v>240500</v>
      </c>
      <c r="AE962" s="122">
        <f t="shared" si="292"/>
        <v>211649.3151003361</v>
      </c>
      <c r="AF962" s="167">
        <f t="shared" si="293"/>
        <v>1726492.372</v>
      </c>
    </row>
    <row r="963" spans="1:32" s="150" customFormat="1" x14ac:dyDescent="0.2">
      <c r="A963" s="144" t="s">
        <v>1118</v>
      </c>
      <c r="B963" s="144"/>
      <c r="C963" s="144"/>
      <c r="D963" s="145">
        <v>1</v>
      </c>
      <c r="E963" s="122"/>
      <c r="F963" s="146">
        <v>0.26</v>
      </c>
      <c r="G963" s="146"/>
      <c r="H963" s="122">
        <v>53099</v>
      </c>
      <c r="I963" s="122">
        <f t="shared" si="294"/>
        <v>51399.831999999995</v>
      </c>
      <c r="J963" s="147">
        <f t="shared" si="285"/>
        <v>38035.875679999997</v>
      </c>
      <c r="K963" s="122"/>
      <c r="L963" s="122">
        <v>-9054</v>
      </c>
      <c r="M963" s="122">
        <f t="shared" si="295"/>
        <v>-8139.5460000000003</v>
      </c>
      <c r="N963" s="122">
        <f t="shared" si="286"/>
        <v>-6023.26404</v>
      </c>
      <c r="O963" s="122"/>
      <c r="P963" s="122">
        <v>0</v>
      </c>
      <c r="Q963" s="122">
        <f t="shared" si="287"/>
        <v>0</v>
      </c>
      <c r="R963" s="147">
        <f t="shared" si="288"/>
        <v>0</v>
      </c>
      <c r="S963" s="145">
        <v>25</v>
      </c>
      <c r="T963" s="144" t="s">
        <v>1239</v>
      </c>
      <c r="U963" s="90">
        <f>SUMIF('Avoided Costs 2009-2017'!$A:$A,Actuals!T963&amp;Actuals!S963,'Avoided Costs 2009-2017'!$E:$E)*J963</f>
        <v>161085.01843545822</v>
      </c>
      <c r="V963" s="90">
        <f>SUMIF('Avoided Costs 2009-2017'!$A:$A,Actuals!T963&amp;Actuals!S963,'Avoided Costs 2009-2017'!$K:$K)*N963</f>
        <v>-5763.5493079084172</v>
      </c>
      <c r="W963" s="90">
        <f>SUMIF('Avoided Costs 2009-2017'!$A:$A,Actuals!T963&amp;Actuals!S963,'Avoided Costs 2009-2017'!$M:$M)*R963</f>
        <v>0</v>
      </c>
      <c r="X963" s="90">
        <f t="shared" si="289"/>
        <v>155321.46912754979</v>
      </c>
      <c r="Y963" s="148">
        <v>41000</v>
      </c>
      <c r="Z963" s="149">
        <f t="shared" si="290"/>
        <v>30340</v>
      </c>
      <c r="AA963" s="148"/>
      <c r="AB963" s="145"/>
      <c r="AC963" s="145"/>
      <c r="AD963" s="148">
        <f t="shared" si="291"/>
        <v>30340</v>
      </c>
      <c r="AE963" s="122">
        <f t="shared" si="292"/>
        <v>124981.46912754979</v>
      </c>
      <c r="AF963" s="167">
        <f t="shared" si="293"/>
        <v>950896.89199999999</v>
      </c>
    </row>
    <row r="964" spans="1:32" s="150" customFormat="1" x14ac:dyDescent="0.2">
      <c r="A964" s="144" t="s">
        <v>1119</v>
      </c>
      <c r="B964" s="144"/>
      <c r="C964" s="144"/>
      <c r="D964" s="145">
        <v>1</v>
      </c>
      <c r="E964" s="122"/>
      <c r="F964" s="146">
        <v>0.26</v>
      </c>
      <c r="G964" s="146"/>
      <c r="H964" s="122">
        <v>24958</v>
      </c>
      <c r="I964" s="122">
        <f t="shared" si="294"/>
        <v>24159.344000000001</v>
      </c>
      <c r="J964" s="147">
        <f t="shared" si="285"/>
        <v>17877.914560000001</v>
      </c>
      <c r="K964" s="122"/>
      <c r="L964" s="122">
        <v>264962</v>
      </c>
      <c r="M964" s="122">
        <f t="shared" si="295"/>
        <v>238200.83800000002</v>
      </c>
      <c r="N964" s="122">
        <f t="shared" si="286"/>
        <v>176268.62012000001</v>
      </c>
      <c r="O964" s="122"/>
      <c r="P964" s="122">
        <v>0</v>
      </c>
      <c r="Q964" s="122">
        <f t="shared" si="287"/>
        <v>0</v>
      </c>
      <c r="R964" s="147">
        <f t="shared" si="288"/>
        <v>0</v>
      </c>
      <c r="S964" s="145">
        <v>25</v>
      </c>
      <c r="T964" s="144" t="s">
        <v>1239</v>
      </c>
      <c r="U964" s="90">
        <f>SUMIF('Avoided Costs 2009-2017'!$A:$A,Actuals!T964&amp;Actuals!S964,'Avoided Costs 2009-2017'!$E:$E)*J964</f>
        <v>75714.418164413015</v>
      </c>
      <c r="V964" s="90">
        <f>SUMIF('Avoided Costs 2009-2017'!$A:$A,Actuals!T964&amp;Actuals!S964,'Avoided Costs 2009-2017'!$K:$K)*N964</f>
        <v>168668.16343296113</v>
      </c>
      <c r="W964" s="90">
        <f>SUMIF('Avoided Costs 2009-2017'!$A:$A,Actuals!T964&amp;Actuals!S964,'Avoided Costs 2009-2017'!$M:$M)*R964</f>
        <v>0</v>
      </c>
      <c r="X964" s="90">
        <f t="shared" si="289"/>
        <v>244382.58159737414</v>
      </c>
      <c r="Y964" s="148">
        <v>94306</v>
      </c>
      <c r="Z964" s="149">
        <f t="shared" si="290"/>
        <v>69786.44</v>
      </c>
      <c r="AA964" s="148"/>
      <c r="AB964" s="145"/>
      <c r="AC964" s="145"/>
      <c r="AD964" s="148">
        <f t="shared" si="291"/>
        <v>69786.44</v>
      </c>
      <c r="AE964" s="122">
        <f t="shared" si="292"/>
        <v>174596.14159737414</v>
      </c>
      <c r="AF964" s="167">
        <f t="shared" si="293"/>
        <v>446947.864</v>
      </c>
    </row>
    <row r="965" spans="1:32" s="150" customFormat="1" x14ac:dyDescent="0.2">
      <c r="A965" s="144" t="s">
        <v>1120</v>
      </c>
      <c r="B965" s="144"/>
      <c r="C965" s="144"/>
      <c r="D965" s="145">
        <v>1</v>
      </c>
      <c r="E965" s="122"/>
      <c r="F965" s="146">
        <v>0.26</v>
      </c>
      <c r="G965" s="146"/>
      <c r="H965" s="122">
        <v>347195</v>
      </c>
      <c r="I965" s="122">
        <f>+H965</f>
        <v>347195</v>
      </c>
      <c r="J965" s="147">
        <f t="shared" si="285"/>
        <v>256924.3</v>
      </c>
      <c r="K965" s="122"/>
      <c r="L965" s="122">
        <v>1288356</v>
      </c>
      <c r="M965" s="122">
        <f>+L965</f>
        <v>1288356</v>
      </c>
      <c r="N965" s="122">
        <f t="shared" si="286"/>
        <v>953383.44</v>
      </c>
      <c r="O965" s="122"/>
      <c r="P965" s="122">
        <v>0</v>
      </c>
      <c r="Q965" s="122">
        <f t="shared" si="287"/>
        <v>0</v>
      </c>
      <c r="R965" s="147">
        <f t="shared" si="288"/>
        <v>0</v>
      </c>
      <c r="S965" s="145">
        <v>25</v>
      </c>
      <c r="T965" s="144" t="s">
        <v>1239</v>
      </c>
      <c r="U965" s="90">
        <f>SUMIF('Avoided Costs 2009-2017'!$A:$A,Actuals!T965&amp;Actuals!S965,'Avoided Costs 2009-2017'!$E:$E)*J965</f>
        <v>1088095.2485544879</v>
      </c>
      <c r="V965" s="90">
        <f>SUMIF('Avoided Costs 2009-2017'!$A:$A,Actuals!T965&amp;Actuals!S965,'Avoided Costs 2009-2017'!$K:$K)*N965</f>
        <v>912274.87775603903</v>
      </c>
      <c r="W965" s="90">
        <f>SUMIF('Avoided Costs 2009-2017'!$A:$A,Actuals!T965&amp;Actuals!S965,'Avoided Costs 2009-2017'!$M:$M)*R965</f>
        <v>0</v>
      </c>
      <c r="X965" s="90">
        <f t="shared" si="289"/>
        <v>2000370.1263105269</v>
      </c>
      <c r="Y965" s="148">
        <v>880000</v>
      </c>
      <c r="Z965" s="149">
        <f t="shared" si="290"/>
        <v>651200</v>
      </c>
      <c r="AA965" s="148"/>
      <c r="AB965" s="145"/>
      <c r="AC965" s="145"/>
      <c r="AD965" s="148">
        <f t="shared" si="291"/>
        <v>651200</v>
      </c>
      <c r="AE965" s="122">
        <f t="shared" si="292"/>
        <v>1349170.1263105269</v>
      </c>
      <c r="AF965" s="167">
        <f t="shared" si="293"/>
        <v>6423107.5</v>
      </c>
    </row>
    <row r="966" spans="1:32" s="150" customFormat="1" x14ac:dyDescent="0.2">
      <c r="A966" s="144" t="s">
        <v>1121</v>
      </c>
      <c r="B966" s="144"/>
      <c r="C966" s="144"/>
      <c r="D966" s="145">
        <v>1</v>
      </c>
      <c r="E966" s="122"/>
      <c r="F966" s="146">
        <v>0.26</v>
      </c>
      <c r="G966" s="146"/>
      <c r="H966" s="122">
        <v>85175</v>
      </c>
      <c r="I966" s="122">
        <f t="shared" si="294"/>
        <v>82449.399999999994</v>
      </c>
      <c r="J966" s="147">
        <f t="shared" si="285"/>
        <v>61012.555999999997</v>
      </c>
      <c r="K966" s="122"/>
      <c r="L966" s="122">
        <v>673044</v>
      </c>
      <c r="M966" s="122">
        <f t="shared" si="295"/>
        <v>605066.55599999998</v>
      </c>
      <c r="N966" s="122">
        <f t="shared" si="286"/>
        <v>447749.25143999996</v>
      </c>
      <c r="O966" s="122"/>
      <c r="P966" s="122">
        <v>0</v>
      </c>
      <c r="Q966" s="122">
        <f t="shared" si="287"/>
        <v>0</v>
      </c>
      <c r="R966" s="147">
        <f t="shared" si="288"/>
        <v>0</v>
      </c>
      <c r="S966" s="145">
        <v>25</v>
      </c>
      <c r="T966" s="144" t="s">
        <v>1239</v>
      </c>
      <c r="U966" s="90">
        <f>SUMIF('Avoided Costs 2009-2017'!$A:$A,Actuals!T966&amp;Actuals!S966,'Avoided Costs 2009-2017'!$E:$E)*J966</f>
        <v>258393.12313301861</v>
      </c>
      <c r="V966" s="90">
        <f>SUMIF('Avoided Costs 2009-2017'!$A:$A,Actuals!T966&amp;Actuals!S966,'Avoided Costs 2009-2017'!$K:$K)*N966</f>
        <v>428442.9291354001</v>
      </c>
      <c r="W966" s="90">
        <f>SUMIF('Avoided Costs 2009-2017'!$A:$A,Actuals!T966&amp;Actuals!S966,'Avoided Costs 2009-2017'!$M:$M)*R966</f>
        <v>0</v>
      </c>
      <c r="X966" s="90">
        <f t="shared" si="289"/>
        <v>686836.05226841872</v>
      </c>
      <c r="Y966" s="148">
        <v>208000</v>
      </c>
      <c r="Z966" s="149">
        <f t="shared" si="290"/>
        <v>153920</v>
      </c>
      <c r="AA966" s="148"/>
      <c r="AB966" s="145"/>
      <c r="AC966" s="145"/>
      <c r="AD966" s="148">
        <f t="shared" si="291"/>
        <v>153920</v>
      </c>
      <c r="AE966" s="122">
        <f t="shared" si="292"/>
        <v>532916.05226841872</v>
      </c>
      <c r="AF966" s="167">
        <f t="shared" si="293"/>
        <v>1525313.9</v>
      </c>
    </row>
    <row r="967" spans="1:32" s="150" customFormat="1" x14ac:dyDescent="0.2">
      <c r="A967" s="144" t="s">
        <v>1122</v>
      </c>
      <c r="B967" s="144"/>
      <c r="C967" s="144"/>
      <c r="D967" s="145">
        <v>1</v>
      </c>
      <c r="E967" s="122"/>
      <c r="F967" s="146">
        <v>0.26</v>
      </c>
      <c r="G967" s="146"/>
      <c r="H967" s="122">
        <v>200289</v>
      </c>
      <c r="I967" s="122">
        <f t="shared" si="294"/>
        <v>193879.75200000001</v>
      </c>
      <c r="J967" s="147">
        <f t="shared" si="285"/>
        <v>143471.01647999999</v>
      </c>
      <c r="K967" s="122"/>
      <c r="L967" s="122">
        <v>257299</v>
      </c>
      <c r="M967" s="122">
        <f t="shared" si="295"/>
        <v>231311.80100000001</v>
      </c>
      <c r="N967" s="122">
        <f t="shared" si="286"/>
        <v>171170.73274000001</v>
      </c>
      <c r="O967" s="122"/>
      <c r="P967" s="122">
        <v>0</v>
      </c>
      <c r="Q967" s="122">
        <f t="shared" si="287"/>
        <v>0</v>
      </c>
      <c r="R967" s="147">
        <f t="shared" si="288"/>
        <v>0</v>
      </c>
      <c r="S967" s="145">
        <v>25</v>
      </c>
      <c r="T967" s="144" t="s">
        <v>1239</v>
      </c>
      <c r="U967" s="90">
        <f>SUMIF('Avoided Costs 2009-2017'!$A:$A,Actuals!T967&amp;Actuals!S967,'Avoided Costs 2009-2017'!$E:$E)*J967</f>
        <v>607611.39112637704</v>
      </c>
      <c r="V967" s="90">
        <f>SUMIF('Avoided Costs 2009-2017'!$A:$A,Actuals!T967&amp;Actuals!S967,'Avoided Costs 2009-2017'!$K:$K)*N967</f>
        <v>163790.0898360424</v>
      </c>
      <c r="W967" s="90">
        <f>SUMIF('Avoided Costs 2009-2017'!$A:$A,Actuals!T967&amp;Actuals!S967,'Avoided Costs 2009-2017'!$M:$M)*R967</f>
        <v>0</v>
      </c>
      <c r="X967" s="90">
        <f t="shared" si="289"/>
        <v>771401.48096241942</v>
      </c>
      <c r="Y967" s="148">
        <v>442822</v>
      </c>
      <c r="Z967" s="149">
        <f t="shared" si="290"/>
        <v>327688.27999999997</v>
      </c>
      <c r="AA967" s="148"/>
      <c r="AB967" s="145"/>
      <c r="AC967" s="145"/>
      <c r="AD967" s="148">
        <f t="shared" si="291"/>
        <v>327688.27999999997</v>
      </c>
      <c r="AE967" s="122">
        <f t="shared" si="292"/>
        <v>443713.20096241945</v>
      </c>
      <c r="AF967" s="167">
        <f t="shared" si="293"/>
        <v>3586775.4119999995</v>
      </c>
    </row>
    <row r="968" spans="1:32" s="150" customFormat="1" x14ac:dyDescent="0.2">
      <c r="A968" s="144" t="s">
        <v>1123</v>
      </c>
      <c r="B968" s="144"/>
      <c r="C968" s="144"/>
      <c r="D968" s="145">
        <v>1</v>
      </c>
      <c r="E968" s="122"/>
      <c r="F968" s="146">
        <v>0.26</v>
      </c>
      <c r="G968" s="146"/>
      <c r="H968" s="122">
        <v>134097</v>
      </c>
      <c r="I968" s="122">
        <f t="shared" si="294"/>
        <v>129805.89599999999</v>
      </c>
      <c r="J968" s="147">
        <f t="shared" si="285"/>
        <v>96056.363039999997</v>
      </c>
      <c r="K968" s="122"/>
      <c r="L968" s="122">
        <v>109503</v>
      </c>
      <c r="M968" s="122">
        <f t="shared" si="295"/>
        <v>98443.197</v>
      </c>
      <c r="N968" s="122">
        <f t="shared" si="286"/>
        <v>72847.965779999999</v>
      </c>
      <c r="O968" s="122"/>
      <c r="P968" s="122">
        <v>0</v>
      </c>
      <c r="Q968" s="122">
        <f t="shared" si="287"/>
        <v>0</v>
      </c>
      <c r="R968" s="147">
        <f t="shared" si="288"/>
        <v>0</v>
      </c>
      <c r="S968" s="145">
        <v>25</v>
      </c>
      <c r="T968" s="144" t="s">
        <v>1239</v>
      </c>
      <c r="U968" s="90">
        <f>SUMIF('Avoided Costs 2009-2017'!$A:$A,Actuals!T968&amp;Actuals!S968,'Avoided Costs 2009-2017'!$E:$E)*J968</f>
        <v>406806.48820391425</v>
      </c>
      <c r="V968" s="90">
        <f>SUMIF('Avoided Costs 2009-2017'!$A:$A,Actuals!T968&amp;Actuals!S968,'Avoided Costs 2009-2017'!$K:$K)*N968</f>
        <v>69706.863249822782</v>
      </c>
      <c r="W968" s="90">
        <f>SUMIF('Avoided Costs 2009-2017'!$A:$A,Actuals!T968&amp;Actuals!S968,'Avoided Costs 2009-2017'!$M:$M)*R968</f>
        <v>0</v>
      </c>
      <c r="X968" s="90">
        <f t="shared" si="289"/>
        <v>476513.35145373701</v>
      </c>
      <c r="Y968" s="148">
        <v>235672</v>
      </c>
      <c r="Z968" s="149">
        <f t="shared" si="290"/>
        <v>174397.28</v>
      </c>
      <c r="AA968" s="148"/>
      <c r="AB968" s="145"/>
      <c r="AC968" s="145"/>
      <c r="AD968" s="148">
        <f t="shared" si="291"/>
        <v>174397.28</v>
      </c>
      <c r="AE968" s="122">
        <f t="shared" si="292"/>
        <v>302116.07145373698</v>
      </c>
      <c r="AF968" s="167">
        <f t="shared" si="293"/>
        <v>2401409.0759999999</v>
      </c>
    </row>
    <row r="969" spans="1:32" s="150" customFormat="1" x14ac:dyDescent="0.2">
      <c r="A969" s="144" t="s">
        <v>1124</v>
      </c>
      <c r="B969" s="144"/>
      <c r="C969" s="144"/>
      <c r="D969" s="145">
        <v>1</v>
      </c>
      <c r="E969" s="122"/>
      <c r="F969" s="146">
        <v>0.26</v>
      </c>
      <c r="G969" s="146"/>
      <c r="H969" s="122">
        <v>261291</v>
      </c>
      <c r="I969" s="122">
        <f t="shared" si="294"/>
        <v>252929.68799999999</v>
      </c>
      <c r="J969" s="147">
        <f t="shared" si="285"/>
        <v>187167.96911999999</v>
      </c>
      <c r="K969" s="122"/>
      <c r="L969" s="122">
        <v>591210</v>
      </c>
      <c r="M969" s="122">
        <f t="shared" si="295"/>
        <v>531497.79</v>
      </c>
      <c r="N969" s="122">
        <f t="shared" si="286"/>
        <v>393308.36460000003</v>
      </c>
      <c r="O969" s="122"/>
      <c r="P969" s="122">
        <v>0</v>
      </c>
      <c r="Q969" s="122">
        <f t="shared" si="287"/>
        <v>0</v>
      </c>
      <c r="R969" s="147">
        <f t="shared" si="288"/>
        <v>0</v>
      </c>
      <c r="S969" s="145">
        <v>25</v>
      </c>
      <c r="T969" s="144" t="s">
        <v>1239</v>
      </c>
      <c r="U969" s="90">
        <f>SUMIF('Avoided Costs 2009-2017'!$A:$A,Actuals!T969&amp;Actuals!S969,'Avoided Costs 2009-2017'!$E:$E)*J969</f>
        <v>792671.52963369025</v>
      </c>
      <c r="V969" s="90">
        <f>SUMIF('Avoided Costs 2009-2017'!$A:$A,Actuals!T969&amp;Actuals!S969,'Avoided Costs 2009-2017'!$K:$K)*N969</f>
        <v>376349.45729274745</v>
      </c>
      <c r="W969" s="90">
        <f>SUMIF('Avoided Costs 2009-2017'!$A:$A,Actuals!T969&amp;Actuals!S969,'Avoided Costs 2009-2017'!$M:$M)*R969</f>
        <v>0</v>
      </c>
      <c r="X969" s="90">
        <f t="shared" si="289"/>
        <v>1169020.9869264378</v>
      </c>
      <c r="Y969" s="148">
        <v>515000</v>
      </c>
      <c r="Z969" s="149">
        <f t="shared" si="290"/>
        <v>381100</v>
      </c>
      <c r="AA969" s="148"/>
      <c r="AB969" s="145"/>
      <c r="AC969" s="145"/>
      <c r="AD969" s="148">
        <f t="shared" si="291"/>
        <v>381100</v>
      </c>
      <c r="AE969" s="122">
        <f t="shared" si="292"/>
        <v>787920.98692643782</v>
      </c>
      <c r="AF969" s="167">
        <f t="shared" si="293"/>
        <v>4679199.2280000001</v>
      </c>
    </row>
    <row r="970" spans="1:32" s="150" customFormat="1" x14ac:dyDescent="0.2">
      <c r="A970" s="144" t="s">
        <v>1125</v>
      </c>
      <c r="B970" s="144"/>
      <c r="C970" s="144"/>
      <c r="D970" s="145">
        <v>1</v>
      </c>
      <c r="E970" s="122"/>
      <c r="F970" s="146">
        <v>0.26</v>
      </c>
      <c r="G970" s="146"/>
      <c r="H970" s="122">
        <v>140612</v>
      </c>
      <c r="I970" s="122">
        <f t="shared" si="294"/>
        <v>136112.416</v>
      </c>
      <c r="J970" s="147">
        <f t="shared" si="285"/>
        <v>100723.18784</v>
      </c>
      <c r="K970" s="122"/>
      <c r="L970" s="122">
        <v>-280794</v>
      </c>
      <c r="M970" s="122">
        <f t="shared" si="295"/>
        <v>-252433.80600000001</v>
      </c>
      <c r="N970" s="122">
        <f t="shared" si="286"/>
        <v>-186801.01644000001</v>
      </c>
      <c r="O970" s="122"/>
      <c r="P970" s="122">
        <v>0</v>
      </c>
      <c r="Q970" s="122">
        <f t="shared" si="287"/>
        <v>0</v>
      </c>
      <c r="R970" s="147">
        <f t="shared" si="288"/>
        <v>0</v>
      </c>
      <c r="S970" s="145">
        <v>25</v>
      </c>
      <c r="T970" s="144" t="s">
        <v>1239</v>
      </c>
      <c r="U970" s="90">
        <f>SUMIF('Avoided Costs 2009-2017'!$A:$A,Actuals!T970&amp;Actuals!S970,'Avoided Costs 2009-2017'!$E:$E)*J970</f>
        <v>426570.86973853846</v>
      </c>
      <c r="V970" s="90">
        <f>SUMIF('Avoided Costs 2009-2017'!$A:$A,Actuals!T970&amp;Actuals!S970,'Avoided Costs 2009-2017'!$K:$K)*N970</f>
        <v>-178746.4175353254</v>
      </c>
      <c r="W970" s="90">
        <f>SUMIF('Avoided Costs 2009-2017'!$A:$A,Actuals!T970&amp;Actuals!S970,'Avoided Costs 2009-2017'!$M:$M)*R970</f>
        <v>0</v>
      </c>
      <c r="X970" s="90">
        <f t="shared" si="289"/>
        <v>247824.45220321306</v>
      </c>
      <c r="Y970" s="148">
        <v>204000</v>
      </c>
      <c r="Z970" s="149">
        <f t="shared" si="290"/>
        <v>150960</v>
      </c>
      <c r="AA970" s="148"/>
      <c r="AB970" s="145"/>
      <c r="AC970" s="145"/>
      <c r="AD970" s="148">
        <f t="shared" si="291"/>
        <v>150960</v>
      </c>
      <c r="AE970" s="122">
        <f t="shared" si="292"/>
        <v>96864.452203213063</v>
      </c>
      <c r="AF970" s="167">
        <f t="shared" si="293"/>
        <v>2518079.696</v>
      </c>
    </row>
    <row r="971" spans="1:32" s="150" customFormat="1" x14ac:dyDescent="0.2">
      <c r="A971" s="144" t="s">
        <v>1126</v>
      </c>
      <c r="B971" s="144"/>
      <c r="C971" s="144"/>
      <c r="D971" s="145">
        <v>1</v>
      </c>
      <c r="E971" s="122"/>
      <c r="F971" s="146">
        <v>0.26</v>
      </c>
      <c r="G971" s="146"/>
      <c r="H971" s="122">
        <v>67347</v>
      </c>
      <c r="I971" s="122">
        <f t="shared" si="294"/>
        <v>65191.896000000001</v>
      </c>
      <c r="J971" s="147">
        <f t="shared" si="285"/>
        <v>48242.003040000003</v>
      </c>
      <c r="K971" s="122"/>
      <c r="L971" s="122">
        <v>-122849</v>
      </c>
      <c r="M971" s="122">
        <f t="shared" si="295"/>
        <v>-110441.251</v>
      </c>
      <c r="N971" s="122">
        <f t="shared" si="286"/>
        <v>-81726.525739999997</v>
      </c>
      <c r="O971" s="122"/>
      <c r="P971" s="122">
        <v>0</v>
      </c>
      <c r="Q971" s="122">
        <f t="shared" si="287"/>
        <v>0</v>
      </c>
      <c r="R971" s="147">
        <f t="shared" si="288"/>
        <v>0</v>
      </c>
      <c r="S971" s="145">
        <v>25</v>
      </c>
      <c r="T971" s="144" t="s">
        <v>1239</v>
      </c>
      <c r="U971" s="90">
        <f>SUMIF('Avoided Costs 2009-2017'!$A:$A,Actuals!T971&amp;Actuals!S971,'Avoided Costs 2009-2017'!$E:$E)*J971</f>
        <v>204308.79558132557</v>
      </c>
      <c r="V971" s="90">
        <f>SUMIF('Avoided Costs 2009-2017'!$A:$A,Actuals!T971&amp;Actuals!S971,'Avoided Costs 2009-2017'!$K:$K)*N971</f>
        <v>-78202.592105946664</v>
      </c>
      <c r="W971" s="90">
        <f>SUMIF('Avoided Costs 2009-2017'!$A:$A,Actuals!T971&amp;Actuals!S971,'Avoided Costs 2009-2017'!$M:$M)*R971</f>
        <v>0</v>
      </c>
      <c r="X971" s="90">
        <f t="shared" si="289"/>
        <v>126106.2034753789</v>
      </c>
      <c r="Y971" s="148">
        <v>124000</v>
      </c>
      <c r="Z971" s="149">
        <f t="shared" si="290"/>
        <v>91760</v>
      </c>
      <c r="AA971" s="148"/>
      <c r="AB971" s="145"/>
      <c r="AC971" s="145"/>
      <c r="AD971" s="148">
        <f t="shared" si="291"/>
        <v>91760</v>
      </c>
      <c r="AE971" s="122">
        <f t="shared" si="292"/>
        <v>34346.203475378905</v>
      </c>
      <c r="AF971" s="167">
        <f t="shared" si="293"/>
        <v>1206050.0760000001</v>
      </c>
    </row>
    <row r="972" spans="1:32" s="150" customFormat="1" x14ac:dyDescent="0.2">
      <c r="A972" s="144" t="s">
        <v>1127</v>
      </c>
      <c r="B972" s="144"/>
      <c r="C972" s="144"/>
      <c r="D972" s="145">
        <v>1</v>
      </c>
      <c r="E972" s="122"/>
      <c r="F972" s="146">
        <v>0.26</v>
      </c>
      <c r="G972" s="146"/>
      <c r="H972" s="122">
        <v>150189</v>
      </c>
      <c r="I972" s="122">
        <f>+H972</f>
        <v>150189</v>
      </c>
      <c r="J972" s="147">
        <f t="shared" si="285"/>
        <v>111139.86</v>
      </c>
      <c r="K972" s="122"/>
      <c r="L972" s="122">
        <v>371216</v>
      </c>
      <c r="M972" s="122">
        <f>+L972</f>
        <v>371216</v>
      </c>
      <c r="N972" s="122">
        <f t="shared" si="286"/>
        <v>274699.84000000003</v>
      </c>
      <c r="O972" s="122"/>
      <c r="P972" s="122">
        <v>0</v>
      </c>
      <c r="Q972" s="122">
        <f t="shared" si="287"/>
        <v>0</v>
      </c>
      <c r="R972" s="147">
        <f t="shared" si="288"/>
        <v>0</v>
      </c>
      <c r="S972" s="145">
        <v>25</v>
      </c>
      <c r="T972" s="144" t="s">
        <v>1239</v>
      </c>
      <c r="U972" s="90">
        <f>SUMIF('Avoided Costs 2009-2017'!$A:$A,Actuals!T972&amp;Actuals!S972,'Avoided Costs 2009-2017'!$E:$E)*J972</f>
        <v>470686.32118881319</v>
      </c>
      <c r="V972" s="90">
        <f>SUMIF('Avoided Costs 2009-2017'!$A:$A,Actuals!T972&amp;Actuals!S972,'Avoided Costs 2009-2017'!$K:$K)*N972</f>
        <v>262855.16660075774</v>
      </c>
      <c r="W972" s="90">
        <f>SUMIF('Avoided Costs 2009-2017'!$A:$A,Actuals!T972&amp;Actuals!S972,'Avoided Costs 2009-2017'!$M:$M)*R972</f>
        <v>0</v>
      </c>
      <c r="X972" s="90">
        <f t="shared" si="289"/>
        <v>733541.48778957094</v>
      </c>
      <c r="Y972" s="148">
        <v>588600</v>
      </c>
      <c r="Z972" s="149">
        <f t="shared" si="290"/>
        <v>435564</v>
      </c>
      <c r="AA972" s="148"/>
      <c r="AB972" s="145"/>
      <c r="AC972" s="145"/>
      <c r="AD972" s="148">
        <f t="shared" si="291"/>
        <v>435564</v>
      </c>
      <c r="AE972" s="122">
        <f t="shared" si="292"/>
        <v>297977.48778957094</v>
      </c>
      <c r="AF972" s="167">
        <f t="shared" si="293"/>
        <v>2778496.5</v>
      </c>
    </row>
    <row r="973" spans="1:32" s="150" customFormat="1" x14ac:dyDescent="0.2">
      <c r="A973" s="144" t="s">
        <v>1128</v>
      </c>
      <c r="B973" s="144"/>
      <c r="C973" s="144"/>
      <c r="D973" s="145">
        <v>1</v>
      </c>
      <c r="E973" s="122"/>
      <c r="F973" s="146">
        <v>0.26</v>
      </c>
      <c r="G973" s="146"/>
      <c r="H973" s="122">
        <v>179494</v>
      </c>
      <c r="I973" s="122">
        <f t="shared" si="294"/>
        <v>173750.19199999998</v>
      </c>
      <c r="J973" s="147">
        <f t="shared" si="285"/>
        <v>128575.14207999999</v>
      </c>
      <c r="K973" s="122"/>
      <c r="L973" s="122">
        <v>-86522</v>
      </c>
      <c r="M973" s="122">
        <f t="shared" si="295"/>
        <v>-77783.278000000006</v>
      </c>
      <c r="N973" s="122">
        <f t="shared" si="286"/>
        <v>-57559.625720000004</v>
      </c>
      <c r="O973" s="122"/>
      <c r="P973" s="122">
        <v>0</v>
      </c>
      <c r="Q973" s="122">
        <f t="shared" si="287"/>
        <v>0</v>
      </c>
      <c r="R973" s="147">
        <f t="shared" si="288"/>
        <v>0</v>
      </c>
      <c r="S973" s="145">
        <v>25</v>
      </c>
      <c r="T973" s="144" t="s">
        <v>1239</v>
      </c>
      <c r="U973" s="90">
        <f>SUMIF('Avoided Costs 2009-2017'!$A:$A,Actuals!T973&amp;Actuals!S973,'Avoided Costs 2009-2017'!$E:$E)*J973</f>
        <v>544526.15490035852</v>
      </c>
      <c r="V973" s="90">
        <f>SUMIF('Avoided Costs 2009-2017'!$A:$A,Actuals!T973&amp;Actuals!S973,'Avoided Costs 2009-2017'!$K:$K)*N973</f>
        <v>-55077.735058410879</v>
      </c>
      <c r="W973" s="90">
        <f>SUMIF('Avoided Costs 2009-2017'!$A:$A,Actuals!T973&amp;Actuals!S973,'Avoided Costs 2009-2017'!$M:$M)*R973</f>
        <v>0</v>
      </c>
      <c r="X973" s="90">
        <f t="shared" si="289"/>
        <v>489448.41984194762</v>
      </c>
      <c r="Y973" s="148">
        <v>454327</v>
      </c>
      <c r="Z973" s="149">
        <f t="shared" si="290"/>
        <v>336201.98</v>
      </c>
      <c r="AA973" s="148"/>
      <c r="AB973" s="145"/>
      <c r="AC973" s="145"/>
      <c r="AD973" s="148">
        <f t="shared" si="291"/>
        <v>336201.98</v>
      </c>
      <c r="AE973" s="122">
        <f t="shared" si="292"/>
        <v>153246.43984194763</v>
      </c>
      <c r="AF973" s="167">
        <f t="shared" si="293"/>
        <v>3214378.5519999997</v>
      </c>
    </row>
    <row r="974" spans="1:32" s="150" customFormat="1" x14ac:dyDescent="0.2">
      <c r="A974" s="144" t="s">
        <v>1129</v>
      </c>
      <c r="B974" s="144"/>
      <c r="C974" s="144"/>
      <c r="D974" s="145">
        <v>1</v>
      </c>
      <c r="E974" s="122"/>
      <c r="F974" s="146">
        <v>0.26</v>
      </c>
      <c r="G974" s="146"/>
      <c r="H974" s="122">
        <v>162585</v>
      </c>
      <c r="I974" s="122">
        <f>+H974</f>
        <v>162585</v>
      </c>
      <c r="J974" s="147">
        <f t="shared" si="285"/>
        <v>120312.9</v>
      </c>
      <c r="K974" s="122"/>
      <c r="L974" s="122">
        <v>437152</v>
      </c>
      <c r="M974" s="122">
        <f>+L974</f>
        <v>437152</v>
      </c>
      <c r="N974" s="122">
        <f t="shared" si="286"/>
        <v>323492.47999999998</v>
      </c>
      <c r="O974" s="122"/>
      <c r="P974" s="122">
        <v>0</v>
      </c>
      <c r="Q974" s="122">
        <f t="shared" si="287"/>
        <v>0</v>
      </c>
      <c r="R974" s="147">
        <f t="shared" si="288"/>
        <v>0</v>
      </c>
      <c r="S974" s="145">
        <v>25</v>
      </c>
      <c r="T974" s="144" t="s">
        <v>1239</v>
      </c>
      <c r="U974" s="90">
        <f>SUMIF('Avoided Costs 2009-2017'!$A:$A,Actuals!T974&amp;Actuals!S974,'Avoided Costs 2009-2017'!$E:$E)*J974</f>
        <v>509534.88957568922</v>
      </c>
      <c r="V974" s="90">
        <f>SUMIF('Avoided Costs 2009-2017'!$A:$A,Actuals!T974&amp;Actuals!S974,'Avoided Costs 2009-2017'!$K:$K)*N974</f>
        <v>309543.93611766311</v>
      </c>
      <c r="W974" s="90">
        <f>SUMIF('Avoided Costs 2009-2017'!$A:$A,Actuals!T974&amp;Actuals!S974,'Avoided Costs 2009-2017'!$M:$M)*R974</f>
        <v>0</v>
      </c>
      <c r="X974" s="90">
        <f t="shared" si="289"/>
        <v>819078.82569335238</v>
      </c>
      <c r="Y974" s="148">
        <v>340000</v>
      </c>
      <c r="Z974" s="149">
        <f t="shared" si="290"/>
        <v>251600</v>
      </c>
      <c r="AA974" s="148"/>
      <c r="AB974" s="145"/>
      <c r="AC974" s="145"/>
      <c r="AD974" s="148">
        <f t="shared" si="291"/>
        <v>251600</v>
      </c>
      <c r="AE974" s="122">
        <f t="shared" si="292"/>
        <v>567478.82569335238</v>
      </c>
      <c r="AF974" s="167">
        <f t="shared" si="293"/>
        <v>3007822.5</v>
      </c>
    </row>
    <row r="975" spans="1:32" s="150" customFormat="1" x14ac:dyDescent="0.2">
      <c r="A975" s="144" t="s">
        <v>1130</v>
      </c>
      <c r="B975" s="144"/>
      <c r="C975" s="144"/>
      <c r="D975" s="145">
        <v>1</v>
      </c>
      <c r="E975" s="122"/>
      <c r="F975" s="146">
        <v>0.26</v>
      </c>
      <c r="G975" s="146"/>
      <c r="H975" s="122">
        <v>133101</v>
      </c>
      <c r="I975" s="122">
        <f t="shared" si="294"/>
        <v>128841.768</v>
      </c>
      <c r="J975" s="147">
        <f t="shared" si="285"/>
        <v>95342.908320000002</v>
      </c>
      <c r="K975" s="122"/>
      <c r="L975" s="122">
        <v>106860</v>
      </c>
      <c r="M975" s="122">
        <f t="shared" si="295"/>
        <v>96067.14</v>
      </c>
      <c r="N975" s="122">
        <f t="shared" si="286"/>
        <v>71089.683600000004</v>
      </c>
      <c r="O975" s="122"/>
      <c r="P975" s="122">
        <v>0</v>
      </c>
      <c r="Q975" s="122">
        <f t="shared" si="287"/>
        <v>0</v>
      </c>
      <c r="R975" s="147">
        <f t="shared" si="288"/>
        <v>0</v>
      </c>
      <c r="S975" s="145">
        <v>25</v>
      </c>
      <c r="T975" s="144" t="s">
        <v>1239</v>
      </c>
      <c r="U975" s="90">
        <f>SUMIF('Avoided Costs 2009-2017'!$A:$A,Actuals!T975&amp;Actuals!S975,'Avoided Costs 2009-2017'!$E:$E)*J975</f>
        <v>403784.94959938846</v>
      </c>
      <c r="V975" s="90">
        <f>SUMIF('Avoided Costs 2009-2017'!$A:$A,Actuals!T975&amp;Actuals!S975,'Avoided Costs 2009-2017'!$K:$K)*N975</f>
        <v>68024.395741450571</v>
      </c>
      <c r="W975" s="90">
        <f>SUMIF('Avoided Costs 2009-2017'!$A:$A,Actuals!T975&amp;Actuals!S975,'Avoided Costs 2009-2017'!$M:$M)*R975</f>
        <v>0</v>
      </c>
      <c r="X975" s="90">
        <f t="shared" si="289"/>
        <v>471809.34534083901</v>
      </c>
      <c r="Y975" s="148">
        <v>303773</v>
      </c>
      <c r="Z975" s="149">
        <f t="shared" si="290"/>
        <v>224792.02</v>
      </c>
      <c r="AA975" s="148"/>
      <c r="AB975" s="145"/>
      <c r="AC975" s="145"/>
      <c r="AD975" s="148">
        <f t="shared" si="291"/>
        <v>224792.02</v>
      </c>
      <c r="AE975" s="122">
        <f t="shared" si="292"/>
        <v>247017.32534083902</v>
      </c>
      <c r="AF975" s="167">
        <f t="shared" si="293"/>
        <v>2383572.7080000001</v>
      </c>
    </row>
    <row r="976" spans="1:32" s="150" customFormat="1" x14ac:dyDescent="0.2">
      <c r="A976" s="144" t="s">
        <v>1131</v>
      </c>
      <c r="B976" s="144"/>
      <c r="C976" s="144"/>
      <c r="D976" s="145">
        <v>1</v>
      </c>
      <c r="E976" s="122"/>
      <c r="F976" s="146">
        <v>0.26</v>
      </c>
      <c r="G976" s="146"/>
      <c r="H976" s="122">
        <v>343761</v>
      </c>
      <c r="I976" s="122">
        <f t="shared" si="294"/>
        <v>332760.64799999999</v>
      </c>
      <c r="J976" s="147">
        <f t="shared" si="285"/>
        <v>246242.87951999999</v>
      </c>
      <c r="K976" s="122"/>
      <c r="L976" s="122">
        <v>1694023</v>
      </c>
      <c r="M976" s="122">
        <f t="shared" si="295"/>
        <v>1522926.6770000001</v>
      </c>
      <c r="N976" s="122">
        <f t="shared" si="286"/>
        <v>1126965.74098</v>
      </c>
      <c r="O976" s="122"/>
      <c r="P976" s="122">
        <v>0</v>
      </c>
      <c r="Q976" s="122">
        <f t="shared" si="287"/>
        <v>0</v>
      </c>
      <c r="R976" s="147">
        <f t="shared" si="288"/>
        <v>0</v>
      </c>
      <c r="S976" s="145">
        <v>25</v>
      </c>
      <c r="T976" s="144" t="s">
        <v>1239</v>
      </c>
      <c r="U976" s="90">
        <f>SUMIF('Avoided Costs 2009-2017'!$A:$A,Actuals!T976&amp;Actuals!S976,'Avoided Costs 2009-2017'!$E:$E)*J976</f>
        <v>1042858.5664963851</v>
      </c>
      <c r="V976" s="90">
        <f>SUMIF('Avoided Costs 2009-2017'!$A:$A,Actuals!T976&amp;Actuals!S976,'Avoided Costs 2009-2017'!$K:$K)*N976</f>
        <v>1078372.5523780584</v>
      </c>
      <c r="W976" s="90">
        <f>SUMIF('Avoided Costs 2009-2017'!$A:$A,Actuals!T976&amp;Actuals!S976,'Avoided Costs 2009-2017'!$M:$M)*R976</f>
        <v>0</v>
      </c>
      <c r="X976" s="90">
        <f t="shared" si="289"/>
        <v>2121231.1188744437</v>
      </c>
      <c r="Y976" s="148">
        <v>1373000</v>
      </c>
      <c r="Z976" s="149">
        <f t="shared" si="290"/>
        <v>1016020</v>
      </c>
      <c r="AA976" s="148"/>
      <c r="AB976" s="145"/>
      <c r="AC976" s="145"/>
      <c r="AD976" s="148">
        <f t="shared" si="291"/>
        <v>1016020</v>
      </c>
      <c r="AE976" s="122">
        <f t="shared" si="292"/>
        <v>1105211.1188744437</v>
      </c>
      <c r="AF976" s="167">
        <f t="shared" si="293"/>
        <v>6156071.9879999999</v>
      </c>
    </row>
    <row r="977" spans="1:32" x14ac:dyDescent="0.2">
      <c r="A977" s="79" t="s">
        <v>1200</v>
      </c>
      <c r="B977" s="79"/>
      <c r="C977" s="79"/>
      <c r="D977" s="56">
        <f>SUM(D956:D976)</f>
        <v>21</v>
      </c>
      <c r="E977" s="54"/>
      <c r="F977" s="55"/>
      <c r="G977" s="55"/>
      <c r="H977" s="56">
        <f>SUM(H956:H976)</f>
        <v>3154767</v>
      </c>
      <c r="I977" s="56">
        <f>SUM(I956:I976)</f>
        <v>3090625.4640000002</v>
      </c>
      <c r="J977" s="56">
        <f>SUM(J956:J976)</f>
        <v>2287062.8433599998</v>
      </c>
      <c r="K977" s="56"/>
      <c r="L977" s="56">
        <f>SUM(L956:L976)</f>
        <v>6120450</v>
      </c>
      <c r="M977" s="56">
        <f>SUM(M956:M976)</f>
        <v>5777620.9529999997</v>
      </c>
      <c r="N977" s="56">
        <f>SUM(N956:N976)</f>
        <v>4275439.5052199997</v>
      </c>
      <c r="O977" s="95"/>
      <c r="P977" s="162">
        <f>SUM(P956:P976)</f>
        <v>0</v>
      </c>
      <c r="Q977" s="162">
        <f>SUM(Q956:Q976)</f>
        <v>0</v>
      </c>
      <c r="R977" s="162">
        <f>SUM(R956:R976)</f>
        <v>0</v>
      </c>
      <c r="S977" s="56"/>
      <c r="T977" s="25"/>
      <c r="U977" s="62">
        <f>SUM(U956:U976)</f>
        <v>9685896.6357231792</v>
      </c>
      <c r="V977" s="62">
        <f>SUM(V956:V976)</f>
        <v>4091088.5257015959</v>
      </c>
      <c r="W977" s="62">
        <f>SUM(W956:W976)</f>
        <v>0</v>
      </c>
      <c r="X977" s="62">
        <f>SUM(X956:X976)</f>
        <v>13776985.161424773</v>
      </c>
      <c r="Y977" s="62"/>
      <c r="Z977" s="62">
        <f>SUM(Z956:Z976)</f>
        <v>5648692.3199999984</v>
      </c>
      <c r="AA977" s="157">
        <v>266744.98</v>
      </c>
      <c r="AB977" s="62">
        <v>221870.37</v>
      </c>
      <c r="AC977" s="62">
        <f>AB977+AA977</f>
        <v>488615.35</v>
      </c>
      <c r="AD977" s="62">
        <f t="shared" si="291"/>
        <v>5870562.6899999985</v>
      </c>
      <c r="AE977" s="62">
        <f t="shared" si="292"/>
        <v>7906422.4714247743</v>
      </c>
      <c r="AF977" s="230">
        <f>SUM(AF956:AF976)</f>
        <v>57176571.083999991</v>
      </c>
    </row>
    <row r="978" spans="1:32" x14ac:dyDescent="0.2">
      <c r="A978" s="134"/>
    </row>
    <row r="979" spans="1:32" s="4" customFormat="1" x14ac:dyDescent="0.2">
      <c r="A979" s="134" t="s">
        <v>1246</v>
      </c>
      <c r="B979" s="30" t="s">
        <v>1166</v>
      </c>
      <c r="D979" s="26"/>
      <c r="E979" s="31"/>
      <c r="F979" s="32"/>
      <c r="G979" s="32"/>
      <c r="H979" s="236">
        <f>1+3.5%</f>
        <v>1.0349999999999999</v>
      </c>
      <c r="I979" s="236"/>
      <c r="J979" s="236"/>
      <c r="K979" s="236"/>
      <c r="L979" s="236">
        <f>1-4.8%</f>
        <v>0.95199999999999996</v>
      </c>
      <c r="M979" s="236"/>
      <c r="N979" s="33"/>
      <c r="O979" s="92"/>
      <c r="P979" s="106">
        <f>1+49.2%</f>
        <v>1.492</v>
      </c>
      <c r="Q979" s="236"/>
      <c r="R979" s="26"/>
      <c r="S979" s="26"/>
      <c r="T979" s="5"/>
      <c r="U979" s="53"/>
      <c r="V979" s="53"/>
      <c r="W979" s="53"/>
      <c r="X979" s="53"/>
      <c r="Y979" s="105"/>
      <c r="Z979" s="53"/>
      <c r="AA979" s="63"/>
      <c r="AB979" s="63"/>
      <c r="AC979" s="53"/>
      <c r="AD979" s="53"/>
      <c r="AE979" s="53"/>
      <c r="AF979" s="166"/>
    </row>
    <row r="980" spans="1:32" s="150" customFormat="1" x14ac:dyDescent="0.2">
      <c r="A980" s="144" t="s">
        <v>383</v>
      </c>
      <c r="B980" s="144"/>
      <c r="C980" s="144"/>
      <c r="D980" s="145">
        <v>1</v>
      </c>
      <c r="E980" s="122"/>
      <c r="F980" s="146">
        <v>0.5</v>
      </c>
      <c r="G980" s="146"/>
      <c r="H980" s="122">
        <v>59052</v>
      </c>
      <c r="I980" s="122">
        <f>+$H$979*H980</f>
        <v>61118.819999999992</v>
      </c>
      <c r="J980" s="147">
        <f>I980*(1-F980)</f>
        <v>30559.409999999996</v>
      </c>
      <c r="K980" s="122"/>
      <c r="L980" s="122">
        <v>0</v>
      </c>
      <c r="M980" s="122">
        <f>+$L$979*L980</f>
        <v>0</v>
      </c>
      <c r="N980" s="122">
        <f>M980*(1-F980)</f>
        <v>0</v>
      </c>
      <c r="O980" s="122"/>
      <c r="P980" s="122">
        <v>0</v>
      </c>
      <c r="Q980" s="122">
        <f t="shared" ref="Q980:Q1043" si="296">+P980*$P$68</f>
        <v>0</v>
      </c>
      <c r="R980" s="147">
        <f t="shared" ref="R980:R1043" si="297">Q980*(1-F980)</f>
        <v>0</v>
      </c>
      <c r="S980" s="145">
        <v>15</v>
      </c>
      <c r="T980" s="144" t="s">
        <v>1161</v>
      </c>
      <c r="U980" s="90">
        <f>SUMIF('Avoided Costs 2009-2017'!$A:$A,Actuals!T980&amp;Actuals!S980,'Avoided Costs 2009-2017'!$E:$E)*J980</f>
        <v>95215.508842577095</v>
      </c>
      <c r="V980" s="90">
        <f>SUMIF('Avoided Costs 2009-2017'!$A:$A,Actuals!T980&amp;Actuals!S980,'Avoided Costs 2009-2017'!$K:$K)*N980</f>
        <v>0</v>
      </c>
      <c r="W980" s="90">
        <f>SUMIF('Avoided Costs 2009-2017'!$A:$A,Actuals!T980&amp;Actuals!S980,'Avoided Costs 2009-2017'!$M:$M)*R980</f>
        <v>0</v>
      </c>
      <c r="X980" s="90">
        <f t="shared" ref="X980:X1043" si="298">SUM(U980:W980)</f>
        <v>95215.508842577095</v>
      </c>
      <c r="Y980" s="148">
        <v>76620</v>
      </c>
      <c r="Z980" s="149">
        <f t="shared" ref="Z980:Z1043" si="299">Y980*(1-F980)</f>
        <v>38310</v>
      </c>
      <c r="AA980" s="148"/>
      <c r="AB980" s="145"/>
      <c r="AC980" s="145"/>
      <c r="AD980" s="148">
        <f t="shared" ref="AD980:AD1011" si="300">Z980+AB980</f>
        <v>38310</v>
      </c>
      <c r="AE980" s="122">
        <f t="shared" ref="AE980:AE1011" si="301">X980-AD980</f>
        <v>56905.508842577095</v>
      </c>
      <c r="AF980" s="167">
        <f t="shared" ref="AF980:AF1043" si="302">J980*S980</f>
        <v>458391.14999999997</v>
      </c>
    </row>
    <row r="981" spans="1:32" s="150" customFormat="1" x14ac:dyDescent="0.2">
      <c r="A981" s="144" t="s">
        <v>384</v>
      </c>
      <c r="B981" s="144"/>
      <c r="C981" s="144"/>
      <c r="D981" s="145">
        <v>1</v>
      </c>
      <c r="E981" s="122"/>
      <c r="F981" s="146">
        <v>0.5</v>
      </c>
      <c r="G981" s="146"/>
      <c r="H981" s="122">
        <v>204244</v>
      </c>
      <c r="I981" s="122">
        <f t="shared" ref="I981:I1044" si="303">+$H$979*H981</f>
        <v>211392.53999999998</v>
      </c>
      <c r="J981" s="147">
        <f t="shared" ref="J981:J1044" si="304">I981*(1-F981)</f>
        <v>105696.26999999999</v>
      </c>
      <c r="K981" s="122"/>
      <c r="L981" s="122">
        <v>0</v>
      </c>
      <c r="M981" s="122">
        <f t="shared" ref="M981:M1044" si="305">+$L$979*L981</f>
        <v>0</v>
      </c>
      <c r="N981" s="122">
        <f t="shared" ref="N981:N1044" si="306">M981*(1-F981)</f>
        <v>0</v>
      </c>
      <c r="O981" s="122"/>
      <c r="P981" s="122">
        <v>0</v>
      </c>
      <c r="Q981" s="122">
        <f t="shared" si="296"/>
        <v>0</v>
      </c>
      <c r="R981" s="147">
        <f t="shared" si="297"/>
        <v>0</v>
      </c>
      <c r="S981" s="145">
        <v>15</v>
      </c>
      <c r="T981" s="144" t="s">
        <v>1161</v>
      </c>
      <c r="U981" s="90">
        <f>SUMIF('Avoided Costs 2009-2017'!$A:$A,Actuals!T981&amp;Actuals!S981,'Avoided Costs 2009-2017'!$E:$E)*J981</f>
        <v>329323.24710498063</v>
      </c>
      <c r="V981" s="90">
        <f>SUMIF('Avoided Costs 2009-2017'!$A:$A,Actuals!T981&amp;Actuals!S981,'Avoided Costs 2009-2017'!$K:$K)*N981</f>
        <v>0</v>
      </c>
      <c r="W981" s="90">
        <f>SUMIF('Avoided Costs 2009-2017'!$A:$A,Actuals!T981&amp;Actuals!S981,'Avoided Costs 2009-2017'!$M:$M)*R981</f>
        <v>0</v>
      </c>
      <c r="X981" s="90">
        <f t="shared" si="298"/>
        <v>329323.24710498063</v>
      </c>
      <c r="Y981" s="148">
        <v>207065</v>
      </c>
      <c r="Z981" s="149">
        <f t="shared" si="299"/>
        <v>103532.5</v>
      </c>
      <c r="AA981" s="148"/>
      <c r="AB981" s="145"/>
      <c r="AC981" s="145"/>
      <c r="AD981" s="148">
        <f t="shared" si="300"/>
        <v>103532.5</v>
      </c>
      <c r="AE981" s="122">
        <f t="shared" si="301"/>
        <v>225790.74710498063</v>
      </c>
      <c r="AF981" s="167">
        <f t="shared" si="302"/>
        <v>1585444.0499999998</v>
      </c>
    </row>
    <row r="982" spans="1:32" s="150" customFormat="1" x14ac:dyDescent="0.2">
      <c r="A982" s="144" t="s">
        <v>385</v>
      </c>
      <c r="B982" s="144"/>
      <c r="C982" s="144"/>
      <c r="D982" s="145">
        <v>1</v>
      </c>
      <c r="E982" s="122"/>
      <c r="F982" s="146">
        <v>0.5</v>
      </c>
      <c r="G982" s="146"/>
      <c r="H982" s="122">
        <v>168775</v>
      </c>
      <c r="I982" s="122">
        <f t="shared" si="303"/>
        <v>174682.125</v>
      </c>
      <c r="J982" s="147">
        <f t="shared" si="304"/>
        <v>87341.0625</v>
      </c>
      <c r="K982" s="122"/>
      <c r="L982" s="122">
        <v>0</v>
      </c>
      <c r="M982" s="122">
        <f t="shared" si="305"/>
        <v>0</v>
      </c>
      <c r="N982" s="122">
        <f t="shared" si="306"/>
        <v>0</v>
      </c>
      <c r="O982" s="122"/>
      <c r="P982" s="122">
        <v>41760</v>
      </c>
      <c r="Q982" s="122">
        <f t="shared" si="296"/>
        <v>62305.919999999998</v>
      </c>
      <c r="R982" s="147">
        <f t="shared" si="297"/>
        <v>31152.959999999999</v>
      </c>
      <c r="S982" s="145">
        <v>20</v>
      </c>
      <c r="T982" s="144" t="s">
        <v>1161</v>
      </c>
      <c r="U982" s="90">
        <f>SUMIF('Avoided Costs 2009-2017'!$A:$A,Actuals!T982&amp;Actuals!S982,'Avoided Costs 2009-2017'!$E:$E)*J982</f>
        <v>315299.62346805912</v>
      </c>
      <c r="V982" s="90">
        <f>SUMIF('Avoided Costs 2009-2017'!$A:$A,Actuals!T982&amp;Actuals!S982,'Avoided Costs 2009-2017'!$K:$K)*N982</f>
        <v>0</v>
      </c>
      <c r="W982" s="90">
        <f>SUMIF('Avoided Costs 2009-2017'!$A:$A,Actuals!T982&amp;Actuals!S982,'Avoided Costs 2009-2017'!$M:$M)*R982</f>
        <v>471004.2240858149</v>
      </c>
      <c r="X982" s="90">
        <f t="shared" si="298"/>
        <v>786303.84755387402</v>
      </c>
      <c r="Y982" s="148">
        <v>136655</v>
      </c>
      <c r="Z982" s="149">
        <f t="shared" si="299"/>
        <v>68327.5</v>
      </c>
      <c r="AA982" s="148"/>
      <c r="AB982" s="145"/>
      <c r="AC982" s="145"/>
      <c r="AD982" s="148">
        <f t="shared" si="300"/>
        <v>68327.5</v>
      </c>
      <c r="AE982" s="122">
        <f t="shared" si="301"/>
        <v>717976.34755387402</v>
      </c>
      <c r="AF982" s="167">
        <f t="shared" si="302"/>
        <v>1746821.25</v>
      </c>
    </row>
    <row r="983" spans="1:32" s="150" customFormat="1" x14ac:dyDescent="0.2">
      <c r="A983" s="144" t="s">
        <v>386</v>
      </c>
      <c r="B983" s="144"/>
      <c r="C983" s="144"/>
      <c r="D983" s="145">
        <v>0</v>
      </c>
      <c r="E983" s="122"/>
      <c r="F983" s="146">
        <v>0.5</v>
      </c>
      <c r="G983" s="146"/>
      <c r="H983" s="122">
        <v>45227</v>
      </c>
      <c r="I983" s="122">
        <f t="shared" si="303"/>
        <v>46809.945</v>
      </c>
      <c r="J983" s="147">
        <f t="shared" si="304"/>
        <v>23404.9725</v>
      </c>
      <c r="K983" s="122"/>
      <c r="L983" s="122">
        <v>0</v>
      </c>
      <c r="M983" s="122">
        <f t="shared" si="305"/>
        <v>0</v>
      </c>
      <c r="N983" s="122">
        <f t="shared" si="306"/>
        <v>0</v>
      </c>
      <c r="O983" s="122"/>
      <c r="P983" s="122">
        <v>0</v>
      </c>
      <c r="Q983" s="122">
        <f t="shared" si="296"/>
        <v>0</v>
      </c>
      <c r="R983" s="147">
        <f t="shared" si="297"/>
        <v>0</v>
      </c>
      <c r="S983" s="145">
        <v>15</v>
      </c>
      <c r="T983" s="144" t="s">
        <v>1161</v>
      </c>
      <c r="U983" s="90">
        <f>SUMIF('Avoided Costs 2009-2017'!$A:$A,Actuals!T983&amp;Actuals!S983,'Avoided Costs 2009-2017'!$E:$E)*J983</f>
        <v>72924.063849204671</v>
      </c>
      <c r="V983" s="90">
        <f>SUMIF('Avoided Costs 2009-2017'!$A:$A,Actuals!T983&amp;Actuals!S983,'Avoided Costs 2009-2017'!$K:$K)*N983</f>
        <v>0</v>
      </c>
      <c r="W983" s="90">
        <f>SUMIF('Avoided Costs 2009-2017'!$A:$A,Actuals!T983&amp;Actuals!S983,'Avoided Costs 2009-2017'!$M:$M)*R983</f>
        <v>0</v>
      </c>
      <c r="X983" s="90">
        <f t="shared" si="298"/>
        <v>72924.063849204671</v>
      </c>
      <c r="Y983" s="148">
        <v>98000</v>
      </c>
      <c r="Z983" s="149">
        <f t="shared" si="299"/>
        <v>49000</v>
      </c>
      <c r="AA983" s="148"/>
      <c r="AB983" s="145"/>
      <c r="AC983" s="145"/>
      <c r="AD983" s="148">
        <f t="shared" si="300"/>
        <v>49000</v>
      </c>
      <c r="AE983" s="122">
        <f t="shared" si="301"/>
        <v>23924.063849204671</v>
      </c>
      <c r="AF983" s="167">
        <f t="shared" si="302"/>
        <v>351074.58750000002</v>
      </c>
    </row>
    <row r="984" spans="1:32" s="150" customFormat="1" x14ac:dyDescent="0.2">
      <c r="A984" s="144" t="s">
        <v>387</v>
      </c>
      <c r="B984" s="144"/>
      <c r="C984" s="144"/>
      <c r="D984" s="145">
        <v>0</v>
      </c>
      <c r="E984" s="122"/>
      <c r="F984" s="146">
        <v>0.5</v>
      </c>
      <c r="G984" s="146"/>
      <c r="H984" s="122">
        <v>113918</v>
      </c>
      <c r="I984" s="122">
        <f t="shared" si="303"/>
        <v>117905.12999999999</v>
      </c>
      <c r="J984" s="147">
        <f t="shared" si="304"/>
        <v>58952.564999999995</v>
      </c>
      <c r="K984" s="122"/>
      <c r="L984" s="122">
        <v>0</v>
      </c>
      <c r="M984" s="122">
        <f t="shared" si="305"/>
        <v>0</v>
      </c>
      <c r="N984" s="122">
        <f t="shared" si="306"/>
        <v>0</v>
      </c>
      <c r="O984" s="122"/>
      <c r="P984" s="122">
        <v>0</v>
      </c>
      <c r="Q984" s="122">
        <f t="shared" si="296"/>
        <v>0</v>
      </c>
      <c r="R984" s="147">
        <f t="shared" si="297"/>
        <v>0</v>
      </c>
      <c r="S984" s="145">
        <v>15</v>
      </c>
      <c r="T984" s="144" t="s">
        <v>1161</v>
      </c>
      <c r="U984" s="90">
        <f>SUMIF('Avoided Costs 2009-2017'!$A:$A,Actuals!T984&amp;Actuals!S984,'Avoided Costs 2009-2017'!$E:$E)*J984</f>
        <v>183681.50674538876</v>
      </c>
      <c r="V984" s="90">
        <f>SUMIF('Avoided Costs 2009-2017'!$A:$A,Actuals!T984&amp;Actuals!S984,'Avoided Costs 2009-2017'!$K:$K)*N984</f>
        <v>0</v>
      </c>
      <c r="W984" s="90">
        <f>SUMIF('Avoided Costs 2009-2017'!$A:$A,Actuals!T984&amp;Actuals!S984,'Avoided Costs 2009-2017'!$M:$M)*R984</f>
        <v>0</v>
      </c>
      <c r="X984" s="90">
        <f t="shared" si="298"/>
        <v>183681.50674538876</v>
      </c>
      <c r="Y984" s="148">
        <v>56000</v>
      </c>
      <c r="Z984" s="149">
        <f t="shared" si="299"/>
        <v>28000</v>
      </c>
      <c r="AA984" s="148"/>
      <c r="AB984" s="145"/>
      <c r="AC984" s="145"/>
      <c r="AD984" s="148">
        <f t="shared" si="300"/>
        <v>28000</v>
      </c>
      <c r="AE984" s="122">
        <f t="shared" si="301"/>
        <v>155681.50674538876</v>
      </c>
      <c r="AF984" s="167">
        <f t="shared" si="302"/>
        <v>884288.47499999998</v>
      </c>
    </row>
    <row r="985" spans="1:32" s="150" customFormat="1" x14ac:dyDescent="0.2">
      <c r="A985" s="144" t="s">
        <v>388</v>
      </c>
      <c r="B985" s="144"/>
      <c r="C985" s="144"/>
      <c r="D985" s="145">
        <v>1</v>
      </c>
      <c r="E985" s="122"/>
      <c r="F985" s="146">
        <v>0.5</v>
      </c>
      <c r="G985" s="146"/>
      <c r="H985" s="122">
        <v>45227</v>
      </c>
      <c r="I985" s="122">
        <f t="shared" si="303"/>
        <v>46809.945</v>
      </c>
      <c r="J985" s="147">
        <f t="shared" si="304"/>
        <v>23404.9725</v>
      </c>
      <c r="K985" s="122"/>
      <c r="L985" s="122">
        <v>0</v>
      </c>
      <c r="M985" s="122">
        <f t="shared" si="305"/>
        <v>0</v>
      </c>
      <c r="N985" s="122">
        <f t="shared" si="306"/>
        <v>0</v>
      </c>
      <c r="O985" s="122"/>
      <c r="P985" s="122">
        <v>0</v>
      </c>
      <c r="Q985" s="122">
        <f t="shared" si="296"/>
        <v>0</v>
      </c>
      <c r="R985" s="147">
        <f t="shared" si="297"/>
        <v>0</v>
      </c>
      <c r="S985" s="145">
        <v>15</v>
      </c>
      <c r="T985" s="144" t="s">
        <v>1161</v>
      </c>
      <c r="U985" s="90">
        <f>SUMIF('Avoided Costs 2009-2017'!$A:$A,Actuals!T985&amp;Actuals!S985,'Avoided Costs 2009-2017'!$E:$E)*J985</f>
        <v>72924.063849204671</v>
      </c>
      <c r="V985" s="90">
        <f>SUMIF('Avoided Costs 2009-2017'!$A:$A,Actuals!T985&amp;Actuals!S985,'Avoided Costs 2009-2017'!$K:$K)*N985</f>
        <v>0</v>
      </c>
      <c r="W985" s="90">
        <f>SUMIF('Avoided Costs 2009-2017'!$A:$A,Actuals!T985&amp;Actuals!S985,'Avoided Costs 2009-2017'!$M:$M)*R985</f>
        <v>0</v>
      </c>
      <c r="X985" s="90">
        <f t="shared" si="298"/>
        <v>72924.063849204671</v>
      </c>
      <c r="Y985" s="148">
        <v>12800</v>
      </c>
      <c r="Z985" s="149">
        <f t="shared" si="299"/>
        <v>6400</v>
      </c>
      <c r="AA985" s="148"/>
      <c r="AB985" s="145"/>
      <c r="AC985" s="145"/>
      <c r="AD985" s="148">
        <f t="shared" si="300"/>
        <v>6400</v>
      </c>
      <c r="AE985" s="122">
        <f t="shared" si="301"/>
        <v>66524.063849204671</v>
      </c>
      <c r="AF985" s="167">
        <f t="shared" si="302"/>
        <v>351074.58750000002</v>
      </c>
    </row>
    <row r="986" spans="1:32" s="150" customFormat="1" x14ac:dyDescent="0.2">
      <c r="A986" s="144" t="s">
        <v>389</v>
      </c>
      <c r="B986" s="144"/>
      <c r="C986" s="144"/>
      <c r="D986" s="145">
        <v>1</v>
      </c>
      <c r="E986" s="122"/>
      <c r="F986" s="146">
        <v>0.5</v>
      </c>
      <c r="G986" s="146"/>
      <c r="H986" s="122">
        <v>48551</v>
      </c>
      <c r="I986" s="122">
        <f t="shared" si="303"/>
        <v>50250.284999999996</v>
      </c>
      <c r="J986" s="147">
        <f t="shared" si="304"/>
        <v>25125.142499999998</v>
      </c>
      <c r="K986" s="122"/>
      <c r="L986" s="122">
        <v>0</v>
      </c>
      <c r="M986" s="122">
        <f t="shared" si="305"/>
        <v>0</v>
      </c>
      <c r="N986" s="122">
        <f t="shared" si="306"/>
        <v>0</v>
      </c>
      <c r="O986" s="122"/>
      <c r="P986" s="122">
        <v>0</v>
      </c>
      <c r="Q986" s="122">
        <f t="shared" si="296"/>
        <v>0</v>
      </c>
      <c r="R986" s="147">
        <f t="shared" si="297"/>
        <v>0</v>
      </c>
      <c r="S986" s="145">
        <v>15</v>
      </c>
      <c r="T986" s="144" t="s">
        <v>1161</v>
      </c>
      <c r="U986" s="90">
        <f>SUMIF('Avoided Costs 2009-2017'!$A:$A,Actuals!T986&amp;Actuals!S986,'Avoided Costs 2009-2017'!$E:$E)*J986</f>
        <v>78283.685054121117</v>
      </c>
      <c r="V986" s="90">
        <f>SUMIF('Avoided Costs 2009-2017'!$A:$A,Actuals!T986&amp;Actuals!S986,'Avoided Costs 2009-2017'!$K:$K)*N986</f>
        <v>0</v>
      </c>
      <c r="W986" s="90">
        <f>SUMIF('Avoided Costs 2009-2017'!$A:$A,Actuals!T986&amp;Actuals!S986,'Avoided Costs 2009-2017'!$M:$M)*R986</f>
        <v>0</v>
      </c>
      <c r="X986" s="90">
        <f t="shared" si="298"/>
        <v>78283.685054121117</v>
      </c>
      <c r="Y986" s="148">
        <v>12107</v>
      </c>
      <c r="Z986" s="149">
        <f t="shared" si="299"/>
        <v>6053.5</v>
      </c>
      <c r="AA986" s="148"/>
      <c r="AB986" s="145"/>
      <c r="AC986" s="145"/>
      <c r="AD986" s="148">
        <f t="shared" si="300"/>
        <v>6053.5</v>
      </c>
      <c r="AE986" s="122">
        <f t="shared" si="301"/>
        <v>72230.185054121117</v>
      </c>
      <c r="AF986" s="167">
        <f t="shared" si="302"/>
        <v>376877.13749999995</v>
      </c>
    </row>
    <row r="987" spans="1:32" s="150" customFormat="1" x14ac:dyDescent="0.2">
      <c r="A987" s="144" t="s">
        <v>390</v>
      </c>
      <c r="B987" s="144"/>
      <c r="C987" s="144"/>
      <c r="D987" s="145">
        <v>1</v>
      </c>
      <c r="E987" s="122"/>
      <c r="F987" s="146">
        <v>0.5</v>
      </c>
      <c r="G987" s="146"/>
      <c r="H987" s="122">
        <v>70019</v>
      </c>
      <c r="I987" s="122">
        <f t="shared" si="303"/>
        <v>72469.664999999994</v>
      </c>
      <c r="J987" s="147">
        <f t="shared" si="304"/>
        <v>36234.832499999997</v>
      </c>
      <c r="K987" s="122"/>
      <c r="L987" s="122">
        <v>0</v>
      </c>
      <c r="M987" s="122">
        <f t="shared" si="305"/>
        <v>0</v>
      </c>
      <c r="N987" s="122">
        <f t="shared" si="306"/>
        <v>0</v>
      </c>
      <c r="O987" s="122"/>
      <c r="P987" s="122">
        <v>0</v>
      </c>
      <c r="Q987" s="122">
        <f t="shared" si="296"/>
        <v>0</v>
      </c>
      <c r="R987" s="147">
        <f t="shared" si="297"/>
        <v>0</v>
      </c>
      <c r="S987" s="145">
        <v>10</v>
      </c>
      <c r="T987" s="144" t="s">
        <v>1161</v>
      </c>
      <c r="U987" s="90">
        <f>SUMIF('Avoided Costs 2009-2017'!$A:$A,Actuals!T987&amp;Actuals!S987,'Avoided Costs 2009-2017'!$E:$E)*J987</f>
        <v>87781.303268362637</v>
      </c>
      <c r="V987" s="90">
        <f>SUMIF('Avoided Costs 2009-2017'!$A:$A,Actuals!T987&amp;Actuals!S987,'Avoided Costs 2009-2017'!$K:$K)*N987</f>
        <v>0</v>
      </c>
      <c r="W987" s="90">
        <f>SUMIF('Avoided Costs 2009-2017'!$A:$A,Actuals!T987&amp;Actuals!S987,'Avoided Costs 2009-2017'!$M:$M)*R987</f>
        <v>0</v>
      </c>
      <c r="X987" s="90">
        <f t="shared" si="298"/>
        <v>87781.303268362637</v>
      </c>
      <c r="Y987" s="148">
        <v>74050</v>
      </c>
      <c r="Z987" s="149">
        <f t="shared" si="299"/>
        <v>37025</v>
      </c>
      <c r="AA987" s="148"/>
      <c r="AB987" s="145"/>
      <c r="AC987" s="145"/>
      <c r="AD987" s="148">
        <f t="shared" si="300"/>
        <v>37025</v>
      </c>
      <c r="AE987" s="122">
        <f t="shared" si="301"/>
        <v>50756.303268362637</v>
      </c>
      <c r="AF987" s="167">
        <f t="shared" si="302"/>
        <v>362348.32499999995</v>
      </c>
    </row>
    <row r="988" spans="1:32" s="150" customFormat="1" x14ac:dyDescent="0.2">
      <c r="A988" s="144" t="s">
        <v>391</v>
      </c>
      <c r="B988" s="144"/>
      <c r="C988" s="144"/>
      <c r="D988" s="145">
        <v>1</v>
      </c>
      <c r="E988" s="122"/>
      <c r="F988" s="146">
        <v>0.5</v>
      </c>
      <c r="G988" s="146"/>
      <c r="H988" s="122">
        <v>152305</v>
      </c>
      <c r="I988" s="122">
        <f t="shared" si="303"/>
        <v>157635.67499999999</v>
      </c>
      <c r="J988" s="147">
        <f t="shared" si="304"/>
        <v>78817.837499999994</v>
      </c>
      <c r="K988" s="122"/>
      <c r="L988" s="122">
        <v>0</v>
      </c>
      <c r="M988" s="122">
        <f t="shared" si="305"/>
        <v>0</v>
      </c>
      <c r="N988" s="122">
        <f t="shared" si="306"/>
        <v>0</v>
      </c>
      <c r="O988" s="122"/>
      <c r="P988" s="122">
        <v>0</v>
      </c>
      <c r="Q988" s="122">
        <f t="shared" si="296"/>
        <v>0</v>
      </c>
      <c r="R988" s="147">
        <f t="shared" si="297"/>
        <v>0</v>
      </c>
      <c r="S988" s="145">
        <v>15</v>
      </c>
      <c r="T988" s="144" t="s">
        <v>1161</v>
      </c>
      <c r="U988" s="90">
        <f>SUMIF('Avoided Costs 2009-2017'!$A:$A,Actuals!T988&amp;Actuals!S988,'Avoided Costs 2009-2017'!$E:$E)*J988</f>
        <v>245576.74717653432</v>
      </c>
      <c r="V988" s="90">
        <f>SUMIF('Avoided Costs 2009-2017'!$A:$A,Actuals!T988&amp;Actuals!S988,'Avoided Costs 2009-2017'!$K:$K)*N988</f>
        <v>0</v>
      </c>
      <c r="W988" s="90">
        <f>SUMIF('Avoided Costs 2009-2017'!$A:$A,Actuals!T988&amp;Actuals!S988,'Avoided Costs 2009-2017'!$M:$M)*R988</f>
        <v>0</v>
      </c>
      <c r="X988" s="90">
        <f t="shared" si="298"/>
        <v>245576.74717653432</v>
      </c>
      <c r="Y988" s="148">
        <v>142820</v>
      </c>
      <c r="Z988" s="149">
        <f t="shared" si="299"/>
        <v>71410</v>
      </c>
      <c r="AA988" s="148"/>
      <c r="AB988" s="145"/>
      <c r="AC988" s="145"/>
      <c r="AD988" s="148">
        <f t="shared" si="300"/>
        <v>71410</v>
      </c>
      <c r="AE988" s="122">
        <f t="shared" si="301"/>
        <v>174166.74717653432</v>
      </c>
      <c r="AF988" s="167">
        <f t="shared" si="302"/>
        <v>1182267.5625</v>
      </c>
    </row>
    <row r="989" spans="1:32" s="150" customFormat="1" x14ac:dyDescent="0.2">
      <c r="A989" s="144" t="s">
        <v>392</v>
      </c>
      <c r="B989" s="144"/>
      <c r="C989" s="144"/>
      <c r="D989" s="145">
        <v>1</v>
      </c>
      <c r="E989" s="122"/>
      <c r="F989" s="146">
        <v>0.5</v>
      </c>
      <c r="G989" s="146"/>
      <c r="H989" s="122">
        <v>43584</v>
      </c>
      <c r="I989" s="122">
        <f t="shared" si="303"/>
        <v>45109.439999999995</v>
      </c>
      <c r="J989" s="147">
        <f t="shared" si="304"/>
        <v>22554.719999999998</v>
      </c>
      <c r="K989" s="122"/>
      <c r="L989" s="122">
        <v>0</v>
      </c>
      <c r="M989" s="122">
        <f t="shared" si="305"/>
        <v>0</v>
      </c>
      <c r="N989" s="122">
        <f t="shared" si="306"/>
        <v>0</v>
      </c>
      <c r="O989" s="122"/>
      <c r="P989" s="122">
        <v>0</v>
      </c>
      <c r="Q989" s="122">
        <f t="shared" si="296"/>
        <v>0</v>
      </c>
      <c r="R989" s="147">
        <f t="shared" si="297"/>
        <v>0</v>
      </c>
      <c r="S989" s="145">
        <v>10</v>
      </c>
      <c r="T989" s="144" t="s">
        <v>1161</v>
      </c>
      <c r="U989" s="90">
        <f>SUMIF('Avoided Costs 2009-2017'!$A:$A,Actuals!T989&amp;Actuals!S989,'Avoided Costs 2009-2017'!$E:$E)*J989</f>
        <v>54640.316509066361</v>
      </c>
      <c r="V989" s="90">
        <f>SUMIF('Avoided Costs 2009-2017'!$A:$A,Actuals!T989&amp;Actuals!S989,'Avoided Costs 2009-2017'!$K:$K)*N989</f>
        <v>0</v>
      </c>
      <c r="W989" s="90">
        <f>SUMIF('Avoided Costs 2009-2017'!$A:$A,Actuals!T989&amp;Actuals!S989,'Avoided Costs 2009-2017'!$M:$M)*R989</f>
        <v>0</v>
      </c>
      <c r="X989" s="90">
        <f t="shared" si="298"/>
        <v>54640.316509066361</v>
      </c>
      <c r="Y989" s="148">
        <v>57741</v>
      </c>
      <c r="Z989" s="149">
        <f t="shared" si="299"/>
        <v>28870.5</v>
      </c>
      <c r="AA989" s="148"/>
      <c r="AB989" s="145"/>
      <c r="AC989" s="145"/>
      <c r="AD989" s="148">
        <f t="shared" si="300"/>
        <v>28870.5</v>
      </c>
      <c r="AE989" s="122">
        <f t="shared" si="301"/>
        <v>25769.816509066361</v>
      </c>
      <c r="AF989" s="167">
        <f t="shared" si="302"/>
        <v>225547.19999999998</v>
      </c>
    </row>
    <row r="990" spans="1:32" s="150" customFormat="1" x14ac:dyDescent="0.2">
      <c r="A990" s="144" t="s">
        <v>1257</v>
      </c>
      <c r="B990" s="144"/>
      <c r="C990" s="144"/>
      <c r="D990" s="145">
        <v>1</v>
      </c>
      <c r="E990" s="122"/>
      <c r="F990" s="146">
        <v>0.5</v>
      </c>
      <c r="G990" s="146"/>
      <c r="H990" s="122">
        <v>42464</v>
      </c>
      <c r="I990" s="122">
        <f t="shared" si="303"/>
        <v>43950.239999999998</v>
      </c>
      <c r="J990" s="147">
        <f t="shared" si="304"/>
        <v>21975.119999999999</v>
      </c>
      <c r="K990" s="122"/>
      <c r="L990" s="122">
        <v>0</v>
      </c>
      <c r="M990" s="122">
        <f t="shared" si="305"/>
        <v>0</v>
      </c>
      <c r="N990" s="122">
        <f t="shared" si="306"/>
        <v>0</v>
      </c>
      <c r="O990" s="122"/>
      <c r="P990" s="122">
        <v>0</v>
      </c>
      <c r="Q990" s="122">
        <f t="shared" si="296"/>
        <v>0</v>
      </c>
      <c r="R990" s="147">
        <f t="shared" si="297"/>
        <v>0</v>
      </c>
      <c r="S990" s="145">
        <v>10</v>
      </c>
      <c r="T990" s="144" t="s">
        <v>1161</v>
      </c>
      <c r="U990" s="90">
        <f>SUMIF('Avoided Costs 2009-2017'!$A:$A,Actuals!T990&amp;Actuals!S990,'Avoided Costs 2009-2017'!$E:$E)*J990</f>
        <v>53236.196774986092</v>
      </c>
      <c r="V990" s="90">
        <f>SUMIF('Avoided Costs 2009-2017'!$A:$A,Actuals!T990&amp;Actuals!S990,'Avoided Costs 2009-2017'!$K:$K)*N990</f>
        <v>0</v>
      </c>
      <c r="W990" s="90">
        <f>SUMIF('Avoided Costs 2009-2017'!$A:$A,Actuals!T990&amp;Actuals!S990,'Avoided Costs 2009-2017'!$M:$M)*R990</f>
        <v>0</v>
      </c>
      <c r="X990" s="90">
        <f t="shared" si="298"/>
        <v>53236.196774986092</v>
      </c>
      <c r="Y990" s="148">
        <v>35220</v>
      </c>
      <c r="Z990" s="149">
        <f t="shared" si="299"/>
        <v>17610</v>
      </c>
      <c r="AA990" s="148"/>
      <c r="AB990" s="145"/>
      <c r="AC990" s="145"/>
      <c r="AD990" s="148">
        <f t="shared" si="300"/>
        <v>17610</v>
      </c>
      <c r="AE990" s="122">
        <f t="shared" si="301"/>
        <v>35626.196774986092</v>
      </c>
      <c r="AF990" s="167">
        <f t="shared" si="302"/>
        <v>219751.19999999998</v>
      </c>
    </row>
    <row r="991" spans="1:32" s="150" customFormat="1" x14ac:dyDescent="0.2">
      <c r="A991" s="144" t="s">
        <v>1258</v>
      </c>
      <c r="B991" s="144"/>
      <c r="C991" s="144"/>
      <c r="D991" s="145">
        <v>1</v>
      </c>
      <c r="E991" s="122"/>
      <c r="F991" s="146">
        <v>0.5</v>
      </c>
      <c r="G991" s="146"/>
      <c r="H991" s="122">
        <v>291799</v>
      </c>
      <c r="I991" s="122">
        <v>303805</v>
      </c>
      <c r="J991" s="147">
        <f t="shared" si="304"/>
        <v>151902.5</v>
      </c>
      <c r="K991" s="122"/>
      <c r="L991" s="122">
        <v>0</v>
      </c>
      <c r="M991" s="122">
        <f t="shared" si="305"/>
        <v>0</v>
      </c>
      <c r="N991" s="122">
        <f t="shared" si="306"/>
        <v>0</v>
      </c>
      <c r="O991" s="122"/>
      <c r="P991" s="122">
        <v>0</v>
      </c>
      <c r="Q991" s="122">
        <f t="shared" si="296"/>
        <v>0</v>
      </c>
      <c r="R991" s="147">
        <f t="shared" si="297"/>
        <v>0</v>
      </c>
      <c r="S991" s="145">
        <v>10</v>
      </c>
      <c r="T991" s="144" t="s">
        <v>1161</v>
      </c>
      <c r="U991" s="90">
        <f>SUMIF('Avoided Costs 2009-2017'!$A:$A,Actuals!T991&amp;Actuals!S991,'Avoided Costs 2009-2017'!$E:$E)*J991</f>
        <v>367993.95774004079</v>
      </c>
      <c r="V991" s="90">
        <f>SUMIF('Avoided Costs 2009-2017'!$A:$A,Actuals!T991&amp;Actuals!S991,'Avoided Costs 2009-2017'!$K:$K)*N991</f>
        <v>0</v>
      </c>
      <c r="W991" s="90">
        <f>SUMIF('Avoided Costs 2009-2017'!$A:$A,Actuals!T991&amp;Actuals!S991,'Avoided Costs 2009-2017'!$M:$M)*R991</f>
        <v>0</v>
      </c>
      <c r="X991" s="90">
        <f t="shared" si="298"/>
        <v>367993.95774004079</v>
      </c>
      <c r="Y991" s="148">
        <v>69614</v>
      </c>
      <c r="Z991" s="149">
        <f t="shared" si="299"/>
        <v>34807</v>
      </c>
      <c r="AA991" s="148"/>
      <c r="AB991" s="145"/>
      <c r="AC991" s="145"/>
      <c r="AD991" s="148">
        <f t="shared" si="300"/>
        <v>34807</v>
      </c>
      <c r="AE991" s="122">
        <f t="shared" si="301"/>
        <v>333186.95774004079</v>
      </c>
      <c r="AF991" s="167">
        <f t="shared" si="302"/>
        <v>1519025</v>
      </c>
    </row>
    <row r="992" spans="1:32" s="150" customFormat="1" x14ac:dyDescent="0.2">
      <c r="A992" s="144" t="s">
        <v>1259</v>
      </c>
      <c r="B992" s="144"/>
      <c r="C992" s="144"/>
      <c r="D992" s="145">
        <v>1</v>
      </c>
      <c r="E992" s="122"/>
      <c r="F992" s="146">
        <v>0.5</v>
      </c>
      <c r="G992" s="146"/>
      <c r="H992" s="122">
        <v>90328</v>
      </c>
      <c r="I992" s="122">
        <f t="shared" si="303"/>
        <v>93489.48</v>
      </c>
      <c r="J992" s="147">
        <f t="shared" si="304"/>
        <v>46744.74</v>
      </c>
      <c r="K992" s="122"/>
      <c r="L992" s="122">
        <v>-6714</v>
      </c>
      <c r="M992" s="122">
        <f t="shared" si="305"/>
        <v>-6391.7280000000001</v>
      </c>
      <c r="N992" s="122">
        <f t="shared" si="306"/>
        <v>-3195.864</v>
      </c>
      <c r="O992" s="122"/>
      <c r="P992" s="122">
        <v>0</v>
      </c>
      <c r="Q992" s="122">
        <f t="shared" si="296"/>
        <v>0</v>
      </c>
      <c r="R992" s="147">
        <f t="shared" si="297"/>
        <v>0</v>
      </c>
      <c r="S992" s="145">
        <v>15</v>
      </c>
      <c r="T992" s="144" t="s">
        <v>1161</v>
      </c>
      <c r="U992" s="90">
        <f>SUMIF('Avoided Costs 2009-2017'!$A:$A,Actuals!T992&amp;Actuals!S992,'Avoided Costs 2009-2017'!$E:$E)*J992</f>
        <v>145644.96516176089</v>
      </c>
      <c r="V992" s="90">
        <f>SUMIF('Avoided Costs 2009-2017'!$A:$A,Actuals!T992&amp;Actuals!S992,'Avoided Costs 2009-2017'!$K:$K)*N992</f>
        <v>-2385.815307744479</v>
      </c>
      <c r="W992" s="90">
        <f>SUMIF('Avoided Costs 2009-2017'!$A:$A,Actuals!T992&amp;Actuals!S992,'Avoided Costs 2009-2017'!$M:$M)*R992</f>
        <v>0</v>
      </c>
      <c r="X992" s="90">
        <f t="shared" si="298"/>
        <v>143259.1498540164</v>
      </c>
      <c r="Y992" s="148">
        <v>71921</v>
      </c>
      <c r="Z992" s="149">
        <f t="shared" si="299"/>
        <v>35960.5</v>
      </c>
      <c r="AA992" s="148"/>
      <c r="AB992" s="145"/>
      <c r="AC992" s="145"/>
      <c r="AD992" s="148">
        <f t="shared" si="300"/>
        <v>35960.5</v>
      </c>
      <c r="AE992" s="122">
        <f t="shared" si="301"/>
        <v>107298.6498540164</v>
      </c>
      <c r="AF992" s="167">
        <f t="shared" si="302"/>
        <v>701171.1</v>
      </c>
    </row>
    <row r="993" spans="1:32" s="150" customFormat="1" x14ac:dyDescent="0.2">
      <c r="A993" s="144" t="s">
        <v>1260</v>
      </c>
      <c r="B993" s="144"/>
      <c r="C993" s="144"/>
      <c r="D993" s="145">
        <v>1</v>
      </c>
      <c r="E993" s="122"/>
      <c r="F993" s="146">
        <v>0.5</v>
      </c>
      <c r="G993" s="146"/>
      <c r="H993" s="122">
        <v>42677</v>
      </c>
      <c r="I993" s="122">
        <f t="shared" si="303"/>
        <v>44170.695</v>
      </c>
      <c r="J993" s="147">
        <f t="shared" si="304"/>
        <v>22085.3475</v>
      </c>
      <c r="K993" s="122"/>
      <c r="L993" s="122">
        <v>0</v>
      </c>
      <c r="M993" s="122">
        <f t="shared" si="305"/>
        <v>0</v>
      </c>
      <c r="N993" s="122">
        <f t="shared" si="306"/>
        <v>0</v>
      </c>
      <c r="O993" s="122"/>
      <c r="P993" s="122">
        <v>0</v>
      </c>
      <c r="Q993" s="122">
        <f t="shared" si="296"/>
        <v>0</v>
      </c>
      <c r="R993" s="147">
        <f t="shared" si="297"/>
        <v>0</v>
      </c>
      <c r="S993" s="145">
        <v>15</v>
      </c>
      <c r="T993" s="144" t="s">
        <v>1161</v>
      </c>
      <c r="U993" s="90">
        <f>SUMIF('Avoided Costs 2009-2017'!$A:$A,Actuals!T993&amp;Actuals!S993,'Avoided Costs 2009-2017'!$E:$E)*J993</f>
        <v>68812.441083700178</v>
      </c>
      <c r="V993" s="90">
        <f>SUMIF('Avoided Costs 2009-2017'!$A:$A,Actuals!T993&amp;Actuals!S993,'Avoided Costs 2009-2017'!$K:$K)*N993</f>
        <v>0</v>
      </c>
      <c r="W993" s="90">
        <f>SUMIF('Avoided Costs 2009-2017'!$A:$A,Actuals!T993&amp;Actuals!S993,'Avoided Costs 2009-2017'!$M:$M)*R993</f>
        <v>0</v>
      </c>
      <c r="X993" s="90">
        <f t="shared" si="298"/>
        <v>68812.441083700178</v>
      </c>
      <c r="Y993" s="148">
        <v>9041</v>
      </c>
      <c r="Z993" s="149">
        <f t="shared" si="299"/>
        <v>4520.5</v>
      </c>
      <c r="AA993" s="148"/>
      <c r="AB993" s="145"/>
      <c r="AC993" s="145"/>
      <c r="AD993" s="148">
        <f t="shared" si="300"/>
        <v>4520.5</v>
      </c>
      <c r="AE993" s="122">
        <f t="shared" si="301"/>
        <v>64291.941083700178</v>
      </c>
      <c r="AF993" s="167">
        <f t="shared" si="302"/>
        <v>331280.21250000002</v>
      </c>
    </row>
    <row r="994" spans="1:32" s="150" customFormat="1" x14ac:dyDescent="0.2">
      <c r="A994" s="144" t="s">
        <v>1261</v>
      </c>
      <c r="B994" s="144"/>
      <c r="C994" s="144"/>
      <c r="D994" s="145">
        <v>1</v>
      </c>
      <c r="E994" s="122"/>
      <c r="F994" s="146">
        <v>0.5</v>
      </c>
      <c r="G994" s="146"/>
      <c r="H994" s="122">
        <v>165737</v>
      </c>
      <c r="I994" s="122">
        <f t="shared" si="303"/>
        <v>171537.79499999998</v>
      </c>
      <c r="J994" s="147">
        <f t="shared" si="304"/>
        <v>85768.897499999992</v>
      </c>
      <c r="K994" s="122"/>
      <c r="L994" s="122">
        <v>0</v>
      </c>
      <c r="M994" s="122">
        <f t="shared" si="305"/>
        <v>0</v>
      </c>
      <c r="N994" s="122">
        <f t="shared" si="306"/>
        <v>0</v>
      </c>
      <c r="O994" s="122"/>
      <c r="P994" s="122">
        <v>22786</v>
      </c>
      <c r="Q994" s="122">
        <f t="shared" si="296"/>
        <v>33996.712</v>
      </c>
      <c r="R994" s="147">
        <f t="shared" si="297"/>
        <v>16998.356</v>
      </c>
      <c r="S994" s="145">
        <v>15</v>
      </c>
      <c r="T994" s="144" t="s">
        <v>1161</v>
      </c>
      <c r="U994" s="90">
        <f>SUMIF('Avoided Costs 2009-2017'!$A:$A,Actuals!T994&amp;Actuals!S994,'Avoided Costs 2009-2017'!$E:$E)*J994</f>
        <v>267234.5185436937</v>
      </c>
      <c r="V994" s="90">
        <f>SUMIF('Avoided Costs 2009-2017'!$A:$A,Actuals!T994&amp;Actuals!S994,'Avoided Costs 2009-2017'!$K:$K)*N994</f>
        <v>0</v>
      </c>
      <c r="W994" s="90">
        <f>SUMIF('Avoided Costs 2009-2017'!$A:$A,Actuals!T994&amp;Actuals!S994,'Avoided Costs 2009-2017'!$M:$M)*R994</f>
        <v>220829.19706651321</v>
      </c>
      <c r="X994" s="90">
        <f t="shared" si="298"/>
        <v>488063.71561020694</v>
      </c>
      <c r="Y994" s="148">
        <v>363603</v>
      </c>
      <c r="Z994" s="149">
        <f t="shared" si="299"/>
        <v>181801.5</v>
      </c>
      <c r="AA994" s="148"/>
      <c r="AB994" s="145"/>
      <c r="AC994" s="145"/>
      <c r="AD994" s="148">
        <f t="shared" si="300"/>
        <v>181801.5</v>
      </c>
      <c r="AE994" s="122">
        <f t="shared" si="301"/>
        <v>306262.21561020694</v>
      </c>
      <c r="AF994" s="167">
        <f t="shared" si="302"/>
        <v>1286533.4624999999</v>
      </c>
    </row>
    <row r="995" spans="1:32" s="150" customFormat="1" x14ac:dyDescent="0.2">
      <c r="A995" s="144" t="s">
        <v>1262</v>
      </c>
      <c r="B995" s="144"/>
      <c r="C995" s="144"/>
      <c r="D995" s="145">
        <v>1</v>
      </c>
      <c r="E995" s="122"/>
      <c r="F995" s="146">
        <v>0.5</v>
      </c>
      <c r="G995" s="146"/>
      <c r="H995" s="122">
        <v>0</v>
      </c>
      <c r="I995" s="122">
        <f t="shared" si="303"/>
        <v>0</v>
      </c>
      <c r="J995" s="147">
        <f t="shared" si="304"/>
        <v>0</v>
      </c>
      <c r="K995" s="122"/>
      <c r="L995" s="122">
        <v>0</v>
      </c>
      <c r="M995" s="122">
        <f t="shared" si="305"/>
        <v>0</v>
      </c>
      <c r="N995" s="122">
        <f t="shared" si="306"/>
        <v>0</v>
      </c>
      <c r="O995" s="122"/>
      <c r="P995" s="122">
        <v>0</v>
      </c>
      <c r="Q995" s="122">
        <f t="shared" si="296"/>
        <v>0</v>
      </c>
      <c r="R995" s="147">
        <f t="shared" si="297"/>
        <v>0</v>
      </c>
      <c r="S995" s="145">
        <v>1</v>
      </c>
      <c r="T995" s="144" t="s">
        <v>1161</v>
      </c>
      <c r="U995" s="90">
        <f>SUMIF('Avoided Costs 2009-2017'!$A:$A,Actuals!T995&amp;Actuals!S995,'Avoided Costs 2009-2017'!$E:$E)*J995</f>
        <v>0</v>
      </c>
      <c r="V995" s="90">
        <f>SUMIF('Avoided Costs 2009-2017'!$A:$A,Actuals!T995&amp;Actuals!S995,'Avoided Costs 2009-2017'!$K:$K)*N995</f>
        <v>0</v>
      </c>
      <c r="W995" s="90">
        <f>SUMIF('Avoided Costs 2009-2017'!$A:$A,Actuals!T995&amp;Actuals!S995,'Avoided Costs 2009-2017'!$M:$M)*R995</f>
        <v>0</v>
      </c>
      <c r="X995" s="90">
        <f t="shared" si="298"/>
        <v>0</v>
      </c>
      <c r="Y995" s="148">
        <v>0</v>
      </c>
      <c r="Z995" s="149">
        <f t="shared" si="299"/>
        <v>0</v>
      </c>
      <c r="AA995" s="148"/>
      <c r="AB995" s="145"/>
      <c r="AC995" s="145"/>
      <c r="AD995" s="148">
        <f t="shared" si="300"/>
        <v>0</v>
      </c>
      <c r="AE995" s="122">
        <f t="shared" si="301"/>
        <v>0</v>
      </c>
      <c r="AF995" s="167">
        <f t="shared" si="302"/>
        <v>0</v>
      </c>
    </row>
    <row r="996" spans="1:32" s="150" customFormat="1" x14ac:dyDescent="0.2">
      <c r="A996" s="144" t="s">
        <v>1263</v>
      </c>
      <c r="B996" s="144"/>
      <c r="C996" s="144"/>
      <c r="D996" s="145">
        <v>1</v>
      </c>
      <c r="E996" s="122"/>
      <c r="F996" s="146">
        <v>0.5</v>
      </c>
      <c r="G996" s="146"/>
      <c r="H996" s="122">
        <v>91065</v>
      </c>
      <c r="I996" s="122">
        <f t="shared" si="303"/>
        <v>94252.274999999994</v>
      </c>
      <c r="J996" s="147">
        <f t="shared" si="304"/>
        <v>47126.137499999997</v>
      </c>
      <c r="K996" s="122"/>
      <c r="L996" s="122">
        <v>0</v>
      </c>
      <c r="M996" s="122">
        <f t="shared" si="305"/>
        <v>0</v>
      </c>
      <c r="N996" s="122">
        <f t="shared" si="306"/>
        <v>0</v>
      </c>
      <c r="O996" s="122"/>
      <c r="P996" s="122">
        <v>0</v>
      </c>
      <c r="Q996" s="122">
        <f t="shared" si="296"/>
        <v>0</v>
      </c>
      <c r="R996" s="147">
        <f t="shared" si="297"/>
        <v>0</v>
      </c>
      <c r="S996" s="145">
        <v>10</v>
      </c>
      <c r="T996" s="144" t="s">
        <v>1161</v>
      </c>
      <c r="U996" s="90">
        <f>SUMIF('Avoided Costs 2009-2017'!$A:$A,Actuals!T996&amp;Actuals!S996,'Avoided Costs 2009-2017'!$E:$E)*J996</f>
        <v>114166.21748573164</v>
      </c>
      <c r="V996" s="90">
        <f>SUMIF('Avoided Costs 2009-2017'!$A:$A,Actuals!T996&amp;Actuals!S996,'Avoided Costs 2009-2017'!$K:$K)*N996</f>
        <v>0</v>
      </c>
      <c r="W996" s="90">
        <f>SUMIF('Avoided Costs 2009-2017'!$A:$A,Actuals!T996&amp;Actuals!S996,'Avoided Costs 2009-2017'!$M:$M)*R996</f>
        <v>0</v>
      </c>
      <c r="X996" s="90">
        <f t="shared" si="298"/>
        <v>114166.21748573164</v>
      </c>
      <c r="Y996" s="148">
        <v>65070</v>
      </c>
      <c r="Z996" s="149">
        <f t="shared" si="299"/>
        <v>32535</v>
      </c>
      <c r="AA996" s="148"/>
      <c r="AB996" s="145"/>
      <c r="AC996" s="145"/>
      <c r="AD996" s="148">
        <f t="shared" si="300"/>
        <v>32535</v>
      </c>
      <c r="AE996" s="122">
        <f t="shared" si="301"/>
        <v>81631.217485731642</v>
      </c>
      <c r="AF996" s="167">
        <f t="shared" si="302"/>
        <v>471261.375</v>
      </c>
    </row>
    <row r="997" spans="1:32" s="150" customFormat="1" x14ac:dyDescent="0.2">
      <c r="A997" s="144" t="s">
        <v>1264</v>
      </c>
      <c r="B997" s="144"/>
      <c r="C997" s="144"/>
      <c r="D997" s="145">
        <v>1</v>
      </c>
      <c r="E997" s="122"/>
      <c r="F997" s="146">
        <v>0.5</v>
      </c>
      <c r="G997" s="146"/>
      <c r="H997" s="122">
        <v>55536</v>
      </c>
      <c r="I997" s="122">
        <v>38421</v>
      </c>
      <c r="J997" s="147">
        <f t="shared" si="304"/>
        <v>19210.5</v>
      </c>
      <c r="K997" s="122"/>
      <c r="L997" s="122">
        <v>91980</v>
      </c>
      <c r="M997" s="122">
        <v>13140</v>
      </c>
      <c r="N997" s="122">
        <f t="shared" si="306"/>
        <v>6570</v>
      </c>
      <c r="O997" s="122"/>
      <c r="P997" s="122">
        <v>227</v>
      </c>
      <c r="Q997" s="122">
        <f>+P997</f>
        <v>227</v>
      </c>
      <c r="R997" s="147">
        <f t="shared" si="297"/>
        <v>113.5</v>
      </c>
      <c r="S997" s="145">
        <v>25</v>
      </c>
      <c r="T997" s="144" t="s">
        <v>1161</v>
      </c>
      <c r="U997" s="90">
        <f>SUMIF('Avoided Costs 2009-2017'!$A:$A,Actuals!T997&amp;Actuals!S997,'Avoided Costs 2009-2017'!$E:$E)*J997</f>
        <v>76118.939208493277</v>
      </c>
      <c r="V997" s="90">
        <f>SUMIF('Avoided Costs 2009-2017'!$A:$A,Actuals!T997&amp;Actuals!S997,'Avoided Costs 2009-2017'!$K:$K)*N997</f>
        <v>6286.710776995641</v>
      </c>
      <c r="W997" s="90">
        <f>SUMIF('Avoided Costs 2009-2017'!$A:$A,Actuals!T997&amp;Actuals!S997,'Avoided Costs 2009-2017'!$M:$M)*R997</f>
        <v>1889.9704527273639</v>
      </c>
      <c r="X997" s="90">
        <f t="shared" si="298"/>
        <v>84295.620438216269</v>
      </c>
      <c r="Y997" s="148">
        <v>153468</v>
      </c>
      <c r="Z997" s="149">
        <f t="shared" si="299"/>
        <v>76734</v>
      </c>
      <c r="AA997" s="148"/>
      <c r="AB997" s="145"/>
      <c r="AC997" s="145"/>
      <c r="AD997" s="148">
        <f t="shared" si="300"/>
        <v>76734</v>
      </c>
      <c r="AE997" s="122">
        <f t="shared" si="301"/>
        <v>7561.6204382162687</v>
      </c>
      <c r="AF997" s="167">
        <f t="shared" si="302"/>
        <v>480262.5</v>
      </c>
    </row>
    <row r="998" spans="1:32" s="150" customFormat="1" x14ac:dyDescent="0.2">
      <c r="A998" s="144" t="s">
        <v>1265</v>
      </c>
      <c r="B998" s="144"/>
      <c r="C998" s="144"/>
      <c r="D998" s="145">
        <v>1</v>
      </c>
      <c r="E998" s="122"/>
      <c r="F998" s="146">
        <v>0.5</v>
      </c>
      <c r="G998" s="146"/>
      <c r="H998" s="122">
        <v>510400</v>
      </c>
      <c r="I998" s="122">
        <f t="shared" si="303"/>
        <v>528264</v>
      </c>
      <c r="J998" s="147">
        <f t="shared" si="304"/>
        <v>264132</v>
      </c>
      <c r="K998" s="122"/>
      <c r="L998" s="122">
        <v>-964750</v>
      </c>
      <c r="M998" s="122">
        <f t="shared" si="305"/>
        <v>-918442</v>
      </c>
      <c r="N998" s="122">
        <f t="shared" si="306"/>
        <v>-459221</v>
      </c>
      <c r="O998" s="122"/>
      <c r="P998" s="122">
        <v>0</v>
      </c>
      <c r="Q998" s="122">
        <f t="shared" si="296"/>
        <v>0</v>
      </c>
      <c r="R998" s="147">
        <f t="shared" si="297"/>
        <v>0</v>
      </c>
      <c r="S998" s="145">
        <v>20</v>
      </c>
      <c r="T998" s="144" t="s">
        <v>1161</v>
      </c>
      <c r="U998" s="90">
        <f>SUMIF('Avoided Costs 2009-2017'!$A:$A,Actuals!T998&amp;Actuals!S998,'Avoided Costs 2009-2017'!$E:$E)*J998</f>
        <v>953511.64460433926</v>
      </c>
      <c r="V998" s="90">
        <f>SUMIF('Avoided Costs 2009-2017'!$A:$A,Actuals!T998&amp;Actuals!S998,'Avoided Costs 2009-2017'!$K:$K)*N998</f>
        <v>-398975.45876959828</v>
      </c>
      <c r="W998" s="90">
        <f>SUMIF('Avoided Costs 2009-2017'!$A:$A,Actuals!T998&amp;Actuals!S998,'Avoided Costs 2009-2017'!$M:$M)*R998</f>
        <v>0</v>
      </c>
      <c r="X998" s="90">
        <f t="shared" si="298"/>
        <v>554536.18583474099</v>
      </c>
      <c r="Y998" s="148">
        <v>570067</v>
      </c>
      <c r="Z998" s="149">
        <f t="shared" si="299"/>
        <v>285033.5</v>
      </c>
      <c r="AA998" s="148"/>
      <c r="AB998" s="145"/>
      <c r="AC998" s="145"/>
      <c r="AD998" s="148">
        <f t="shared" si="300"/>
        <v>285033.5</v>
      </c>
      <c r="AE998" s="122">
        <f t="shared" si="301"/>
        <v>269502.68583474099</v>
      </c>
      <c r="AF998" s="167">
        <f t="shared" si="302"/>
        <v>5282640</v>
      </c>
    </row>
    <row r="999" spans="1:32" s="150" customFormat="1" x14ac:dyDescent="0.2">
      <c r="A999" s="144" t="s">
        <v>1266</v>
      </c>
      <c r="B999" s="144"/>
      <c r="C999" s="144"/>
      <c r="D999" s="145">
        <v>0</v>
      </c>
      <c r="E999" s="122"/>
      <c r="F999" s="146">
        <v>0.5</v>
      </c>
      <c r="G999" s="146"/>
      <c r="H999" s="122">
        <v>27426</v>
      </c>
      <c r="I999" s="122">
        <f>+H999</f>
        <v>27426</v>
      </c>
      <c r="J999" s="147">
        <f t="shared" si="304"/>
        <v>13713</v>
      </c>
      <c r="K999" s="122"/>
      <c r="L999" s="122">
        <v>0</v>
      </c>
      <c r="M999" s="122">
        <f t="shared" si="305"/>
        <v>0</v>
      </c>
      <c r="N999" s="122">
        <f t="shared" si="306"/>
        <v>0</v>
      </c>
      <c r="O999" s="122"/>
      <c r="P999" s="122">
        <v>0</v>
      </c>
      <c r="Q999" s="122">
        <f t="shared" si="296"/>
        <v>0</v>
      </c>
      <c r="R999" s="147">
        <f t="shared" si="297"/>
        <v>0</v>
      </c>
      <c r="S999" s="145">
        <v>15</v>
      </c>
      <c r="T999" s="144" t="s">
        <v>1161</v>
      </c>
      <c r="U999" s="90">
        <f>SUMIF('Avoided Costs 2009-2017'!$A:$A,Actuals!T999&amp;Actuals!S999,'Avoided Costs 2009-2017'!$E:$E)*J999</f>
        <v>42726.291926390586</v>
      </c>
      <c r="V999" s="90">
        <f>SUMIF('Avoided Costs 2009-2017'!$A:$A,Actuals!T999&amp;Actuals!S999,'Avoided Costs 2009-2017'!$K:$K)*N999</f>
        <v>0</v>
      </c>
      <c r="W999" s="90">
        <f>SUMIF('Avoided Costs 2009-2017'!$A:$A,Actuals!T999&amp;Actuals!S999,'Avoided Costs 2009-2017'!$M:$M)*R999</f>
        <v>0</v>
      </c>
      <c r="X999" s="90">
        <f t="shared" si="298"/>
        <v>42726.291926390586</v>
      </c>
      <c r="Y999" s="148">
        <v>6915</v>
      </c>
      <c r="Z999" s="149">
        <f t="shared" si="299"/>
        <v>3457.5</v>
      </c>
      <c r="AA999" s="148"/>
      <c r="AB999" s="145"/>
      <c r="AC999" s="145"/>
      <c r="AD999" s="148">
        <f t="shared" si="300"/>
        <v>3457.5</v>
      </c>
      <c r="AE999" s="122">
        <f t="shared" si="301"/>
        <v>39268.791926390586</v>
      </c>
      <c r="AF999" s="167">
        <f t="shared" si="302"/>
        <v>205695</v>
      </c>
    </row>
    <row r="1000" spans="1:32" s="150" customFormat="1" x14ac:dyDescent="0.2">
      <c r="A1000" s="144" t="s">
        <v>1267</v>
      </c>
      <c r="B1000" s="144"/>
      <c r="C1000" s="144"/>
      <c r="D1000" s="145">
        <v>0</v>
      </c>
      <c r="E1000" s="122"/>
      <c r="F1000" s="146">
        <v>0.5</v>
      </c>
      <c r="G1000" s="146"/>
      <c r="H1000" s="122">
        <v>8491</v>
      </c>
      <c r="I1000" s="122">
        <f>+H1000</f>
        <v>8491</v>
      </c>
      <c r="J1000" s="147">
        <f t="shared" si="304"/>
        <v>4245.5</v>
      </c>
      <c r="K1000" s="122"/>
      <c r="L1000" s="122">
        <v>0</v>
      </c>
      <c r="M1000" s="122">
        <f t="shared" si="305"/>
        <v>0</v>
      </c>
      <c r="N1000" s="122">
        <f t="shared" si="306"/>
        <v>0</v>
      </c>
      <c r="O1000" s="122"/>
      <c r="P1000" s="122">
        <v>0</v>
      </c>
      <c r="Q1000" s="122">
        <f t="shared" si="296"/>
        <v>0</v>
      </c>
      <c r="R1000" s="147">
        <f t="shared" si="297"/>
        <v>0</v>
      </c>
      <c r="S1000" s="145">
        <v>13</v>
      </c>
      <c r="T1000" s="144" t="s">
        <v>1161</v>
      </c>
      <c r="U1000" s="90">
        <f>SUMIF('Avoided Costs 2009-2017'!$A:$A,Actuals!T1000&amp;Actuals!S1000,'Avoided Costs 2009-2017'!$E:$E)*J1000</f>
        <v>12168.607889266623</v>
      </c>
      <c r="V1000" s="90">
        <f>SUMIF('Avoided Costs 2009-2017'!$A:$A,Actuals!T1000&amp;Actuals!S1000,'Avoided Costs 2009-2017'!$K:$K)*N1000</f>
        <v>0</v>
      </c>
      <c r="W1000" s="90">
        <f>SUMIF('Avoided Costs 2009-2017'!$A:$A,Actuals!T1000&amp;Actuals!S1000,'Avoided Costs 2009-2017'!$M:$M)*R1000</f>
        <v>0</v>
      </c>
      <c r="X1000" s="90">
        <f t="shared" si="298"/>
        <v>12168.607889266623</v>
      </c>
      <c r="Y1000" s="148">
        <v>5073</v>
      </c>
      <c r="Z1000" s="149">
        <f t="shared" si="299"/>
        <v>2536.5</v>
      </c>
      <c r="AA1000" s="148"/>
      <c r="AB1000" s="145"/>
      <c r="AC1000" s="145"/>
      <c r="AD1000" s="148">
        <f t="shared" si="300"/>
        <v>2536.5</v>
      </c>
      <c r="AE1000" s="122">
        <f t="shared" si="301"/>
        <v>9632.1078892666228</v>
      </c>
      <c r="AF1000" s="167">
        <f t="shared" si="302"/>
        <v>55191.5</v>
      </c>
    </row>
    <row r="1001" spans="1:32" s="150" customFormat="1" x14ac:dyDescent="0.2">
      <c r="A1001" s="144" t="s">
        <v>1268</v>
      </c>
      <c r="B1001" s="144"/>
      <c r="C1001" s="144"/>
      <c r="D1001" s="145">
        <v>1</v>
      </c>
      <c r="E1001" s="122"/>
      <c r="F1001" s="146">
        <v>0.5</v>
      </c>
      <c r="G1001" s="146"/>
      <c r="H1001" s="122">
        <v>125178</v>
      </c>
      <c r="I1001" s="122">
        <f>+H1001</f>
        <v>125178</v>
      </c>
      <c r="J1001" s="147">
        <f t="shared" si="304"/>
        <v>62589</v>
      </c>
      <c r="K1001" s="122"/>
      <c r="L1001" s="122">
        <v>0</v>
      </c>
      <c r="M1001" s="122">
        <f t="shared" si="305"/>
        <v>0</v>
      </c>
      <c r="N1001" s="122">
        <f t="shared" si="306"/>
        <v>0</v>
      </c>
      <c r="O1001" s="122"/>
      <c r="P1001" s="122">
        <v>0</v>
      </c>
      <c r="Q1001" s="122">
        <f t="shared" si="296"/>
        <v>0</v>
      </c>
      <c r="R1001" s="147">
        <f t="shared" si="297"/>
        <v>0</v>
      </c>
      <c r="S1001" s="145">
        <v>15</v>
      </c>
      <c r="T1001" s="144" t="s">
        <v>1161</v>
      </c>
      <c r="U1001" s="90">
        <f>SUMIF('Avoided Costs 2009-2017'!$A:$A,Actuals!T1001&amp;Actuals!S1001,'Avoided Costs 2009-2017'!$E:$E)*J1001</f>
        <v>195011.73232559327</v>
      </c>
      <c r="V1001" s="90">
        <f>SUMIF('Avoided Costs 2009-2017'!$A:$A,Actuals!T1001&amp;Actuals!S1001,'Avoided Costs 2009-2017'!$K:$K)*N1001</f>
        <v>0</v>
      </c>
      <c r="W1001" s="90">
        <f>SUMIF('Avoided Costs 2009-2017'!$A:$A,Actuals!T1001&amp;Actuals!S1001,'Avoided Costs 2009-2017'!$M:$M)*R1001</f>
        <v>0</v>
      </c>
      <c r="X1001" s="90">
        <f t="shared" si="298"/>
        <v>195011.73232559327</v>
      </c>
      <c r="Y1001" s="148">
        <v>102584</v>
      </c>
      <c r="Z1001" s="149">
        <f t="shared" si="299"/>
        <v>51292</v>
      </c>
      <c r="AA1001" s="148"/>
      <c r="AB1001" s="145"/>
      <c r="AC1001" s="145"/>
      <c r="AD1001" s="148">
        <f t="shared" si="300"/>
        <v>51292</v>
      </c>
      <c r="AE1001" s="122">
        <f t="shared" si="301"/>
        <v>143719.73232559327</v>
      </c>
      <c r="AF1001" s="167">
        <f t="shared" si="302"/>
        <v>938835</v>
      </c>
    </row>
    <row r="1002" spans="1:32" s="150" customFormat="1" x14ac:dyDescent="0.2">
      <c r="A1002" s="144" t="s">
        <v>401</v>
      </c>
      <c r="B1002" s="144"/>
      <c r="C1002" s="144"/>
      <c r="D1002" s="145">
        <v>1</v>
      </c>
      <c r="E1002" s="122"/>
      <c r="F1002" s="146">
        <v>0.5</v>
      </c>
      <c r="G1002" s="146"/>
      <c r="H1002" s="122">
        <v>368127</v>
      </c>
      <c r="I1002" s="122">
        <f>+H1002</f>
        <v>368127</v>
      </c>
      <c r="J1002" s="147">
        <f t="shared" si="304"/>
        <v>184063.5</v>
      </c>
      <c r="K1002" s="122"/>
      <c r="L1002" s="122">
        <v>27488</v>
      </c>
      <c r="M1002" s="122">
        <f>+L1002</f>
        <v>27488</v>
      </c>
      <c r="N1002" s="122">
        <f t="shared" si="306"/>
        <v>13744</v>
      </c>
      <c r="O1002" s="122"/>
      <c r="P1002" s="122">
        <v>0</v>
      </c>
      <c r="Q1002" s="122">
        <f t="shared" si="296"/>
        <v>0</v>
      </c>
      <c r="R1002" s="147">
        <f t="shared" si="297"/>
        <v>0</v>
      </c>
      <c r="S1002" s="145">
        <v>15</v>
      </c>
      <c r="T1002" s="144" t="s">
        <v>1161</v>
      </c>
      <c r="U1002" s="90">
        <f>SUMIF('Avoided Costs 2009-2017'!$A:$A,Actuals!T1002&amp;Actuals!S1002,'Avoided Costs 2009-2017'!$E:$E)*J1002</f>
        <v>573496.01356327534</v>
      </c>
      <c r="V1002" s="90">
        <f>SUMIF('Avoided Costs 2009-2017'!$A:$A,Actuals!T1002&amp;Actuals!S1002,'Avoided Costs 2009-2017'!$K:$K)*N1002</f>
        <v>10260.338233929891</v>
      </c>
      <c r="W1002" s="90">
        <f>SUMIF('Avoided Costs 2009-2017'!$A:$A,Actuals!T1002&amp;Actuals!S1002,'Avoided Costs 2009-2017'!$M:$M)*R1002</f>
        <v>0</v>
      </c>
      <c r="X1002" s="90">
        <f t="shared" si="298"/>
        <v>583756.35179720528</v>
      </c>
      <c r="Y1002" s="148">
        <v>164420</v>
      </c>
      <c r="Z1002" s="149">
        <f t="shared" si="299"/>
        <v>82210</v>
      </c>
      <c r="AA1002" s="148"/>
      <c r="AB1002" s="145"/>
      <c r="AC1002" s="145"/>
      <c r="AD1002" s="148">
        <f t="shared" si="300"/>
        <v>82210</v>
      </c>
      <c r="AE1002" s="122">
        <f t="shared" si="301"/>
        <v>501546.35179720528</v>
      </c>
      <c r="AF1002" s="167">
        <f t="shared" si="302"/>
        <v>2760952.5</v>
      </c>
    </row>
    <row r="1003" spans="1:32" s="150" customFormat="1" x14ac:dyDescent="0.2">
      <c r="A1003" s="144" t="s">
        <v>402</v>
      </c>
      <c r="B1003" s="144"/>
      <c r="C1003" s="144"/>
      <c r="D1003" s="145">
        <v>1</v>
      </c>
      <c r="E1003" s="122"/>
      <c r="F1003" s="146">
        <v>0.5</v>
      </c>
      <c r="G1003" s="146"/>
      <c r="H1003" s="122">
        <v>54446</v>
      </c>
      <c r="I1003" s="122">
        <f t="shared" si="303"/>
        <v>56351.609999999993</v>
      </c>
      <c r="J1003" s="147">
        <f t="shared" si="304"/>
        <v>28175.804999999997</v>
      </c>
      <c r="K1003" s="122"/>
      <c r="L1003" s="122">
        <v>0</v>
      </c>
      <c r="M1003" s="122">
        <f t="shared" si="305"/>
        <v>0</v>
      </c>
      <c r="N1003" s="122">
        <f t="shared" si="306"/>
        <v>0</v>
      </c>
      <c r="O1003" s="122"/>
      <c r="P1003" s="122">
        <v>0</v>
      </c>
      <c r="Q1003" s="122">
        <f t="shared" si="296"/>
        <v>0</v>
      </c>
      <c r="R1003" s="147">
        <f t="shared" si="297"/>
        <v>0</v>
      </c>
      <c r="S1003" s="145">
        <v>15</v>
      </c>
      <c r="T1003" s="144" t="s">
        <v>1161</v>
      </c>
      <c r="U1003" s="90">
        <f>SUMIF('Avoided Costs 2009-2017'!$A:$A,Actuals!T1003&amp;Actuals!S1003,'Avoided Costs 2009-2017'!$E:$E)*J1003</f>
        <v>87788.789447316813</v>
      </c>
      <c r="V1003" s="90">
        <f>SUMIF('Avoided Costs 2009-2017'!$A:$A,Actuals!T1003&amp;Actuals!S1003,'Avoided Costs 2009-2017'!$K:$K)*N1003</f>
        <v>0</v>
      </c>
      <c r="W1003" s="90">
        <f>SUMIF('Avoided Costs 2009-2017'!$A:$A,Actuals!T1003&amp;Actuals!S1003,'Avoided Costs 2009-2017'!$M:$M)*R1003</f>
        <v>0</v>
      </c>
      <c r="X1003" s="90">
        <f t="shared" si="298"/>
        <v>87788.789447316813</v>
      </c>
      <c r="Y1003" s="148">
        <v>31860</v>
      </c>
      <c r="Z1003" s="149">
        <f t="shared" si="299"/>
        <v>15930</v>
      </c>
      <c r="AA1003" s="148"/>
      <c r="AB1003" s="145"/>
      <c r="AC1003" s="145"/>
      <c r="AD1003" s="148">
        <f t="shared" si="300"/>
        <v>15930</v>
      </c>
      <c r="AE1003" s="122">
        <f t="shared" si="301"/>
        <v>71858.789447316813</v>
      </c>
      <c r="AF1003" s="167">
        <f t="shared" si="302"/>
        <v>422637.07499999995</v>
      </c>
    </row>
    <row r="1004" spans="1:32" s="150" customFormat="1" x14ac:dyDescent="0.2">
      <c r="A1004" s="144" t="s">
        <v>403</v>
      </c>
      <c r="B1004" s="144"/>
      <c r="C1004" s="144"/>
      <c r="D1004" s="145">
        <v>1</v>
      </c>
      <c r="E1004" s="122"/>
      <c r="F1004" s="146">
        <v>0.5</v>
      </c>
      <c r="G1004" s="146"/>
      <c r="H1004" s="122">
        <v>12456</v>
      </c>
      <c r="I1004" s="122">
        <f t="shared" si="303"/>
        <v>12891.96</v>
      </c>
      <c r="J1004" s="147">
        <f t="shared" si="304"/>
        <v>6445.98</v>
      </c>
      <c r="K1004" s="122"/>
      <c r="L1004" s="122">
        <v>0</v>
      </c>
      <c r="M1004" s="122">
        <f t="shared" si="305"/>
        <v>0</v>
      </c>
      <c r="N1004" s="122">
        <f t="shared" si="306"/>
        <v>0</v>
      </c>
      <c r="O1004" s="122"/>
      <c r="P1004" s="122">
        <v>0</v>
      </c>
      <c r="Q1004" s="122">
        <f t="shared" si="296"/>
        <v>0</v>
      </c>
      <c r="R1004" s="147">
        <f t="shared" si="297"/>
        <v>0</v>
      </c>
      <c r="S1004" s="145">
        <v>13</v>
      </c>
      <c r="T1004" s="144" t="s">
        <v>1161</v>
      </c>
      <c r="U1004" s="90">
        <f>SUMIF('Avoided Costs 2009-2017'!$A:$A,Actuals!T1004&amp;Actuals!S1004,'Avoided Costs 2009-2017'!$E:$E)*J1004</f>
        <v>18475.704412214076</v>
      </c>
      <c r="V1004" s="90">
        <f>SUMIF('Avoided Costs 2009-2017'!$A:$A,Actuals!T1004&amp;Actuals!S1004,'Avoided Costs 2009-2017'!$K:$K)*N1004</f>
        <v>0</v>
      </c>
      <c r="W1004" s="90">
        <f>SUMIF('Avoided Costs 2009-2017'!$A:$A,Actuals!T1004&amp;Actuals!S1004,'Avoided Costs 2009-2017'!$M:$M)*R1004</f>
        <v>0</v>
      </c>
      <c r="X1004" s="90">
        <f t="shared" si="298"/>
        <v>18475.704412214076</v>
      </c>
      <c r="Y1004" s="148">
        <v>4310</v>
      </c>
      <c r="Z1004" s="149">
        <f t="shared" si="299"/>
        <v>2155</v>
      </c>
      <c r="AA1004" s="148"/>
      <c r="AB1004" s="145"/>
      <c r="AC1004" s="145"/>
      <c r="AD1004" s="148">
        <f t="shared" si="300"/>
        <v>2155</v>
      </c>
      <c r="AE1004" s="122">
        <f t="shared" si="301"/>
        <v>16320.704412214076</v>
      </c>
      <c r="AF1004" s="167">
        <f t="shared" si="302"/>
        <v>83797.739999999991</v>
      </c>
    </row>
    <row r="1005" spans="1:32" s="150" customFormat="1" x14ac:dyDescent="0.2">
      <c r="A1005" s="144" t="s">
        <v>404</v>
      </c>
      <c r="B1005" s="144"/>
      <c r="C1005" s="144"/>
      <c r="D1005" s="145">
        <v>1</v>
      </c>
      <c r="E1005" s="122"/>
      <c r="F1005" s="146">
        <v>0.5</v>
      </c>
      <c r="G1005" s="146"/>
      <c r="H1005" s="122">
        <v>258240</v>
      </c>
      <c r="I1005" s="122">
        <f t="shared" si="303"/>
        <v>267278.39999999997</v>
      </c>
      <c r="J1005" s="147">
        <f t="shared" si="304"/>
        <v>133639.19999999998</v>
      </c>
      <c r="K1005" s="122"/>
      <c r="L1005" s="122">
        <v>0</v>
      </c>
      <c r="M1005" s="122">
        <f t="shared" si="305"/>
        <v>0</v>
      </c>
      <c r="N1005" s="122">
        <f t="shared" si="306"/>
        <v>0</v>
      </c>
      <c r="O1005" s="122"/>
      <c r="P1005" s="122">
        <v>0</v>
      </c>
      <c r="Q1005" s="122">
        <f t="shared" si="296"/>
        <v>0</v>
      </c>
      <c r="R1005" s="147">
        <f t="shared" si="297"/>
        <v>0</v>
      </c>
      <c r="S1005" s="145">
        <v>15</v>
      </c>
      <c r="T1005" s="144" t="s">
        <v>1161</v>
      </c>
      <c r="U1005" s="90">
        <f>SUMIF('Avoided Costs 2009-2017'!$A:$A,Actuals!T1005&amp;Actuals!S1005,'Avoided Costs 2009-2017'!$E:$E)*J1005</f>
        <v>416386.4560642672</v>
      </c>
      <c r="V1005" s="90">
        <f>SUMIF('Avoided Costs 2009-2017'!$A:$A,Actuals!T1005&amp;Actuals!S1005,'Avoided Costs 2009-2017'!$K:$K)*N1005</f>
        <v>0</v>
      </c>
      <c r="W1005" s="90">
        <f>SUMIF('Avoided Costs 2009-2017'!$A:$A,Actuals!T1005&amp;Actuals!S1005,'Avoided Costs 2009-2017'!$M:$M)*R1005</f>
        <v>0</v>
      </c>
      <c r="X1005" s="90">
        <f t="shared" si="298"/>
        <v>416386.4560642672</v>
      </c>
      <c r="Y1005" s="148">
        <v>0</v>
      </c>
      <c r="Z1005" s="149">
        <f t="shared" si="299"/>
        <v>0</v>
      </c>
      <c r="AA1005" s="148"/>
      <c r="AB1005" s="145"/>
      <c r="AC1005" s="145"/>
      <c r="AD1005" s="148">
        <f t="shared" si="300"/>
        <v>0</v>
      </c>
      <c r="AE1005" s="122">
        <f t="shared" si="301"/>
        <v>416386.4560642672</v>
      </c>
      <c r="AF1005" s="167">
        <f t="shared" si="302"/>
        <v>2004587.9999999998</v>
      </c>
    </row>
    <row r="1006" spans="1:32" s="150" customFormat="1" x14ac:dyDescent="0.2">
      <c r="A1006" s="144" t="s">
        <v>405</v>
      </c>
      <c r="B1006" s="144"/>
      <c r="C1006" s="144"/>
      <c r="D1006" s="145">
        <v>1</v>
      </c>
      <c r="E1006" s="122"/>
      <c r="F1006" s="146">
        <v>0.5</v>
      </c>
      <c r="G1006" s="146"/>
      <c r="H1006" s="122">
        <v>232000</v>
      </c>
      <c r="I1006" s="122">
        <f t="shared" si="303"/>
        <v>240119.99999999997</v>
      </c>
      <c r="J1006" s="147">
        <f t="shared" si="304"/>
        <v>120059.99999999999</v>
      </c>
      <c r="K1006" s="122"/>
      <c r="L1006" s="122">
        <v>0</v>
      </c>
      <c r="M1006" s="122">
        <f t="shared" si="305"/>
        <v>0</v>
      </c>
      <c r="N1006" s="122">
        <f t="shared" si="306"/>
        <v>0</v>
      </c>
      <c r="O1006" s="122"/>
      <c r="P1006" s="122">
        <v>0</v>
      </c>
      <c r="Q1006" s="122">
        <f t="shared" si="296"/>
        <v>0</v>
      </c>
      <c r="R1006" s="147">
        <f t="shared" si="297"/>
        <v>0</v>
      </c>
      <c r="S1006" s="145">
        <v>15</v>
      </c>
      <c r="T1006" s="144" t="s">
        <v>1161</v>
      </c>
      <c r="U1006" s="90">
        <f>SUMIF('Avoided Costs 2009-2017'!$A:$A,Actuals!T1006&amp;Actuals!S1006,'Avoided Costs 2009-2017'!$E:$E)*J1006</f>
        <v>374077.0516066837</v>
      </c>
      <c r="V1006" s="90">
        <f>SUMIF('Avoided Costs 2009-2017'!$A:$A,Actuals!T1006&amp;Actuals!S1006,'Avoided Costs 2009-2017'!$K:$K)*N1006</f>
        <v>0</v>
      </c>
      <c r="W1006" s="90">
        <f>SUMIF('Avoided Costs 2009-2017'!$A:$A,Actuals!T1006&amp;Actuals!S1006,'Avoided Costs 2009-2017'!$M:$M)*R1006</f>
        <v>0</v>
      </c>
      <c r="X1006" s="90">
        <f t="shared" si="298"/>
        <v>374077.0516066837</v>
      </c>
      <c r="Y1006" s="148">
        <v>0</v>
      </c>
      <c r="Z1006" s="149">
        <f t="shared" si="299"/>
        <v>0</v>
      </c>
      <c r="AA1006" s="148"/>
      <c r="AB1006" s="145"/>
      <c r="AC1006" s="145"/>
      <c r="AD1006" s="148">
        <f t="shared" si="300"/>
        <v>0</v>
      </c>
      <c r="AE1006" s="122">
        <f t="shared" si="301"/>
        <v>374077.0516066837</v>
      </c>
      <c r="AF1006" s="167">
        <f t="shared" si="302"/>
        <v>1800899.9999999998</v>
      </c>
    </row>
    <row r="1007" spans="1:32" s="150" customFormat="1" x14ac:dyDescent="0.2">
      <c r="A1007" s="144" t="s">
        <v>406</v>
      </c>
      <c r="B1007" s="144"/>
      <c r="C1007" s="144"/>
      <c r="D1007" s="145">
        <v>1</v>
      </c>
      <c r="E1007" s="122"/>
      <c r="F1007" s="146">
        <v>0.5</v>
      </c>
      <c r="G1007" s="146"/>
      <c r="H1007" s="122">
        <v>424000</v>
      </c>
      <c r="I1007" s="122">
        <f t="shared" si="303"/>
        <v>438839.99999999994</v>
      </c>
      <c r="J1007" s="147">
        <f t="shared" si="304"/>
        <v>219419.99999999997</v>
      </c>
      <c r="K1007" s="122"/>
      <c r="L1007" s="122">
        <v>0</v>
      </c>
      <c r="M1007" s="122">
        <f t="shared" si="305"/>
        <v>0</v>
      </c>
      <c r="N1007" s="122">
        <f t="shared" si="306"/>
        <v>0</v>
      </c>
      <c r="O1007" s="122"/>
      <c r="P1007" s="122">
        <v>0</v>
      </c>
      <c r="Q1007" s="122">
        <f t="shared" si="296"/>
        <v>0</v>
      </c>
      <c r="R1007" s="147">
        <f t="shared" si="297"/>
        <v>0</v>
      </c>
      <c r="S1007" s="145">
        <v>15</v>
      </c>
      <c r="T1007" s="144" t="s">
        <v>1161</v>
      </c>
      <c r="U1007" s="90">
        <f>SUMIF('Avoided Costs 2009-2017'!$A:$A,Actuals!T1007&amp;Actuals!S1007,'Avoided Costs 2009-2017'!$E:$E)*J1007</f>
        <v>683658.05983290472</v>
      </c>
      <c r="V1007" s="90">
        <f>SUMIF('Avoided Costs 2009-2017'!$A:$A,Actuals!T1007&amp;Actuals!S1007,'Avoided Costs 2009-2017'!$K:$K)*N1007</f>
        <v>0</v>
      </c>
      <c r="W1007" s="90">
        <f>SUMIF('Avoided Costs 2009-2017'!$A:$A,Actuals!T1007&amp;Actuals!S1007,'Avoided Costs 2009-2017'!$M:$M)*R1007</f>
        <v>0</v>
      </c>
      <c r="X1007" s="90">
        <f t="shared" si="298"/>
        <v>683658.05983290472</v>
      </c>
      <c r="Y1007" s="148">
        <v>0</v>
      </c>
      <c r="Z1007" s="149">
        <f t="shared" si="299"/>
        <v>0</v>
      </c>
      <c r="AA1007" s="148"/>
      <c r="AB1007" s="145"/>
      <c r="AC1007" s="145"/>
      <c r="AD1007" s="148">
        <f t="shared" si="300"/>
        <v>0</v>
      </c>
      <c r="AE1007" s="122">
        <f t="shared" si="301"/>
        <v>683658.05983290472</v>
      </c>
      <c r="AF1007" s="167">
        <f t="shared" si="302"/>
        <v>3291299.9999999995</v>
      </c>
    </row>
    <row r="1008" spans="1:32" s="150" customFormat="1" x14ac:dyDescent="0.2">
      <c r="A1008" s="144" t="s">
        <v>407</v>
      </c>
      <c r="B1008" s="144"/>
      <c r="C1008" s="144"/>
      <c r="D1008" s="145">
        <v>1</v>
      </c>
      <c r="E1008" s="122"/>
      <c r="F1008" s="146">
        <v>0.5</v>
      </c>
      <c r="G1008" s="146"/>
      <c r="H1008" s="122">
        <v>27250</v>
      </c>
      <c r="I1008" s="122">
        <f t="shared" si="303"/>
        <v>28203.749999999996</v>
      </c>
      <c r="J1008" s="147">
        <f t="shared" si="304"/>
        <v>14101.874999999998</v>
      </c>
      <c r="K1008" s="122"/>
      <c r="L1008" s="122">
        <v>17880</v>
      </c>
      <c r="M1008" s="122">
        <f t="shared" si="305"/>
        <v>17021.759999999998</v>
      </c>
      <c r="N1008" s="122">
        <f t="shared" si="306"/>
        <v>8510.8799999999992</v>
      </c>
      <c r="O1008" s="122"/>
      <c r="P1008" s="122">
        <v>0</v>
      </c>
      <c r="Q1008" s="122">
        <f t="shared" si="296"/>
        <v>0</v>
      </c>
      <c r="R1008" s="147">
        <f t="shared" si="297"/>
        <v>0</v>
      </c>
      <c r="S1008" s="145">
        <v>15</v>
      </c>
      <c r="T1008" s="144" t="s">
        <v>1161</v>
      </c>
      <c r="U1008" s="90">
        <f>SUMIF('Avoided Costs 2009-2017'!$A:$A,Actuals!T1008&amp;Actuals!S1008,'Avoided Costs 2009-2017'!$E:$E)*J1008</f>
        <v>43937.929552940215</v>
      </c>
      <c r="V1008" s="90">
        <f>SUMIF('Avoided Costs 2009-2017'!$A:$A,Actuals!T1008&amp;Actuals!S1008,'Avoided Costs 2009-2017'!$K:$K)*N1008</f>
        <v>6353.6457704008462</v>
      </c>
      <c r="W1008" s="90">
        <f>SUMIF('Avoided Costs 2009-2017'!$A:$A,Actuals!T1008&amp;Actuals!S1008,'Avoided Costs 2009-2017'!$M:$M)*R1008</f>
        <v>0</v>
      </c>
      <c r="X1008" s="90">
        <f t="shared" si="298"/>
        <v>50291.575323341065</v>
      </c>
      <c r="Y1008" s="148">
        <v>12200</v>
      </c>
      <c r="Z1008" s="149">
        <f t="shared" si="299"/>
        <v>6100</v>
      </c>
      <c r="AA1008" s="148"/>
      <c r="AB1008" s="145"/>
      <c r="AC1008" s="145"/>
      <c r="AD1008" s="148">
        <f t="shared" si="300"/>
        <v>6100</v>
      </c>
      <c r="AE1008" s="122">
        <f t="shared" si="301"/>
        <v>44191.575323341065</v>
      </c>
      <c r="AF1008" s="167">
        <f t="shared" si="302"/>
        <v>211528.12499999997</v>
      </c>
    </row>
    <row r="1009" spans="1:32" s="150" customFormat="1" x14ac:dyDescent="0.2">
      <c r="A1009" s="144" t="s">
        <v>408</v>
      </c>
      <c r="B1009" s="144"/>
      <c r="C1009" s="144"/>
      <c r="D1009" s="145">
        <v>0</v>
      </c>
      <c r="E1009" s="122"/>
      <c r="F1009" s="146">
        <v>0.5</v>
      </c>
      <c r="G1009" s="146"/>
      <c r="H1009" s="122">
        <v>154060</v>
      </c>
      <c r="I1009" s="122">
        <f t="shared" si="303"/>
        <v>159452.09999999998</v>
      </c>
      <c r="J1009" s="147">
        <f t="shared" si="304"/>
        <v>79726.049999999988</v>
      </c>
      <c r="K1009" s="122"/>
      <c r="L1009" s="122">
        <v>29878</v>
      </c>
      <c r="M1009" s="122">
        <f t="shared" si="305"/>
        <v>28443.856</v>
      </c>
      <c r="N1009" s="122">
        <f t="shared" si="306"/>
        <v>14221.928</v>
      </c>
      <c r="O1009" s="122"/>
      <c r="P1009" s="122">
        <v>0</v>
      </c>
      <c r="Q1009" s="122">
        <f t="shared" si="296"/>
        <v>0</v>
      </c>
      <c r="R1009" s="147">
        <f t="shared" si="297"/>
        <v>0</v>
      </c>
      <c r="S1009" s="145">
        <v>20</v>
      </c>
      <c r="T1009" s="144" t="s">
        <v>1161</v>
      </c>
      <c r="U1009" s="90">
        <f>SUMIF('Avoided Costs 2009-2017'!$A:$A,Actuals!T1009&amp;Actuals!S1009,'Avoided Costs 2009-2017'!$E:$E)*J1009</f>
        <v>287809.56890232069</v>
      </c>
      <c r="V1009" s="90">
        <f>SUMIF('Avoided Costs 2009-2017'!$A:$A,Actuals!T1009&amp;Actuals!S1009,'Avoided Costs 2009-2017'!$K:$K)*N1009</f>
        <v>12356.142790482569</v>
      </c>
      <c r="W1009" s="90">
        <f>SUMIF('Avoided Costs 2009-2017'!$A:$A,Actuals!T1009&amp;Actuals!S1009,'Avoided Costs 2009-2017'!$M:$M)*R1009</f>
        <v>0</v>
      </c>
      <c r="X1009" s="90">
        <f t="shared" si="298"/>
        <v>300165.71169280325</v>
      </c>
      <c r="Y1009" s="148">
        <v>110795</v>
      </c>
      <c r="Z1009" s="149">
        <f t="shared" si="299"/>
        <v>55397.5</v>
      </c>
      <c r="AA1009" s="148"/>
      <c r="AB1009" s="145"/>
      <c r="AC1009" s="145"/>
      <c r="AD1009" s="148">
        <f t="shared" si="300"/>
        <v>55397.5</v>
      </c>
      <c r="AE1009" s="122">
        <f t="shared" si="301"/>
        <v>244768.21169280325</v>
      </c>
      <c r="AF1009" s="167">
        <f t="shared" si="302"/>
        <v>1594520.9999999998</v>
      </c>
    </row>
    <row r="1010" spans="1:32" s="150" customFormat="1" x14ac:dyDescent="0.2">
      <c r="A1010" s="144" t="s">
        <v>409</v>
      </c>
      <c r="B1010" s="144"/>
      <c r="C1010" s="144"/>
      <c r="D1010" s="145">
        <v>0</v>
      </c>
      <c r="E1010" s="122"/>
      <c r="F1010" s="146">
        <v>0.5</v>
      </c>
      <c r="G1010" s="146"/>
      <c r="H1010" s="122">
        <v>0</v>
      </c>
      <c r="I1010" s="122">
        <f t="shared" si="303"/>
        <v>0</v>
      </c>
      <c r="J1010" s="147">
        <f t="shared" si="304"/>
        <v>0</v>
      </c>
      <c r="K1010" s="122"/>
      <c r="L1010" s="122">
        <v>0</v>
      </c>
      <c r="M1010" s="122">
        <f t="shared" si="305"/>
        <v>0</v>
      </c>
      <c r="N1010" s="122">
        <f t="shared" si="306"/>
        <v>0</v>
      </c>
      <c r="O1010" s="122"/>
      <c r="P1010" s="122">
        <v>0</v>
      </c>
      <c r="Q1010" s="122">
        <f t="shared" si="296"/>
        <v>0</v>
      </c>
      <c r="R1010" s="147">
        <f t="shared" si="297"/>
        <v>0</v>
      </c>
      <c r="S1010" s="145">
        <v>1</v>
      </c>
      <c r="T1010" s="144" t="s">
        <v>1161</v>
      </c>
      <c r="U1010" s="90">
        <f>SUMIF('Avoided Costs 2009-2017'!$A:$A,Actuals!T1010&amp;Actuals!S1010,'Avoided Costs 2009-2017'!$E:$E)*J1010</f>
        <v>0</v>
      </c>
      <c r="V1010" s="90">
        <f>SUMIF('Avoided Costs 2009-2017'!$A:$A,Actuals!T1010&amp;Actuals!S1010,'Avoided Costs 2009-2017'!$K:$K)*N1010</f>
        <v>0</v>
      </c>
      <c r="W1010" s="90">
        <f>SUMIF('Avoided Costs 2009-2017'!$A:$A,Actuals!T1010&amp;Actuals!S1010,'Avoided Costs 2009-2017'!$M:$M)*R1010</f>
        <v>0</v>
      </c>
      <c r="X1010" s="90">
        <f t="shared" si="298"/>
        <v>0</v>
      </c>
      <c r="Y1010" s="148">
        <v>0</v>
      </c>
      <c r="Z1010" s="149">
        <f t="shared" si="299"/>
        <v>0</v>
      </c>
      <c r="AA1010" s="148"/>
      <c r="AB1010" s="145"/>
      <c r="AC1010" s="145"/>
      <c r="AD1010" s="148">
        <f t="shared" si="300"/>
        <v>0</v>
      </c>
      <c r="AE1010" s="122">
        <f t="shared" si="301"/>
        <v>0</v>
      </c>
      <c r="AF1010" s="167">
        <f t="shared" si="302"/>
        <v>0</v>
      </c>
    </row>
    <row r="1011" spans="1:32" s="150" customFormat="1" x14ac:dyDescent="0.2">
      <c r="A1011" s="144" t="s">
        <v>410</v>
      </c>
      <c r="B1011" s="144"/>
      <c r="C1011" s="144"/>
      <c r="D1011" s="145">
        <v>0</v>
      </c>
      <c r="E1011" s="122"/>
      <c r="F1011" s="146">
        <v>0.5</v>
      </c>
      <c r="G1011" s="146"/>
      <c r="H1011" s="122">
        <v>0</v>
      </c>
      <c r="I1011" s="122">
        <f t="shared" si="303"/>
        <v>0</v>
      </c>
      <c r="J1011" s="147">
        <f t="shared" si="304"/>
        <v>0</v>
      </c>
      <c r="K1011" s="122"/>
      <c r="L1011" s="122">
        <v>0</v>
      </c>
      <c r="M1011" s="122">
        <f t="shared" si="305"/>
        <v>0</v>
      </c>
      <c r="N1011" s="122">
        <f t="shared" si="306"/>
        <v>0</v>
      </c>
      <c r="O1011" s="122"/>
      <c r="P1011" s="122">
        <v>0</v>
      </c>
      <c r="Q1011" s="122">
        <f t="shared" si="296"/>
        <v>0</v>
      </c>
      <c r="R1011" s="147">
        <f t="shared" si="297"/>
        <v>0</v>
      </c>
      <c r="S1011" s="145">
        <v>1</v>
      </c>
      <c r="T1011" s="144" t="s">
        <v>1161</v>
      </c>
      <c r="U1011" s="90">
        <f>SUMIF('Avoided Costs 2009-2017'!$A:$A,Actuals!T1011&amp;Actuals!S1011,'Avoided Costs 2009-2017'!$E:$E)*J1011</f>
        <v>0</v>
      </c>
      <c r="V1011" s="90">
        <f>SUMIF('Avoided Costs 2009-2017'!$A:$A,Actuals!T1011&amp;Actuals!S1011,'Avoided Costs 2009-2017'!$K:$K)*N1011</f>
        <v>0</v>
      </c>
      <c r="W1011" s="90">
        <f>SUMIF('Avoided Costs 2009-2017'!$A:$A,Actuals!T1011&amp;Actuals!S1011,'Avoided Costs 2009-2017'!$M:$M)*R1011</f>
        <v>0</v>
      </c>
      <c r="X1011" s="90">
        <f t="shared" si="298"/>
        <v>0</v>
      </c>
      <c r="Y1011" s="148">
        <v>0</v>
      </c>
      <c r="Z1011" s="149">
        <f t="shared" si="299"/>
        <v>0</v>
      </c>
      <c r="AA1011" s="148"/>
      <c r="AB1011" s="145"/>
      <c r="AC1011" s="145"/>
      <c r="AD1011" s="148">
        <f t="shared" si="300"/>
        <v>0</v>
      </c>
      <c r="AE1011" s="122">
        <f t="shared" si="301"/>
        <v>0</v>
      </c>
      <c r="AF1011" s="167">
        <f t="shared" si="302"/>
        <v>0</v>
      </c>
    </row>
    <row r="1012" spans="1:32" s="150" customFormat="1" x14ac:dyDescent="0.2">
      <c r="A1012" s="144" t="s">
        <v>411</v>
      </c>
      <c r="B1012" s="144"/>
      <c r="C1012" s="144"/>
      <c r="D1012" s="145">
        <v>0</v>
      </c>
      <c r="E1012" s="122"/>
      <c r="F1012" s="146">
        <v>0.5</v>
      </c>
      <c r="G1012" s="146"/>
      <c r="H1012" s="122">
        <v>0</v>
      </c>
      <c r="I1012" s="122">
        <f t="shared" si="303"/>
        <v>0</v>
      </c>
      <c r="J1012" s="147">
        <f t="shared" si="304"/>
        <v>0</v>
      </c>
      <c r="K1012" s="122"/>
      <c r="L1012" s="122">
        <v>0</v>
      </c>
      <c r="M1012" s="122">
        <f t="shared" si="305"/>
        <v>0</v>
      </c>
      <c r="N1012" s="122">
        <f t="shared" si="306"/>
        <v>0</v>
      </c>
      <c r="O1012" s="122"/>
      <c r="P1012" s="122">
        <v>0</v>
      </c>
      <c r="Q1012" s="122">
        <f t="shared" si="296"/>
        <v>0</v>
      </c>
      <c r="R1012" s="147">
        <f t="shared" si="297"/>
        <v>0</v>
      </c>
      <c r="S1012" s="145">
        <v>1</v>
      </c>
      <c r="T1012" s="144" t="s">
        <v>1161</v>
      </c>
      <c r="U1012" s="90">
        <f>SUMIF('Avoided Costs 2009-2017'!$A:$A,Actuals!T1012&amp;Actuals!S1012,'Avoided Costs 2009-2017'!$E:$E)*J1012</f>
        <v>0</v>
      </c>
      <c r="V1012" s="90">
        <f>SUMIF('Avoided Costs 2009-2017'!$A:$A,Actuals!T1012&amp;Actuals!S1012,'Avoided Costs 2009-2017'!$K:$K)*N1012</f>
        <v>0</v>
      </c>
      <c r="W1012" s="90">
        <f>SUMIF('Avoided Costs 2009-2017'!$A:$A,Actuals!T1012&amp;Actuals!S1012,'Avoided Costs 2009-2017'!$M:$M)*R1012</f>
        <v>0</v>
      </c>
      <c r="X1012" s="90">
        <f t="shared" si="298"/>
        <v>0</v>
      </c>
      <c r="Y1012" s="148">
        <v>0</v>
      </c>
      <c r="Z1012" s="149">
        <f t="shared" si="299"/>
        <v>0</v>
      </c>
      <c r="AA1012" s="148"/>
      <c r="AB1012" s="145"/>
      <c r="AC1012" s="145"/>
      <c r="AD1012" s="148">
        <f t="shared" ref="AD1012:AD1043" si="307">Z1012+AB1012</f>
        <v>0</v>
      </c>
      <c r="AE1012" s="122">
        <f t="shared" ref="AE1012:AE1043" si="308">X1012-AD1012</f>
        <v>0</v>
      </c>
      <c r="AF1012" s="167">
        <f t="shared" si="302"/>
        <v>0</v>
      </c>
    </row>
    <row r="1013" spans="1:32" s="150" customFormat="1" x14ac:dyDescent="0.2">
      <c r="A1013" s="144" t="s">
        <v>412</v>
      </c>
      <c r="B1013" s="144"/>
      <c r="C1013" s="144"/>
      <c r="D1013" s="145">
        <v>1</v>
      </c>
      <c r="E1013" s="122"/>
      <c r="F1013" s="146">
        <v>0.5</v>
      </c>
      <c r="G1013" s="146"/>
      <c r="H1013" s="122">
        <v>84422</v>
      </c>
      <c r="I1013" s="122">
        <f t="shared" si="303"/>
        <v>87376.76999999999</v>
      </c>
      <c r="J1013" s="147">
        <f t="shared" si="304"/>
        <v>43688.384999999995</v>
      </c>
      <c r="K1013" s="122"/>
      <c r="L1013" s="122">
        <v>10738</v>
      </c>
      <c r="M1013" s="122">
        <f t="shared" si="305"/>
        <v>10222.575999999999</v>
      </c>
      <c r="N1013" s="122">
        <f t="shared" si="306"/>
        <v>5111.2879999999996</v>
      </c>
      <c r="O1013" s="122"/>
      <c r="P1013" s="122">
        <v>0</v>
      </c>
      <c r="Q1013" s="122">
        <f t="shared" si="296"/>
        <v>0</v>
      </c>
      <c r="R1013" s="147">
        <f t="shared" si="297"/>
        <v>0</v>
      </c>
      <c r="S1013" s="145">
        <v>15</v>
      </c>
      <c r="T1013" s="144" t="s">
        <v>1161</v>
      </c>
      <c r="U1013" s="90">
        <f>SUMIF('Avoided Costs 2009-2017'!$A:$A,Actuals!T1013&amp;Actuals!S1013,'Avoided Costs 2009-2017'!$E:$E)*J1013</f>
        <v>136122.12435663556</v>
      </c>
      <c r="V1013" s="90">
        <f>SUMIF('Avoided Costs 2009-2017'!$A:$A,Actuals!T1013&amp;Actuals!S1013,'Avoided Costs 2009-2017'!$K:$K)*N1013</f>
        <v>3815.7409554006872</v>
      </c>
      <c r="W1013" s="90">
        <f>SUMIF('Avoided Costs 2009-2017'!$A:$A,Actuals!T1013&amp;Actuals!S1013,'Avoided Costs 2009-2017'!$M:$M)*R1013</f>
        <v>0</v>
      </c>
      <c r="X1013" s="90">
        <f t="shared" si="298"/>
        <v>139937.86531203624</v>
      </c>
      <c r="Y1013" s="148">
        <v>22408</v>
      </c>
      <c r="Z1013" s="149">
        <f t="shared" si="299"/>
        <v>11204</v>
      </c>
      <c r="AA1013" s="148"/>
      <c r="AB1013" s="145"/>
      <c r="AC1013" s="145"/>
      <c r="AD1013" s="148">
        <f t="shared" si="307"/>
        <v>11204</v>
      </c>
      <c r="AE1013" s="122">
        <f t="shared" si="308"/>
        <v>128733.86531203624</v>
      </c>
      <c r="AF1013" s="167">
        <f t="shared" si="302"/>
        <v>655325.77499999991</v>
      </c>
    </row>
    <row r="1014" spans="1:32" s="150" customFormat="1" x14ac:dyDescent="0.2">
      <c r="A1014" s="144" t="s">
        <v>413</v>
      </c>
      <c r="B1014" s="144"/>
      <c r="C1014" s="144"/>
      <c r="D1014" s="145">
        <v>1</v>
      </c>
      <c r="E1014" s="122"/>
      <c r="F1014" s="146">
        <v>0.5</v>
      </c>
      <c r="G1014" s="146"/>
      <c r="H1014" s="122">
        <v>791986</v>
      </c>
      <c r="I1014" s="122">
        <f t="shared" si="303"/>
        <v>819705.50999999989</v>
      </c>
      <c r="J1014" s="147">
        <f t="shared" si="304"/>
        <v>409852.75499999995</v>
      </c>
      <c r="K1014" s="122"/>
      <c r="L1014" s="122">
        <v>0</v>
      </c>
      <c r="M1014" s="122">
        <f t="shared" si="305"/>
        <v>0</v>
      </c>
      <c r="N1014" s="122">
        <f t="shared" si="306"/>
        <v>0</v>
      </c>
      <c r="O1014" s="122"/>
      <c r="P1014" s="122">
        <v>0</v>
      </c>
      <c r="Q1014" s="122">
        <f t="shared" si="296"/>
        <v>0</v>
      </c>
      <c r="R1014" s="147">
        <f t="shared" si="297"/>
        <v>0</v>
      </c>
      <c r="S1014" s="145">
        <v>15</v>
      </c>
      <c r="T1014" s="144" t="s">
        <v>1161</v>
      </c>
      <c r="U1014" s="90">
        <f>SUMIF('Avoided Costs 2009-2017'!$A:$A,Actuals!T1014&amp;Actuals!S1014,'Avoided Costs 2009-2017'!$E:$E)*J1014</f>
        <v>1276999.0853179784</v>
      </c>
      <c r="V1014" s="90">
        <f>SUMIF('Avoided Costs 2009-2017'!$A:$A,Actuals!T1014&amp;Actuals!S1014,'Avoided Costs 2009-2017'!$K:$K)*N1014</f>
        <v>0</v>
      </c>
      <c r="W1014" s="90">
        <f>SUMIF('Avoided Costs 2009-2017'!$A:$A,Actuals!T1014&amp;Actuals!S1014,'Avoided Costs 2009-2017'!$M:$M)*R1014</f>
        <v>0</v>
      </c>
      <c r="X1014" s="90">
        <f t="shared" si="298"/>
        <v>1276999.0853179784</v>
      </c>
      <c r="Y1014" s="148">
        <v>0</v>
      </c>
      <c r="Z1014" s="149">
        <f t="shared" si="299"/>
        <v>0</v>
      </c>
      <c r="AA1014" s="148"/>
      <c r="AB1014" s="145"/>
      <c r="AC1014" s="145"/>
      <c r="AD1014" s="148">
        <f t="shared" si="307"/>
        <v>0</v>
      </c>
      <c r="AE1014" s="122">
        <f t="shared" si="308"/>
        <v>1276999.0853179784</v>
      </c>
      <c r="AF1014" s="167">
        <f t="shared" si="302"/>
        <v>6147791.3249999993</v>
      </c>
    </row>
    <row r="1015" spans="1:32" s="150" customFormat="1" x14ac:dyDescent="0.2">
      <c r="A1015" s="144" t="s">
        <v>414</v>
      </c>
      <c r="B1015" s="144"/>
      <c r="C1015" s="144"/>
      <c r="D1015" s="145">
        <v>1</v>
      </c>
      <c r="E1015" s="122"/>
      <c r="F1015" s="146">
        <v>0.5</v>
      </c>
      <c r="G1015" s="146"/>
      <c r="H1015" s="122">
        <v>163200</v>
      </c>
      <c r="I1015" s="122">
        <f t="shared" si="303"/>
        <v>168912</v>
      </c>
      <c r="J1015" s="147">
        <f t="shared" si="304"/>
        <v>84456</v>
      </c>
      <c r="K1015" s="122"/>
      <c r="L1015" s="122">
        <v>0</v>
      </c>
      <c r="M1015" s="122">
        <f t="shared" si="305"/>
        <v>0</v>
      </c>
      <c r="N1015" s="122">
        <f t="shared" si="306"/>
        <v>0</v>
      </c>
      <c r="O1015" s="122"/>
      <c r="P1015" s="122">
        <v>0</v>
      </c>
      <c r="Q1015" s="122">
        <f t="shared" si="296"/>
        <v>0</v>
      </c>
      <c r="R1015" s="147">
        <f t="shared" si="297"/>
        <v>0</v>
      </c>
      <c r="S1015" s="145">
        <v>15</v>
      </c>
      <c r="T1015" s="144" t="s">
        <v>1161</v>
      </c>
      <c r="U1015" s="90">
        <f>SUMIF('Avoided Costs 2009-2017'!$A:$A,Actuals!T1015&amp;Actuals!S1015,'Avoided Costs 2009-2017'!$E:$E)*J1015</f>
        <v>263143.85699228785</v>
      </c>
      <c r="V1015" s="90">
        <f>SUMIF('Avoided Costs 2009-2017'!$A:$A,Actuals!T1015&amp;Actuals!S1015,'Avoided Costs 2009-2017'!$K:$K)*N1015</f>
        <v>0</v>
      </c>
      <c r="W1015" s="90">
        <f>SUMIF('Avoided Costs 2009-2017'!$A:$A,Actuals!T1015&amp;Actuals!S1015,'Avoided Costs 2009-2017'!$M:$M)*R1015</f>
        <v>0</v>
      </c>
      <c r="X1015" s="90">
        <f t="shared" si="298"/>
        <v>263143.85699228785</v>
      </c>
      <c r="Y1015" s="148">
        <v>0</v>
      </c>
      <c r="Z1015" s="149">
        <f t="shared" si="299"/>
        <v>0</v>
      </c>
      <c r="AA1015" s="148"/>
      <c r="AB1015" s="145"/>
      <c r="AC1015" s="145"/>
      <c r="AD1015" s="148">
        <f t="shared" si="307"/>
        <v>0</v>
      </c>
      <c r="AE1015" s="122">
        <f t="shared" si="308"/>
        <v>263143.85699228785</v>
      </c>
      <c r="AF1015" s="167">
        <f t="shared" si="302"/>
        <v>1266840</v>
      </c>
    </row>
    <row r="1016" spans="1:32" s="150" customFormat="1" x14ac:dyDescent="0.2">
      <c r="A1016" s="144" t="s">
        <v>415</v>
      </c>
      <c r="B1016" s="144"/>
      <c r="C1016" s="144"/>
      <c r="D1016" s="145">
        <v>1</v>
      </c>
      <c r="E1016" s="122"/>
      <c r="F1016" s="146">
        <v>0.5</v>
      </c>
      <c r="G1016" s="146"/>
      <c r="H1016" s="122">
        <v>72769</v>
      </c>
      <c r="I1016" s="122">
        <f t="shared" si="303"/>
        <v>75315.914999999994</v>
      </c>
      <c r="J1016" s="147">
        <f t="shared" si="304"/>
        <v>37657.957499999997</v>
      </c>
      <c r="K1016" s="122"/>
      <c r="L1016" s="122">
        <v>0</v>
      </c>
      <c r="M1016" s="122">
        <f t="shared" si="305"/>
        <v>0</v>
      </c>
      <c r="N1016" s="122">
        <f t="shared" si="306"/>
        <v>0</v>
      </c>
      <c r="O1016" s="122"/>
      <c r="P1016" s="122">
        <v>927</v>
      </c>
      <c r="Q1016" s="122">
        <f t="shared" si="296"/>
        <v>1383.0840000000001</v>
      </c>
      <c r="R1016" s="147">
        <f t="shared" si="297"/>
        <v>691.54200000000003</v>
      </c>
      <c r="S1016" s="145">
        <v>15</v>
      </c>
      <c r="T1016" s="144" t="s">
        <v>1161</v>
      </c>
      <c r="U1016" s="90">
        <f>SUMIF('Avoided Costs 2009-2017'!$A:$A,Actuals!T1016&amp;Actuals!S1016,'Avoided Costs 2009-2017'!$E:$E)*J1016</f>
        <v>117332.81451882227</v>
      </c>
      <c r="V1016" s="90">
        <f>SUMIF('Avoided Costs 2009-2017'!$A:$A,Actuals!T1016&amp;Actuals!S1016,'Avoided Costs 2009-2017'!$K:$K)*N1016</f>
        <v>0</v>
      </c>
      <c r="W1016" s="90">
        <f>SUMIF('Avoided Costs 2009-2017'!$A:$A,Actuals!T1016&amp;Actuals!S1016,'Avoided Costs 2009-2017'!$M:$M)*R1016</f>
        <v>8983.9667199446048</v>
      </c>
      <c r="X1016" s="90">
        <f t="shared" si="298"/>
        <v>126316.78123876688</v>
      </c>
      <c r="Y1016" s="148">
        <v>24008</v>
      </c>
      <c r="Z1016" s="149">
        <f t="shared" si="299"/>
        <v>12004</v>
      </c>
      <c r="AA1016" s="148"/>
      <c r="AB1016" s="145"/>
      <c r="AC1016" s="145"/>
      <c r="AD1016" s="148">
        <f t="shared" si="307"/>
        <v>12004</v>
      </c>
      <c r="AE1016" s="122">
        <f t="shared" si="308"/>
        <v>114312.78123876688</v>
      </c>
      <c r="AF1016" s="167">
        <f t="shared" si="302"/>
        <v>564869.36249999993</v>
      </c>
    </row>
    <row r="1017" spans="1:32" s="150" customFormat="1" x14ac:dyDescent="0.2">
      <c r="A1017" s="144" t="s">
        <v>416</v>
      </c>
      <c r="B1017" s="144"/>
      <c r="C1017" s="144"/>
      <c r="D1017" s="145">
        <v>1</v>
      </c>
      <c r="E1017" s="122"/>
      <c r="F1017" s="146">
        <v>0.5</v>
      </c>
      <c r="G1017" s="146"/>
      <c r="H1017" s="122">
        <v>218814</v>
      </c>
      <c r="I1017" s="122">
        <f t="shared" si="303"/>
        <v>226472.49</v>
      </c>
      <c r="J1017" s="147">
        <f t="shared" si="304"/>
        <v>113236.245</v>
      </c>
      <c r="K1017" s="122"/>
      <c r="L1017" s="122">
        <v>0</v>
      </c>
      <c r="M1017" s="122">
        <f t="shared" si="305"/>
        <v>0</v>
      </c>
      <c r="N1017" s="122">
        <f t="shared" si="306"/>
        <v>0</v>
      </c>
      <c r="O1017" s="122"/>
      <c r="P1017" s="122">
        <v>0</v>
      </c>
      <c r="Q1017" s="122">
        <f t="shared" si="296"/>
        <v>0</v>
      </c>
      <c r="R1017" s="147">
        <f t="shared" si="297"/>
        <v>0</v>
      </c>
      <c r="S1017" s="145">
        <v>15</v>
      </c>
      <c r="T1017" s="144" t="s">
        <v>1161</v>
      </c>
      <c r="U1017" s="90">
        <f>SUMIF('Avoided Costs 2009-2017'!$A:$A,Actuals!T1017&amp;Actuals!S1017,'Avoided Costs 2009-2017'!$E:$E)*J1017</f>
        <v>352815.93090631417</v>
      </c>
      <c r="V1017" s="90">
        <f>SUMIF('Avoided Costs 2009-2017'!$A:$A,Actuals!T1017&amp;Actuals!S1017,'Avoided Costs 2009-2017'!$K:$K)*N1017</f>
        <v>0</v>
      </c>
      <c r="W1017" s="90">
        <f>SUMIF('Avoided Costs 2009-2017'!$A:$A,Actuals!T1017&amp;Actuals!S1017,'Avoided Costs 2009-2017'!$M:$M)*R1017</f>
        <v>0</v>
      </c>
      <c r="X1017" s="90">
        <f t="shared" si="298"/>
        <v>352815.93090631417</v>
      </c>
      <c r="Y1017" s="148">
        <v>21675</v>
      </c>
      <c r="Z1017" s="149">
        <f t="shared" si="299"/>
        <v>10837.5</v>
      </c>
      <c r="AA1017" s="148"/>
      <c r="AB1017" s="145"/>
      <c r="AC1017" s="145"/>
      <c r="AD1017" s="148">
        <f t="shared" si="307"/>
        <v>10837.5</v>
      </c>
      <c r="AE1017" s="122">
        <f t="shared" si="308"/>
        <v>341978.43090631417</v>
      </c>
      <c r="AF1017" s="167">
        <f t="shared" si="302"/>
        <v>1698543.6749999998</v>
      </c>
    </row>
    <row r="1018" spans="1:32" s="150" customFormat="1" x14ac:dyDescent="0.2">
      <c r="A1018" s="144" t="s">
        <v>417</v>
      </c>
      <c r="B1018" s="144"/>
      <c r="C1018" s="144"/>
      <c r="D1018" s="145">
        <v>1</v>
      </c>
      <c r="E1018" s="122"/>
      <c r="F1018" s="146">
        <v>0.5</v>
      </c>
      <c r="G1018" s="146"/>
      <c r="H1018" s="122">
        <v>710711</v>
      </c>
      <c r="I1018" s="122">
        <f t="shared" si="303"/>
        <v>735585.88499999989</v>
      </c>
      <c r="J1018" s="147">
        <f t="shared" si="304"/>
        <v>367792.94249999995</v>
      </c>
      <c r="K1018" s="122"/>
      <c r="L1018" s="122">
        <v>91476</v>
      </c>
      <c r="M1018" s="122">
        <f t="shared" si="305"/>
        <v>87085.152000000002</v>
      </c>
      <c r="N1018" s="122">
        <f t="shared" si="306"/>
        <v>43542.576000000001</v>
      </c>
      <c r="O1018" s="122"/>
      <c r="P1018" s="122">
        <v>0</v>
      </c>
      <c r="Q1018" s="122">
        <f t="shared" si="296"/>
        <v>0</v>
      </c>
      <c r="R1018" s="147">
        <f t="shared" si="297"/>
        <v>0</v>
      </c>
      <c r="S1018" s="145">
        <v>20</v>
      </c>
      <c r="T1018" s="144" t="s">
        <v>1161</v>
      </c>
      <c r="U1018" s="90">
        <f>SUMIF('Avoided Costs 2009-2017'!$A:$A,Actuals!T1018&amp;Actuals!S1018,'Avoided Costs 2009-2017'!$E:$E)*J1018</f>
        <v>1327725.7336371366</v>
      </c>
      <c r="V1018" s="90">
        <f>SUMIF('Avoided Costs 2009-2017'!$A:$A,Actuals!T1018&amp;Actuals!S1018,'Avoided Costs 2009-2017'!$K:$K)*N1018</f>
        <v>37830.193383164318</v>
      </c>
      <c r="W1018" s="90">
        <f>SUMIF('Avoided Costs 2009-2017'!$A:$A,Actuals!T1018&amp;Actuals!S1018,'Avoided Costs 2009-2017'!$M:$M)*R1018</f>
        <v>0</v>
      </c>
      <c r="X1018" s="90">
        <f t="shared" si="298"/>
        <v>1365555.9270203009</v>
      </c>
      <c r="Y1018" s="148">
        <v>530000</v>
      </c>
      <c r="Z1018" s="149">
        <f t="shared" si="299"/>
        <v>265000</v>
      </c>
      <c r="AA1018" s="148"/>
      <c r="AB1018" s="145"/>
      <c r="AC1018" s="145"/>
      <c r="AD1018" s="148">
        <f t="shared" si="307"/>
        <v>265000</v>
      </c>
      <c r="AE1018" s="122">
        <f t="shared" si="308"/>
        <v>1100555.9270203009</v>
      </c>
      <c r="AF1018" s="167">
        <f t="shared" si="302"/>
        <v>7355858.8499999987</v>
      </c>
    </row>
    <row r="1019" spans="1:32" s="150" customFormat="1" x14ac:dyDescent="0.2">
      <c r="A1019" s="144" t="s">
        <v>418</v>
      </c>
      <c r="B1019" s="144"/>
      <c r="C1019" s="144"/>
      <c r="D1019" s="145">
        <v>1</v>
      </c>
      <c r="E1019" s="122"/>
      <c r="F1019" s="146">
        <v>0.5</v>
      </c>
      <c r="G1019" s="146"/>
      <c r="H1019" s="122">
        <v>128662</v>
      </c>
      <c r="I1019" s="122">
        <f t="shared" si="303"/>
        <v>133165.16999999998</v>
      </c>
      <c r="J1019" s="147">
        <f t="shared" si="304"/>
        <v>66582.584999999992</v>
      </c>
      <c r="K1019" s="122"/>
      <c r="L1019" s="122">
        <v>0</v>
      </c>
      <c r="M1019" s="122">
        <f t="shared" si="305"/>
        <v>0</v>
      </c>
      <c r="N1019" s="122">
        <f t="shared" si="306"/>
        <v>0</v>
      </c>
      <c r="O1019" s="122"/>
      <c r="P1019" s="122">
        <v>0</v>
      </c>
      <c r="Q1019" s="122">
        <f t="shared" si="296"/>
        <v>0</v>
      </c>
      <c r="R1019" s="147">
        <f t="shared" si="297"/>
        <v>0</v>
      </c>
      <c r="S1019" s="145">
        <v>18</v>
      </c>
      <c r="T1019" s="144" t="s">
        <v>1161</v>
      </c>
      <c r="U1019" s="90">
        <f>SUMIF('Avoided Costs 2009-2017'!$A:$A,Actuals!T1019&amp;Actuals!S1019,'Avoided Costs 2009-2017'!$E:$E)*J1019</f>
        <v>228516.8495965169</v>
      </c>
      <c r="V1019" s="90">
        <f>SUMIF('Avoided Costs 2009-2017'!$A:$A,Actuals!T1019&amp;Actuals!S1019,'Avoided Costs 2009-2017'!$K:$K)*N1019</f>
        <v>0</v>
      </c>
      <c r="W1019" s="90">
        <f>SUMIF('Avoided Costs 2009-2017'!$A:$A,Actuals!T1019&amp;Actuals!S1019,'Avoided Costs 2009-2017'!$M:$M)*R1019</f>
        <v>0</v>
      </c>
      <c r="X1019" s="90">
        <f t="shared" si="298"/>
        <v>228516.8495965169</v>
      </c>
      <c r="Y1019" s="148">
        <v>218650</v>
      </c>
      <c r="Z1019" s="149">
        <f t="shared" si="299"/>
        <v>109325</v>
      </c>
      <c r="AA1019" s="148"/>
      <c r="AB1019" s="145"/>
      <c r="AC1019" s="145"/>
      <c r="AD1019" s="148">
        <f t="shared" si="307"/>
        <v>109325</v>
      </c>
      <c r="AE1019" s="122">
        <f t="shared" si="308"/>
        <v>119191.8495965169</v>
      </c>
      <c r="AF1019" s="167">
        <f t="shared" si="302"/>
        <v>1198486.5299999998</v>
      </c>
    </row>
    <row r="1020" spans="1:32" s="150" customFormat="1" x14ac:dyDescent="0.2">
      <c r="A1020" s="144" t="s">
        <v>419</v>
      </c>
      <c r="B1020" s="144"/>
      <c r="C1020" s="144"/>
      <c r="D1020" s="145">
        <v>1</v>
      </c>
      <c r="E1020" s="122"/>
      <c r="F1020" s="146">
        <v>0.5</v>
      </c>
      <c r="G1020" s="146"/>
      <c r="H1020" s="122">
        <v>103490</v>
      </c>
      <c r="I1020" s="122">
        <f t="shared" si="303"/>
        <v>107112.15</v>
      </c>
      <c r="J1020" s="147">
        <f t="shared" si="304"/>
        <v>53556.074999999997</v>
      </c>
      <c r="K1020" s="122"/>
      <c r="L1020" s="122">
        <v>0</v>
      </c>
      <c r="M1020" s="122">
        <f t="shared" si="305"/>
        <v>0</v>
      </c>
      <c r="N1020" s="122">
        <f t="shared" si="306"/>
        <v>0</v>
      </c>
      <c r="O1020" s="122"/>
      <c r="P1020" s="122">
        <v>0</v>
      </c>
      <c r="Q1020" s="122">
        <f t="shared" si="296"/>
        <v>0</v>
      </c>
      <c r="R1020" s="147">
        <f t="shared" si="297"/>
        <v>0</v>
      </c>
      <c r="S1020" s="145">
        <v>20</v>
      </c>
      <c r="T1020" s="144" t="s">
        <v>1161</v>
      </c>
      <c r="U1020" s="90">
        <f>SUMIF('Avoided Costs 2009-2017'!$A:$A,Actuals!T1020&amp;Actuals!S1020,'Avoided Costs 2009-2017'!$E:$E)*J1020</f>
        <v>193336.44220239628</v>
      </c>
      <c r="V1020" s="90">
        <f>SUMIF('Avoided Costs 2009-2017'!$A:$A,Actuals!T1020&amp;Actuals!S1020,'Avoided Costs 2009-2017'!$K:$K)*N1020</f>
        <v>0</v>
      </c>
      <c r="W1020" s="90">
        <f>SUMIF('Avoided Costs 2009-2017'!$A:$A,Actuals!T1020&amp;Actuals!S1020,'Avoided Costs 2009-2017'!$M:$M)*R1020</f>
        <v>0</v>
      </c>
      <c r="X1020" s="90">
        <f t="shared" si="298"/>
        <v>193336.44220239628</v>
      </c>
      <c r="Y1020" s="148">
        <v>121445</v>
      </c>
      <c r="Z1020" s="149">
        <f t="shared" si="299"/>
        <v>60722.5</v>
      </c>
      <c r="AA1020" s="148"/>
      <c r="AB1020" s="145"/>
      <c r="AC1020" s="145"/>
      <c r="AD1020" s="148">
        <f t="shared" si="307"/>
        <v>60722.5</v>
      </c>
      <c r="AE1020" s="122">
        <f t="shared" si="308"/>
        <v>132613.94220239628</v>
      </c>
      <c r="AF1020" s="167">
        <f t="shared" si="302"/>
        <v>1071121.5</v>
      </c>
    </row>
    <row r="1021" spans="1:32" s="150" customFormat="1" x14ac:dyDescent="0.2">
      <c r="A1021" s="144" t="s">
        <v>420</v>
      </c>
      <c r="B1021" s="144"/>
      <c r="C1021" s="144"/>
      <c r="D1021" s="145">
        <v>1</v>
      </c>
      <c r="E1021" s="122"/>
      <c r="F1021" s="146">
        <v>0.5</v>
      </c>
      <c r="G1021" s="146"/>
      <c r="H1021" s="122">
        <v>23732</v>
      </c>
      <c r="I1021" s="122">
        <f t="shared" si="303"/>
        <v>24562.62</v>
      </c>
      <c r="J1021" s="147">
        <f t="shared" si="304"/>
        <v>12281.31</v>
      </c>
      <c r="K1021" s="122"/>
      <c r="L1021" s="122">
        <v>0</v>
      </c>
      <c r="M1021" s="122">
        <f t="shared" si="305"/>
        <v>0</v>
      </c>
      <c r="N1021" s="122">
        <f t="shared" si="306"/>
        <v>0</v>
      </c>
      <c r="O1021" s="122"/>
      <c r="P1021" s="122">
        <v>0</v>
      </c>
      <c r="Q1021" s="122">
        <f t="shared" si="296"/>
        <v>0</v>
      </c>
      <c r="R1021" s="147">
        <f t="shared" si="297"/>
        <v>0</v>
      </c>
      <c r="S1021" s="145">
        <v>13</v>
      </c>
      <c r="T1021" s="144" t="s">
        <v>1161</v>
      </c>
      <c r="U1021" s="90">
        <f>SUMIF('Avoided Costs 2009-2017'!$A:$A,Actuals!T1021&amp;Actuals!S1021,'Avoided Costs 2009-2017'!$E:$E)*J1021</f>
        <v>35201.14138653376</v>
      </c>
      <c r="V1021" s="90">
        <f>SUMIF('Avoided Costs 2009-2017'!$A:$A,Actuals!T1021&amp;Actuals!S1021,'Avoided Costs 2009-2017'!$K:$K)*N1021</f>
        <v>0</v>
      </c>
      <c r="W1021" s="90">
        <f>SUMIF('Avoided Costs 2009-2017'!$A:$A,Actuals!T1021&amp;Actuals!S1021,'Avoided Costs 2009-2017'!$M:$M)*R1021</f>
        <v>0</v>
      </c>
      <c r="X1021" s="90">
        <f t="shared" si="298"/>
        <v>35201.14138653376</v>
      </c>
      <c r="Y1021" s="148">
        <v>4375</v>
      </c>
      <c r="Z1021" s="149">
        <f t="shared" si="299"/>
        <v>2187.5</v>
      </c>
      <c r="AA1021" s="148"/>
      <c r="AB1021" s="145"/>
      <c r="AC1021" s="145"/>
      <c r="AD1021" s="148">
        <f t="shared" si="307"/>
        <v>2187.5</v>
      </c>
      <c r="AE1021" s="122">
        <f t="shared" si="308"/>
        <v>33013.64138653376</v>
      </c>
      <c r="AF1021" s="167">
        <f t="shared" si="302"/>
        <v>159657.03</v>
      </c>
    </row>
    <row r="1022" spans="1:32" s="150" customFormat="1" x14ac:dyDescent="0.2">
      <c r="A1022" s="144" t="s">
        <v>421</v>
      </c>
      <c r="B1022" s="144"/>
      <c r="C1022" s="144"/>
      <c r="D1022" s="145">
        <v>1</v>
      </c>
      <c r="E1022" s="122"/>
      <c r="F1022" s="146">
        <v>0.5</v>
      </c>
      <c r="G1022" s="146"/>
      <c r="H1022" s="122">
        <v>60316</v>
      </c>
      <c r="I1022" s="122">
        <f>+H1022</f>
        <v>60316</v>
      </c>
      <c r="J1022" s="147">
        <f t="shared" si="304"/>
        <v>30158</v>
      </c>
      <c r="K1022" s="122"/>
      <c r="L1022" s="122">
        <v>0</v>
      </c>
      <c r="M1022" s="122">
        <f t="shared" si="305"/>
        <v>0</v>
      </c>
      <c r="N1022" s="122">
        <f t="shared" si="306"/>
        <v>0</v>
      </c>
      <c r="O1022" s="122"/>
      <c r="P1022" s="122">
        <v>2606</v>
      </c>
      <c r="Q1022" s="122">
        <f>+P1022</f>
        <v>2606</v>
      </c>
      <c r="R1022" s="147">
        <f t="shared" si="297"/>
        <v>1303</v>
      </c>
      <c r="S1022" s="145">
        <v>15</v>
      </c>
      <c r="T1022" s="144" t="s">
        <v>1161</v>
      </c>
      <c r="U1022" s="90">
        <f>SUMIF('Avoided Costs 2009-2017'!$A:$A,Actuals!T1022&amp;Actuals!S1022,'Avoided Costs 2009-2017'!$E:$E)*J1022</f>
        <v>93964.815278647075</v>
      </c>
      <c r="V1022" s="90">
        <f>SUMIF('Avoided Costs 2009-2017'!$A:$A,Actuals!T1022&amp;Actuals!S1022,'Avoided Costs 2009-2017'!$K:$K)*N1022</f>
        <v>0</v>
      </c>
      <c r="W1022" s="90">
        <f>SUMIF('Avoided Costs 2009-2017'!$A:$A,Actuals!T1022&amp;Actuals!S1022,'Avoided Costs 2009-2017'!$M:$M)*R1022</f>
        <v>16927.545450728689</v>
      </c>
      <c r="X1022" s="90">
        <f t="shared" si="298"/>
        <v>110892.36072937577</v>
      </c>
      <c r="Y1022" s="148">
        <v>42844</v>
      </c>
      <c r="Z1022" s="149">
        <f t="shared" si="299"/>
        <v>21422</v>
      </c>
      <c r="AA1022" s="148"/>
      <c r="AB1022" s="145"/>
      <c r="AC1022" s="145"/>
      <c r="AD1022" s="148">
        <f t="shared" si="307"/>
        <v>21422</v>
      </c>
      <c r="AE1022" s="122">
        <f t="shared" si="308"/>
        <v>89470.360729375767</v>
      </c>
      <c r="AF1022" s="167">
        <f t="shared" si="302"/>
        <v>452370</v>
      </c>
    </row>
    <row r="1023" spans="1:32" s="150" customFormat="1" x14ac:dyDescent="0.2">
      <c r="A1023" s="144" t="s">
        <v>422</v>
      </c>
      <c r="B1023" s="144"/>
      <c r="C1023" s="144"/>
      <c r="D1023" s="145">
        <v>1</v>
      </c>
      <c r="E1023" s="122"/>
      <c r="F1023" s="146">
        <v>0.5</v>
      </c>
      <c r="G1023" s="146"/>
      <c r="H1023" s="122">
        <v>284457</v>
      </c>
      <c r="I1023" s="122">
        <f t="shared" si="303"/>
        <v>294412.995</v>
      </c>
      <c r="J1023" s="147">
        <f t="shared" si="304"/>
        <v>147206.4975</v>
      </c>
      <c r="K1023" s="122"/>
      <c r="L1023" s="122">
        <v>0</v>
      </c>
      <c r="M1023" s="122">
        <f t="shared" si="305"/>
        <v>0</v>
      </c>
      <c r="N1023" s="122">
        <f t="shared" si="306"/>
        <v>0</v>
      </c>
      <c r="O1023" s="122"/>
      <c r="P1023" s="122">
        <v>0</v>
      </c>
      <c r="Q1023" s="122">
        <f t="shared" si="296"/>
        <v>0</v>
      </c>
      <c r="R1023" s="147">
        <f t="shared" si="297"/>
        <v>0</v>
      </c>
      <c r="S1023" s="145">
        <v>15</v>
      </c>
      <c r="T1023" s="144" t="s">
        <v>1161</v>
      </c>
      <c r="U1023" s="90">
        <f>SUMIF('Avoided Costs 2009-2017'!$A:$A,Actuals!T1023&amp;Actuals!S1023,'Avoided Costs 2009-2017'!$E:$E)*J1023</f>
        <v>458658.77529690706</v>
      </c>
      <c r="V1023" s="90">
        <f>SUMIF('Avoided Costs 2009-2017'!$A:$A,Actuals!T1023&amp;Actuals!S1023,'Avoided Costs 2009-2017'!$K:$K)*N1023</f>
        <v>0</v>
      </c>
      <c r="W1023" s="90">
        <f>SUMIF('Avoided Costs 2009-2017'!$A:$A,Actuals!T1023&amp;Actuals!S1023,'Avoided Costs 2009-2017'!$M:$M)*R1023</f>
        <v>0</v>
      </c>
      <c r="X1023" s="90">
        <f t="shared" si="298"/>
        <v>458658.77529690706</v>
      </c>
      <c r="Y1023" s="148">
        <v>414000</v>
      </c>
      <c r="Z1023" s="149">
        <f t="shared" si="299"/>
        <v>207000</v>
      </c>
      <c r="AA1023" s="148"/>
      <c r="AB1023" s="145"/>
      <c r="AC1023" s="145"/>
      <c r="AD1023" s="148">
        <f t="shared" si="307"/>
        <v>207000</v>
      </c>
      <c r="AE1023" s="122">
        <f t="shared" si="308"/>
        <v>251658.77529690706</v>
      </c>
      <c r="AF1023" s="167">
        <f t="shared" si="302"/>
        <v>2208097.4624999999</v>
      </c>
    </row>
    <row r="1024" spans="1:32" s="150" customFormat="1" x14ac:dyDescent="0.2">
      <c r="A1024" s="144" t="s">
        <v>423</v>
      </c>
      <c r="B1024" s="144"/>
      <c r="C1024" s="144"/>
      <c r="D1024" s="145">
        <v>1</v>
      </c>
      <c r="E1024" s="122"/>
      <c r="F1024" s="146">
        <v>0.5</v>
      </c>
      <c r="G1024" s="146"/>
      <c r="H1024" s="122">
        <v>206961</v>
      </c>
      <c r="I1024" s="122">
        <f t="shared" si="303"/>
        <v>214204.63499999998</v>
      </c>
      <c r="J1024" s="147">
        <f t="shared" si="304"/>
        <v>107102.31749999999</v>
      </c>
      <c r="K1024" s="122"/>
      <c r="L1024" s="122">
        <v>0</v>
      </c>
      <c r="M1024" s="122">
        <f t="shared" si="305"/>
        <v>0</v>
      </c>
      <c r="N1024" s="122">
        <f t="shared" si="306"/>
        <v>0</v>
      </c>
      <c r="O1024" s="122"/>
      <c r="P1024" s="122">
        <v>0</v>
      </c>
      <c r="Q1024" s="122">
        <f t="shared" si="296"/>
        <v>0</v>
      </c>
      <c r="R1024" s="147">
        <f t="shared" si="297"/>
        <v>0</v>
      </c>
      <c r="S1024" s="145">
        <v>13</v>
      </c>
      <c r="T1024" s="144" t="s">
        <v>1161</v>
      </c>
      <c r="U1024" s="90">
        <f>SUMIF('Avoided Costs 2009-2017'!$A:$A,Actuals!T1024&amp;Actuals!S1024,'Avoided Costs 2009-2017'!$E:$E)*J1024</f>
        <v>306980.59255429008</v>
      </c>
      <c r="V1024" s="90">
        <f>SUMIF('Avoided Costs 2009-2017'!$A:$A,Actuals!T1024&amp;Actuals!S1024,'Avoided Costs 2009-2017'!$K:$K)*N1024</f>
        <v>0</v>
      </c>
      <c r="W1024" s="90">
        <f>SUMIF('Avoided Costs 2009-2017'!$A:$A,Actuals!T1024&amp;Actuals!S1024,'Avoided Costs 2009-2017'!$M:$M)*R1024</f>
        <v>0</v>
      </c>
      <c r="X1024" s="90">
        <f t="shared" si="298"/>
        <v>306980.59255429008</v>
      </c>
      <c r="Y1024" s="148">
        <v>3294</v>
      </c>
      <c r="Z1024" s="149">
        <f t="shared" si="299"/>
        <v>1647</v>
      </c>
      <c r="AA1024" s="148"/>
      <c r="AB1024" s="145"/>
      <c r="AC1024" s="145"/>
      <c r="AD1024" s="148">
        <f t="shared" si="307"/>
        <v>1647</v>
      </c>
      <c r="AE1024" s="122">
        <f t="shared" si="308"/>
        <v>305333.59255429008</v>
      </c>
      <c r="AF1024" s="167">
        <f t="shared" si="302"/>
        <v>1392330.1274999999</v>
      </c>
    </row>
    <row r="1025" spans="1:32" s="150" customFormat="1" x14ac:dyDescent="0.2">
      <c r="A1025" s="144" t="s">
        <v>424</v>
      </c>
      <c r="B1025" s="144"/>
      <c r="C1025" s="144"/>
      <c r="D1025" s="145">
        <v>0</v>
      </c>
      <c r="E1025" s="122"/>
      <c r="F1025" s="146">
        <v>0.5</v>
      </c>
      <c r="G1025" s="146"/>
      <c r="H1025" s="122">
        <v>47918</v>
      </c>
      <c r="I1025" s="122">
        <f t="shared" si="303"/>
        <v>49595.13</v>
      </c>
      <c r="J1025" s="147">
        <f t="shared" si="304"/>
        <v>24797.564999999999</v>
      </c>
      <c r="K1025" s="122"/>
      <c r="L1025" s="122">
        <v>0</v>
      </c>
      <c r="M1025" s="122">
        <f t="shared" si="305"/>
        <v>0</v>
      </c>
      <c r="N1025" s="122">
        <f t="shared" si="306"/>
        <v>0</v>
      </c>
      <c r="O1025" s="122"/>
      <c r="P1025" s="122">
        <v>0</v>
      </c>
      <c r="Q1025" s="122">
        <f t="shared" si="296"/>
        <v>0</v>
      </c>
      <c r="R1025" s="147">
        <f t="shared" si="297"/>
        <v>0</v>
      </c>
      <c r="S1025" s="145">
        <v>15</v>
      </c>
      <c r="T1025" s="144" t="s">
        <v>1161</v>
      </c>
      <c r="U1025" s="90">
        <f>SUMIF('Avoided Costs 2009-2017'!$A:$A,Actuals!T1025&amp;Actuals!S1025,'Avoided Costs 2009-2017'!$E:$E)*J1025</f>
        <v>77263.035167625305</v>
      </c>
      <c r="V1025" s="90">
        <f>SUMIF('Avoided Costs 2009-2017'!$A:$A,Actuals!T1025&amp;Actuals!S1025,'Avoided Costs 2009-2017'!$K:$K)*N1025</f>
        <v>0</v>
      </c>
      <c r="W1025" s="90">
        <f>SUMIF('Avoided Costs 2009-2017'!$A:$A,Actuals!T1025&amp;Actuals!S1025,'Avoided Costs 2009-2017'!$M:$M)*R1025</f>
        <v>0</v>
      </c>
      <c r="X1025" s="90">
        <f t="shared" si="298"/>
        <v>77263.035167625305</v>
      </c>
      <c r="Y1025" s="148">
        <v>7400</v>
      </c>
      <c r="Z1025" s="149">
        <f t="shared" si="299"/>
        <v>3700</v>
      </c>
      <c r="AA1025" s="148"/>
      <c r="AB1025" s="145"/>
      <c r="AC1025" s="145"/>
      <c r="AD1025" s="148">
        <f t="shared" si="307"/>
        <v>3700</v>
      </c>
      <c r="AE1025" s="122">
        <f t="shared" si="308"/>
        <v>73563.035167625305</v>
      </c>
      <c r="AF1025" s="167">
        <f t="shared" si="302"/>
        <v>371963.47499999998</v>
      </c>
    </row>
    <row r="1026" spans="1:32" s="150" customFormat="1" x14ac:dyDescent="0.2">
      <c r="A1026" s="144" t="s">
        <v>425</v>
      </c>
      <c r="B1026" s="144"/>
      <c r="C1026" s="144"/>
      <c r="D1026" s="145">
        <v>1</v>
      </c>
      <c r="E1026" s="122"/>
      <c r="F1026" s="146">
        <v>0.5</v>
      </c>
      <c r="G1026" s="146"/>
      <c r="H1026" s="122">
        <v>9901</v>
      </c>
      <c r="I1026" s="122">
        <f t="shared" si="303"/>
        <v>10247.535</v>
      </c>
      <c r="J1026" s="147">
        <f t="shared" si="304"/>
        <v>5123.7674999999999</v>
      </c>
      <c r="K1026" s="122"/>
      <c r="L1026" s="122">
        <v>-9309</v>
      </c>
      <c r="M1026" s="122">
        <f t="shared" si="305"/>
        <v>-8862.1679999999997</v>
      </c>
      <c r="N1026" s="122">
        <f t="shared" si="306"/>
        <v>-4431.0839999999998</v>
      </c>
      <c r="O1026" s="122"/>
      <c r="P1026" s="122">
        <v>0</v>
      </c>
      <c r="Q1026" s="122">
        <f t="shared" si="296"/>
        <v>0</v>
      </c>
      <c r="R1026" s="147">
        <f t="shared" si="297"/>
        <v>0</v>
      </c>
      <c r="S1026" s="145">
        <v>15</v>
      </c>
      <c r="T1026" s="144" t="s">
        <v>1161</v>
      </c>
      <c r="U1026" s="90">
        <f>SUMIF('Avoided Costs 2009-2017'!$A:$A,Actuals!T1026&amp;Actuals!S1026,'Avoided Costs 2009-2017'!$E:$E)*J1026</f>
        <v>15964.383137749033</v>
      </c>
      <c r="V1026" s="90">
        <f>SUMIF('Avoided Costs 2009-2017'!$A:$A,Actuals!T1026&amp;Actuals!S1026,'Avoided Costs 2009-2017'!$K:$K)*N1026</f>
        <v>-3307.9467828110446</v>
      </c>
      <c r="W1026" s="90">
        <f>SUMIF('Avoided Costs 2009-2017'!$A:$A,Actuals!T1026&amp;Actuals!S1026,'Avoided Costs 2009-2017'!$M:$M)*R1026</f>
        <v>0</v>
      </c>
      <c r="X1026" s="90">
        <f t="shared" si="298"/>
        <v>12656.436354937989</v>
      </c>
      <c r="Y1026" s="148">
        <v>9951</v>
      </c>
      <c r="Z1026" s="149">
        <f t="shared" si="299"/>
        <v>4975.5</v>
      </c>
      <c r="AA1026" s="148"/>
      <c r="AB1026" s="145"/>
      <c r="AC1026" s="145"/>
      <c r="AD1026" s="148">
        <f t="shared" si="307"/>
        <v>4975.5</v>
      </c>
      <c r="AE1026" s="122">
        <f t="shared" si="308"/>
        <v>7680.9363549379887</v>
      </c>
      <c r="AF1026" s="167">
        <f t="shared" si="302"/>
        <v>76856.512499999997</v>
      </c>
    </row>
    <row r="1027" spans="1:32" s="150" customFormat="1" x14ac:dyDescent="0.2">
      <c r="A1027" s="144" t="s">
        <v>426</v>
      </c>
      <c r="B1027" s="144"/>
      <c r="C1027" s="144"/>
      <c r="D1027" s="145">
        <v>0</v>
      </c>
      <c r="E1027" s="122"/>
      <c r="F1027" s="146">
        <v>0.5</v>
      </c>
      <c r="G1027" s="146"/>
      <c r="H1027" s="122">
        <v>11824</v>
      </c>
      <c r="I1027" s="122">
        <f t="shared" si="303"/>
        <v>12237.839999999998</v>
      </c>
      <c r="J1027" s="147">
        <f t="shared" si="304"/>
        <v>6118.9199999999992</v>
      </c>
      <c r="K1027" s="122"/>
      <c r="L1027" s="122">
        <v>0</v>
      </c>
      <c r="M1027" s="122">
        <f t="shared" si="305"/>
        <v>0</v>
      </c>
      <c r="N1027" s="122">
        <f t="shared" si="306"/>
        <v>0</v>
      </c>
      <c r="O1027" s="122"/>
      <c r="P1027" s="122">
        <v>0</v>
      </c>
      <c r="Q1027" s="122">
        <f t="shared" si="296"/>
        <v>0</v>
      </c>
      <c r="R1027" s="147">
        <f t="shared" si="297"/>
        <v>0</v>
      </c>
      <c r="S1027" s="145">
        <v>15</v>
      </c>
      <c r="T1027" s="144" t="s">
        <v>1161</v>
      </c>
      <c r="U1027" s="90">
        <f>SUMIF('Avoided Costs 2009-2017'!$A:$A,Actuals!T1027&amp;Actuals!S1027,'Avoided Costs 2009-2017'!$E:$E)*J1027</f>
        <v>19065.030423264776</v>
      </c>
      <c r="V1027" s="90">
        <f>SUMIF('Avoided Costs 2009-2017'!$A:$A,Actuals!T1027&amp;Actuals!S1027,'Avoided Costs 2009-2017'!$K:$K)*N1027</f>
        <v>0</v>
      </c>
      <c r="W1027" s="90">
        <f>SUMIF('Avoided Costs 2009-2017'!$A:$A,Actuals!T1027&amp;Actuals!S1027,'Avoided Costs 2009-2017'!$M:$M)*R1027</f>
        <v>0</v>
      </c>
      <c r="X1027" s="90">
        <f t="shared" si="298"/>
        <v>19065.030423264776</v>
      </c>
      <c r="Y1027" s="148">
        <v>1782</v>
      </c>
      <c r="Z1027" s="149">
        <f t="shared" si="299"/>
        <v>891</v>
      </c>
      <c r="AA1027" s="148"/>
      <c r="AB1027" s="145"/>
      <c r="AC1027" s="145"/>
      <c r="AD1027" s="148">
        <f t="shared" si="307"/>
        <v>891</v>
      </c>
      <c r="AE1027" s="122">
        <f t="shared" si="308"/>
        <v>18174.030423264776</v>
      </c>
      <c r="AF1027" s="167">
        <f t="shared" si="302"/>
        <v>91783.799999999988</v>
      </c>
    </row>
    <row r="1028" spans="1:32" s="150" customFormat="1" x14ac:dyDescent="0.2">
      <c r="A1028" s="144" t="s">
        <v>427</v>
      </c>
      <c r="B1028" s="144"/>
      <c r="C1028" s="144"/>
      <c r="D1028" s="145">
        <v>0</v>
      </c>
      <c r="E1028" s="122"/>
      <c r="F1028" s="146">
        <v>0.5</v>
      </c>
      <c r="G1028" s="146"/>
      <c r="H1028" s="122">
        <v>248102</v>
      </c>
      <c r="I1028" s="122">
        <f t="shared" si="303"/>
        <v>256785.56999999998</v>
      </c>
      <c r="J1028" s="147">
        <f t="shared" si="304"/>
        <v>128392.78499999999</v>
      </c>
      <c r="K1028" s="122"/>
      <c r="L1028" s="122">
        <v>0</v>
      </c>
      <c r="M1028" s="122">
        <f t="shared" si="305"/>
        <v>0</v>
      </c>
      <c r="N1028" s="122">
        <f t="shared" si="306"/>
        <v>0</v>
      </c>
      <c r="O1028" s="122"/>
      <c r="P1028" s="122">
        <v>0</v>
      </c>
      <c r="Q1028" s="122">
        <f t="shared" si="296"/>
        <v>0</v>
      </c>
      <c r="R1028" s="147">
        <f t="shared" si="297"/>
        <v>0</v>
      </c>
      <c r="S1028" s="145">
        <v>15</v>
      </c>
      <c r="T1028" s="144" t="s">
        <v>1161</v>
      </c>
      <c r="U1028" s="90">
        <f>SUMIF('Avoided Costs 2009-2017'!$A:$A,Actuals!T1028&amp;Actuals!S1028,'Avoided Costs 2009-2017'!$E:$E)*J1028</f>
        <v>400039.93386948894</v>
      </c>
      <c r="V1028" s="90">
        <f>SUMIF('Avoided Costs 2009-2017'!$A:$A,Actuals!T1028&amp;Actuals!S1028,'Avoided Costs 2009-2017'!$K:$K)*N1028</f>
        <v>0</v>
      </c>
      <c r="W1028" s="90">
        <f>SUMIF('Avoided Costs 2009-2017'!$A:$A,Actuals!T1028&amp;Actuals!S1028,'Avoided Costs 2009-2017'!$M:$M)*R1028</f>
        <v>0</v>
      </c>
      <c r="X1028" s="90">
        <f t="shared" si="298"/>
        <v>400039.93386948894</v>
      </c>
      <c r="Y1028" s="148">
        <v>56511</v>
      </c>
      <c r="Z1028" s="149">
        <f t="shared" si="299"/>
        <v>28255.5</v>
      </c>
      <c r="AA1028" s="148"/>
      <c r="AB1028" s="145"/>
      <c r="AC1028" s="145"/>
      <c r="AD1028" s="148">
        <f t="shared" si="307"/>
        <v>28255.5</v>
      </c>
      <c r="AE1028" s="122">
        <f t="shared" si="308"/>
        <v>371784.43386948894</v>
      </c>
      <c r="AF1028" s="167">
        <f t="shared" si="302"/>
        <v>1925891.7749999999</v>
      </c>
    </row>
    <row r="1029" spans="1:32" s="150" customFormat="1" x14ac:dyDescent="0.2">
      <c r="A1029" s="144" t="s">
        <v>428</v>
      </c>
      <c r="B1029" s="144"/>
      <c r="C1029" s="144"/>
      <c r="D1029" s="145">
        <v>1</v>
      </c>
      <c r="E1029" s="122"/>
      <c r="F1029" s="146">
        <v>0.5</v>
      </c>
      <c r="G1029" s="146"/>
      <c r="H1029" s="122">
        <v>53576</v>
      </c>
      <c r="I1029" s="122">
        <f t="shared" si="303"/>
        <v>55451.159999999996</v>
      </c>
      <c r="J1029" s="147">
        <f t="shared" si="304"/>
        <v>27725.579999999998</v>
      </c>
      <c r="K1029" s="122"/>
      <c r="L1029" s="122">
        <v>0</v>
      </c>
      <c r="M1029" s="122">
        <f t="shared" si="305"/>
        <v>0</v>
      </c>
      <c r="N1029" s="122">
        <f t="shared" si="306"/>
        <v>0</v>
      </c>
      <c r="O1029" s="122"/>
      <c r="P1029" s="122">
        <v>0</v>
      </c>
      <c r="Q1029" s="122">
        <f t="shared" si="296"/>
        <v>0</v>
      </c>
      <c r="R1029" s="147">
        <f t="shared" si="297"/>
        <v>0</v>
      </c>
      <c r="S1029" s="145">
        <v>13</v>
      </c>
      <c r="T1029" s="144" t="s">
        <v>1161</v>
      </c>
      <c r="U1029" s="90">
        <f>SUMIF('Avoided Costs 2009-2017'!$A:$A,Actuals!T1029&amp;Actuals!S1029,'Avoided Costs 2009-2017'!$E:$E)*J1029</f>
        <v>79468.074790364597</v>
      </c>
      <c r="V1029" s="90">
        <f>SUMIF('Avoided Costs 2009-2017'!$A:$A,Actuals!T1029&amp;Actuals!S1029,'Avoided Costs 2009-2017'!$K:$K)*N1029</f>
        <v>0</v>
      </c>
      <c r="W1029" s="90">
        <f>SUMIF('Avoided Costs 2009-2017'!$A:$A,Actuals!T1029&amp;Actuals!S1029,'Avoided Costs 2009-2017'!$M:$M)*R1029</f>
        <v>0</v>
      </c>
      <c r="X1029" s="90">
        <f t="shared" si="298"/>
        <v>79468.074790364597</v>
      </c>
      <c r="Y1029" s="148">
        <v>2538</v>
      </c>
      <c r="Z1029" s="149">
        <f t="shared" si="299"/>
        <v>1269</v>
      </c>
      <c r="AA1029" s="148"/>
      <c r="AB1029" s="145"/>
      <c r="AC1029" s="145"/>
      <c r="AD1029" s="148">
        <f t="shared" si="307"/>
        <v>1269</v>
      </c>
      <c r="AE1029" s="122">
        <f t="shared" si="308"/>
        <v>78199.074790364597</v>
      </c>
      <c r="AF1029" s="167">
        <f t="shared" si="302"/>
        <v>360432.54</v>
      </c>
    </row>
    <row r="1030" spans="1:32" s="150" customFormat="1" x14ac:dyDescent="0.2">
      <c r="A1030" s="144" t="s">
        <v>429</v>
      </c>
      <c r="B1030" s="144"/>
      <c r="C1030" s="144"/>
      <c r="D1030" s="145">
        <v>0</v>
      </c>
      <c r="E1030" s="122"/>
      <c r="F1030" s="146">
        <v>0.5</v>
      </c>
      <c r="G1030" s="146"/>
      <c r="H1030" s="122">
        <v>154957</v>
      </c>
      <c r="I1030" s="122">
        <f t="shared" si="303"/>
        <v>160380.495</v>
      </c>
      <c r="J1030" s="147">
        <f t="shared" si="304"/>
        <v>80190.247499999998</v>
      </c>
      <c r="K1030" s="122"/>
      <c r="L1030" s="122">
        <v>228097</v>
      </c>
      <c r="M1030" s="122">
        <f t="shared" si="305"/>
        <v>217148.34399999998</v>
      </c>
      <c r="N1030" s="122">
        <f t="shared" si="306"/>
        <v>108574.17199999999</v>
      </c>
      <c r="O1030" s="122"/>
      <c r="P1030" s="122">
        <v>0</v>
      </c>
      <c r="Q1030" s="122">
        <f t="shared" si="296"/>
        <v>0</v>
      </c>
      <c r="R1030" s="147">
        <f t="shared" si="297"/>
        <v>0</v>
      </c>
      <c r="S1030" s="145">
        <v>15</v>
      </c>
      <c r="T1030" s="144" t="s">
        <v>1161</v>
      </c>
      <c r="U1030" s="90">
        <f>SUMIF('Avoided Costs 2009-2017'!$A:$A,Actuals!T1030&amp;Actuals!S1030,'Avoided Costs 2009-2017'!$E:$E)*J1030</f>
        <v>249852.834852659</v>
      </c>
      <c r="V1030" s="90">
        <f>SUMIF('Avoided Costs 2009-2017'!$A:$A,Actuals!T1030&amp;Actuals!S1030,'Avoided Costs 2009-2017'!$K:$K)*N1030</f>
        <v>81054.11293574507</v>
      </c>
      <c r="W1030" s="90">
        <f>SUMIF('Avoided Costs 2009-2017'!$A:$A,Actuals!T1030&amp;Actuals!S1030,'Avoided Costs 2009-2017'!$M:$M)*R1030</f>
        <v>0</v>
      </c>
      <c r="X1030" s="90">
        <f t="shared" si="298"/>
        <v>330906.94778840407</v>
      </c>
      <c r="Y1030" s="148">
        <v>28460</v>
      </c>
      <c r="Z1030" s="149">
        <f t="shared" si="299"/>
        <v>14230</v>
      </c>
      <c r="AA1030" s="148"/>
      <c r="AB1030" s="145"/>
      <c r="AC1030" s="145"/>
      <c r="AD1030" s="148">
        <f t="shared" si="307"/>
        <v>14230</v>
      </c>
      <c r="AE1030" s="122">
        <f t="shared" si="308"/>
        <v>316676.94778840407</v>
      </c>
      <c r="AF1030" s="167">
        <f t="shared" si="302"/>
        <v>1202853.7124999999</v>
      </c>
    </row>
    <row r="1031" spans="1:32" s="150" customFormat="1" x14ac:dyDescent="0.2">
      <c r="A1031" s="144" t="s">
        <v>430</v>
      </c>
      <c r="B1031" s="144"/>
      <c r="C1031" s="144"/>
      <c r="D1031" s="145">
        <v>0</v>
      </c>
      <c r="E1031" s="122"/>
      <c r="F1031" s="146">
        <v>0.5</v>
      </c>
      <c r="G1031" s="146"/>
      <c r="H1031" s="122">
        <v>12548</v>
      </c>
      <c r="I1031" s="122">
        <f t="shared" si="303"/>
        <v>12987.179999999998</v>
      </c>
      <c r="J1031" s="147">
        <f t="shared" si="304"/>
        <v>6493.5899999999992</v>
      </c>
      <c r="K1031" s="122"/>
      <c r="L1031" s="122">
        <v>0</v>
      </c>
      <c r="M1031" s="122">
        <f t="shared" si="305"/>
        <v>0</v>
      </c>
      <c r="N1031" s="122">
        <f t="shared" si="306"/>
        <v>0</v>
      </c>
      <c r="O1031" s="122"/>
      <c r="P1031" s="122">
        <v>0</v>
      </c>
      <c r="Q1031" s="122">
        <f t="shared" si="296"/>
        <v>0</v>
      </c>
      <c r="R1031" s="147">
        <f t="shared" si="297"/>
        <v>0</v>
      </c>
      <c r="S1031" s="145">
        <v>15</v>
      </c>
      <c r="T1031" s="144" t="s">
        <v>1161</v>
      </c>
      <c r="U1031" s="90">
        <f>SUMIF('Avoided Costs 2009-2017'!$A:$A,Actuals!T1031&amp;Actuals!S1031,'Avoided Costs 2009-2017'!$E:$E)*J1031</f>
        <v>20232.40880845115</v>
      </c>
      <c r="V1031" s="90">
        <f>SUMIF('Avoided Costs 2009-2017'!$A:$A,Actuals!T1031&amp;Actuals!S1031,'Avoided Costs 2009-2017'!$K:$K)*N1031</f>
        <v>0</v>
      </c>
      <c r="W1031" s="90">
        <f>SUMIF('Avoided Costs 2009-2017'!$A:$A,Actuals!T1031&amp;Actuals!S1031,'Avoided Costs 2009-2017'!$M:$M)*R1031</f>
        <v>0</v>
      </c>
      <c r="X1031" s="90">
        <f t="shared" si="298"/>
        <v>20232.40880845115</v>
      </c>
      <c r="Y1031" s="148">
        <v>1782</v>
      </c>
      <c r="Z1031" s="149">
        <f t="shared" si="299"/>
        <v>891</v>
      </c>
      <c r="AA1031" s="148"/>
      <c r="AB1031" s="145"/>
      <c r="AC1031" s="145"/>
      <c r="AD1031" s="148">
        <f t="shared" si="307"/>
        <v>891</v>
      </c>
      <c r="AE1031" s="122">
        <f t="shared" si="308"/>
        <v>19341.40880845115</v>
      </c>
      <c r="AF1031" s="167">
        <f t="shared" si="302"/>
        <v>97403.849999999991</v>
      </c>
    </row>
    <row r="1032" spans="1:32" s="150" customFormat="1" x14ac:dyDescent="0.2">
      <c r="A1032" s="144" t="s">
        <v>431</v>
      </c>
      <c r="B1032" s="144"/>
      <c r="C1032" s="144"/>
      <c r="D1032" s="145">
        <v>1</v>
      </c>
      <c r="E1032" s="122"/>
      <c r="F1032" s="146">
        <v>0.5</v>
      </c>
      <c r="G1032" s="146"/>
      <c r="H1032" s="122">
        <v>186654</v>
      </c>
      <c r="I1032" s="122">
        <f t="shared" si="303"/>
        <v>193186.88999999998</v>
      </c>
      <c r="J1032" s="147">
        <f t="shared" si="304"/>
        <v>96593.444999999992</v>
      </c>
      <c r="K1032" s="122"/>
      <c r="L1032" s="122">
        <v>0</v>
      </c>
      <c r="M1032" s="122">
        <f t="shared" si="305"/>
        <v>0</v>
      </c>
      <c r="N1032" s="122">
        <f t="shared" si="306"/>
        <v>0</v>
      </c>
      <c r="O1032" s="122"/>
      <c r="P1032" s="122">
        <v>0</v>
      </c>
      <c r="Q1032" s="122">
        <f t="shared" si="296"/>
        <v>0</v>
      </c>
      <c r="R1032" s="147">
        <f t="shared" si="297"/>
        <v>0</v>
      </c>
      <c r="S1032" s="145">
        <v>15</v>
      </c>
      <c r="T1032" s="144" t="s">
        <v>1161</v>
      </c>
      <c r="U1032" s="90">
        <f>SUMIF('Avoided Costs 2009-2017'!$A:$A,Actuals!T1032&amp;Actuals!S1032,'Avoided Costs 2009-2017'!$E:$E)*J1032</f>
        <v>300961.11202842218</v>
      </c>
      <c r="V1032" s="90">
        <f>SUMIF('Avoided Costs 2009-2017'!$A:$A,Actuals!T1032&amp;Actuals!S1032,'Avoided Costs 2009-2017'!$K:$K)*N1032</f>
        <v>0</v>
      </c>
      <c r="W1032" s="90">
        <f>SUMIF('Avoided Costs 2009-2017'!$A:$A,Actuals!T1032&amp;Actuals!S1032,'Avoided Costs 2009-2017'!$M:$M)*R1032</f>
        <v>0</v>
      </c>
      <c r="X1032" s="90">
        <f t="shared" si="298"/>
        <v>300961.11202842218</v>
      </c>
      <c r="Y1032" s="148">
        <v>45900</v>
      </c>
      <c r="Z1032" s="149">
        <f t="shared" si="299"/>
        <v>22950</v>
      </c>
      <c r="AA1032" s="148"/>
      <c r="AB1032" s="145"/>
      <c r="AC1032" s="145"/>
      <c r="AD1032" s="148">
        <f t="shared" si="307"/>
        <v>22950</v>
      </c>
      <c r="AE1032" s="122">
        <f t="shared" si="308"/>
        <v>278011.11202842218</v>
      </c>
      <c r="AF1032" s="167">
        <f t="shared" si="302"/>
        <v>1448901.6749999998</v>
      </c>
    </row>
    <row r="1033" spans="1:32" s="150" customFormat="1" x14ac:dyDescent="0.2">
      <c r="A1033" s="144" t="s">
        <v>432</v>
      </c>
      <c r="B1033" s="144"/>
      <c r="C1033" s="144"/>
      <c r="D1033" s="145">
        <v>1</v>
      </c>
      <c r="E1033" s="122"/>
      <c r="F1033" s="146">
        <v>0.5</v>
      </c>
      <c r="G1033" s="146"/>
      <c r="H1033" s="122">
        <v>5944</v>
      </c>
      <c r="I1033" s="122">
        <f t="shared" si="303"/>
        <v>6152.04</v>
      </c>
      <c r="J1033" s="147">
        <f t="shared" si="304"/>
        <v>3076.02</v>
      </c>
      <c r="K1033" s="122"/>
      <c r="L1033" s="122">
        <v>0</v>
      </c>
      <c r="M1033" s="122">
        <f t="shared" si="305"/>
        <v>0</v>
      </c>
      <c r="N1033" s="122">
        <f t="shared" si="306"/>
        <v>0</v>
      </c>
      <c r="O1033" s="122"/>
      <c r="P1033" s="122">
        <v>0</v>
      </c>
      <c r="Q1033" s="122">
        <f t="shared" si="296"/>
        <v>0</v>
      </c>
      <c r="R1033" s="147">
        <f t="shared" si="297"/>
        <v>0</v>
      </c>
      <c r="S1033" s="145">
        <v>15</v>
      </c>
      <c r="T1033" s="144" t="s">
        <v>1161</v>
      </c>
      <c r="U1033" s="90">
        <f>SUMIF('Avoided Costs 2009-2017'!$A:$A,Actuals!T1033&amp;Actuals!S1033,'Avoided Costs 2009-2017'!$E:$E)*J1033</f>
        <v>9584.1120463367588</v>
      </c>
      <c r="V1033" s="90">
        <f>SUMIF('Avoided Costs 2009-2017'!$A:$A,Actuals!T1033&amp;Actuals!S1033,'Avoided Costs 2009-2017'!$K:$K)*N1033</f>
        <v>0</v>
      </c>
      <c r="W1033" s="90">
        <f>SUMIF('Avoided Costs 2009-2017'!$A:$A,Actuals!T1033&amp;Actuals!S1033,'Avoided Costs 2009-2017'!$M:$M)*R1033</f>
        <v>0</v>
      </c>
      <c r="X1033" s="90">
        <f t="shared" si="298"/>
        <v>9584.1120463367588</v>
      </c>
      <c r="Y1033" s="148">
        <v>5100</v>
      </c>
      <c r="Z1033" s="149">
        <f t="shared" si="299"/>
        <v>2550</v>
      </c>
      <c r="AA1033" s="148"/>
      <c r="AB1033" s="145"/>
      <c r="AC1033" s="145"/>
      <c r="AD1033" s="148">
        <f t="shared" si="307"/>
        <v>2550</v>
      </c>
      <c r="AE1033" s="122">
        <f t="shared" si="308"/>
        <v>7034.1120463367588</v>
      </c>
      <c r="AF1033" s="167">
        <f t="shared" si="302"/>
        <v>46140.3</v>
      </c>
    </row>
    <row r="1034" spans="1:32" s="150" customFormat="1" x14ac:dyDescent="0.2">
      <c r="A1034" s="144" t="s">
        <v>433</v>
      </c>
      <c r="B1034" s="144"/>
      <c r="C1034" s="144"/>
      <c r="D1034" s="145">
        <v>1</v>
      </c>
      <c r="E1034" s="122"/>
      <c r="F1034" s="146">
        <v>0.5</v>
      </c>
      <c r="G1034" s="146"/>
      <c r="H1034" s="122">
        <v>384589</v>
      </c>
      <c r="I1034" s="122">
        <f t="shared" si="303"/>
        <v>398049.61499999999</v>
      </c>
      <c r="J1034" s="147">
        <f t="shared" si="304"/>
        <v>199024.8075</v>
      </c>
      <c r="K1034" s="122"/>
      <c r="L1034" s="122">
        <v>0</v>
      </c>
      <c r="M1034" s="122">
        <f t="shared" si="305"/>
        <v>0</v>
      </c>
      <c r="N1034" s="122">
        <f t="shared" si="306"/>
        <v>0</v>
      </c>
      <c r="O1034" s="122"/>
      <c r="P1034" s="122">
        <v>0</v>
      </c>
      <c r="Q1034" s="122">
        <f t="shared" si="296"/>
        <v>0</v>
      </c>
      <c r="R1034" s="147">
        <f t="shared" si="297"/>
        <v>0</v>
      </c>
      <c r="S1034" s="145">
        <v>20</v>
      </c>
      <c r="T1034" s="144" t="s">
        <v>1161</v>
      </c>
      <c r="U1034" s="90">
        <f>SUMIF('Avoided Costs 2009-2017'!$A:$A,Actuals!T1034&amp;Actuals!S1034,'Avoided Costs 2009-2017'!$E:$E)*J1034</f>
        <v>718475.88143953413</v>
      </c>
      <c r="V1034" s="90">
        <f>SUMIF('Avoided Costs 2009-2017'!$A:$A,Actuals!T1034&amp;Actuals!S1034,'Avoided Costs 2009-2017'!$K:$K)*N1034</f>
        <v>0</v>
      </c>
      <c r="W1034" s="90">
        <f>SUMIF('Avoided Costs 2009-2017'!$A:$A,Actuals!T1034&amp;Actuals!S1034,'Avoided Costs 2009-2017'!$M:$M)*R1034</f>
        <v>0</v>
      </c>
      <c r="X1034" s="90">
        <f t="shared" si="298"/>
        <v>718475.88143953413</v>
      </c>
      <c r="Y1034" s="148">
        <v>193861</v>
      </c>
      <c r="Z1034" s="149">
        <f t="shared" si="299"/>
        <v>96930.5</v>
      </c>
      <c r="AA1034" s="148"/>
      <c r="AB1034" s="145"/>
      <c r="AC1034" s="145"/>
      <c r="AD1034" s="148">
        <f t="shared" si="307"/>
        <v>96930.5</v>
      </c>
      <c r="AE1034" s="122">
        <f t="shared" si="308"/>
        <v>621545.38143953413</v>
      </c>
      <c r="AF1034" s="167">
        <f t="shared" si="302"/>
        <v>3980496.15</v>
      </c>
    </row>
    <row r="1035" spans="1:32" s="150" customFormat="1" x14ac:dyDescent="0.2">
      <c r="A1035" s="144" t="s">
        <v>434</v>
      </c>
      <c r="B1035" s="144"/>
      <c r="C1035" s="144"/>
      <c r="D1035" s="145">
        <v>1</v>
      </c>
      <c r="E1035" s="122"/>
      <c r="F1035" s="146">
        <v>0.5</v>
      </c>
      <c r="G1035" s="146"/>
      <c r="H1035" s="122">
        <v>258146</v>
      </c>
      <c r="I1035" s="122">
        <f t="shared" si="303"/>
        <v>267181.11</v>
      </c>
      <c r="J1035" s="147">
        <f t="shared" si="304"/>
        <v>133590.55499999999</v>
      </c>
      <c r="K1035" s="122"/>
      <c r="L1035" s="122">
        <v>0</v>
      </c>
      <c r="M1035" s="122">
        <f t="shared" si="305"/>
        <v>0</v>
      </c>
      <c r="N1035" s="122">
        <f t="shared" si="306"/>
        <v>0</v>
      </c>
      <c r="O1035" s="122"/>
      <c r="P1035" s="122">
        <v>0</v>
      </c>
      <c r="Q1035" s="122">
        <f t="shared" si="296"/>
        <v>0</v>
      </c>
      <c r="R1035" s="147">
        <f t="shared" si="297"/>
        <v>0</v>
      </c>
      <c r="S1035" s="145">
        <v>20</v>
      </c>
      <c r="T1035" s="144" t="s">
        <v>1161</v>
      </c>
      <c r="U1035" s="90">
        <f>SUMIF('Avoided Costs 2009-2017'!$A:$A,Actuals!T1035&amp;Actuals!S1035,'Avoided Costs 2009-2017'!$E:$E)*J1035</f>
        <v>482259.43771166098</v>
      </c>
      <c r="V1035" s="90">
        <f>SUMIF('Avoided Costs 2009-2017'!$A:$A,Actuals!T1035&amp;Actuals!S1035,'Avoided Costs 2009-2017'!$K:$K)*N1035</f>
        <v>0</v>
      </c>
      <c r="W1035" s="90">
        <f>SUMIF('Avoided Costs 2009-2017'!$A:$A,Actuals!T1035&amp;Actuals!S1035,'Avoided Costs 2009-2017'!$M:$M)*R1035</f>
        <v>0</v>
      </c>
      <c r="X1035" s="90">
        <f t="shared" si="298"/>
        <v>482259.43771166098</v>
      </c>
      <c r="Y1035" s="148">
        <v>185481</v>
      </c>
      <c r="Z1035" s="149">
        <f t="shared" si="299"/>
        <v>92740.5</v>
      </c>
      <c r="AA1035" s="148"/>
      <c r="AB1035" s="145"/>
      <c r="AC1035" s="145"/>
      <c r="AD1035" s="148">
        <f t="shared" si="307"/>
        <v>92740.5</v>
      </c>
      <c r="AE1035" s="122">
        <f t="shared" si="308"/>
        <v>389518.93771166098</v>
      </c>
      <c r="AF1035" s="167">
        <f t="shared" si="302"/>
        <v>2671811.0999999996</v>
      </c>
    </row>
    <row r="1036" spans="1:32" s="150" customFormat="1" x14ac:dyDescent="0.2">
      <c r="A1036" s="144" t="s">
        <v>435</v>
      </c>
      <c r="B1036" s="144"/>
      <c r="C1036" s="144"/>
      <c r="D1036" s="145">
        <v>0</v>
      </c>
      <c r="E1036" s="122"/>
      <c r="F1036" s="146">
        <v>0.5</v>
      </c>
      <c r="G1036" s="146"/>
      <c r="H1036" s="122">
        <v>2356</v>
      </c>
      <c r="I1036" s="122">
        <f t="shared" si="303"/>
        <v>2438.46</v>
      </c>
      <c r="J1036" s="147">
        <f t="shared" si="304"/>
        <v>1219.23</v>
      </c>
      <c r="K1036" s="122"/>
      <c r="L1036" s="122">
        <v>0</v>
      </c>
      <c r="M1036" s="122">
        <f t="shared" si="305"/>
        <v>0</v>
      </c>
      <c r="N1036" s="122">
        <f t="shared" si="306"/>
        <v>0</v>
      </c>
      <c r="O1036" s="122"/>
      <c r="P1036" s="122">
        <v>0</v>
      </c>
      <c r="Q1036" s="122">
        <f t="shared" si="296"/>
        <v>0</v>
      </c>
      <c r="R1036" s="147">
        <f t="shared" si="297"/>
        <v>0</v>
      </c>
      <c r="S1036" s="145">
        <v>15</v>
      </c>
      <c r="T1036" s="144" t="s">
        <v>1161</v>
      </c>
      <c r="U1036" s="90">
        <f>SUMIF('Avoided Costs 2009-2017'!$A:$A,Actuals!T1036&amp;Actuals!S1036,'Avoided Costs 2009-2017'!$E:$E)*J1036</f>
        <v>3798.8169551092537</v>
      </c>
      <c r="V1036" s="90">
        <f>SUMIF('Avoided Costs 2009-2017'!$A:$A,Actuals!T1036&amp;Actuals!S1036,'Avoided Costs 2009-2017'!$K:$K)*N1036</f>
        <v>0</v>
      </c>
      <c r="W1036" s="90">
        <f>SUMIF('Avoided Costs 2009-2017'!$A:$A,Actuals!T1036&amp;Actuals!S1036,'Avoided Costs 2009-2017'!$M:$M)*R1036</f>
        <v>0</v>
      </c>
      <c r="X1036" s="90">
        <f t="shared" si="298"/>
        <v>3798.8169551092537</v>
      </c>
      <c r="Y1036" s="148">
        <v>1400</v>
      </c>
      <c r="Z1036" s="149">
        <f t="shared" si="299"/>
        <v>700</v>
      </c>
      <c r="AA1036" s="148"/>
      <c r="AB1036" s="145"/>
      <c r="AC1036" s="145"/>
      <c r="AD1036" s="148">
        <f t="shared" si="307"/>
        <v>700</v>
      </c>
      <c r="AE1036" s="122">
        <f t="shared" si="308"/>
        <v>3098.8169551092537</v>
      </c>
      <c r="AF1036" s="167">
        <f t="shared" si="302"/>
        <v>18288.45</v>
      </c>
    </row>
    <row r="1037" spans="1:32" s="150" customFormat="1" x14ac:dyDescent="0.2">
      <c r="A1037" s="144" t="s">
        <v>436</v>
      </c>
      <c r="B1037" s="144"/>
      <c r="C1037" s="144"/>
      <c r="D1037" s="145">
        <v>0</v>
      </c>
      <c r="E1037" s="122"/>
      <c r="F1037" s="146">
        <v>0.5</v>
      </c>
      <c r="G1037" s="146"/>
      <c r="H1037" s="122">
        <v>1171</v>
      </c>
      <c r="I1037" s="122">
        <f t="shared" si="303"/>
        <v>1211.9849999999999</v>
      </c>
      <c r="J1037" s="147">
        <f t="shared" si="304"/>
        <v>605.99249999999995</v>
      </c>
      <c r="K1037" s="122"/>
      <c r="L1037" s="122">
        <v>0</v>
      </c>
      <c r="M1037" s="122">
        <f t="shared" si="305"/>
        <v>0</v>
      </c>
      <c r="N1037" s="122">
        <f t="shared" si="306"/>
        <v>0</v>
      </c>
      <c r="O1037" s="122"/>
      <c r="P1037" s="122">
        <v>0</v>
      </c>
      <c r="Q1037" s="122">
        <f t="shared" si="296"/>
        <v>0</v>
      </c>
      <c r="R1037" s="147">
        <f t="shared" si="297"/>
        <v>0</v>
      </c>
      <c r="S1037" s="145">
        <v>15</v>
      </c>
      <c r="T1037" s="144" t="s">
        <v>1161</v>
      </c>
      <c r="U1037" s="90">
        <f>SUMIF('Avoided Costs 2009-2017'!$A:$A,Actuals!T1037&amp;Actuals!S1037,'Avoided Costs 2009-2017'!$E:$E)*J1037</f>
        <v>1888.1216699630459</v>
      </c>
      <c r="V1037" s="90">
        <f>SUMIF('Avoided Costs 2009-2017'!$A:$A,Actuals!T1037&amp;Actuals!S1037,'Avoided Costs 2009-2017'!$K:$K)*N1037</f>
        <v>0</v>
      </c>
      <c r="W1037" s="90">
        <f>SUMIF('Avoided Costs 2009-2017'!$A:$A,Actuals!T1037&amp;Actuals!S1037,'Avoided Costs 2009-2017'!$M:$M)*R1037</f>
        <v>0</v>
      </c>
      <c r="X1037" s="90">
        <f t="shared" si="298"/>
        <v>1888.1216699630459</v>
      </c>
      <c r="Y1037" s="148">
        <v>840</v>
      </c>
      <c r="Z1037" s="149">
        <f t="shared" si="299"/>
        <v>420</v>
      </c>
      <c r="AA1037" s="148"/>
      <c r="AB1037" s="145"/>
      <c r="AC1037" s="145"/>
      <c r="AD1037" s="148">
        <f t="shared" si="307"/>
        <v>420</v>
      </c>
      <c r="AE1037" s="122">
        <f t="shared" si="308"/>
        <v>1468.1216699630459</v>
      </c>
      <c r="AF1037" s="167">
        <f t="shared" si="302"/>
        <v>9089.8874999999989</v>
      </c>
    </row>
    <row r="1038" spans="1:32" s="150" customFormat="1" x14ac:dyDescent="0.2">
      <c r="A1038" s="144" t="s">
        <v>437</v>
      </c>
      <c r="B1038" s="144"/>
      <c r="C1038" s="144"/>
      <c r="D1038" s="145">
        <v>1</v>
      </c>
      <c r="E1038" s="122"/>
      <c r="F1038" s="146">
        <v>0.5</v>
      </c>
      <c r="G1038" s="146"/>
      <c r="H1038" s="122">
        <v>87626</v>
      </c>
      <c r="I1038" s="122">
        <f t="shared" si="303"/>
        <v>90692.909999999989</v>
      </c>
      <c r="J1038" s="147">
        <f t="shared" si="304"/>
        <v>45346.454999999994</v>
      </c>
      <c r="K1038" s="122"/>
      <c r="L1038" s="122">
        <v>0</v>
      </c>
      <c r="M1038" s="122">
        <f t="shared" si="305"/>
        <v>0</v>
      </c>
      <c r="N1038" s="122">
        <f t="shared" si="306"/>
        <v>0</v>
      </c>
      <c r="O1038" s="122"/>
      <c r="P1038" s="122">
        <v>0</v>
      </c>
      <c r="Q1038" s="122">
        <f t="shared" si="296"/>
        <v>0</v>
      </c>
      <c r="R1038" s="147">
        <f t="shared" si="297"/>
        <v>0</v>
      </c>
      <c r="S1038" s="145">
        <v>15</v>
      </c>
      <c r="T1038" s="144" t="s">
        <v>1161</v>
      </c>
      <c r="U1038" s="90">
        <f>SUMIF('Avoided Costs 2009-2017'!$A:$A,Actuals!T1038&amp;Actuals!S1038,'Avoided Costs 2009-2017'!$E:$E)*J1038</f>
        <v>141288.25743141063</v>
      </c>
      <c r="V1038" s="90">
        <f>SUMIF('Avoided Costs 2009-2017'!$A:$A,Actuals!T1038&amp;Actuals!S1038,'Avoided Costs 2009-2017'!$K:$K)*N1038</f>
        <v>0</v>
      </c>
      <c r="W1038" s="90">
        <f>SUMIF('Avoided Costs 2009-2017'!$A:$A,Actuals!T1038&amp;Actuals!S1038,'Avoided Costs 2009-2017'!$M:$M)*R1038</f>
        <v>0</v>
      </c>
      <c r="X1038" s="90">
        <f t="shared" si="298"/>
        <v>141288.25743141063</v>
      </c>
      <c r="Y1038" s="148">
        <v>600</v>
      </c>
      <c r="Z1038" s="149">
        <f t="shared" si="299"/>
        <v>300</v>
      </c>
      <c r="AA1038" s="148"/>
      <c r="AB1038" s="145"/>
      <c r="AC1038" s="145"/>
      <c r="AD1038" s="148">
        <f t="shared" si="307"/>
        <v>300</v>
      </c>
      <c r="AE1038" s="122">
        <f t="shared" si="308"/>
        <v>140988.25743141063</v>
      </c>
      <c r="AF1038" s="167">
        <f t="shared" si="302"/>
        <v>680196.82499999995</v>
      </c>
    </row>
    <row r="1039" spans="1:32" s="150" customFormat="1" x14ac:dyDescent="0.2">
      <c r="A1039" s="144" t="s">
        <v>438</v>
      </c>
      <c r="B1039" s="144"/>
      <c r="C1039" s="144"/>
      <c r="D1039" s="145">
        <v>1</v>
      </c>
      <c r="E1039" s="122"/>
      <c r="F1039" s="146">
        <v>0.5</v>
      </c>
      <c r="G1039" s="146"/>
      <c r="H1039" s="122">
        <v>104257</v>
      </c>
      <c r="I1039" s="122">
        <f>+H1039</f>
        <v>104257</v>
      </c>
      <c r="J1039" s="147">
        <f t="shared" si="304"/>
        <v>52128.5</v>
      </c>
      <c r="K1039" s="122"/>
      <c r="L1039" s="122">
        <v>960179</v>
      </c>
      <c r="M1039" s="122">
        <f>+L1039</f>
        <v>960179</v>
      </c>
      <c r="N1039" s="122">
        <f t="shared" si="306"/>
        <v>480089.5</v>
      </c>
      <c r="O1039" s="122"/>
      <c r="P1039" s="122">
        <v>0</v>
      </c>
      <c r="Q1039" s="122">
        <f t="shared" si="296"/>
        <v>0</v>
      </c>
      <c r="R1039" s="147">
        <f t="shared" si="297"/>
        <v>0</v>
      </c>
      <c r="S1039" s="145">
        <v>15</v>
      </c>
      <c r="T1039" s="144" t="s">
        <v>1161</v>
      </c>
      <c r="U1039" s="90">
        <f>SUMIF('Avoided Costs 2009-2017'!$A:$A,Actuals!T1039&amp;Actuals!S1039,'Avoided Costs 2009-2017'!$E:$E)*J1039</f>
        <v>162419.420162244</v>
      </c>
      <c r="V1039" s="90">
        <f>SUMIF('Avoided Costs 2009-2017'!$A:$A,Actuals!T1039&amp;Actuals!S1039,'Avoided Costs 2009-2017'!$K:$K)*N1039</f>
        <v>358402.25935377507</v>
      </c>
      <c r="W1039" s="90">
        <f>SUMIF('Avoided Costs 2009-2017'!$A:$A,Actuals!T1039&amp;Actuals!S1039,'Avoided Costs 2009-2017'!$M:$M)*R1039</f>
        <v>0</v>
      </c>
      <c r="X1039" s="90">
        <f t="shared" si="298"/>
        <v>520821.67951601907</v>
      </c>
      <c r="Y1039" s="148">
        <v>103166</v>
      </c>
      <c r="Z1039" s="149">
        <f t="shared" si="299"/>
        <v>51583</v>
      </c>
      <c r="AA1039" s="148"/>
      <c r="AB1039" s="145"/>
      <c r="AC1039" s="145"/>
      <c r="AD1039" s="148">
        <f t="shared" si="307"/>
        <v>51583</v>
      </c>
      <c r="AE1039" s="122">
        <f t="shared" si="308"/>
        <v>469238.67951601907</v>
      </c>
      <c r="AF1039" s="167">
        <f t="shared" si="302"/>
        <v>781927.5</v>
      </c>
    </row>
    <row r="1040" spans="1:32" s="150" customFormat="1" x14ac:dyDescent="0.2">
      <c r="A1040" s="144" t="s">
        <v>439</v>
      </c>
      <c r="B1040" s="144"/>
      <c r="C1040" s="144"/>
      <c r="D1040" s="145">
        <v>1</v>
      </c>
      <c r="E1040" s="122"/>
      <c r="F1040" s="146">
        <v>0.5</v>
      </c>
      <c r="G1040" s="146"/>
      <c r="H1040" s="122">
        <v>672000</v>
      </c>
      <c r="I1040" s="122">
        <f t="shared" si="303"/>
        <v>695520</v>
      </c>
      <c r="J1040" s="147">
        <f t="shared" si="304"/>
        <v>347760</v>
      </c>
      <c r="K1040" s="122"/>
      <c r="L1040" s="122">
        <v>0</v>
      </c>
      <c r="M1040" s="122">
        <f t="shared" si="305"/>
        <v>0</v>
      </c>
      <c r="N1040" s="122">
        <f t="shared" si="306"/>
        <v>0</v>
      </c>
      <c r="O1040" s="122"/>
      <c r="P1040" s="122">
        <v>0</v>
      </c>
      <c r="Q1040" s="122">
        <f t="shared" si="296"/>
        <v>0</v>
      </c>
      <c r="R1040" s="147">
        <f t="shared" si="297"/>
        <v>0</v>
      </c>
      <c r="S1040" s="145">
        <v>20</v>
      </c>
      <c r="T1040" s="144" t="s">
        <v>1161</v>
      </c>
      <c r="U1040" s="90">
        <f>SUMIF('Avoided Costs 2009-2017'!$A:$A,Actuals!T1040&amp;Actuals!S1040,'Avoided Costs 2009-2017'!$E:$E)*J1040</f>
        <v>1255407.1809837697</v>
      </c>
      <c r="V1040" s="90">
        <f>SUMIF('Avoided Costs 2009-2017'!$A:$A,Actuals!T1040&amp;Actuals!S1040,'Avoided Costs 2009-2017'!$K:$K)*N1040</f>
        <v>0</v>
      </c>
      <c r="W1040" s="90">
        <f>SUMIF('Avoided Costs 2009-2017'!$A:$A,Actuals!T1040&amp;Actuals!S1040,'Avoided Costs 2009-2017'!$M:$M)*R1040</f>
        <v>0</v>
      </c>
      <c r="X1040" s="90">
        <f t="shared" si="298"/>
        <v>1255407.1809837697</v>
      </c>
      <c r="Y1040" s="148">
        <v>1134804</v>
      </c>
      <c r="Z1040" s="149">
        <f t="shared" si="299"/>
        <v>567402</v>
      </c>
      <c r="AA1040" s="148"/>
      <c r="AB1040" s="145"/>
      <c r="AC1040" s="145"/>
      <c r="AD1040" s="148">
        <f t="shared" si="307"/>
        <v>567402</v>
      </c>
      <c r="AE1040" s="122">
        <f t="shared" si="308"/>
        <v>688005.18098376971</v>
      </c>
      <c r="AF1040" s="167">
        <f t="shared" si="302"/>
        <v>6955200</v>
      </c>
    </row>
    <row r="1041" spans="1:32" s="150" customFormat="1" x14ac:dyDescent="0.2">
      <c r="A1041" s="144" t="s">
        <v>440</v>
      </c>
      <c r="B1041" s="144"/>
      <c r="C1041" s="144"/>
      <c r="D1041" s="145">
        <v>0</v>
      </c>
      <c r="E1041" s="122"/>
      <c r="F1041" s="146">
        <v>0.5</v>
      </c>
      <c r="G1041" s="146"/>
      <c r="H1041" s="122">
        <v>4557</v>
      </c>
      <c r="I1041" s="122">
        <f t="shared" si="303"/>
        <v>4716.4949999999999</v>
      </c>
      <c r="J1041" s="147">
        <f t="shared" si="304"/>
        <v>2358.2474999999999</v>
      </c>
      <c r="K1041" s="122"/>
      <c r="L1041" s="122">
        <v>0</v>
      </c>
      <c r="M1041" s="122">
        <f t="shared" si="305"/>
        <v>0</v>
      </c>
      <c r="N1041" s="122">
        <f t="shared" si="306"/>
        <v>0</v>
      </c>
      <c r="O1041" s="122"/>
      <c r="P1041" s="122">
        <v>0</v>
      </c>
      <c r="Q1041" s="122">
        <f t="shared" si="296"/>
        <v>0</v>
      </c>
      <c r="R1041" s="147">
        <f t="shared" si="297"/>
        <v>0</v>
      </c>
      <c r="S1041" s="145">
        <v>13</v>
      </c>
      <c r="T1041" s="144" t="s">
        <v>1161</v>
      </c>
      <c r="U1041" s="90">
        <f>SUMIF('Avoided Costs 2009-2017'!$A:$A,Actuals!T1041&amp;Actuals!S1041,'Avoided Costs 2009-2017'!$E:$E)*J1041</f>
        <v>6759.2955207498035</v>
      </c>
      <c r="V1041" s="90">
        <f>SUMIF('Avoided Costs 2009-2017'!$A:$A,Actuals!T1041&amp;Actuals!S1041,'Avoided Costs 2009-2017'!$K:$K)*N1041</f>
        <v>0</v>
      </c>
      <c r="W1041" s="90">
        <f>SUMIF('Avoided Costs 2009-2017'!$A:$A,Actuals!T1041&amp;Actuals!S1041,'Avoided Costs 2009-2017'!$M:$M)*R1041</f>
        <v>0</v>
      </c>
      <c r="X1041" s="90">
        <f t="shared" si="298"/>
        <v>6759.2955207498035</v>
      </c>
      <c r="Y1041" s="148">
        <v>1200</v>
      </c>
      <c r="Z1041" s="149">
        <f t="shared" si="299"/>
        <v>600</v>
      </c>
      <c r="AA1041" s="148"/>
      <c r="AB1041" s="145"/>
      <c r="AC1041" s="145"/>
      <c r="AD1041" s="148">
        <f t="shared" si="307"/>
        <v>600</v>
      </c>
      <c r="AE1041" s="122">
        <f t="shared" si="308"/>
        <v>6159.2955207498035</v>
      </c>
      <c r="AF1041" s="167">
        <f t="shared" si="302"/>
        <v>30657.217499999999</v>
      </c>
    </row>
    <row r="1042" spans="1:32" s="150" customFormat="1" x14ac:dyDescent="0.2">
      <c r="A1042" s="144" t="s">
        <v>441</v>
      </c>
      <c r="B1042" s="144"/>
      <c r="C1042" s="144"/>
      <c r="D1042" s="145">
        <v>1</v>
      </c>
      <c r="E1042" s="122"/>
      <c r="F1042" s="146">
        <v>0.5</v>
      </c>
      <c r="G1042" s="146"/>
      <c r="H1042" s="122">
        <v>19970</v>
      </c>
      <c r="I1042" s="122">
        <f t="shared" si="303"/>
        <v>20668.949999999997</v>
      </c>
      <c r="J1042" s="147">
        <f t="shared" si="304"/>
        <v>10334.474999999999</v>
      </c>
      <c r="K1042" s="122"/>
      <c r="L1042" s="122">
        <v>56211</v>
      </c>
      <c r="M1042" s="122">
        <f t="shared" si="305"/>
        <v>53512.871999999996</v>
      </c>
      <c r="N1042" s="122">
        <f t="shared" si="306"/>
        <v>26756.435999999998</v>
      </c>
      <c r="O1042" s="122"/>
      <c r="P1042" s="122">
        <v>0</v>
      </c>
      <c r="Q1042" s="122">
        <f t="shared" si="296"/>
        <v>0</v>
      </c>
      <c r="R1042" s="147">
        <f t="shared" si="297"/>
        <v>0</v>
      </c>
      <c r="S1042" s="145">
        <v>15</v>
      </c>
      <c r="T1042" s="144" t="s">
        <v>1161</v>
      </c>
      <c r="U1042" s="90">
        <f>SUMIF('Avoided Costs 2009-2017'!$A:$A,Actuals!T1042&amp;Actuals!S1042,'Avoided Costs 2009-2017'!$E:$E)*J1042</f>
        <v>32199.649657696005</v>
      </c>
      <c r="V1042" s="90">
        <f>SUMIF('Avoided Costs 2009-2017'!$A:$A,Actuals!T1042&amp;Actuals!S1042,'Avoided Costs 2009-2017'!$K:$K)*N1042</f>
        <v>19974.540402684674</v>
      </c>
      <c r="W1042" s="90">
        <f>SUMIF('Avoided Costs 2009-2017'!$A:$A,Actuals!T1042&amp;Actuals!S1042,'Avoided Costs 2009-2017'!$M:$M)*R1042</f>
        <v>0</v>
      </c>
      <c r="X1042" s="90">
        <f t="shared" si="298"/>
        <v>52174.190060380679</v>
      </c>
      <c r="Y1042" s="148">
        <v>18723</v>
      </c>
      <c r="Z1042" s="149">
        <f t="shared" si="299"/>
        <v>9361.5</v>
      </c>
      <c r="AA1042" s="148"/>
      <c r="AB1042" s="145"/>
      <c r="AC1042" s="145"/>
      <c r="AD1042" s="148">
        <f t="shared" si="307"/>
        <v>9361.5</v>
      </c>
      <c r="AE1042" s="122">
        <f t="shared" si="308"/>
        <v>42812.690060380679</v>
      </c>
      <c r="AF1042" s="167">
        <f t="shared" si="302"/>
        <v>155017.12499999997</v>
      </c>
    </row>
    <row r="1043" spans="1:32" s="150" customFormat="1" x14ac:dyDescent="0.2">
      <c r="A1043" s="144" t="s">
        <v>442</v>
      </c>
      <c r="B1043" s="144"/>
      <c r="C1043" s="144"/>
      <c r="D1043" s="145">
        <v>1</v>
      </c>
      <c r="E1043" s="122"/>
      <c r="F1043" s="146">
        <v>0.5</v>
      </c>
      <c r="G1043" s="146"/>
      <c r="H1043" s="122">
        <v>103666</v>
      </c>
      <c r="I1043" s="122">
        <f t="shared" si="303"/>
        <v>107294.31</v>
      </c>
      <c r="J1043" s="147">
        <f t="shared" si="304"/>
        <v>53647.154999999999</v>
      </c>
      <c r="K1043" s="122"/>
      <c r="L1043" s="122">
        <v>-104738</v>
      </c>
      <c r="M1043" s="122">
        <f t="shared" si="305"/>
        <v>-99710.576000000001</v>
      </c>
      <c r="N1043" s="122">
        <f t="shared" si="306"/>
        <v>-49855.288</v>
      </c>
      <c r="O1043" s="122"/>
      <c r="P1043" s="122">
        <v>0</v>
      </c>
      <c r="Q1043" s="122">
        <f t="shared" si="296"/>
        <v>0</v>
      </c>
      <c r="R1043" s="147">
        <f t="shared" si="297"/>
        <v>0</v>
      </c>
      <c r="S1043" s="145">
        <v>15</v>
      </c>
      <c r="T1043" s="144" t="s">
        <v>1161</v>
      </c>
      <c r="U1043" s="90">
        <f>SUMIF('Avoided Costs 2009-2017'!$A:$A,Actuals!T1043&amp;Actuals!S1043,'Avoided Costs 2009-2017'!$E:$E)*J1043</f>
        <v>167151.17082697619</v>
      </c>
      <c r="V1043" s="90">
        <f>SUMIF('Avoided Costs 2009-2017'!$A:$A,Actuals!T1043&amp;Actuals!S1043,'Avoided Costs 2009-2017'!$K:$K)*N1043</f>
        <v>-37218.576661087463</v>
      </c>
      <c r="W1043" s="90">
        <f>SUMIF('Avoided Costs 2009-2017'!$A:$A,Actuals!T1043&amp;Actuals!S1043,'Avoided Costs 2009-2017'!$M:$M)*R1043</f>
        <v>0</v>
      </c>
      <c r="X1043" s="90">
        <f t="shared" si="298"/>
        <v>129932.59416588873</v>
      </c>
      <c r="Y1043" s="148">
        <v>100000</v>
      </c>
      <c r="Z1043" s="149">
        <f t="shared" si="299"/>
        <v>50000</v>
      </c>
      <c r="AA1043" s="148"/>
      <c r="AB1043" s="145"/>
      <c r="AC1043" s="145"/>
      <c r="AD1043" s="148">
        <f t="shared" si="307"/>
        <v>50000</v>
      </c>
      <c r="AE1043" s="122">
        <f t="shared" si="308"/>
        <v>79932.594165888731</v>
      </c>
      <c r="AF1043" s="167">
        <f t="shared" si="302"/>
        <v>804707.32499999995</v>
      </c>
    </row>
    <row r="1044" spans="1:32" s="150" customFormat="1" x14ac:dyDescent="0.2">
      <c r="A1044" s="144" t="s">
        <v>443</v>
      </c>
      <c r="B1044" s="144"/>
      <c r="C1044" s="144"/>
      <c r="D1044" s="145">
        <v>0</v>
      </c>
      <c r="E1044" s="122"/>
      <c r="F1044" s="146">
        <v>0.5</v>
      </c>
      <c r="G1044" s="146"/>
      <c r="H1044" s="122">
        <v>190959</v>
      </c>
      <c r="I1044" s="122">
        <f t="shared" si="303"/>
        <v>197642.56499999997</v>
      </c>
      <c r="J1044" s="147">
        <f t="shared" si="304"/>
        <v>98821.282499999987</v>
      </c>
      <c r="K1044" s="122"/>
      <c r="L1044" s="122">
        <v>0</v>
      </c>
      <c r="M1044" s="122">
        <f t="shared" si="305"/>
        <v>0</v>
      </c>
      <c r="N1044" s="122">
        <f t="shared" si="306"/>
        <v>0</v>
      </c>
      <c r="O1044" s="122"/>
      <c r="P1044" s="122">
        <v>0</v>
      </c>
      <c r="Q1044" s="122">
        <f t="shared" ref="Q1044:Q1107" si="309">+P1044*$P$68</f>
        <v>0</v>
      </c>
      <c r="R1044" s="147">
        <f t="shared" ref="R1044:R1107" si="310">Q1044*(1-F1044)</f>
        <v>0</v>
      </c>
      <c r="S1044" s="145">
        <v>15</v>
      </c>
      <c r="T1044" s="144" t="s">
        <v>1161</v>
      </c>
      <c r="U1044" s="90">
        <f>SUMIF('Avoided Costs 2009-2017'!$A:$A,Actuals!T1044&amp;Actuals!S1044,'Avoided Costs 2009-2017'!$E:$E)*J1044</f>
        <v>307902.49869724445</v>
      </c>
      <c r="V1044" s="90">
        <f>SUMIF('Avoided Costs 2009-2017'!$A:$A,Actuals!T1044&amp;Actuals!S1044,'Avoided Costs 2009-2017'!$K:$K)*N1044</f>
        <v>0</v>
      </c>
      <c r="W1044" s="90">
        <f>SUMIF('Avoided Costs 2009-2017'!$A:$A,Actuals!T1044&amp;Actuals!S1044,'Avoided Costs 2009-2017'!$M:$M)*R1044</f>
        <v>0</v>
      </c>
      <c r="X1044" s="90">
        <f t="shared" ref="X1044:X1107" si="311">SUM(U1044:W1044)</f>
        <v>307902.49869724445</v>
      </c>
      <c r="Y1044" s="148">
        <v>38794</v>
      </c>
      <c r="Z1044" s="149">
        <f t="shared" ref="Z1044:Z1107" si="312">Y1044*(1-F1044)</f>
        <v>19397</v>
      </c>
      <c r="AA1044" s="148"/>
      <c r="AB1044" s="145"/>
      <c r="AC1044" s="145"/>
      <c r="AD1044" s="148">
        <f t="shared" ref="AD1044:AD1075" si="313">Z1044+AB1044</f>
        <v>19397</v>
      </c>
      <c r="AE1044" s="122">
        <f t="shared" ref="AE1044:AE1075" si="314">X1044-AD1044</f>
        <v>288505.49869724445</v>
      </c>
      <c r="AF1044" s="167">
        <f t="shared" ref="AF1044:AF1107" si="315">J1044*S1044</f>
        <v>1482319.2374999998</v>
      </c>
    </row>
    <row r="1045" spans="1:32" s="150" customFormat="1" x14ac:dyDescent="0.2">
      <c r="A1045" s="144" t="s">
        <v>444</v>
      </c>
      <c r="B1045" s="144"/>
      <c r="C1045" s="144"/>
      <c r="D1045" s="145">
        <v>1</v>
      </c>
      <c r="E1045" s="122"/>
      <c r="F1045" s="146">
        <v>0.5</v>
      </c>
      <c r="G1045" s="146"/>
      <c r="H1045" s="122">
        <v>94500</v>
      </c>
      <c r="I1045" s="122">
        <f t="shared" ref="I1045:I1108" si="316">+$H$979*H1045</f>
        <v>97807.499999999985</v>
      </c>
      <c r="J1045" s="147">
        <f t="shared" ref="J1045:J1108" si="317">I1045*(1-F1045)</f>
        <v>48903.749999999993</v>
      </c>
      <c r="K1045" s="122"/>
      <c r="L1045" s="122">
        <v>0</v>
      </c>
      <c r="M1045" s="122">
        <f t="shared" ref="M1045:M1108" si="318">+$L$979*L1045</f>
        <v>0</v>
      </c>
      <c r="N1045" s="122">
        <f t="shared" ref="N1045:N1108" si="319">M1045*(1-F1045)</f>
        <v>0</v>
      </c>
      <c r="O1045" s="122"/>
      <c r="P1045" s="122">
        <v>0</v>
      </c>
      <c r="Q1045" s="122">
        <f t="shared" si="309"/>
        <v>0</v>
      </c>
      <c r="R1045" s="147">
        <f t="shared" si="310"/>
        <v>0</v>
      </c>
      <c r="S1045" s="145">
        <v>15</v>
      </c>
      <c r="T1045" s="144" t="s">
        <v>1161</v>
      </c>
      <c r="U1045" s="90">
        <f>SUMIF('Avoided Costs 2009-2017'!$A:$A,Actuals!T1045&amp;Actuals!S1045,'Avoided Costs 2009-2017'!$E:$E)*J1045</f>
        <v>152371.90248634314</v>
      </c>
      <c r="V1045" s="90">
        <f>SUMIF('Avoided Costs 2009-2017'!$A:$A,Actuals!T1045&amp;Actuals!S1045,'Avoided Costs 2009-2017'!$K:$K)*N1045</f>
        <v>0</v>
      </c>
      <c r="W1045" s="90">
        <f>SUMIF('Avoided Costs 2009-2017'!$A:$A,Actuals!T1045&amp;Actuals!S1045,'Avoided Costs 2009-2017'!$M:$M)*R1045</f>
        <v>0</v>
      </c>
      <c r="X1045" s="90">
        <f t="shared" si="311"/>
        <v>152371.90248634314</v>
      </c>
      <c r="Y1045" s="148">
        <v>33350</v>
      </c>
      <c r="Z1045" s="149">
        <f t="shared" si="312"/>
        <v>16675</v>
      </c>
      <c r="AA1045" s="148"/>
      <c r="AB1045" s="145"/>
      <c r="AC1045" s="145"/>
      <c r="AD1045" s="148">
        <f t="shared" si="313"/>
        <v>16675</v>
      </c>
      <c r="AE1045" s="122">
        <f t="shared" si="314"/>
        <v>135696.90248634314</v>
      </c>
      <c r="AF1045" s="167">
        <f t="shared" si="315"/>
        <v>733556.24999999988</v>
      </c>
    </row>
    <row r="1046" spans="1:32" s="150" customFormat="1" x14ac:dyDescent="0.2">
      <c r="A1046" s="144" t="s">
        <v>445</v>
      </c>
      <c r="B1046" s="144"/>
      <c r="C1046" s="144"/>
      <c r="D1046" s="145">
        <v>1</v>
      </c>
      <c r="E1046" s="122"/>
      <c r="F1046" s="146">
        <v>0.5</v>
      </c>
      <c r="G1046" s="146"/>
      <c r="H1046" s="122">
        <v>95683</v>
      </c>
      <c r="I1046" s="122">
        <f t="shared" si="316"/>
        <v>99031.904999999999</v>
      </c>
      <c r="J1046" s="147">
        <f t="shared" si="317"/>
        <v>49515.952499999999</v>
      </c>
      <c r="K1046" s="122"/>
      <c r="L1046" s="122">
        <v>0</v>
      </c>
      <c r="M1046" s="122">
        <f t="shared" si="318"/>
        <v>0</v>
      </c>
      <c r="N1046" s="122">
        <f t="shared" si="319"/>
        <v>0</v>
      </c>
      <c r="O1046" s="122"/>
      <c r="P1046" s="122">
        <v>0</v>
      </c>
      <c r="Q1046" s="122">
        <f t="shared" si="309"/>
        <v>0</v>
      </c>
      <c r="R1046" s="147">
        <f t="shared" si="310"/>
        <v>0</v>
      </c>
      <c r="S1046" s="145">
        <v>13</v>
      </c>
      <c r="T1046" s="144" t="s">
        <v>1161</v>
      </c>
      <c r="U1046" s="90">
        <f>SUMIF('Avoided Costs 2009-2017'!$A:$A,Actuals!T1046&amp;Actuals!S1046,'Avoided Costs 2009-2017'!$E:$E)*J1046</f>
        <v>141924.44005088951</v>
      </c>
      <c r="V1046" s="90">
        <f>SUMIF('Avoided Costs 2009-2017'!$A:$A,Actuals!T1046&amp;Actuals!S1046,'Avoided Costs 2009-2017'!$K:$K)*N1046</f>
        <v>0</v>
      </c>
      <c r="W1046" s="90">
        <f>SUMIF('Avoided Costs 2009-2017'!$A:$A,Actuals!T1046&amp;Actuals!S1046,'Avoided Costs 2009-2017'!$M:$M)*R1046</f>
        <v>0</v>
      </c>
      <c r="X1046" s="90">
        <f t="shared" si="311"/>
        <v>141924.44005088951</v>
      </c>
      <c r="Y1046" s="148">
        <v>7200</v>
      </c>
      <c r="Z1046" s="149">
        <f t="shared" si="312"/>
        <v>3600</v>
      </c>
      <c r="AA1046" s="148"/>
      <c r="AB1046" s="145"/>
      <c r="AC1046" s="145"/>
      <c r="AD1046" s="148">
        <f t="shared" si="313"/>
        <v>3600</v>
      </c>
      <c r="AE1046" s="122">
        <f t="shared" si="314"/>
        <v>138324.44005088951</v>
      </c>
      <c r="AF1046" s="167">
        <f t="shared" si="315"/>
        <v>643707.38249999995</v>
      </c>
    </row>
    <row r="1047" spans="1:32" s="150" customFormat="1" x14ac:dyDescent="0.2">
      <c r="A1047" s="144" t="s">
        <v>446</v>
      </c>
      <c r="B1047" s="144"/>
      <c r="C1047" s="144"/>
      <c r="D1047" s="145">
        <v>1</v>
      </c>
      <c r="E1047" s="122"/>
      <c r="F1047" s="146">
        <v>0.5</v>
      </c>
      <c r="G1047" s="146"/>
      <c r="H1047" s="122">
        <v>1257530</v>
      </c>
      <c r="I1047" s="122">
        <f>+H1047</f>
        <v>1257530</v>
      </c>
      <c r="J1047" s="147">
        <f t="shared" si="317"/>
        <v>628765</v>
      </c>
      <c r="K1047" s="122"/>
      <c r="L1047" s="122">
        <v>153820</v>
      </c>
      <c r="M1047" s="122">
        <v>149967</v>
      </c>
      <c r="N1047" s="122">
        <f t="shared" si="319"/>
        <v>74983.5</v>
      </c>
      <c r="O1047" s="122"/>
      <c r="P1047" s="122">
        <v>0</v>
      </c>
      <c r="Q1047" s="122">
        <f t="shared" si="309"/>
        <v>0</v>
      </c>
      <c r="R1047" s="147">
        <f t="shared" si="310"/>
        <v>0</v>
      </c>
      <c r="S1047" s="145">
        <v>18</v>
      </c>
      <c r="T1047" s="144" t="s">
        <v>1161</v>
      </c>
      <c r="U1047" s="90">
        <f>SUMIF('Avoided Costs 2009-2017'!$A:$A,Actuals!T1047&amp;Actuals!S1047,'Avoided Costs 2009-2017'!$E:$E)*J1047</f>
        <v>2157972.643095097</v>
      </c>
      <c r="V1047" s="90">
        <f>SUMIF('Avoided Costs 2009-2017'!$A:$A,Actuals!T1047&amp;Actuals!S1047,'Avoided Costs 2009-2017'!$K:$K)*N1047</f>
        <v>61833.252124326442</v>
      </c>
      <c r="W1047" s="90">
        <f>SUMIF('Avoided Costs 2009-2017'!$A:$A,Actuals!T1047&amp;Actuals!S1047,'Avoided Costs 2009-2017'!$M:$M)*R1047</f>
        <v>0</v>
      </c>
      <c r="X1047" s="90">
        <f t="shared" si="311"/>
        <v>2219805.8952194233</v>
      </c>
      <c r="Y1047" s="148">
        <v>209750</v>
      </c>
      <c r="Z1047" s="149">
        <f t="shared" si="312"/>
        <v>104875</v>
      </c>
      <c r="AA1047" s="148"/>
      <c r="AB1047" s="145"/>
      <c r="AC1047" s="145"/>
      <c r="AD1047" s="148">
        <f t="shared" si="313"/>
        <v>104875</v>
      </c>
      <c r="AE1047" s="122">
        <f t="shared" si="314"/>
        <v>2114930.8952194233</v>
      </c>
      <c r="AF1047" s="167">
        <f t="shared" si="315"/>
        <v>11317770</v>
      </c>
    </row>
    <row r="1048" spans="1:32" s="150" customFormat="1" x14ac:dyDescent="0.2">
      <c r="A1048" s="144" t="s">
        <v>447</v>
      </c>
      <c r="B1048" s="144"/>
      <c r="C1048" s="144"/>
      <c r="D1048" s="145">
        <v>1</v>
      </c>
      <c r="E1048" s="122"/>
      <c r="F1048" s="146">
        <v>0.5</v>
      </c>
      <c r="G1048" s="146"/>
      <c r="H1048" s="122">
        <v>604800</v>
      </c>
      <c r="I1048" s="122">
        <f t="shared" si="316"/>
        <v>625968</v>
      </c>
      <c r="J1048" s="147">
        <f t="shared" si="317"/>
        <v>312984</v>
      </c>
      <c r="K1048" s="122"/>
      <c r="L1048" s="122">
        <v>0</v>
      </c>
      <c r="M1048" s="122">
        <f t="shared" si="318"/>
        <v>0</v>
      </c>
      <c r="N1048" s="122">
        <f t="shared" si="319"/>
        <v>0</v>
      </c>
      <c r="O1048" s="122"/>
      <c r="P1048" s="122">
        <v>0</v>
      </c>
      <c r="Q1048" s="122">
        <f t="shared" si="309"/>
        <v>0</v>
      </c>
      <c r="R1048" s="147">
        <f t="shared" si="310"/>
        <v>0</v>
      </c>
      <c r="S1048" s="145">
        <v>15</v>
      </c>
      <c r="T1048" s="144" t="s">
        <v>1161</v>
      </c>
      <c r="U1048" s="90">
        <f>SUMIF('Avoided Costs 2009-2017'!$A:$A,Actuals!T1048&amp;Actuals!S1048,'Avoided Costs 2009-2017'!$E:$E)*J1048</f>
        <v>975180.17591259617</v>
      </c>
      <c r="V1048" s="90">
        <f>SUMIF('Avoided Costs 2009-2017'!$A:$A,Actuals!T1048&amp;Actuals!S1048,'Avoided Costs 2009-2017'!$K:$K)*N1048</f>
        <v>0</v>
      </c>
      <c r="W1048" s="90">
        <f>SUMIF('Avoided Costs 2009-2017'!$A:$A,Actuals!T1048&amp;Actuals!S1048,'Avoided Costs 2009-2017'!$M:$M)*R1048</f>
        <v>0</v>
      </c>
      <c r="X1048" s="90">
        <f t="shared" si="311"/>
        <v>975180.17591259617</v>
      </c>
      <c r="Y1048" s="148">
        <v>373541</v>
      </c>
      <c r="Z1048" s="149">
        <f t="shared" si="312"/>
        <v>186770.5</v>
      </c>
      <c r="AA1048" s="148"/>
      <c r="AB1048" s="145"/>
      <c r="AC1048" s="145"/>
      <c r="AD1048" s="148">
        <f t="shared" si="313"/>
        <v>186770.5</v>
      </c>
      <c r="AE1048" s="122">
        <f t="shared" si="314"/>
        <v>788409.67591259617</v>
      </c>
      <c r="AF1048" s="167">
        <f t="shared" si="315"/>
        <v>4694760</v>
      </c>
    </row>
    <row r="1049" spans="1:32" s="150" customFormat="1" x14ac:dyDescent="0.2">
      <c r="A1049" s="144" t="s">
        <v>448</v>
      </c>
      <c r="B1049" s="144"/>
      <c r="C1049" s="144"/>
      <c r="D1049" s="145">
        <v>1</v>
      </c>
      <c r="E1049" s="122"/>
      <c r="F1049" s="146">
        <v>0.5</v>
      </c>
      <c r="G1049" s="146"/>
      <c r="H1049" s="122">
        <v>4835537</v>
      </c>
      <c r="I1049" s="122">
        <f>+H1049</f>
        <v>4835537</v>
      </c>
      <c r="J1049" s="147">
        <f t="shared" si="317"/>
        <v>2417768.5</v>
      </c>
      <c r="K1049" s="122"/>
      <c r="L1049" s="122">
        <v>0</v>
      </c>
      <c r="M1049" s="122">
        <f t="shared" si="318"/>
        <v>0</v>
      </c>
      <c r="N1049" s="122">
        <f t="shared" si="319"/>
        <v>0</v>
      </c>
      <c r="O1049" s="122"/>
      <c r="P1049" s="122">
        <v>0</v>
      </c>
      <c r="Q1049" s="122">
        <f t="shared" si="309"/>
        <v>0</v>
      </c>
      <c r="R1049" s="147">
        <f t="shared" si="310"/>
        <v>0</v>
      </c>
      <c r="S1049" s="145">
        <v>20</v>
      </c>
      <c r="T1049" s="144" t="s">
        <v>1161</v>
      </c>
      <c r="U1049" s="90">
        <f>SUMIF('Avoided Costs 2009-2017'!$A:$A,Actuals!T1049&amp;Actuals!S1049,'Avoided Costs 2009-2017'!$E:$E)*J1049</f>
        <v>8728099.6573969331</v>
      </c>
      <c r="V1049" s="90">
        <f>SUMIF('Avoided Costs 2009-2017'!$A:$A,Actuals!T1049&amp;Actuals!S1049,'Avoided Costs 2009-2017'!$K:$K)*N1049</f>
        <v>0</v>
      </c>
      <c r="W1049" s="90">
        <f>SUMIF('Avoided Costs 2009-2017'!$A:$A,Actuals!T1049&amp;Actuals!S1049,'Avoided Costs 2009-2017'!$M:$M)*R1049</f>
        <v>0</v>
      </c>
      <c r="X1049" s="90">
        <f t="shared" si="311"/>
        <v>8728099.6573969331</v>
      </c>
      <c r="Y1049" s="148">
        <v>3486667</v>
      </c>
      <c r="Z1049" s="149">
        <f t="shared" si="312"/>
        <v>1743333.5</v>
      </c>
      <c r="AA1049" s="148"/>
      <c r="AB1049" s="145"/>
      <c r="AC1049" s="145"/>
      <c r="AD1049" s="148">
        <f t="shared" si="313"/>
        <v>1743333.5</v>
      </c>
      <c r="AE1049" s="122">
        <f t="shared" si="314"/>
        <v>6984766.1573969331</v>
      </c>
      <c r="AF1049" s="167">
        <f t="shared" si="315"/>
        <v>48355370</v>
      </c>
    </row>
    <row r="1050" spans="1:32" s="150" customFormat="1" x14ac:dyDescent="0.2">
      <c r="A1050" s="144" t="s">
        <v>449</v>
      </c>
      <c r="B1050" s="144"/>
      <c r="C1050" s="144"/>
      <c r="D1050" s="145">
        <v>1</v>
      </c>
      <c r="E1050" s="122"/>
      <c r="F1050" s="146">
        <v>0.5</v>
      </c>
      <c r="G1050" s="146"/>
      <c r="H1050" s="122">
        <v>131515</v>
      </c>
      <c r="I1050" s="122">
        <f t="shared" si="316"/>
        <v>136118.02499999999</v>
      </c>
      <c r="J1050" s="147">
        <f t="shared" si="317"/>
        <v>68059.012499999997</v>
      </c>
      <c r="K1050" s="122"/>
      <c r="L1050" s="122">
        <v>0</v>
      </c>
      <c r="M1050" s="122">
        <f t="shared" si="318"/>
        <v>0</v>
      </c>
      <c r="N1050" s="122">
        <f t="shared" si="319"/>
        <v>0</v>
      </c>
      <c r="O1050" s="122"/>
      <c r="P1050" s="122">
        <v>0</v>
      </c>
      <c r="Q1050" s="122">
        <f t="shared" si="309"/>
        <v>0</v>
      </c>
      <c r="R1050" s="147">
        <f t="shared" si="310"/>
        <v>0</v>
      </c>
      <c r="S1050" s="145">
        <v>25</v>
      </c>
      <c r="T1050" s="144" t="s">
        <v>1161</v>
      </c>
      <c r="U1050" s="90">
        <f>SUMIF('Avoided Costs 2009-2017'!$A:$A,Actuals!T1050&amp;Actuals!S1050,'Avoided Costs 2009-2017'!$E:$E)*J1050</f>
        <v>269674.38822922797</v>
      </c>
      <c r="V1050" s="90">
        <f>SUMIF('Avoided Costs 2009-2017'!$A:$A,Actuals!T1050&amp;Actuals!S1050,'Avoided Costs 2009-2017'!$K:$K)*N1050</f>
        <v>0</v>
      </c>
      <c r="W1050" s="90">
        <f>SUMIF('Avoided Costs 2009-2017'!$A:$A,Actuals!T1050&amp;Actuals!S1050,'Avoided Costs 2009-2017'!$M:$M)*R1050</f>
        <v>0</v>
      </c>
      <c r="X1050" s="90">
        <f t="shared" si="311"/>
        <v>269674.38822922797</v>
      </c>
      <c r="Y1050" s="148">
        <v>59746</v>
      </c>
      <c r="Z1050" s="149">
        <f t="shared" si="312"/>
        <v>29873</v>
      </c>
      <c r="AA1050" s="148"/>
      <c r="AB1050" s="145"/>
      <c r="AC1050" s="145"/>
      <c r="AD1050" s="148">
        <f t="shared" si="313"/>
        <v>29873</v>
      </c>
      <c r="AE1050" s="122">
        <f t="shared" si="314"/>
        <v>239801.38822922797</v>
      </c>
      <c r="AF1050" s="167">
        <f t="shared" si="315"/>
        <v>1701475.3125</v>
      </c>
    </row>
    <row r="1051" spans="1:32" s="150" customFormat="1" x14ac:dyDescent="0.2">
      <c r="A1051" s="144" t="s">
        <v>450</v>
      </c>
      <c r="B1051" s="144"/>
      <c r="C1051" s="144"/>
      <c r="D1051" s="145">
        <v>0</v>
      </c>
      <c r="E1051" s="122"/>
      <c r="F1051" s="146">
        <v>0.5</v>
      </c>
      <c r="G1051" s="146"/>
      <c r="H1051" s="122">
        <v>21384</v>
      </c>
      <c r="I1051" s="122">
        <f t="shared" si="316"/>
        <v>22132.44</v>
      </c>
      <c r="J1051" s="147">
        <f t="shared" si="317"/>
        <v>11066.22</v>
      </c>
      <c r="K1051" s="122"/>
      <c r="L1051" s="122">
        <v>0</v>
      </c>
      <c r="M1051" s="122">
        <f t="shared" si="318"/>
        <v>0</v>
      </c>
      <c r="N1051" s="122">
        <f t="shared" si="319"/>
        <v>0</v>
      </c>
      <c r="O1051" s="122"/>
      <c r="P1051" s="122">
        <v>0</v>
      </c>
      <c r="Q1051" s="122">
        <f t="shared" si="309"/>
        <v>0</v>
      </c>
      <c r="R1051" s="147">
        <f t="shared" si="310"/>
        <v>0</v>
      </c>
      <c r="S1051" s="145">
        <v>15</v>
      </c>
      <c r="T1051" s="144" t="s">
        <v>1161</v>
      </c>
      <c r="U1051" s="90">
        <f>SUMIF('Avoided Costs 2009-2017'!$A:$A,Actuals!T1051&amp;Actuals!S1051,'Avoided Costs 2009-2017'!$E:$E)*J1051</f>
        <v>34479.584791195368</v>
      </c>
      <c r="V1051" s="90">
        <f>SUMIF('Avoided Costs 2009-2017'!$A:$A,Actuals!T1051&amp;Actuals!S1051,'Avoided Costs 2009-2017'!$K:$K)*N1051</f>
        <v>0</v>
      </c>
      <c r="W1051" s="90">
        <f>SUMIF('Avoided Costs 2009-2017'!$A:$A,Actuals!T1051&amp;Actuals!S1051,'Avoided Costs 2009-2017'!$M:$M)*R1051</f>
        <v>0</v>
      </c>
      <c r="X1051" s="90">
        <f t="shared" si="311"/>
        <v>34479.584791195368</v>
      </c>
      <c r="Y1051" s="148">
        <v>77465</v>
      </c>
      <c r="Z1051" s="149">
        <f t="shared" si="312"/>
        <v>38732.5</v>
      </c>
      <c r="AA1051" s="148"/>
      <c r="AB1051" s="145"/>
      <c r="AC1051" s="145"/>
      <c r="AD1051" s="148">
        <f t="shared" si="313"/>
        <v>38732.5</v>
      </c>
      <c r="AE1051" s="122">
        <f t="shared" si="314"/>
        <v>-4252.9152088046321</v>
      </c>
      <c r="AF1051" s="167">
        <f t="shared" si="315"/>
        <v>165993.29999999999</v>
      </c>
    </row>
    <row r="1052" spans="1:32" s="150" customFormat="1" x14ac:dyDescent="0.2">
      <c r="A1052" s="144" t="s">
        <v>451</v>
      </c>
      <c r="B1052" s="144"/>
      <c r="C1052" s="144"/>
      <c r="D1052" s="145">
        <v>1</v>
      </c>
      <c r="E1052" s="122"/>
      <c r="F1052" s="146">
        <v>0.5</v>
      </c>
      <c r="G1052" s="146"/>
      <c r="H1052" s="122">
        <v>859082</v>
      </c>
      <c r="I1052" s="122">
        <f t="shared" si="316"/>
        <v>889149.86999999988</v>
      </c>
      <c r="J1052" s="147">
        <f t="shared" si="317"/>
        <v>444574.93499999994</v>
      </c>
      <c r="K1052" s="122"/>
      <c r="L1052" s="122">
        <v>0</v>
      </c>
      <c r="M1052" s="122">
        <f t="shared" si="318"/>
        <v>0</v>
      </c>
      <c r="N1052" s="122">
        <f t="shared" si="319"/>
        <v>0</v>
      </c>
      <c r="O1052" s="122"/>
      <c r="P1052" s="122">
        <v>0</v>
      </c>
      <c r="Q1052" s="122">
        <f t="shared" si="309"/>
        <v>0</v>
      </c>
      <c r="R1052" s="147">
        <f t="shared" si="310"/>
        <v>0</v>
      </c>
      <c r="S1052" s="145">
        <v>15</v>
      </c>
      <c r="T1052" s="144" t="s">
        <v>1161</v>
      </c>
      <c r="U1052" s="90">
        <f>SUMIF('Avoided Costs 2009-2017'!$A:$A,Actuals!T1052&amp;Actuals!S1052,'Avoided Costs 2009-2017'!$E:$E)*J1052</f>
        <v>1385184.7484843666</v>
      </c>
      <c r="V1052" s="90">
        <f>SUMIF('Avoided Costs 2009-2017'!$A:$A,Actuals!T1052&amp;Actuals!S1052,'Avoided Costs 2009-2017'!$K:$K)*N1052</f>
        <v>0</v>
      </c>
      <c r="W1052" s="90">
        <f>SUMIF('Avoided Costs 2009-2017'!$A:$A,Actuals!T1052&amp;Actuals!S1052,'Avoided Costs 2009-2017'!$M:$M)*R1052</f>
        <v>0</v>
      </c>
      <c r="X1052" s="90">
        <f t="shared" si="311"/>
        <v>1385184.7484843666</v>
      </c>
      <c r="Y1052" s="148">
        <v>127400</v>
      </c>
      <c r="Z1052" s="149">
        <f t="shared" si="312"/>
        <v>63700</v>
      </c>
      <c r="AA1052" s="148"/>
      <c r="AB1052" s="145"/>
      <c r="AC1052" s="145"/>
      <c r="AD1052" s="148">
        <f t="shared" si="313"/>
        <v>63700</v>
      </c>
      <c r="AE1052" s="122">
        <f t="shared" si="314"/>
        <v>1321484.7484843666</v>
      </c>
      <c r="AF1052" s="167">
        <f t="shared" si="315"/>
        <v>6668624.0249999994</v>
      </c>
    </row>
    <row r="1053" spans="1:32" s="150" customFormat="1" x14ac:dyDescent="0.2">
      <c r="A1053" s="144" t="s">
        <v>452</v>
      </c>
      <c r="B1053" s="144"/>
      <c r="C1053" s="144"/>
      <c r="D1053" s="145">
        <v>1</v>
      </c>
      <c r="E1053" s="122"/>
      <c r="F1053" s="146">
        <v>0.5</v>
      </c>
      <c r="G1053" s="146"/>
      <c r="H1053" s="122">
        <v>613846</v>
      </c>
      <c r="I1053" s="122">
        <f t="shared" si="316"/>
        <v>635330.61</v>
      </c>
      <c r="J1053" s="147">
        <f t="shared" si="317"/>
        <v>317665.30499999999</v>
      </c>
      <c r="K1053" s="122"/>
      <c r="L1053" s="122">
        <v>0</v>
      </c>
      <c r="M1053" s="122">
        <f t="shared" si="318"/>
        <v>0</v>
      </c>
      <c r="N1053" s="122">
        <f t="shared" si="319"/>
        <v>0</v>
      </c>
      <c r="O1053" s="122"/>
      <c r="P1053" s="122">
        <v>0</v>
      </c>
      <c r="Q1053" s="122">
        <f t="shared" si="309"/>
        <v>0</v>
      </c>
      <c r="R1053" s="147">
        <f t="shared" si="310"/>
        <v>0</v>
      </c>
      <c r="S1053" s="145">
        <v>18</v>
      </c>
      <c r="T1053" s="144" t="s">
        <v>1161</v>
      </c>
      <c r="U1053" s="90">
        <f>SUMIF('Avoided Costs 2009-2017'!$A:$A,Actuals!T1053&amp;Actuals!S1053,'Avoided Costs 2009-2017'!$E:$E)*J1053</f>
        <v>1090253.1754319342</v>
      </c>
      <c r="V1053" s="90">
        <f>SUMIF('Avoided Costs 2009-2017'!$A:$A,Actuals!T1053&amp;Actuals!S1053,'Avoided Costs 2009-2017'!$K:$K)*N1053</f>
        <v>0</v>
      </c>
      <c r="W1053" s="90">
        <f>SUMIF('Avoided Costs 2009-2017'!$A:$A,Actuals!T1053&amp;Actuals!S1053,'Avoided Costs 2009-2017'!$M:$M)*R1053</f>
        <v>0</v>
      </c>
      <c r="X1053" s="90">
        <f t="shared" si="311"/>
        <v>1090253.1754319342</v>
      </c>
      <c r="Y1053" s="148">
        <v>115856</v>
      </c>
      <c r="Z1053" s="149">
        <f t="shared" si="312"/>
        <v>57928</v>
      </c>
      <c r="AA1053" s="148"/>
      <c r="AB1053" s="145"/>
      <c r="AC1053" s="145"/>
      <c r="AD1053" s="148">
        <f t="shared" si="313"/>
        <v>57928</v>
      </c>
      <c r="AE1053" s="122">
        <f t="shared" si="314"/>
        <v>1032325.1754319342</v>
      </c>
      <c r="AF1053" s="167">
        <f t="shared" si="315"/>
        <v>5717975.4900000002</v>
      </c>
    </row>
    <row r="1054" spans="1:32" s="150" customFormat="1" x14ac:dyDescent="0.2">
      <c r="A1054" s="144" t="s">
        <v>453</v>
      </c>
      <c r="B1054" s="144"/>
      <c r="C1054" s="144"/>
      <c r="D1054" s="145">
        <v>1</v>
      </c>
      <c r="E1054" s="122"/>
      <c r="F1054" s="146">
        <v>0.5</v>
      </c>
      <c r="G1054" s="146"/>
      <c r="H1054" s="122">
        <v>3881172</v>
      </c>
      <c r="I1054" s="122">
        <f>+H1054</f>
        <v>3881172</v>
      </c>
      <c r="J1054" s="147">
        <f t="shared" si="317"/>
        <v>1940586</v>
      </c>
      <c r="K1054" s="122"/>
      <c r="L1054" s="122">
        <v>3323978</v>
      </c>
      <c r="M1054" s="122">
        <f>+L1054</f>
        <v>3323978</v>
      </c>
      <c r="N1054" s="122">
        <f t="shared" si="319"/>
        <v>1661989</v>
      </c>
      <c r="O1054" s="122"/>
      <c r="P1054" s="122">
        <v>0</v>
      </c>
      <c r="Q1054" s="122">
        <f t="shared" si="309"/>
        <v>0</v>
      </c>
      <c r="R1054" s="147">
        <f t="shared" si="310"/>
        <v>0</v>
      </c>
      <c r="S1054" s="145">
        <v>18</v>
      </c>
      <c r="T1054" s="144" t="s">
        <v>1161</v>
      </c>
      <c r="U1054" s="90">
        <f>SUMIF('Avoided Costs 2009-2017'!$A:$A,Actuals!T1054&amp;Actuals!S1054,'Avoided Costs 2009-2017'!$E:$E)*J1054</f>
        <v>6660249.0589860156</v>
      </c>
      <c r="V1054" s="90">
        <f>SUMIF('Avoided Costs 2009-2017'!$A:$A,Actuals!T1054&amp;Actuals!S1054,'Avoided Costs 2009-2017'!$K:$K)*N1054</f>
        <v>1370517.3120067373</v>
      </c>
      <c r="W1054" s="90">
        <f>SUMIF('Avoided Costs 2009-2017'!$A:$A,Actuals!T1054&amp;Actuals!S1054,'Avoided Costs 2009-2017'!$M:$M)*R1054</f>
        <v>0</v>
      </c>
      <c r="X1054" s="90">
        <f t="shared" si="311"/>
        <v>8030766.3709927527</v>
      </c>
      <c r="Y1054" s="148">
        <v>249142</v>
      </c>
      <c r="Z1054" s="149">
        <f t="shared" si="312"/>
        <v>124571</v>
      </c>
      <c r="AA1054" s="148"/>
      <c r="AB1054" s="145"/>
      <c r="AC1054" s="145"/>
      <c r="AD1054" s="148">
        <f t="shared" si="313"/>
        <v>124571</v>
      </c>
      <c r="AE1054" s="122">
        <f t="shared" si="314"/>
        <v>7906195.3709927527</v>
      </c>
      <c r="AF1054" s="167">
        <f t="shared" si="315"/>
        <v>34930548</v>
      </c>
    </row>
    <row r="1055" spans="1:32" s="150" customFormat="1" x14ac:dyDescent="0.2">
      <c r="A1055" s="144" t="s">
        <v>454</v>
      </c>
      <c r="B1055" s="144"/>
      <c r="C1055" s="144"/>
      <c r="D1055" s="145">
        <v>1</v>
      </c>
      <c r="E1055" s="122"/>
      <c r="F1055" s="146">
        <v>0.5</v>
      </c>
      <c r="G1055" s="146"/>
      <c r="H1055" s="122">
        <v>133238</v>
      </c>
      <c r="I1055" s="122">
        <f t="shared" si="316"/>
        <v>137901.32999999999</v>
      </c>
      <c r="J1055" s="147">
        <f t="shared" si="317"/>
        <v>68950.664999999994</v>
      </c>
      <c r="K1055" s="122"/>
      <c r="L1055" s="122">
        <v>0</v>
      </c>
      <c r="M1055" s="122">
        <f t="shared" si="318"/>
        <v>0</v>
      </c>
      <c r="N1055" s="122">
        <f t="shared" si="319"/>
        <v>0</v>
      </c>
      <c r="O1055" s="122"/>
      <c r="P1055" s="122">
        <v>0</v>
      </c>
      <c r="Q1055" s="122">
        <f t="shared" si="309"/>
        <v>0</v>
      </c>
      <c r="R1055" s="147">
        <f t="shared" si="310"/>
        <v>0</v>
      </c>
      <c r="S1055" s="145">
        <v>15</v>
      </c>
      <c r="T1055" s="144" t="s">
        <v>1161</v>
      </c>
      <c r="U1055" s="90">
        <f>SUMIF('Avoided Costs 2009-2017'!$A:$A,Actuals!T1055&amp;Actuals!S1055,'Avoided Costs 2009-2017'!$E:$E)*J1055</f>
        <v>214833.09569815226</v>
      </c>
      <c r="V1055" s="90">
        <f>SUMIF('Avoided Costs 2009-2017'!$A:$A,Actuals!T1055&amp;Actuals!S1055,'Avoided Costs 2009-2017'!$K:$K)*N1055</f>
        <v>0</v>
      </c>
      <c r="W1055" s="90">
        <f>SUMIF('Avoided Costs 2009-2017'!$A:$A,Actuals!T1055&amp;Actuals!S1055,'Avoided Costs 2009-2017'!$M:$M)*R1055</f>
        <v>0</v>
      </c>
      <c r="X1055" s="90">
        <f t="shared" si="311"/>
        <v>214833.09569815226</v>
      </c>
      <c r="Y1055" s="148">
        <v>10072</v>
      </c>
      <c r="Z1055" s="149">
        <f t="shared" si="312"/>
        <v>5036</v>
      </c>
      <c r="AA1055" s="148"/>
      <c r="AB1055" s="145"/>
      <c r="AC1055" s="145"/>
      <c r="AD1055" s="148">
        <f t="shared" si="313"/>
        <v>5036</v>
      </c>
      <c r="AE1055" s="122">
        <f t="shared" si="314"/>
        <v>209797.09569815226</v>
      </c>
      <c r="AF1055" s="167">
        <f t="shared" si="315"/>
        <v>1034259.9749999999</v>
      </c>
    </row>
    <row r="1056" spans="1:32" s="150" customFormat="1" x14ac:dyDescent="0.2">
      <c r="A1056" s="144" t="s">
        <v>455</v>
      </c>
      <c r="B1056" s="144"/>
      <c r="C1056" s="144"/>
      <c r="D1056" s="145">
        <v>1</v>
      </c>
      <c r="E1056" s="122"/>
      <c r="F1056" s="146">
        <v>0.5</v>
      </c>
      <c r="G1056" s="146"/>
      <c r="H1056" s="122">
        <v>4835537</v>
      </c>
      <c r="I1056" s="122">
        <f>+H1056</f>
        <v>4835537</v>
      </c>
      <c r="J1056" s="147">
        <f t="shared" si="317"/>
        <v>2417768.5</v>
      </c>
      <c r="K1056" s="122"/>
      <c r="L1056" s="122">
        <v>0</v>
      </c>
      <c r="M1056" s="122">
        <f t="shared" si="318"/>
        <v>0</v>
      </c>
      <c r="N1056" s="122">
        <f t="shared" si="319"/>
        <v>0</v>
      </c>
      <c r="O1056" s="122"/>
      <c r="P1056" s="122">
        <v>0</v>
      </c>
      <c r="Q1056" s="122">
        <f t="shared" si="309"/>
        <v>0</v>
      </c>
      <c r="R1056" s="147">
        <f t="shared" si="310"/>
        <v>0</v>
      </c>
      <c r="S1056" s="145">
        <v>20</v>
      </c>
      <c r="T1056" s="144" t="s">
        <v>1161</v>
      </c>
      <c r="U1056" s="90">
        <f>SUMIF('Avoided Costs 2009-2017'!$A:$A,Actuals!T1056&amp;Actuals!S1056,'Avoided Costs 2009-2017'!$E:$E)*J1056</f>
        <v>8728099.6573969331</v>
      </c>
      <c r="V1056" s="90">
        <f>SUMIF('Avoided Costs 2009-2017'!$A:$A,Actuals!T1056&amp;Actuals!S1056,'Avoided Costs 2009-2017'!$K:$K)*N1056</f>
        <v>0</v>
      </c>
      <c r="W1056" s="90">
        <f>SUMIF('Avoided Costs 2009-2017'!$A:$A,Actuals!T1056&amp;Actuals!S1056,'Avoided Costs 2009-2017'!$M:$M)*R1056</f>
        <v>0</v>
      </c>
      <c r="X1056" s="90">
        <f t="shared" si="311"/>
        <v>8728099.6573969331</v>
      </c>
      <c r="Y1056" s="148">
        <v>3486667</v>
      </c>
      <c r="Z1056" s="149">
        <f t="shared" si="312"/>
        <v>1743333.5</v>
      </c>
      <c r="AA1056" s="148"/>
      <c r="AB1056" s="145"/>
      <c r="AC1056" s="145"/>
      <c r="AD1056" s="148">
        <f t="shared" si="313"/>
        <v>1743333.5</v>
      </c>
      <c r="AE1056" s="122">
        <f t="shared" si="314"/>
        <v>6984766.1573969331</v>
      </c>
      <c r="AF1056" s="167">
        <f t="shared" si="315"/>
        <v>48355370</v>
      </c>
    </row>
    <row r="1057" spans="1:32" s="150" customFormat="1" x14ac:dyDescent="0.2">
      <c r="A1057" s="144" t="s">
        <v>456</v>
      </c>
      <c r="B1057" s="144"/>
      <c r="C1057" s="144"/>
      <c r="D1057" s="145">
        <v>1</v>
      </c>
      <c r="E1057" s="122"/>
      <c r="F1057" s="146">
        <v>0.5</v>
      </c>
      <c r="G1057" s="146"/>
      <c r="H1057" s="122">
        <v>1444366</v>
      </c>
      <c r="I1057" s="122">
        <v>2274592</v>
      </c>
      <c r="J1057" s="147">
        <f t="shared" si="317"/>
        <v>1137296</v>
      </c>
      <c r="K1057" s="122"/>
      <c r="L1057" s="122">
        <v>0</v>
      </c>
      <c r="M1057" s="122">
        <v>-253026</v>
      </c>
      <c r="N1057" s="122">
        <f t="shared" si="319"/>
        <v>-126513</v>
      </c>
      <c r="O1057" s="122"/>
      <c r="P1057" s="122">
        <v>362427</v>
      </c>
      <c r="Q1057" s="122">
        <v>570460</v>
      </c>
      <c r="R1057" s="147">
        <f t="shared" si="310"/>
        <v>285230</v>
      </c>
      <c r="S1057" s="145">
        <v>20</v>
      </c>
      <c r="T1057" s="144" t="s">
        <v>1161</v>
      </c>
      <c r="U1057" s="90">
        <f>SUMIF('Avoided Costs 2009-2017'!$A:$A,Actuals!T1057&amp;Actuals!S1057,'Avoided Costs 2009-2017'!$E:$E)*J1057</f>
        <v>4105617.5675871787</v>
      </c>
      <c r="V1057" s="90">
        <f>SUMIF('Avoided Costs 2009-2017'!$A:$A,Actuals!T1057&amp;Actuals!S1057,'Avoided Costs 2009-2017'!$K:$K)*N1057</f>
        <v>-109915.66634652637</v>
      </c>
      <c r="W1057" s="90">
        <f>SUMIF('Avoided Costs 2009-2017'!$A:$A,Actuals!T1057&amp;Actuals!S1057,'Avoided Costs 2009-2017'!$M:$M)*R1057</f>
        <v>4312416.3750730902</v>
      </c>
      <c r="X1057" s="90">
        <f t="shared" si="311"/>
        <v>8308118.2763137426</v>
      </c>
      <c r="Y1057" s="148">
        <v>1114900</v>
      </c>
      <c r="Z1057" s="149">
        <f t="shared" si="312"/>
        <v>557450</v>
      </c>
      <c r="AA1057" s="148"/>
      <c r="AB1057" s="145"/>
      <c r="AC1057" s="145"/>
      <c r="AD1057" s="148">
        <f t="shared" si="313"/>
        <v>557450</v>
      </c>
      <c r="AE1057" s="122">
        <f t="shared" si="314"/>
        <v>7750668.2763137426</v>
      </c>
      <c r="AF1057" s="167">
        <f t="shared" si="315"/>
        <v>22745920</v>
      </c>
    </row>
    <row r="1058" spans="1:32" s="150" customFormat="1" x14ac:dyDescent="0.2">
      <c r="A1058" s="144" t="s">
        <v>457</v>
      </c>
      <c r="B1058" s="144"/>
      <c r="C1058" s="144"/>
      <c r="D1058" s="145">
        <v>1</v>
      </c>
      <c r="E1058" s="122"/>
      <c r="F1058" s="146">
        <v>0.5</v>
      </c>
      <c r="G1058" s="146"/>
      <c r="H1058" s="122">
        <v>2573024</v>
      </c>
      <c r="I1058" s="122">
        <f>+H1058</f>
        <v>2573024</v>
      </c>
      <c r="J1058" s="147">
        <f t="shared" si="317"/>
        <v>1286512</v>
      </c>
      <c r="K1058" s="122"/>
      <c r="L1058" s="122">
        <v>0</v>
      </c>
      <c r="M1058" s="122">
        <f t="shared" si="318"/>
        <v>0</v>
      </c>
      <c r="N1058" s="122">
        <f t="shared" si="319"/>
        <v>0</v>
      </c>
      <c r="O1058" s="122"/>
      <c r="P1058" s="122">
        <v>0</v>
      </c>
      <c r="Q1058" s="122">
        <f t="shared" si="309"/>
        <v>0</v>
      </c>
      <c r="R1058" s="147">
        <f t="shared" si="310"/>
        <v>0</v>
      </c>
      <c r="S1058" s="145">
        <v>15</v>
      </c>
      <c r="T1058" s="144" t="s">
        <v>1161</v>
      </c>
      <c r="U1058" s="90">
        <f>SUMIF('Avoided Costs 2009-2017'!$A:$A,Actuals!T1058&amp;Actuals!S1058,'Avoided Costs 2009-2017'!$E:$E)*J1058</f>
        <v>4008450.9063519733</v>
      </c>
      <c r="V1058" s="90">
        <f>SUMIF('Avoided Costs 2009-2017'!$A:$A,Actuals!T1058&amp;Actuals!S1058,'Avoided Costs 2009-2017'!$K:$K)*N1058</f>
        <v>0</v>
      </c>
      <c r="W1058" s="90">
        <f>SUMIF('Avoided Costs 2009-2017'!$A:$A,Actuals!T1058&amp;Actuals!S1058,'Avoided Costs 2009-2017'!$M:$M)*R1058</f>
        <v>0</v>
      </c>
      <c r="X1058" s="90">
        <f t="shared" si="311"/>
        <v>4008450.9063519733</v>
      </c>
      <c r="Y1058" s="148">
        <v>127400</v>
      </c>
      <c r="Z1058" s="149">
        <f t="shared" si="312"/>
        <v>63700</v>
      </c>
      <c r="AA1058" s="148"/>
      <c r="AB1058" s="145"/>
      <c r="AC1058" s="145"/>
      <c r="AD1058" s="148">
        <f t="shared" si="313"/>
        <v>63700</v>
      </c>
      <c r="AE1058" s="122">
        <f t="shared" si="314"/>
        <v>3944750.9063519733</v>
      </c>
      <c r="AF1058" s="167">
        <f t="shared" si="315"/>
        <v>19297680</v>
      </c>
    </row>
    <row r="1059" spans="1:32" s="150" customFormat="1" x14ac:dyDescent="0.2">
      <c r="A1059" s="144" t="s">
        <v>458</v>
      </c>
      <c r="B1059" s="144"/>
      <c r="C1059" s="144"/>
      <c r="D1059" s="145">
        <v>0</v>
      </c>
      <c r="E1059" s="122"/>
      <c r="F1059" s="146">
        <v>0.5</v>
      </c>
      <c r="G1059" s="146"/>
      <c r="H1059" s="122">
        <v>0</v>
      </c>
      <c r="I1059" s="122">
        <f t="shared" si="316"/>
        <v>0</v>
      </c>
      <c r="J1059" s="147">
        <f t="shared" si="317"/>
        <v>0</v>
      </c>
      <c r="K1059" s="122"/>
      <c r="L1059" s="122">
        <v>0</v>
      </c>
      <c r="M1059" s="122">
        <f t="shared" si="318"/>
        <v>0</v>
      </c>
      <c r="N1059" s="122">
        <f t="shared" si="319"/>
        <v>0</v>
      </c>
      <c r="O1059" s="122"/>
      <c r="P1059" s="122">
        <v>0</v>
      </c>
      <c r="Q1059" s="122">
        <f t="shared" si="309"/>
        <v>0</v>
      </c>
      <c r="R1059" s="147">
        <f t="shared" si="310"/>
        <v>0</v>
      </c>
      <c r="S1059" s="145">
        <v>1</v>
      </c>
      <c r="T1059" s="144" t="s">
        <v>1161</v>
      </c>
      <c r="U1059" s="90">
        <f>SUMIF('Avoided Costs 2009-2017'!$A:$A,Actuals!T1059&amp;Actuals!S1059,'Avoided Costs 2009-2017'!$E:$E)*J1059</f>
        <v>0</v>
      </c>
      <c r="V1059" s="90">
        <f>SUMIF('Avoided Costs 2009-2017'!$A:$A,Actuals!T1059&amp;Actuals!S1059,'Avoided Costs 2009-2017'!$K:$K)*N1059</f>
        <v>0</v>
      </c>
      <c r="W1059" s="90">
        <f>SUMIF('Avoided Costs 2009-2017'!$A:$A,Actuals!T1059&amp;Actuals!S1059,'Avoided Costs 2009-2017'!$M:$M)*R1059</f>
        <v>0</v>
      </c>
      <c r="X1059" s="90">
        <f t="shared" si="311"/>
        <v>0</v>
      </c>
      <c r="Y1059" s="148">
        <v>0</v>
      </c>
      <c r="Z1059" s="149">
        <f t="shared" si="312"/>
        <v>0</v>
      </c>
      <c r="AA1059" s="148"/>
      <c r="AB1059" s="145"/>
      <c r="AC1059" s="145"/>
      <c r="AD1059" s="148">
        <f t="shared" si="313"/>
        <v>0</v>
      </c>
      <c r="AE1059" s="122">
        <f t="shared" si="314"/>
        <v>0</v>
      </c>
      <c r="AF1059" s="167">
        <f t="shared" si="315"/>
        <v>0</v>
      </c>
    </row>
    <row r="1060" spans="1:32" s="150" customFormat="1" x14ac:dyDescent="0.2">
      <c r="A1060" s="144" t="s">
        <v>459</v>
      </c>
      <c r="B1060" s="144"/>
      <c r="C1060" s="144"/>
      <c r="D1060" s="145">
        <v>1</v>
      </c>
      <c r="E1060" s="122"/>
      <c r="F1060" s="146">
        <v>0.5</v>
      </c>
      <c r="G1060" s="146"/>
      <c r="H1060" s="122">
        <v>192903</v>
      </c>
      <c r="I1060" s="122">
        <f t="shared" si="316"/>
        <v>199654.60499999998</v>
      </c>
      <c r="J1060" s="147">
        <f t="shared" si="317"/>
        <v>99827.302499999991</v>
      </c>
      <c r="K1060" s="122"/>
      <c r="L1060" s="122">
        <v>0</v>
      </c>
      <c r="M1060" s="122">
        <f t="shared" si="318"/>
        <v>0</v>
      </c>
      <c r="N1060" s="122">
        <f t="shared" si="319"/>
        <v>0</v>
      </c>
      <c r="O1060" s="122"/>
      <c r="P1060" s="122">
        <v>0</v>
      </c>
      <c r="Q1060" s="122">
        <f t="shared" si="309"/>
        <v>0</v>
      </c>
      <c r="R1060" s="147">
        <f t="shared" si="310"/>
        <v>0</v>
      </c>
      <c r="S1060" s="145">
        <v>15</v>
      </c>
      <c r="T1060" s="144" t="s">
        <v>1161</v>
      </c>
      <c r="U1060" s="90">
        <f>SUMIF('Avoided Costs 2009-2017'!$A:$A,Actuals!T1060&amp;Actuals!S1060,'Avoided Costs 2009-2017'!$E:$E)*J1060</f>
        <v>311037.00640553492</v>
      </c>
      <c r="V1060" s="90">
        <f>SUMIF('Avoided Costs 2009-2017'!$A:$A,Actuals!T1060&amp;Actuals!S1060,'Avoided Costs 2009-2017'!$K:$K)*N1060</f>
        <v>0</v>
      </c>
      <c r="W1060" s="90">
        <f>SUMIF('Avoided Costs 2009-2017'!$A:$A,Actuals!T1060&amp;Actuals!S1060,'Avoided Costs 2009-2017'!$M:$M)*R1060</f>
        <v>0</v>
      </c>
      <c r="X1060" s="90">
        <f t="shared" si="311"/>
        <v>311037.00640553492</v>
      </c>
      <c r="Y1060" s="148">
        <v>33555</v>
      </c>
      <c r="Z1060" s="149">
        <f t="shared" si="312"/>
        <v>16777.5</v>
      </c>
      <c r="AA1060" s="148"/>
      <c r="AB1060" s="145"/>
      <c r="AC1060" s="145"/>
      <c r="AD1060" s="148">
        <f t="shared" si="313"/>
        <v>16777.5</v>
      </c>
      <c r="AE1060" s="122">
        <f t="shared" si="314"/>
        <v>294259.50640553492</v>
      </c>
      <c r="AF1060" s="167">
        <f t="shared" si="315"/>
        <v>1497409.5374999999</v>
      </c>
    </row>
    <row r="1061" spans="1:32" s="150" customFormat="1" x14ac:dyDescent="0.2">
      <c r="A1061" s="144" t="s">
        <v>460</v>
      </c>
      <c r="B1061" s="144"/>
      <c r="C1061" s="144"/>
      <c r="D1061" s="145">
        <v>1</v>
      </c>
      <c r="E1061" s="122"/>
      <c r="F1061" s="146">
        <v>0.5</v>
      </c>
      <c r="G1061" s="146"/>
      <c r="H1061" s="122">
        <v>91733</v>
      </c>
      <c r="I1061" s="122">
        <f t="shared" si="316"/>
        <v>94943.654999999999</v>
      </c>
      <c r="J1061" s="147">
        <f t="shared" si="317"/>
        <v>47471.827499999999</v>
      </c>
      <c r="K1061" s="122"/>
      <c r="L1061" s="122">
        <v>-80373</v>
      </c>
      <c r="M1061" s="122">
        <f t="shared" si="318"/>
        <v>-76515.09599999999</v>
      </c>
      <c r="N1061" s="122">
        <f t="shared" si="319"/>
        <v>-38257.547999999995</v>
      </c>
      <c r="O1061" s="122"/>
      <c r="P1061" s="122">
        <v>0</v>
      </c>
      <c r="Q1061" s="122">
        <f t="shared" si="309"/>
        <v>0</v>
      </c>
      <c r="R1061" s="147">
        <f t="shared" si="310"/>
        <v>0</v>
      </c>
      <c r="S1061" s="145">
        <v>15</v>
      </c>
      <c r="T1061" s="144" t="s">
        <v>1161</v>
      </c>
      <c r="U1061" s="90">
        <f>SUMIF('Avoided Costs 2009-2017'!$A:$A,Actuals!T1061&amp;Actuals!S1061,'Avoided Costs 2009-2017'!$E:$E)*J1061</f>
        <v>147910.38868549964</v>
      </c>
      <c r="V1061" s="90">
        <f>SUMIF('Avoided Costs 2009-2017'!$A:$A,Actuals!T1061&amp;Actuals!S1061,'Avoided Costs 2009-2017'!$K:$K)*N1061</f>
        <v>-28560.490576310243</v>
      </c>
      <c r="W1061" s="90">
        <f>SUMIF('Avoided Costs 2009-2017'!$A:$A,Actuals!T1061&amp;Actuals!S1061,'Avoided Costs 2009-2017'!$M:$M)*R1061</f>
        <v>0</v>
      </c>
      <c r="X1061" s="90">
        <f t="shared" si="311"/>
        <v>119349.89810918939</v>
      </c>
      <c r="Y1061" s="148">
        <v>111814</v>
      </c>
      <c r="Z1061" s="149">
        <f t="shared" si="312"/>
        <v>55907</v>
      </c>
      <c r="AA1061" s="148"/>
      <c r="AB1061" s="145"/>
      <c r="AC1061" s="145"/>
      <c r="AD1061" s="148">
        <f t="shared" si="313"/>
        <v>55907</v>
      </c>
      <c r="AE1061" s="122">
        <f t="shared" si="314"/>
        <v>63442.898109189395</v>
      </c>
      <c r="AF1061" s="167">
        <f t="shared" si="315"/>
        <v>712077.41249999998</v>
      </c>
    </row>
    <row r="1062" spans="1:32" s="150" customFormat="1" x14ac:dyDescent="0.2">
      <c r="A1062" s="144" t="s">
        <v>461</v>
      </c>
      <c r="B1062" s="144"/>
      <c r="C1062" s="144"/>
      <c r="D1062" s="145">
        <v>1</v>
      </c>
      <c r="E1062" s="122"/>
      <c r="F1062" s="146">
        <v>0.5</v>
      </c>
      <c r="G1062" s="146"/>
      <c r="H1062" s="122">
        <v>668041</v>
      </c>
      <c r="I1062" s="122">
        <f t="shared" si="316"/>
        <v>691422.43499999994</v>
      </c>
      <c r="J1062" s="147">
        <f t="shared" si="317"/>
        <v>345711.21749999997</v>
      </c>
      <c r="K1062" s="122"/>
      <c r="L1062" s="122">
        <v>331224</v>
      </c>
      <c r="M1062" s="122">
        <f t="shared" si="318"/>
        <v>315325.24799999996</v>
      </c>
      <c r="N1062" s="122">
        <f t="shared" si="319"/>
        <v>157662.62399999998</v>
      </c>
      <c r="O1062" s="122"/>
      <c r="P1062" s="122">
        <v>0</v>
      </c>
      <c r="Q1062" s="122">
        <f t="shared" si="309"/>
        <v>0</v>
      </c>
      <c r="R1062" s="147">
        <f t="shared" si="310"/>
        <v>0</v>
      </c>
      <c r="S1062" s="145">
        <v>15</v>
      </c>
      <c r="T1062" s="144" t="s">
        <v>1161</v>
      </c>
      <c r="U1062" s="90">
        <f>SUMIF('Avoided Costs 2009-2017'!$A:$A,Actuals!T1062&amp;Actuals!S1062,'Avoided Costs 2009-2017'!$E:$E)*J1062</f>
        <v>1077150.0328981923</v>
      </c>
      <c r="V1062" s="90">
        <f>SUMIF('Avoided Costs 2009-2017'!$A:$A,Actuals!T1062&amp;Actuals!S1062,'Avoided Costs 2009-2017'!$K:$K)*N1062</f>
        <v>117700.22184872761</v>
      </c>
      <c r="W1062" s="90">
        <f>SUMIF('Avoided Costs 2009-2017'!$A:$A,Actuals!T1062&amp;Actuals!S1062,'Avoided Costs 2009-2017'!$M:$M)*R1062</f>
        <v>0</v>
      </c>
      <c r="X1062" s="90">
        <f t="shared" si="311"/>
        <v>1194850.25474692</v>
      </c>
      <c r="Y1062" s="148">
        <v>236296</v>
      </c>
      <c r="Z1062" s="149">
        <f t="shared" si="312"/>
        <v>118148</v>
      </c>
      <c r="AA1062" s="148"/>
      <c r="AB1062" s="145"/>
      <c r="AC1062" s="145"/>
      <c r="AD1062" s="148">
        <f t="shared" si="313"/>
        <v>118148</v>
      </c>
      <c r="AE1062" s="122">
        <f t="shared" si="314"/>
        <v>1076702.25474692</v>
      </c>
      <c r="AF1062" s="167">
        <f t="shared" si="315"/>
        <v>5185668.2624999993</v>
      </c>
    </row>
    <row r="1063" spans="1:32" s="150" customFormat="1" x14ac:dyDescent="0.2">
      <c r="A1063" s="144" t="s">
        <v>462</v>
      </c>
      <c r="B1063" s="144"/>
      <c r="C1063" s="144"/>
      <c r="D1063" s="145">
        <v>1</v>
      </c>
      <c r="E1063" s="122"/>
      <c r="F1063" s="146">
        <v>0.5</v>
      </c>
      <c r="G1063" s="146"/>
      <c r="H1063" s="122">
        <v>332293</v>
      </c>
      <c r="I1063" s="122">
        <f t="shared" si="316"/>
        <v>343923.25499999995</v>
      </c>
      <c r="J1063" s="147">
        <f t="shared" si="317"/>
        <v>171961.62749999997</v>
      </c>
      <c r="K1063" s="122"/>
      <c r="L1063" s="122">
        <v>762017</v>
      </c>
      <c r="M1063" s="122">
        <f t="shared" si="318"/>
        <v>725440.18400000001</v>
      </c>
      <c r="N1063" s="122">
        <f t="shared" si="319"/>
        <v>362720.092</v>
      </c>
      <c r="O1063" s="122"/>
      <c r="P1063" s="122">
        <v>0</v>
      </c>
      <c r="Q1063" s="122">
        <f t="shared" si="309"/>
        <v>0</v>
      </c>
      <c r="R1063" s="147">
        <f t="shared" si="310"/>
        <v>0</v>
      </c>
      <c r="S1063" s="145">
        <v>15</v>
      </c>
      <c r="T1063" s="144" t="s">
        <v>1161</v>
      </c>
      <c r="U1063" s="90">
        <f>SUMIF('Avoided Costs 2009-2017'!$A:$A,Actuals!T1063&amp;Actuals!S1063,'Avoided Costs 2009-2017'!$E:$E)*J1063</f>
        <v>535789.59357560228</v>
      </c>
      <c r="V1063" s="90">
        <f>SUMIF('Avoided Costs 2009-2017'!$A:$A,Actuals!T1063&amp;Actuals!S1063,'Avoided Costs 2009-2017'!$K:$K)*N1063</f>
        <v>270782.21974404599</v>
      </c>
      <c r="W1063" s="90">
        <f>SUMIF('Avoided Costs 2009-2017'!$A:$A,Actuals!T1063&amp;Actuals!S1063,'Avoided Costs 2009-2017'!$M:$M)*R1063</f>
        <v>0</v>
      </c>
      <c r="X1063" s="90">
        <f t="shared" si="311"/>
        <v>806571.81331964827</v>
      </c>
      <c r="Y1063" s="148">
        <v>249480</v>
      </c>
      <c r="Z1063" s="149">
        <f t="shared" si="312"/>
        <v>124740</v>
      </c>
      <c r="AA1063" s="148"/>
      <c r="AB1063" s="145"/>
      <c r="AC1063" s="145"/>
      <c r="AD1063" s="148">
        <f t="shared" si="313"/>
        <v>124740</v>
      </c>
      <c r="AE1063" s="122">
        <f t="shared" si="314"/>
        <v>681831.81331964827</v>
      </c>
      <c r="AF1063" s="167">
        <f t="shared" si="315"/>
        <v>2579424.4124999996</v>
      </c>
    </row>
    <row r="1064" spans="1:32" s="150" customFormat="1" x14ac:dyDescent="0.2">
      <c r="A1064" s="144" t="s">
        <v>463</v>
      </c>
      <c r="B1064" s="144"/>
      <c r="C1064" s="144"/>
      <c r="D1064" s="145">
        <v>1</v>
      </c>
      <c r="E1064" s="122"/>
      <c r="F1064" s="146">
        <v>0.5</v>
      </c>
      <c r="G1064" s="146"/>
      <c r="H1064" s="122">
        <v>153719</v>
      </c>
      <c r="I1064" s="122">
        <f t="shared" si="316"/>
        <v>159099.16499999998</v>
      </c>
      <c r="J1064" s="147">
        <f t="shared" si="317"/>
        <v>79549.58249999999</v>
      </c>
      <c r="K1064" s="122"/>
      <c r="L1064" s="122">
        <v>955491</v>
      </c>
      <c r="M1064" s="122">
        <f t="shared" si="318"/>
        <v>909627.43199999991</v>
      </c>
      <c r="N1064" s="122">
        <f t="shared" si="319"/>
        <v>454813.71599999996</v>
      </c>
      <c r="O1064" s="122"/>
      <c r="P1064" s="122">
        <v>0</v>
      </c>
      <c r="Q1064" s="122">
        <f t="shared" si="309"/>
        <v>0</v>
      </c>
      <c r="R1064" s="147">
        <f t="shared" si="310"/>
        <v>0</v>
      </c>
      <c r="S1064" s="145">
        <v>15</v>
      </c>
      <c r="T1064" s="144" t="s">
        <v>1161</v>
      </c>
      <c r="U1064" s="90">
        <f>SUMIF('Avoided Costs 2009-2017'!$A:$A,Actuals!T1064&amp;Actuals!S1064,'Avoided Costs 2009-2017'!$E:$E)*J1064</f>
        <v>247856.68231003368</v>
      </c>
      <c r="V1064" s="90">
        <f>SUMIF('Avoided Costs 2009-2017'!$A:$A,Actuals!T1064&amp;Actuals!S1064,'Avoided Costs 2009-2017'!$K:$K)*N1064</f>
        <v>339533.0733113017</v>
      </c>
      <c r="W1064" s="90">
        <f>SUMIF('Avoided Costs 2009-2017'!$A:$A,Actuals!T1064&amp;Actuals!S1064,'Avoided Costs 2009-2017'!$M:$M)*R1064</f>
        <v>0</v>
      </c>
      <c r="X1064" s="90">
        <f t="shared" si="311"/>
        <v>587389.75562133535</v>
      </c>
      <c r="Y1064" s="148">
        <v>29750</v>
      </c>
      <c r="Z1064" s="149">
        <f t="shared" si="312"/>
        <v>14875</v>
      </c>
      <c r="AA1064" s="148"/>
      <c r="AB1064" s="145"/>
      <c r="AC1064" s="145"/>
      <c r="AD1064" s="148">
        <f t="shared" si="313"/>
        <v>14875</v>
      </c>
      <c r="AE1064" s="122">
        <f t="shared" si="314"/>
        <v>572514.75562133535</v>
      </c>
      <c r="AF1064" s="167">
        <f t="shared" si="315"/>
        <v>1193243.7374999998</v>
      </c>
    </row>
    <row r="1065" spans="1:32" s="150" customFormat="1" x14ac:dyDescent="0.2">
      <c r="A1065" s="144" t="s">
        <v>464</v>
      </c>
      <c r="B1065" s="144"/>
      <c r="C1065" s="144"/>
      <c r="D1065" s="145">
        <v>0</v>
      </c>
      <c r="E1065" s="122"/>
      <c r="F1065" s="146">
        <v>0.5</v>
      </c>
      <c r="G1065" s="146"/>
      <c r="H1065" s="122">
        <v>21331</v>
      </c>
      <c r="I1065" s="122">
        <f t="shared" si="316"/>
        <v>22077.584999999999</v>
      </c>
      <c r="J1065" s="147">
        <f t="shared" si="317"/>
        <v>11038.7925</v>
      </c>
      <c r="K1065" s="122"/>
      <c r="L1065" s="122">
        <v>0</v>
      </c>
      <c r="M1065" s="122">
        <f t="shared" si="318"/>
        <v>0</v>
      </c>
      <c r="N1065" s="122">
        <f t="shared" si="319"/>
        <v>0</v>
      </c>
      <c r="O1065" s="122"/>
      <c r="P1065" s="122">
        <v>0</v>
      </c>
      <c r="Q1065" s="122">
        <f t="shared" si="309"/>
        <v>0</v>
      </c>
      <c r="R1065" s="147">
        <f t="shared" si="310"/>
        <v>0</v>
      </c>
      <c r="S1065" s="145">
        <v>15</v>
      </c>
      <c r="T1065" s="144" t="s">
        <v>1161</v>
      </c>
      <c r="U1065" s="90">
        <f>SUMIF('Avoided Costs 2009-2017'!$A:$A,Actuals!T1065&amp;Actuals!S1065,'Avoided Costs 2009-2017'!$E:$E)*J1065</f>
        <v>34394.127533716251</v>
      </c>
      <c r="V1065" s="90">
        <f>SUMIF('Avoided Costs 2009-2017'!$A:$A,Actuals!T1065&amp;Actuals!S1065,'Avoided Costs 2009-2017'!$K:$K)*N1065</f>
        <v>0</v>
      </c>
      <c r="W1065" s="90">
        <f>SUMIF('Avoided Costs 2009-2017'!$A:$A,Actuals!T1065&amp;Actuals!S1065,'Avoided Costs 2009-2017'!$M:$M)*R1065</f>
        <v>0</v>
      </c>
      <c r="X1065" s="90">
        <f t="shared" si="311"/>
        <v>34394.127533716251</v>
      </c>
      <c r="Y1065" s="148">
        <v>8732</v>
      </c>
      <c r="Z1065" s="149">
        <f t="shared" si="312"/>
        <v>4366</v>
      </c>
      <c r="AA1065" s="148"/>
      <c r="AB1065" s="145"/>
      <c r="AC1065" s="145"/>
      <c r="AD1065" s="148">
        <f t="shared" si="313"/>
        <v>4366</v>
      </c>
      <c r="AE1065" s="122">
        <f t="shared" si="314"/>
        <v>30028.127533716251</v>
      </c>
      <c r="AF1065" s="167">
        <f t="shared" si="315"/>
        <v>165581.88749999998</v>
      </c>
    </row>
    <row r="1066" spans="1:32" s="150" customFormat="1" x14ac:dyDescent="0.2">
      <c r="A1066" s="144" t="s">
        <v>465</v>
      </c>
      <c r="B1066" s="144"/>
      <c r="C1066" s="144"/>
      <c r="D1066" s="145">
        <v>0</v>
      </c>
      <c r="E1066" s="122"/>
      <c r="F1066" s="146">
        <v>0.5</v>
      </c>
      <c r="G1066" s="146"/>
      <c r="H1066" s="122">
        <v>22077</v>
      </c>
      <c r="I1066" s="122">
        <f t="shared" si="316"/>
        <v>22849.695</v>
      </c>
      <c r="J1066" s="147">
        <f t="shared" si="317"/>
        <v>11424.8475</v>
      </c>
      <c r="K1066" s="122"/>
      <c r="L1066" s="122">
        <v>0</v>
      </c>
      <c r="M1066" s="122">
        <f t="shared" si="318"/>
        <v>0</v>
      </c>
      <c r="N1066" s="122">
        <f t="shared" si="319"/>
        <v>0</v>
      </c>
      <c r="O1066" s="122"/>
      <c r="P1066" s="122">
        <v>0</v>
      </c>
      <c r="Q1066" s="122">
        <f t="shared" si="309"/>
        <v>0</v>
      </c>
      <c r="R1066" s="147">
        <f t="shared" si="310"/>
        <v>0</v>
      </c>
      <c r="S1066" s="145">
        <v>10</v>
      </c>
      <c r="T1066" s="144" t="s">
        <v>1161</v>
      </c>
      <c r="U1066" s="90">
        <f>SUMIF('Avoided Costs 2009-2017'!$A:$A,Actuals!T1066&amp;Actuals!S1066,'Avoided Costs 2009-2017'!$E:$E)*J1066</f>
        <v>27677.45657972325</v>
      </c>
      <c r="V1066" s="90">
        <f>SUMIF('Avoided Costs 2009-2017'!$A:$A,Actuals!T1066&amp;Actuals!S1066,'Avoided Costs 2009-2017'!$K:$K)*N1066</f>
        <v>0</v>
      </c>
      <c r="W1066" s="90">
        <f>SUMIF('Avoided Costs 2009-2017'!$A:$A,Actuals!T1066&amp;Actuals!S1066,'Avoided Costs 2009-2017'!$M:$M)*R1066</f>
        <v>0</v>
      </c>
      <c r="X1066" s="90">
        <f t="shared" si="311"/>
        <v>27677.45657972325</v>
      </c>
      <c r="Y1066" s="148">
        <v>90027</v>
      </c>
      <c r="Z1066" s="149">
        <f t="shared" si="312"/>
        <v>45013.5</v>
      </c>
      <c r="AA1066" s="148"/>
      <c r="AB1066" s="145"/>
      <c r="AC1066" s="145"/>
      <c r="AD1066" s="148">
        <f t="shared" si="313"/>
        <v>45013.5</v>
      </c>
      <c r="AE1066" s="122">
        <f t="shared" si="314"/>
        <v>-17336.04342027675</v>
      </c>
      <c r="AF1066" s="167">
        <f t="shared" si="315"/>
        <v>114248.47500000001</v>
      </c>
    </row>
    <row r="1067" spans="1:32" s="150" customFormat="1" x14ac:dyDescent="0.2">
      <c r="A1067" s="144" t="s">
        <v>466</v>
      </c>
      <c r="B1067" s="144"/>
      <c r="C1067" s="144"/>
      <c r="D1067" s="145">
        <v>1</v>
      </c>
      <c r="E1067" s="122"/>
      <c r="F1067" s="146">
        <v>0.5</v>
      </c>
      <c r="G1067" s="146"/>
      <c r="H1067" s="122">
        <v>61015</v>
      </c>
      <c r="I1067" s="122">
        <f t="shared" si="316"/>
        <v>63150.524999999994</v>
      </c>
      <c r="J1067" s="147">
        <f t="shared" si="317"/>
        <v>31575.262499999997</v>
      </c>
      <c r="K1067" s="122"/>
      <c r="L1067" s="122">
        <v>0</v>
      </c>
      <c r="M1067" s="122">
        <f t="shared" si="318"/>
        <v>0</v>
      </c>
      <c r="N1067" s="122">
        <f t="shared" si="319"/>
        <v>0</v>
      </c>
      <c r="O1067" s="122"/>
      <c r="P1067" s="122">
        <v>0</v>
      </c>
      <c r="Q1067" s="122">
        <f t="shared" si="309"/>
        <v>0</v>
      </c>
      <c r="R1067" s="147">
        <f t="shared" si="310"/>
        <v>0</v>
      </c>
      <c r="S1067" s="145">
        <v>15</v>
      </c>
      <c r="T1067" s="144" t="s">
        <v>1161</v>
      </c>
      <c r="U1067" s="90">
        <f>SUMIF('Avoided Costs 2009-2017'!$A:$A,Actuals!T1067&amp;Actuals!S1067,'Avoided Costs 2009-2017'!$E:$E)*J1067</f>
        <v>98380.652171473295</v>
      </c>
      <c r="V1067" s="90">
        <f>SUMIF('Avoided Costs 2009-2017'!$A:$A,Actuals!T1067&amp;Actuals!S1067,'Avoided Costs 2009-2017'!$K:$K)*N1067</f>
        <v>0</v>
      </c>
      <c r="W1067" s="90">
        <f>SUMIF('Avoided Costs 2009-2017'!$A:$A,Actuals!T1067&amp;Actuals!S1067,'Avoided Costs 2009-2017'!$M:$M)*R1067</f>
        <v>0</v>
      </c>
      <c r="X1067" s="90">
        <f t="shared" si="311"/>
        <v>98380.652171473295</v>
      </c>
      <c r="Y1067" s="148">
        <v>19834</v>
      </c>
      <c r="Z1067" s="149">
        <f t="shared" si="312"/>
        <v>9917</v>
      </c>
      <c r="AA1067" s="148"/>
      <c r="AB1067" s="145"/>
      <c r="AC1067" s="145"/>
      <c r="AD1067" s="148">
        <f t="shared" si="313"/>
        <v>9917</v>
      </c>
      <c r="AE1067" s="122">
        <f t="shared" si="314"/>
        <v>88463.652171473295</v>
      </c>
      <c r="AF1067" s="167">
        <f t="shared" si="315"/>
        <v>473628.93749999994</v>
      </c>
    </row>
    <row r="1068" spans="1:32" s="150" customFormat="1" x14ac:dyDescent="0.2">
      <c r="A1068" s="144" t="s">
        <v>467</v>
      </c>
      <c r="B1068" s="144"/>
      <c r="C1068" s="144"/>
      <c r="D1068" s="145">
        <v>0</v>
      </c>
      <c r="E1068" s="122"/>
      <c r="F1068" s="146">
        <v>0.5</v>
      </c>
      <c r="G1068" s="146"/>
      <c r="H1068" s="122">
        <v>19068</v>
      </c>
      <c r="I1068" s="122">
        <f t="shared" si="316"/>
        <v>19735.379999999997</v>
      </c>
      <c r="J1068" s="147">
        <f t="shared" si="317"/>
        <v>9867.6899999999987</v>
      </c>
      <c r="K1068" s="122"/>
      <c r="L1068" s="122">
        <v>0</v>
      </c>
      <c r="M1068" s="122">
        <f t="shared" si="318"/>
        <v>0</v>
      </c>
      <c r="N1068" s="122">
        <f t="shared" si="319"/>
        <v>0</v>
      </c>
      <c r="O1068" s="122"/>
      <c r="P1068" s="122">
        <v>0</v>
      </c>
      <c r="Q1068" s="122">
        <f t="shared" si="309"/>
        <v>0</v>
      </c>
      <c r="R1068" s="147">
        <f t="shared" si="310"/>
        <v>0</v>
      </c>
      <c r="S1068" s="145">
        <v>15</v>
      </c>
      <c r="T1068" s="144" t="s">
        <v>1161</v>
      </c>
      <c r="U1068" s="90">
        <f>SUMIF('Avoided Costs 2009-2017'!$A:$A,Actuals!T1068&amp;Actuals!S1068,'Avoided Costs 2009-2017'!$E:$E)*J1068</f>
        <v>30745.263879466573</v>
      </c>
      <c r="V1068" s="90">
        <f>SUMIF('Avoided Costs 2009-2017'!$A:$A,Actuals!T1068&amp;Actuals!S1068,'Avoided Costs 2009-2017'!$K:$K)*N1068</f>
        <v>0</v>
      </c>
      <c r="W1068" s="90">
        <f>SUMIF('Avoided Costs 2009-2017'!$A:$A,Actuals!T1068&amp;Actuals!S1068,'Avoided Costs 2009-2017'!$M:$M)*R1068</f>
        <v>0</v>
      </c>
      <c r="X1068" s="90">
        <f t="shared" si="311"/>
        <v>30745.263879466573</v>
      </c>
      <c r="Y1068" s="148">
        <v>13767</v>
      </c>
      <c r="Z1068" s="149">
        <f t="shared" si="312"/>
        <v>6883.5</v>
      </c>
      <c r="AA1068" s="148"/>
      <c r="AB1068" s="145"/>
      <c r="AC1068" s="145"/>
      <c r="AD1068" s="148">
        <f t="shared" si="313"/>
        <v>6883.5</v>
      </c>
      <c r="AE1068" s="122">
        <f t="shared" si="314"/>
        <v>23861.763879466573</v>
      </c>
      <c r="AF1068" s="167">
        <f t="shared" si="315"/>
        <v>148015.34999999998</v>
      </c>
    </row>
    <row r="1069" spans="1:32" s="150" customFormat="1" x14ac:dyDescent="0.2">
      <c r="A1069" s="144" t="s">
        <v>468</v>
      </c>
      <c r="B1069" s="144"/>
      <c r="C1069" s="144"/>
      <c r="D1069" s="145">
        <v>1</v>
      </c>
      <c r="E1069" s="122"/>
      <c r="F1069" s="146">
        <v>0.5</v>
      </c>
      <c r="G1069" s="146"/>
      <c r="H1069" s="122">
        <v>21393</v>
      </c>
      <c r="I1069" s="122">
        <f t="shared" si="316"/>
        <v>22141.754999999997</v>
      </c>
      <c r="J1069" s="147">
        <f t="shared" si="317"/>
        <v>11070.877499999999</v>
      </c>
      <c r="K1069" s="122"/>
      <c r="L1069" s="122">
        <v>-46550</v>
      </c>
      <c r="M1069" s="122">
        <f t="shared" si="318"/>
        <v>-44315.6</v>
      </c>
      <c r="N1069" s="122">
        <f t="shared" si="319"/>
        <v>-22157.8</v>
      </c>
      <c r="O1069" s="122"/>
      <c r="P1069" s="122">
        <v>0</v>
      </c>
      <c r="Q1069" s="122">
        <f t="shared" si="309"/>
        <v>0</v>
      </c>
      <c r="R1069" s="147">
        <f t="shared" si="310"/>
        <v>0</v>
      </c>
      <c r="S1069" s="145">
        <v>15</v>
      </c>
      <c r="T1069" s="144" t="s">
        <v>1161</v>
      </c>
      <c r="U1069" s="90">
        <f>SUMIF('Avoided Costs 2009-2017'!$A:$A,Actuals!T1069&amp;Actuals!S1069,'Avoided Costs 2009-2017'!$E:$E)*J1069</f>
        <v>34494.096400955968</v>
      </c>
      <c r="V1069" s="90">
        <f>SUMIF('Avoided Costs 2009-2017'!$A:$A,Actuals!T1069&amp;Actuals!S1069,'Avoided Costs 2009-2017'!$K:$K)*N1069</f>
        <v>-16541.510660635311</v>
      </c>
      <c r="W1069" s="90">
        <f>SUMIF('Avoided Costs 2009-2017'!$A:$A,Actuals!T1069&amp;Actuals!S1069,'Avoided Costs 2009-2017'!$M:$M)*R1069</f>
        <v>0</v>
      </c>
      <c r="X1069" s="90">
        <f t="shared" si="311"/>
        <v>17952.585740320657</v>
      </c>
      <c r="Y1069" s="148">
        <v>20886</v>
      </c>
      <c r="Z1069" s="149">
        <f t="shared" si="312"/>
        <v>10443</v>
      </c>
      <c r="AA1069" s="148"/>
      <c r="AB1069" s="145"/>
      <c r="AC1069" s="145"/>
      <c r="AD1069" s="148">
        <f t="shared" si="313"/>
        <v>10443</v>
      </c>
      <c r="AE1069" s="122">
        <f t="shared" si="314"/>
        <v>7509.5857403206574</v>
      </c>
      <c r="AF1069" s="167">
        <f t="shared" si="315"/>
        <v>166063.16249999998</v>
      </c>
    </row>
    <row r="1070" spans="1:32" s="150" customFormat="1" x14ac:dyDescent="0.2">
      <c r="A1070" s="144" t="s">
        <v>469</v>
      </c>
      <c r="B1070" s="144"/>
      <c r="C1070" s="144"/>
      <c r="D1070" s="145">
        <v>1</v>
      </c>
      <c r="E1070" s="122"/>
      <c r="F1070" s="146">
        <v>0.5</v>
      </c>
      <c r="G1070" s="146"/>
      <c r="H1070" s="122">
        <v>343700</v>
      </c>
      <c r="I1070" s="122">
        <f t="shared" si="316"/>
        <v>355729.5</v>
      </c>
      <c r="J1070" s="147">
        <f t="shared" si="317"/>
        <v>177864.75</v>
      </c>
      <c r="K1070" s="122"/>
      <c r="L1070" s="122">
        <v>0</v>
      </c>
      <c r="M1070" s="122">
        <f t="shared" si="318"/>
        <v>0</v>
      </c>
      <c r="N1070" s="122">
        <f t="shared" si="319"/>
        <v>0</v>
      </c>
      <c r="O1070" s="122"/>
      <c r="P1070" s="122">
        <v>0</v>
      </c>
      <c r="Q1070" s="122">
        <f t="shared" si="309"/>
        <v>0</v>
      </c>
      <c r="R1070" s="147">
        <f t="shared" si="310"/>
        <v>0</v>
      </c>
      <c r="S1070" s="145">
        <v>15</v>
      </c>
      <c r="T1070" s="144" t="s">
        <v>1161</v>
      </c>
      <c r="U1070" s="90">
        <f>SUMIF('Avoided Costs 2009-2017'!$A:$A,Actuals!T1070&amp;Actuals!S1070,'Avoided Costs 2009-2017'!$E:$E)*J1070</f>
        <v>554182.25274662592</v>
      </c>
      <c r="V1070" s="90">
        <f>SUMIF('Avoided Costs 2009-2017'!$A:$A,Actuals!T1070&amp;Actuals!S1070,'Avoided Costs 2009-2017'!$K:$K)*N1070</f>
        <v>0</v>
      </c>
      <c r="W1070" s="90">
        <f>SUMIF('Avoided Costs 2009-2017'!$A:$A,Actuals!T1070&amp;Actuals!S1070,'Avoided Costs 2009-2017'!$M:$M)*R1070</f>
        <v>0</v>
      </c>
      <c r="X1070" s="90">
        <f t="shared" si="311"/>
        <v>554182.25274662592</v>
      </c>
      <c r="Y1070" s="148">
        <v>166870</v>
      </c>
      <c r="Z1070" s="149">
        <f t="shared" si="312"/>
        <v>83435</v>
      </c>
      <c r="AA1070" s="148"/>
      <c r="AB1070" s="145"/>
      <c r="AC1070" s="145"/>
      <c r="AD1070" s="148">
        <f t="shared" si="313"/>
        <v>83435</v>
      </c>
      <c r="AE1070" s="122">
        <f t="shared" si="314"/>
        <v>470747.25274662592</v>
      </c>
      <c r="AF1070" s="167">
        <f t="shared" si="315"/>
        <v>2667971.25</v>
      </c>
    </row>
    <row r="1071" spans="1:32" s="150" customFormat="1" x14ac:dyDescent="0.2">
      <c r="A1071" s="144" t="s">
        <v>470</v>
      </c>
      <c r="B1071" s="144"/>
      <c r="C1071" s="144"/>
      <c r="D1071" s="145">
        <v>1</v>
      </c>
      <c r="E1071" s="122"/>
      <c r="F1071" s="146">
        <v>0.5</v>
      </c>
      <c r="G1071" s="146"/>
      <c r="H1071" s="122">
        <v>10474</v>
      </c>
      <c r="I1071" s="122">
        <f t="shared" si="316"/>
        <v>10840.589999999998</v>
      </c>
      <c r="J1071" s="147">
        <f t="shared" si="317"/>
        <v>5420.2949999999992</v>
      </c>
      <c r="K1071" s="122"/>
      <c r="L1071" s="122">
        <v>0</v>
      </c>
      <c r="M1071" s="122">
        <f t="shared" si="318"/>
        <v>0</v>
      </c>
      <c r="N1071" s="122">
        <f t="shared" si="319"/>
        <v>0</v>
      </c>
      <c r="O1071" s="122"/>
      <c r="P1071" s="122">
        <v>0</v>
      </c>
      <c r="Q1071" s="122">
        <f t="shared" si="309"/>
        <v>0</v>
      </c>
      <c r="R1071" s="147">
        <f t="shared" si="310"/>
        <v>0</v>
      </c>
      <c r="S1071" s="145">
        <v>25</v>
      </c>
      <c r="T1071" s="144" t="s">
        <v>1161</v>
      </c>
      <c r="U1071" s="90">
        <f>SUMIF('Avoided Costs 2009-2017'!$A:$A,Actuals!T1071&amp;Actuals!S1071,'Avoided Costs 2009-2017'!$E:$E)*J1071</f>
        <v>21477.166424460582</v>
      </c>
      <c r="V1071" s="90">
        <f>SUMIF('Avoided Costs 2009-2017'!$A:$A,Actuals!T1071&amp;Actuals!S1071,'Avoided Costs 2009-2017'!$K:$K)*N1071</f>
        <v>0</v>
      </c>
      <c r="W1071" s="90">
        <f>SUMIF('Avoided Costs 2009-2017'!$A:$A,Actuals!T1071&amp;Actuals!S1071,'Avoided Costs 2009-2017'!$M:$M)*R1071</f>
        <v>0</v>
      </c>
      <c r="X1071" s="90">
        <f t="shared" si="311"/>
        <v>21477.166424460582</v>
      </c>
      <c r="Y1071" s="148">
        <v>3500</v>
      </c>
      <c r="Z1071" s="149">
        <f t="shared" si="312"/>
        <v>1750</v>
      </c>
      <c r="AA1071" s="148"/>
      <c r="AB1071" s="145"/>
      <c r="AC1071" s="145"/>
      <c r="AD1071" s="148">
        <f t="shared" si="313"/>
        <v>1750</v>
      </c>
      <c r="AE1071" s="122">
        <f t="shared" si="314"/>
        <v>19727.166424460582</v>
      </c>
      <c r="AF1071" s="167">
        <f t="shared" si="315"/>
        <v>135507.37499999997</v>
      </c>
    </row>
    <row r="1072" spans="1:32" s="150" customFormat="1" x14ac:dyDescent="0.2">
      <c r="A1072" s="144" t="s">
        <v>471</v>
      </c>
      <c r="B1072" s="144"/>
      <c r="C1072" s="144"/>
      <c r="D1072" s="145">
        <v>1</v>
      </c>
      <c r="E1072" s="122"/>
      <c r="F1072" s="146">
        <v>0.5</v>
      </c>
      <c r="G1072" s="146"/>
      <c r="H1072" s="122">
        <v>338448</v>
      </c>
      <c r="I1072" s="122">
        <f t="shared" si="316"/>
        <v>350293.68</v>
      </c>
      <c r="J1072" s="147">
        <f t="shared" si="317"/>
        <v>175146.84</v>
      </c>
      <c r="K1072" s="122"/>
      <c r="L1072" s="122">
        <v>0</v>
      </c>
      <c r="M1072" s="122">
        <f t="shared" si="318"/>
        <v>0</v>
      </c>
      <c r="N1072" s="122">
        <f t="shared" si="319"/>
        <v>0</v>
      </c>
      <c r="O1072" s="122"/>
      <c r="P1072" s="122">
        <v>0</v>
      </c>
      <c r="Q1072" s="122">
        <f t="shared" si="309"/>
        <v>0</v>
      </c>
      <c r="R1072" s="147">
        <f t="shared" si="310"/>
        <v>0</v>
      </c>
      <c r="S1072" s="145">
        <v>18</v>
      </c>
      <c r="T1072" s="144" t="s">
        <v>1161</v>
      </c>
      <c r="U1072" s="90">
        <f>SUMIF('Avoided Costs 2009-2017'!$A:$A,Actuals!T1072&amp;Actuals!S1072,'Avoided Costs 2009-2017'!$E:$E)*J1072</f>
        <v>601118.20671404107</v>
      </c>
      <c r="V1072" s="90">
        <f>SUMIF('Avoided Costs 2009-2017'!$A:$A,Actuals!T1072&amp;Actuals!S1072,'Avoided Costs 2009-2017'!$K:$K)*N1072</f>
        <v>0</v>
      </c>
      <c r="W1072" s="90">
        <f>SUMIF('Avoided Costs 2009-2017'!$A:$A,Actuals!T1072&amp;Actuals!S1072,'Avoided Costs 2009-2017'!$M:$M)*R1072</f>
        <v>0</v>
      </c>
      <c r="X1072" s="90">
        <f t="shared" si="311"/>
        <v>601118.20671404107</v>
      </c>
      <c r="Y1072" s="148">
        <v>66409</v>
      </c>
      <c r="Z1072" s="149">
        <f t="shared" si="312"/>
        <v>33204.5</v>
      </c>
      <c r="AA1072" s="148"/>
      <c r="AB1072" s="145"/>
      <c r="AC1072" s="145"/>
      <c r="AD1072" s="148">
        <f t="shared" si="313"/>
        <v>33204.5</v>
      </c>
      <c r="AE1072" s="122">
        <f t="shared" si="314"/>
        <v>567913.70671404107</v>
      </c>
      <c r="AF1072" s="167">
        <f t="shared" si="315"/>
        <v>3152643.12</v>
      </c>
    </row>
    <row r="1073" spans="1:32" s="150" customFormat="1" x14ac:dyDescent="0.2">
      <c r="A1073" s="144" t="s">
        <v>472</v>
      </c>
      <c r="B1073" s="144"/>
      <c r="C1073" s="144"/>
      <c r="D1073" s="145">
        <v>1</v>
      </c>
      <c r="E1073" s="122"/>
      <c r="F1073" s="146">
        <v>0.5</v>
      </c>
      <c r="G1073" s="146"/>
      <c r="H1073" s="122">
        <v>495597</v>
      </c>
      <c r="I1073" s="122">
        <f>+H1073</f>
        <v>495597</v>
      </c>
      <c r="J1073" s="147">
        <f t="shared" si="317"/>
        <v>247798.5</v>
      </c>
      <c r="K1073" s="122"/>
      <c r="L1073" s="122">
        <v>0</v>
      </c>
      <c r="M1073" s="122">
        <f t="shared" si="318"/>
        <v>0</v>
      </c>
      <c r="N1073" s="122">
        <f t="shared" si="319"/>
        <v>0</v>
      </c>
      <c r="O1073" s="122"/>
      <c r="P1073" s="122">
        <v>23000</v>
      </c>
      <c r="Q1073" s="122">
        <v>18891</v>
      </c>
      <c r="R1073" s="147">
        <f t="shared" si="310"/>
        <v>9445.5</v>
      </c>
      <c r="S1073" s="145">
        <v>15</v>
      </c>
      <c r="T1073" s="144" t="s">
        <v>1161</v>
      </c>
      <c r="U1073" s="90">
        <f>SUMIF('Avoided Costs 2009-2017'!$A:$A,Actuals!T1073&amp;Actuals!S1073,'Avoided Costs 2009-2017'!$E:$E)*J1073</f>
        <v>772078.39640645357</v>
      </c>
      <c r="V1073" s="90">
        <f>SUMIF('Avoided Costs 2009-2017'!$A:$A,Actuals!T1073&amp;Actuals!S1073,'Avoided Costs 2009-2017'!$K:$K)*N1073</f>
        <v>0</v>
      </c>
      <c r="W1073" s="90">
        <f>SUMIF('Avoided Costs 2009-2017'!$A:$A,Actuals!T1073&amp;Actuals!S1073,'Avoided Costs 2009-2017'!$M:$M)*R1073</f>
        <v>122708.4655064143</v>
      </c>
      <c r="X1073" s="90">
        <f t="shared" si="311"/>
        <v>894786.86191286787</v>
      </c>
      <c r="Y1073" s="148">
        <v>350000</v>
      </c>
      <c r="Z1073" s="149">
        <f t="shared" si="312"/>
        <v>175000</v>
      </c>
      <c r="AA1073" s="148"/>
      <c r="AB1073" s="145"/>
      <c r="AC1073" s="145"/>
      <c r="AD1073" s="148">
        <f t="shared" si="313"/>
        <v>175000</v>
      </c>
      <c r="AE1073" s="122">
        <f t="shared" si="314"/>
        <v>719786.86191286787</v>
      </c>
      <c r="AF1073" s="167">
        <f t="shared" si="315"/>
        <v>3716977.5</v>
      </c>
    </row>
    <row r="1074" spans="1:32" s="150" customFormat="1" x14ac:dyDescent="0.2">
      <c r="A1074" s="144" t="s">
        <v>473</v>
      </c>
      <c r="B1074" s="144"/>
      <c r="C1074" s="144"/>
      <c r="D1074" s="145">
        <v>1</v>
      </c>
      <c r="E1074" s="122"/>
      <c r="F1074" s="146">
        <v>0.5</v>
      </c>
      <c r="G1074" s="146"/>
      <c r="H1074" s="122">
        <v>97809</v>
      </c>
      <c r="I1074" s="122">
        <f t="shared" si="316"/>
        <v>101232.31499999999</v>
      </c>
      <c r="J1074" s="147">
        <f t="shared" si="317"/>
        <v>50616.157499999994</v>
      </c>
      <c r="K1074" s="122"/>
      <c r="L1074" s="122">
        <v>0</v>
      </c>
      <c r="M1074" s="122">
        <f t="shared" si="318"/>
        <v>0</v>
      </c>
      <c r="N1074" s="122">
        <f t="shared" si="319"/>
        <v>0</v>
      </c>
      <c r="O1074" s="122"/>
      <c r="P1074" s="122">
        <v>0</v>
      </c>
      <c r="Q1074" s="122">
        <f t="shared" si="309"/>
        <v>0</v>
      </c>
      <c r="R1074" s="147">
        <f t="shared" si="310"/>
        <v>0</v>
      </c>
      <c r="S1074" s="145">
        <v>15</v>
      </c>
      <c r="T1074" s="144" t="s">
        <v>1161</v>
      </c>
      <c r="U1074" s="90">
        <f>SUMIF('Avoided Costs 2009-2017'!$A:$A,Actuals!T1074&amp;Actuals!S1074,'Avoided Costs 2009-2017'!$E:$E)*J1074</f>
        <v>157707.33767499193</v>
      </c>
      <c r="V1074" s="90">
        <f>SUMIF('Avoided Costs 2009-2017'!$A:$A,Actuals!T1074&amp;Actuals!S1074,'Avoided Costs 2009-2017'!$K:$K)*N1074</f>
        <v>0</v>
      </c>
      <c r="W1074" s="90">
        <f>SUMIF('Avoided Costs 2009-2017'!$A:$A,Actuals!T1074&amp;Actuals!S1074,'Avoided Costs 2009-2017'!$M:$M)*R1074</f>
        <v>0</v>
      </c>
      <c r="X1074" s="90">
        <f t="shared" si="311"/>
        <v>157707.33767499193</v>
      </c>
      <c r="Y1074" s="148">
        <v>32500</v>
      </c>
      <c r="Z1074" s="149">
        <f t="shared" si="312"/>
        <v>16250</v>
      </c>
      <c r="AA1074" s="148"/>
      <c r="AB1074" s="145"/>
      <c r="AC1074" s="145"/>
      <c r="AD1074" s="148">
        <f t="shared" si="313"/>
        <v>16250</v>
      </c>
      <c r="AE1074" s="122">
        <f t="shared" si="314"/>
        <v>141457.33767499193</v>
      </c>
      <c r="AF1074" s="167">
        <f t="shared" si="315"/>
        <v>759242.36249999993</v>
      </c>
    </row>
    <row r="1075" spans="1:32" s="150" customFormat="1" x14ac:dyDescent="0.2">
      <c r="A1075" s="144" t="s">
        <v>474</v>
      </c>
      <c r="B1075" s="144"/>
      <c r="C1075" s="144"/>
      <c r="D1075" s="145">
        <v>1</v>
      </c>
      <c r="E1075" s="122"/>
      <c r="F1075" s="146">
        <v>0.5</v>
      </c>
      <c r="G1075" s="146"/>
      <c r="H1075" s="122">
        <v>171937</v>
      </c>
      <c r="I1075" s="122">
        <f t="shared" si="316"/>
        <v>177954.79499999998</v>
      </c>
      <c r="J1075" s="147">
        <f t="shared" si="317"/>
        <v>88977.397499999992</v>
      </c>
      <c r="K1075" s="122"/>
      <c r="L1075" s="122">
        <v>-2049</v>
      </c>
      <c r="M1075" s="122">
        <f t="shared" si="318"/>
        <v>-1950.6479999999999</v>
      </c>
      <c r="N1075" s="122">
        <f t="shared" si="319"/>
        <v>-975.32399999999996</v>
      </c>
      <c r="O1075" s="122"/>
      <c r="P1075" s="122">
        <v>26096</v>
      </c>
      <c r="Q1075" s="122">
        <f t="shared" si="309"/>
        <v>38935.231999999996</v>
      </c>
      <c r="R1075" s="147">
        <f t="shared" si="310"/>
        <v>19467.615999999998</v>
      </c>
      <c r="S1075" s="145">
        <v>20</v>
      </c>
      <c r="T1075" s="144" t="s">
        <v>1161</v>
      </c>
      <c r="U1075" s="90">
        <f>SUMIF('Avoided Costs 2009-2017'!$A:$A,Actuals!T1075&amp;Actuals!S1075,'Avoided Costs 2009-2017'!$E:$E)*J1075</f>
        <v>321206.76261429518</v>
      </c>
      <c r="V1075" s="90">
        <f>SUMIF('Avoided Costs 2009-2017'!$A:$A,Actuals!T1075&amp;Actuals!S1075,'Avoided Costs 2009-2017'!$K:$K)*N1075</f>
        <v>-847.37052606261398</v>
      </c>
      <c r="W1075" s="90">
        <f>SUMIF('Avoided Costs 2009-2017'!$A:$A,Actuals!T1075&amp;Actuals!S1075,'Avoided Costs 2009-2017'!$M:$M)*R1075</f>
        <v>294332.52470649965</v>
      </c>
      <c r="X1075" s="90">
        <f t="shared" si="311"/>
        <v>614691.91679473221</v>
      </c>
      <c r="Y1075" s="148">
        <v>6160</v>
      </c>
      <c r="Z1075" s="149">
        <f t="shared" si="312"/>
        <v>3080</v>
      </c>
      <c r="AA1075" s="148"/>
      <c r="AB1075" s="145"/>
      <c r="AC1075" s="145"/>
      <c r="AD1075" s="148">
        <f t="shared" si="313"/>
        <v>3080</v>
      </c>
      <c r="AE1075" s="122">
        <f t="shared" si="314"/>
        <v>611611.91679473221</v>
      </c>
      <c r="AF1075" s="167">
        <f t="shared" si="315"/>
        <v>1779547.9499999997</v>
      </c>
    </row>
    <row r="1076" spans="1:32" s="150" customFormat="1" x14ac:dyDescent="0.2">
      <c r="A1076" s="144" t="s">
        <v>475</v>
      </c>
      <c r="B1076" s="144"/>
      <c r="C1076" s="144"/>
      <c r="D1076" s="145">
        <v>1</v>
      </c>
      <c r="E1076" s="122"/>
      <c r="F1076" s="146">
        <v>0.5</v>
      </c>
      <c r="G1076" s="146"/>
      <c r="H1076" s="122">
        <v>230641</v>
      </c>
      <c r="I1076" s="122">
        <f>+H1076</f>
        <v>230641</v>
      </c>
      <c r="J1076" s="147">
        <f t="shared" si="317"/>
        <v>115320.5</v>
      </c>
      <c r="K1076" s="122"/>
      <c r="L1076" s="122">
        <v>0</v>
      </c>
      <c r="M1076" s="122">
        <f t="shared" si="318"/>
        <v>0</v>
      </c>
      <c r="N1076" s="122">
        <f t="shared" si="319"/>
        <v>0</v>
      </c>
      <c r="O1076" s="122"/>
      <c r="P1076" s="122">
        <v>26389</v>
      </c>
      <c r="Q1076" s="122">
        <f>+P1076</f>
        <v>26389</v>
      </c>
      <c r="R1076" s="147">
        <f t="shared" si="310"/>
        <v>13194.5</v>
      </c>
      <c r="S1076" s="145">
        <v>15</v>
      </c>
      <c r="T1076" s="144" t="s">
        <v>1161</v>
      </c>
      <c r="U1076" s="90">
        <f>SUMIF('Avoided Costs 2009-2017'!$A:$A,Actuals!T1076&amp;Actuals!S1076,'Avoided Costs 2009-2017'!$E:$E)*J1076</f>
        <v>359309.95027326816</v>
      </c>
      <c r="V1076" s="90">
        <f>SUMIF('Avoided Costs 2009-2017'!$A:$A,Actuals!T1076&amp;Actuals!S1076,'Avoided Costs 2009-2017'!$K:$K)*N1076</f>
        <v>0</v>
      </c>
      <c r="W1076" s="90">
        <f>SUMIF('Avoided Costs 2009-2017'!$A:$A,Actuals!T1076&amp;Actuals!S1076,'Avoided Costs 2009-2017'!$M:$M)*R1076</f>
        <v>171412.50840340726</v>
      </c>
      <c r="X1076" s="90">
        <f t="shared" si="311"/>
        <v>530722.45867667545</v>
      </c>
      <c r="Y1076" s="148">
        <v>54135</v>
      </c>
      <c r="Z1076" s="149">
        <f t="shared" si="312"/>
        <v>27067.5</v>
      </c>
      <c r="AA1076" s="148"/>
      <c r="AB1076" s="145"/>
      <c r="AC1076" s="145"/>
      <c r="AD1076" s="148">
        <f t="shared" ref="AD1076:AD1112" si="320">Z1076+AB1076</f>
        <v>27067.5</v>
      </c>
      <c r="AE1076" s="122">
        <f t="shared" ref="AE1076:AE1107" si="321">X1076-AD1076</f>
        <v>503654.95867667545</v>
      </c>
      <c r="AF1076" s="167">
        <f t="shared" si="315"/>
        <v>1729807.5</v>
      </c>
    </row>
    <row r="1077" spans="1:32" s="150" customFormat="1" x14ac:dyDescent="0.2">
      <c r="A1077" s="144" t="s">
        <v>476</v>
      </c>
      <c r="B1077" s="144"/>
      <c r="C1077" s="144"/>
      <c r="D1077" s="145">
        <v>0</v>
      </c>
      <c r="E1077" s="122"/>
      <c r="F1077" s="146">
        <v>0.5</v>
      </c>
      <c r="G1077" s="146"/>
      <c r="H1077" s="122">
        <v>1580</v>
      </c>
      <c r="I1077" s="122">
        <f>+H1077</f>
        <v>1580</v>
      </c>
      <c r="J1077" s="147">
        <f t="shared" si="317"/>
        <v>790</v>
      </c>
      <c r="K1077" s="122"/>
      <c r="L1077" s="122">
        <v>0</v>
      </c>
      <c r="M1077" s="122">
        <f t="shared" si="318"/>
        <v>0</v>
      </c>
      <c r="N1077" s="122">
        <f t="shared" si="319"/>
        <v>0</v>
      </c>
      <c r="O1077" s="122"/>
      <c r="P1077" s="122">
        <v>0</v>
      </c>
      <c r="Q1077" s="122">
        <f>+P1077</f>
        <v>0</v>
      </c>
      <c r="R1077" s="147">
        <f t="shared" si="310"/>
        <v>0</v>
      </c>
      <c r="S1077" s="145">
        <v>13</v>
      </c>
      <c r="T1077" s="144" t="s">
        <v>1161</v>
      </c>
      <c r="U1077" s="90">
        <f>SUMIF('Avoided Costs 2009-2017'!$A:$A,Actuals!T1077&amp;Actuals!S1077,'Avoided Costs 2009-2017'!$E:$E)*J1077</f>
        <v>2264.3269891698583</v>
      </c>
      <c r="V1077" s="90">
        <f>SUMIF('Avoided Costs 2009-2017'!$A:$A,Actuals!T1077&amp;Actuals!S1077,'Avoided Costs 2009-2017'!$K:$K)*N1077</f>
        <v>0</v>
      </c>
      <c r="W1077" s="90">
        <f>SUMIF('Avoided Costs 2009-2017'!$A:$A,Actuals!T1077&amp;Actuals!S1077,'Avoided Costs 2009-2017'!$M:$M)*R1077</f>
        <v>0</v>
      </c>
      <c r="X1077" s="90">
        <f t="shared" si="311"/>
        <v>2264.3269891698583</v>
      </c>
      <c r="Y1077" s="148">
        <v>1760</v>
      </c>
      <c r="Z1077" s="149">
        <f t="shared" si="312"/>
        <v>880</v>
      </c>
      <c r="AA1077" s="148"/>
      <c r="AB1077" s="145"/>
      <c r="AC1077" s="145"/>
      <c r="AD1077" s="148">
        <f t="shared" si="320"/>
        <v>880</v>
      </c>
      <c r="AE1077" s="122">
        <f t="shared" si="321"/>
        <v>1384.3269891698583</v>
      </c>
      <c r="AF1077" s="167">
        <f t="shared" si="315"/>
        <v>10270</v>
      </c>
    </row>
    <row r="1078" spans="1:32" s="150" customFormat="1" x14ac:dyDescent="0.2">
      <c r="A1078" s="144" t="s">
        <v>477</v>
      </c>
      <c r="B1078" s="144"/>
      <c r="C1078" s="144"/>
      <c r="D1078" s="145">
        <v>1</v>
      </c>
      <c r="E1078" s="122"/>
      <c r="F1078" s="146">
        <v>0.5</v>
      </c>
      <c r="G1078" s="146"/>
      <c r="H1078" s="122">
        <v>71948</v>
      </c>
      <c r="I1078" s="122">
        <f t="shared" si="316"/>
        <v>74466.179999999993</v>
      </c>
      <c r="J1078" s="147">
        <f t="shared" si="317"/>
        <v>37233.089999999997</v>
      </c>
      <c r="K1078" s="122"/>
      <c r="L1078" s="122">
        <v>0</v>
      </c>
      <c r="M1078" s="122">
        <f t="shared" si="318"/>
        <v>0</v>
      </c>
      <c r="N1078" s="122">
        <f t="shared" si="319"/>
        <v>0</v>
      </c>
      <c r="O1078" s="122"/>
      <c r="P1078" s="122">
        <v>0</v>
      </c>
      <c r="Q1078" s="122">
        <f t="shared" si="309"/>
        <v>0</v>
      </c>
      <c r="R1078" s="147">
        <f t="shared" si="310"/>
        <v>0</v>
      </c>
      <c r="S1078" s="145">
        <v>15</v>
      </c>
      <c r="T1078" s="144" t="s">
        <v>1161</v>
      </c>
      <c r="U1078" s="90">
        <f>SUMIF('Avoided Costs 2009-2017'!$A:$A,Actuals!T1078&amp;Actuals!S1078,'Avoided Costs 2009-2017'!$E:$E)*J1078</f>
        <v>116009.03322843827</v>
      </c>
      <c r="V1078" s="90">
        <f>SUMIF('Avoided Costs 2009-2017'!$A:$A,Actuals!T1078&amp;Actuals!S1078,'Avoided Costs 2009-2017'!$K:$K)*N1078</f>
        <v>0</v>
      </c>
      <c r="W1078" s="90">
        <f>SUMIF('Avoided Costs 2009-2017'!$A:$A,Actuals!T1078&amp;Actuals!S1078,'Avoided Costs 2009-2017'!$M:$M)*R1078</f>
        <v>0</v>
      </c>
      <c r="X1078" s="90">
        <f t="shared" si="311"/>
        <v>116009.03322843827</v>
      </c>
      <c r="Y1078" s="148">
        <v>23381</v>
      </c>
      <c r="Z1078" s="149">
        <f t="shared" si="312"/>
        <v>11690.5</v>
      </c>
      <c r="AA1078" s="148"/>
      <c r="AB1078" s="145"/>
      <c r="AC1078" s="145"/>
      <c r="AD1078" s="148">
        <f t="shared" si="320"/>
        <v>11690.5</v>
      </c>
      <c r="AE1078" s="122">
        <f t="shared" si="321"/>
        <v>104318.53322843827</v>
      </c>
      <c r="AF1078" s="167">
        <f t="shared" si="315"/>
        <v>558496.35</v>
      </c>
    </row>
    <row r="1079" spans="1:32" s="150" customFormat="1" x14ac:dyDescent="0.2">
      <c r="A1079" s="144" t="s">
        <v>478</v>
      </c>
      <c r="B1079" s="144"/>
      <c r="C1079" s="144"/>
      <c r="D1079" s="145">
        <v>1</v>
      </c>
      <c r="E1079" s="122"/>
      <c r="F1079" s="146">
        <v>0.5</v>
      </c>
      <c r="G1079" s="146"/>
      <c r="H1079" s="122">
        <v>122239</v>
      </c>
      <c r="I1079" s="122">
        <f t="shared" si="316"/>
        <v>126517.36499999999</v>
      </c>
      <c r="J1079" s="147">
        <f t="shared" si="317"/>
        <v>63258.682499999995</v>
      </c>
      <c r="K1079" s="122"/>
      <c r="L1079" s="122">
        <v>0</v>
      </c>
      <c r="M1079" s="122">
        <f t="shared" si="318"/>
        <v>0</v>
      </c>
      <c r="N1079" s="122">
        <f t="shared" si="319"/>
        <v>0</v>
      </c>
      <c r="O1079" s="122"/>
      <c r="P1079" s="122">
        <v>0</v>
      </c>
      <c r="Q1079" s="122">
        <f t="shared" si="309"/>
        <v>0</v>
      </c>
      <c r="R1079" s="147">
        <f t="shared" si="310"/>
        <v>0</v>
      </c>
      <c r="S1079" s="145">
        <v>15</v>
      </c>
      <c r="T1079" s="144" t="s">
        <v>1161</v>
      </c>
      <c r="U1079" s="90">
        <f>SUMIF('Avoided Costs 2009-2017'!$A:$A,Actuals!T1079&amp;Actuals!S1079,'Avoided Costs 2009-2017'!$E:$E)*J1079</f>
        <v>197098.29616960953</v>
      </c>
      <c r="V1079" s="90">
        <f>SUMIF('Avoided Costs 2009-2017'!$A:$A,Actuals!T1079&amp;Actuals!S1079,'Avoided Costs 2009-2017'!$K:$K)*N1079</f>
        <v>0</v>
      </c>
      <c r="W1079" s="90">
        <f>SUMIF('Avoided Costs 2009-2017'!$A:$A,Actuals!T1079&amp;Actuals!S1079,'Avoided Costs 2009-2017'!$M:$M)*R1079</f>
        <v>0</v>
      </c>
      <c r="X1079" s="90">
        <f t="shared" si="311"/>
        <v>197098.29616960953</v>
      </c>
      <c r="Y1079" s="148">
        <v>38020</v>
      </c>
      <c r="Z1079" s="149">
        <f t="shared" si="312"/>
        <v>19010</v>
      </c>
      <c r="AA1079" s="148"/>
      <c r="AB1079" s="145"/>
      <c r="AC1079" s="145"/>
      <c r="AD1079" s="148">
        <f t="shared" si="320"/>
        <v>19010</v>
      </c>
      <c r="AE1079" s="122">
        <f t="shared" si="321"/>
        <v>178088.29616960953</v>
      </c>
      <c r="AF1079" s="167">
        <f t="shared" si="315"/>
        <v>948880.23749999993</v>
      </c>
    </row>
    <row r="1080" spans="1:32" s="150" customFormat="1" x14ac:dyDescent="0.2">
      <c r="A1080" s="144" t="s">
        <v>479</v>
      </c>
      <c r="B1080" s="144"/>
      <c r="C1080" s="144"/>
      <c r="D1080" s="145">
        <v>1</v>
      </c>
      <c r="E1080" s="122"/>
      <c r="F1080" s="146">
        <v>0.5</v>
      </c>
      <c r="G1080" s="146"/>
      <c r="H1080" s="122">
        <v>160020</v>
      </c>
      <c r="I1080" s="122">
        <f t="shared" si="316"/>
        <v>165620.69999999998</v>
      </c>
      <c r="J1080" s="147">
        <f t="shared" si="317"/>
        <v>82810.349999999991</v>
      </c>
      <c r="K1080" s="122"/>
      <c r="L1080" s="122">
        <v>0</v>
      </c>
      <c r="M1080" s="122">
        <f t="shared" si="318"/>
        <v>0</v>
      </c>
      <c r="N1080" s="122">
        <f t="shared" si="319"/>
        <v>0</v>
      </c>
      <c r="O1080" s="122"/>
      <c r="P1080" s="122">
        <v>0</v>
      </c>
      <c r="Q1080" s="122">
        <f t="shared" si="309"/>
        <v>0</v>
      </c>
      <c r="R1080" s="147">
        <f t="shared" si="310"/>
        <v>0</v>
      </c>
      <c r="S1080" s="145">
        <v>13</v>
      </c>
      <c r="T1080" s="144" t="s">
        <v>1161</v>
      </c>
      <c r="U1080" s="90">
        <f>SUMIF('Avoided Costs 2009-2017'!$A:$A,Actuals!T1080&amp;Actuals!S1080,'Avoided Costs 2009-2017'!$E:$E)*J1080</f>
        <v>237354.06390835714</v>
      </c>
      <c r="V1080" s="90">
        <f>SUMIF('Avoided Costs 2009-2017'!$A:$A,Actuals!T1080&amp;Actuals!S1080,'Avoided Costs 2009-2017'!$K:$K)*N1080</f>
        <v>0</v>
      </c>
      <c r="W1080" s="90">
        <f>SUMIF('Avoided Costs 2009-2017'!$A:$A,Actuals!T1080&amp;Actuals!S1080,'Avoided Costs 2009-2017'!$M:$M)*R1080</f>
        <v>0</v>
      </c>
      <c r="X1080" s="90">
        <f t="shared" si="311"/>
        <v>237354.06390835714</v>
      </c>
      <c r="Y1080" s="148">
        <v>37039</v>
      </c>
      <c r="Z1080" s="149">
        <f t="shared" si="312"/>
        <v>18519.5</v>
      </c>
      <c r="AA1080" s="148"/>
      <c r="AB1080" s="145"/>
      <c r="AC1080" s="145"/>
      <c r="AD1080" s="148">
        <f t="shared" si="320"/>
        <v>18519.5</v>
      </c>
      <c r="AE1080" s="122">
        <f t="shared" si="321"/>
        <v>218834.56390835714</v>
      </c>
      <c r="AF1080" s="167">
        <f t="shared" si="315"/>
        <v>1076534.5499999998</v>
      </c>
    </row>
    <row r="1081" spans="1:32" s="150" customFormat="1" x14ac:dyDescent="0.2">
      <c r="A1081" s="144" t="s">
        <v>480</v>
      </c>
      <c r="B1081" s="144"/>
      <c r="C1081" s="144"/>
      <c r="D1081" s="145">
        <v>1</v>
      </c>
      <c r="E1081" s="122"/>
      <c r="F1081" s="146">
        <v>0.5</v>
      </c>
      <c r="G1081" s="146"/>
      <c r="H1081" s="122">
        <v>160960</v>
      </c>
      <c r="I1081" s="122">
        <f t="shared" si="316"/>
        <v>166593.59999999998</v>
      </c>
      <c r="J1081" s="147">
        <f t="shared" si="317"/>
        <v>83296.799999999988</v>
      </c>
      <c r="K1081" s="122"/>
      <c r="L1081" s="122">
        <v>0</v>
      </c>
      <c r="M1081" s="122">
        <f t="shared" si="318"/>
        <v>0</v>
      </c>
      <c r="N1081" s="122">
        <f t="shared" si="319"/>
        <v>0</v>
      </c>
      <c r="O1081" s="122"/>
      <c r="P1081" s="122">
        <v>0</v>
      </c>
      <c r="Q1081" s="122">
        <f t="shared" si="309"/>
        <v>0</v>
      </c>
      <c r="R1081" s="147">
        <f t="shared" si="310"/>
        <v>0</v>
      </c>
      <c r="S1081" s="145">
        <v>13</v>
      </c>
      <c r="T1081" s="144" t="s">
        <v>1161</v>
      </c>
      <c r="U1081" s="90">
        <f>SUMIF('Avoided Costs 2009-2017'!$A:$A,Actuals!T1081&amp;Actuals!S1081,'Avoided Costs 2009-2017'!$E:$E)*J1081</f>
        <v>238748.34474871369</v>
      </c>
      <c r="V1081" s="90">
        <f>SUMIF('Avoided Costs 2009-2017'!$A:$A,Actuals!T1081&amp;Actuals!S1081,'Avoided Costs 2009-2017'!$K:$K)*N1081</f>
        <v>0</v>
      </c>
      <c r="W1081" s="90">
        <f>SUMIF('Avoided Costs 2009-2017'!$A:$A,Actuals!T1081&amp;Actuals!S1081,'Avoided Costs 2009-2017'!$M:$M)*R1081</f>
        <v>0</v>
      </c>
      <c r="X1081" s="90">
        <f t="shared" si="311"/>
        <v>238748.34474871369</v>
      </c>
      <c r="Y1081" s="148">
        <v>6502</v>
      </c>
      <c r="Z1081" s="149">
        <f t="shared" si="312"/>
        <v>3251</v>
      </c>
      <c r="AA1081" s="148"/>
      <c r="AB1081" s="145"/>
      <c r="AC1081" s="145"/>
      <c r="AD1081" s="148">
        <f t="shared" si="320"/>
        <v>3251</v>
      </c>
      <c r="AE1081" s="122">
        <f t="shared" si="321"/>
        <v>235497.34474871369</v>
      </c>
      <c r="AF1081" s="167">
        <f t="shared" si="315"/>
        <v>1082858.3999999999</v>
      </c>
    </row>
    <row r="1082" spans="1:32" s="150" customFormat="1" x14ac:dyDescent="0.2">
      <c r="A1082" s="144" t="s">
        <v>481</v>
      </c>
      <c r="B1082" s="144"/>
      <c r="C1082" s="144"/>
      <c r="D1082" s="145">
        <v>1</v>
      </c>
      <c r="E1082" s="122"/>
      <c r="F1082" s="146">
        <v>0.5</v>
      </c>
      <c r="G1082" s="146"/>
      <c r="H1082" s="122">
        <v>2067576</v>
      </c>
      <c r="I1082" s="122">
        <f>+H1082</f>
        <v>2067576</v>
      </c>
      <c r="J1082" s="147">
        <f t="shared" si="317"/>
        <v>1033788</v>
      </c>
      <c r="K1082" s="122"/>
      <c r="L1082" s="122">
        <v>0</v>
      </c>
      <c r="M1082" s="122">
        <f t="shared" si="318"/>
        <v>0</v>
      </c>
      <c r="N1082" s="122">
        <f t="shared" si="319"/>
        <v>0</v>
      </c>
      <c r="O1082" s="122"/>
      <c r="P1082" s="122">
        <v>0</v>
      </c>
      <c r="Q1082" s="122">
        <f t="shared" si="309"/>
        <v>0</v>
      </c>
      <c r="R1082" s="147">
        <f t="shared" si="310"/>
        <v>0</v>
      </c>
      <c r="S1082" s="145">
        <v>18</v>
      </c>
      <c r="T1082" s="144" t="s">
        <v>1161</v>
      </c>
      <c r="U1082" s="90">
        <f>SUMIF('Avoided Costs 2009-2017'!$A:$A,Actuals!T1082&amp;Actuals!S1082,'Avoided Costs 2009-2017'!$E:$E)*J1082</f>
        <v>3548044.5361303412</v>
      </c>
      <c r="V1082" s="90">
        <f>SUMIF('Avoided Costs 2009-2017'!$A:$A,Actuals!T1082&amp;Actuals!S1082,'Avoided Costs 2009-2017'!$K:$K)*N1082</f>
        <v>0</v>
      </c>
      <c r="W1082" s="90">
        <f>SUMIF('Avoided Costs 2009-2017'!$A:$A,Actuals!T1082&amp;Actuals!S1082,'Avoided Costs 2009-2017'!$M:$M)*R1082</f>
        <v>0</v>
      </c>
      <c r="X1082" s="90">
        <f t="shared" si="311"/>
        <v>3548044.5361303412</v>
      </c>
      <c r="Y1082" s="148">
        <v>2199000</v>
      </c>
      <c r="Z1082" s="149">
        <f t="shared" si="312"/>
        <v>1099500</v>
      </c>
      <c r="AA1082" s="148"/>
      <c r="AB1082" s="145"/>
      <c r="AC1082" s="145"/>
      <c r="AD1082" s="148">
        <f t="shared" si="320"/>
        <v>1099500</v>
      </c>
      <c r="AE1082" s="122">
        <f t="shared" si="321"/>
        <v>2448544.5361303412</v>
      </c>
      <c r="AF1082" s="167">
        <f t="shared" si="315"/>
        <v>18608184</v>
      </c>
    </row>
    <row r="1083" spans="1:32" s="150" customFormat="1" x14ac:dyDescent="0.2">
      <c r="A1083" s="144" t="s">
        <v>482</v>
      </c>
      <c r="B1083" s="144"/>
      <c r="C1083" s="144"/>
      <c r="D1083" s="145">
        <v>1</v>
      </c>
      <c r="E1083" s="122"/>
      <c r="F1083" s="146">
        <v>0.5</v>
      </c>
      <c r="G1083" s="146"/>
      <c r="H1083" s="122">
        <v>182696</v>
      </c>
      <c r="I1083" s="122">
        <f t="shared" si="316"/>
        <v>189090.36</v>
      </c>
      <c r="J1083" s="147">
        <f t="shared" si="317"/>
        <v>94545.18</v>
      </c>
      <c r="K1083" s="122"/>
      <c r="L1083" s="122">
        <v>0</v>
      </c>
      <c r="M1083" s="122">
        <f t="shared" si="318"/>
        <v>0</v>
      </c>
      <c r="N1083" s="122">
        <f t="shared" si="319"/>
        <v>0</v>
      </c>
      <c r="O1083" s="122"/>
      <c r="P1083" s="122">
        <v>0</v>
      </c>
      <c r="Q1083" s="122">
        <f t="shared" si="309"/>
        <v>0</v>
      </c>
      <c r="R1083" s="147">
        <f t="shared" si="310"/>
        <v>0</v>
      </c>
      <c r="S1083" s="145">
        <v>15</v>
      </c>
      <c r="T1083" s="144" t="s">
        <v>1161</v>
      </c>
      <c r="U1083" s="90">
        <f>SUMIF('Avoided Costs 2009-2017'!$A:$A,Actuals!T1083&amp;Actuals!S1083,'Avoided Costs 2009-2017'!$E:$E)*J1083</f>
        <v>294579.22853592539</v>
      </c>
      <c r="V1083" s="90">
        <f>SUMIF('Avoided Costs 2009-2017'!$A:$A,Actuals!T1083&amp;Actuals!S1083,'Avoided Costs 2009-2017'!$K:$K)*N1083</f>
        <v>0</v>
      </c>
      <c r="W1083" s="90">
        <f>SUMIF('Avoided Costs 2009-2017'!$A:$A,Actuals!T1083&amp;Actuals!S1083,'Avoided Costs 2009-2017'!$M:$M)*R1083</f>
        <v>0</v>
      </c>
      <c r="X1083" s="90">
        <f t="shared" si="311"/>
        <v>294579.22853592539</v>
      </c>
      <c r="Y1083" s="148">
        <v>49918</v>
      </c>
      <c r="Z1083" s="149">
        <f t="shared" si="312"/>
        <v>24959</v>
      </c>
      <c r="AA1083" s="148"/>
      <c r="AB1083" s="145"/>
      <c r="AC1083" s="145"/>
      <c r="AD1083" s="148">
        <f t="shared" si="320"/>
        <v>24959</v>
      </c>
      <c r="AE1083" s="122">
        <f t="shared" si="321"/>
        <v>269620.22853592539</v>
      </c>
      <c r="AF1083" s="167">
        <f t="shared" si="315"/>
        <v>1418177.7</v>
      </c>
    </row>
    <row r="1084" spans="1:32" s="150" customFormat="1" x14ac:dyDescent="0.2">
      <c r="A1084" s="144" t="s">
        <v>483</v>
      </c>
      <c r="B1084" s="144"/>
      <c r="C1084" s="144"/>
      <c r="D1084" s="145">
        <v>0</v>
      </c>
      <c r="E1084" s="122"/>
      <c r="F1084" s="146">
        <v>0.5</v>
      </c>
      <c r="G1084" s="146"/>
      <c r="H1084" s="122">
        <v>88264</v>
      </c>
      <c r="I1084" s="122">
        <f t="shared" si="316"/>
        <v>91353.239999999991</v>
      </c>
      <c r="J1084" s="147">
        <f t="shared" si="317"/>
        <v>45676.619999999995</v>
      </c>
      <c r="K1084" s="122"/>
      <c r="L1084" s="122">
        <v>0</v>
      </c>
      <c r="M1084" s="122">
        <f t="shared" si="318"/>
        <v>0</v>
      </c>
      <c r="N1084" s="122">
        <f t="shared" si="319"/>
        <v>0</v>
      </c>
      <c r="O1084" s="122"/>
      <c r="P1084" s="122">
        <v>0</v>
      </c>
      <c r="Q1084" s="122">
        <f t="shared" si="309"/>
        <v>0</v>
      </c>
      <c r="R1084" s="147">
        <f t="shared" si="310"/>
        <v>0</v>
      </c>
      <c r="S1084" s="145">
        <v>13</v>
      </c>
      <c r="T1084" s="144" t="s">
        <v>1161</v>
      </c>
      <c r="U1084" s="90">
        <f>SUMIF('Avoided Costs 2009-2017'!$A:$A,Actuals!T1084&amp;Actuals!S1084,'Avoided Costs 2009-2017'!$E:$E)*J1084</f>
        <v>130920.0043545009</v>
      </c>
      <c r="V1084" s="90">
        <f>SUMIF('Avoided Costs 2009-2017'!$A:$A,Actuals!T1084&amp;Actuals!S1084,'Avoided Costs 2009-2017'!$K:$K)*N1084</f>
        <v>0</v>
      </c>
      <c r="W1084" s="90">
        <f>SUMIF('Avoided Costs 2009-2017'!$A:$A,Actuals!T1084&amp;Actuals!S1084,'Avoided Costs 2009-2017'!$M:$M)*R1084</f>
        <v>0</v>
      </c>
      <c r="X1084" s="90">
        <f t="shared" si="311"/>
        <v>130920.0043545009</v>
      </c>
      <c r="Y1084" s="148">
        <v>6615</v>
      </c>
      <c r="Z1084" s="149">
        <f t="shared" si="312"/>
        <v>3307.5</v>
      </c>
      <c r="AA1084" s="148"/>
      <c r="AB1084" s="145"/>
      <c r="AC1084" s="145"/>
      <c r="AD1084" s="148">
        <f t="shared" si="320"/>
        <v>3307.5</v>
      </c>
      <c r="AE1084" s="122">
        <f t="shared" si="321"/>
        <v>127612.5043545009</v>
      </c>
      <c r="AF1084" s="167">
        <f t="shared" si="315"/>
        <v>593796.05999999994</v>
      </c>
    </row>
    <row r="1085" spans="1:32" s="150" customFormat="1" x14ac:dyDescent="0.2">
      <c r="A1085" s="144" t="s">
        <v>484</v>
      </c>
      <c r="B1085" s="144"/>
      <c r="C1085" s="144"/>
      <c r="D1085" s="145">
        <v>0</v>
      </c>
      <c r="E1085" s="122"/>
      <c r="F1085" s="146">
        <v>0.5</v>
      </c>
      <c r="G1085" s="146"/>
      <c r="H1085" s="122">
        <v>64150</v>
      </c>
      <c r="I1085" s="122">
        <f t="shared" si="316"/>
        <v>66395.25</v>
      </c>
      <c r="J1085" s="147">
        <f t="shared" si="317"/>
        <v>33197.625</v>
      </c>
      <c r="K1085" s="122"/>
      <c r="L1085" s="122">
        <v>0</v>
      </c>
      <c r="M1085" s="122">
        <f t="shared" si="318"/>
        <v>0</v>
      </c>
      <c r="N1085" s="122">
        <f t="shared" si="319"/>
        <v>0</v>
      </c>
      <c r="O1085" s="122"/>
      <c r="P1085" s="122">
        <v>5698</v>
      </c>
      <c r="Q1085" s="122">
        <f t="shared" si="309"/>
        <v>8501.4159999999993</v>
      </c>
      <c r="R1085" s="147">
        <f t="shared" si="310"/>
        <v>4250.7079999999996</v>
      </c>
      <c r="S1085" s="145">
        <v>15</v>
      </c>
      <c r="T1085" s="144" t="s">
        <v>1161</v>
      </c>
      <c r="U1085" s="90">
        <f>SUMIF('Avoided Costs 2009-2017'!$A:$A,Actuals!T1085&amp;Actuals!S1085,'Avoided Costs 2009-2017'!$E:$E)*J1085</f>
        <v>103435.52957141708</v>
      </c>
      <c r="V1085" s="90">
        <f>SUMIF('Avoided Costs 2009-2017'!$A:$A,Actuals!T1085&amp;Actuals!S1085,'Avoided Costs 2009-2017'!$K:$K)*N1085</f>
        <v>0</v>
      </c>
      <c r="W1085" s="90">
        <f>SUMIF('Avoided Costs 2009-2017'!$A:$A,Actuals!T1085&amp;Actuals!S1085,'Avoided Costs 2009-2017'!$M:$M)*R1085</f>
        <v>55221.836429605552</v>
      </c>
      <c r="X1085" s="90">
        <f t="shared" si="311"/>
        <v>158657.36600102263</v>
      </c>
      <c r="Y1085" s="148">
        <v>4575</v>
      </c>
      <c r="Z1085" s="149">
        <f t="shared" si="312"/>
        <v>2287.5</v>
      </c>
      <c r="AA1085" s="148"/>
      <c r="AB1085" s="145"/>
      <c r="AC1085" s="145"/>
      <c r="AD1085" s="148">
        <f t="shared" si="320"/>
        <v>2287.5</v>
      </c>
      <c r="AE1085" s="122">
        <f t="shared" si="321"/>
        <v>156369.86600102263</v>
      </c>
      <c r="AF1085" s="167">
        <f t="shared" si="315"/>
        <v>497964.375</v>
      </c>
    </row>
    <row r="1086" spans="1:32" s="150" customFormat="1" x14ac:dyDescent="0.2">
      <c r="A1086" s="144" t="s">
        <v>485</v>
      </c>
      <c r="B1086" s="144"/>
      <c r="C1086" s="144"/>
      <c r="D1086" s="145">
        <v>1</v>
      </c>
      <c r="E1086" s="122"/>
      <c r="F1086" s="146">
        <v>0.5</v>
      </c>
      <c r="G1086" s="146"/>
      <c r="H1086" s="122">
        <v>194236</v>
      </c>
      <c r="I1086" s="122">
        <f t="shared" si="316"/>
        <v>201034.25999999998</v>
      </c>
      <c r="J1086" s="147">
        <f t="shared" si="317"/>
        <v>100517.12999999999</v>
      </c>
      <c r="K1086" s="122"/>
      <c r="L1086" s="122">
        <v>1418786</v>
      </c>
      <c r="M1086" s="122">
        <f t="shared" si="318"/>
        <v>1350684.2719999999</v>
      </c>
      <c r="N1086" s="122">
        <f t="shared" si="319"/>
        <v>675342.13599999994</v>
      </c>
      <c r="O1086" s="122"/>
      <c r="P1086" s="122">
        <v>0</v>
      </c>
      <c r="Q1086" s="122">
        <f t="shared" si="309"/>
        <v>0</v>
      </c>
      <c r="R1086" s="147">
        <f t="shared" si="310"/>
        <v>0</v>
      </c>
      <c r="S1086" s="145">
        <v>15</v>
      </c>
      <c r="T1086" s="144" t="s">
        <v>1161</v>
      </c>
      <c r="U1086" s="90">
        <f>SUMIF('Avoided Costs 2009-2017'!$A:$A,Actuals!T1086&amp;Actuals!S1086,'Avoided Costs 2009-2017'!$E:$E)*J1086</f>
        <v>313186.33705118886</v>
      </c>
      <c r="V1086" s="90">
        <f>SUMIF('Avoided Costs 2009-2017'!$A:$A,Actuals!T1086&amp;Actuals!S1086,'Avoided Costs 2009-2017'!$K:$K)*N1086</f>
        <v>504164.63467583526</v>
      </c>
      <c r="W1086" s="90">
        <f>SUMIF('Avoided Costs 2009-2017'!$A:$A,Actuals!T1086&amp;Actuals!S1086,'Avoided Costs 2009-2017'!$M:$M)*R1086</f>
        <v>0</v>
      </c>
      <c r="X1086" s="90">
        <f t="shared" si="311"/>
        <v>817350.97172702407</v>
      </c>
      <c r="Y1086" s="148">
        <v>2970</v>
      </c>
      <c r="Z1086" s="149">
        <f t="shared" si="312"/>
        <v>1485</v>
      </c>
      <c r="AA1086" s="148"/>
      <c r="AB1086" s="145"/>
      <c r="AC1086" s="145"/>
      <c r="AD1086" s="148">
        <f t="shared" si="320"/>
        <v>1485</v>
      </c>
      <c r="AE1086" s="122">
        <f t="shared" si="321"/>
        <v>815865.97172702407</v>
      </c>
      <c r="AF1086" s="167">
        <f t="shared" si="315"/>
        <v>1507756.95</v>
      </c>
    </row>
    <row r="1087" spans="1:32" s="150" customFormat="1" x14ac:dyDescent="0.2">
      <c r="A1087" s="144" t="s">
        <v>486</v>
      </c>
      <c r="B1087" s="144"/>
      <c r="C1087" s="144"/>
      <c r="D1087" s="145">
        <v>0</v>
      </c>
      <c r="E1087" s="122"/>
      <c r="F1087" s="146">
        <v>0.5</v>
      </c>
      <c r="G1087" s="146"/>
      <c r="H1087" s="122">
        <v>0</v>
      </c>
      <c r="I1087" s="122">
        <f t="shared" si="316"/>
        <v>0</v>
      </c>
      <c r="J1087" s="147">
        <f t="shared" si="317"/>
        <v>0</v>
      </c>
      <c r="K1087" s="122"/>
      <c r="L1087" s="122">
        <v>0</v>
      </c>
      <c r="M1087" s="122">
        <f t="shared" si="318"/>
        <v>0</v>
      </c>
      <c r="N1087" s="122">
        <f t="shared" si="319"/>
        <v>0</v>
      </c>
      <c r="O1087" s="122"/>
      <c r="P1087" s="122">
        <v>0</v>
      </c>
      <c r="Q1087" s="122">
        <f t="shared" si="309"/>
        <v>0</v>
      </c>
      <c r="R1087" s="147">
        <f t="shared" si="310"/>
        <v>0</v>
      </c>
      <c r="S1087" s="145">
        <v>1</v>
      </c>
      <c r="T1087" s="144" t="s">
        <v>1161</v>
      </c>
      <c r="U1087" s="90">
        <f>SUMIF('Avoided Costs 2009-2017'!$A:$A,Actuals!T1087&amp;Actuals!S1087,'Avoided Costs 2009-2017'!$E:$E)*J1087</f>
        <v>0</v>
      </c>
      <c r="V1087" s="90">
        <f>SUMIF('Avoided Costs 2009-2017'!$A:$A,Actuals!T1087&amp;Actuals!S1087,'Avoided Costs 2009-2017'!$K:$K)*N1087</f>
        <v>0</v>
      </c>
      <c r="W1087" s="90">
        <f>SUMIF('Avoided Costs 2009-2017'!$A:$A,Actuals!T1087&amp;Actuals!S1087,'Avoided Costs 2009-2017'!$M:$M)*R1087</f>
        <v>0</v>
      </c>
      <c r="X1087" s="90">
        <f t="shared" si="311"/>
        <v>0</v>
      </c>
      <c r="Y1087" s="148">
        <v>0</v>
      </c>
      <c r="Z1087" s="149">
        <f t="shared" si="312"/>
        <v>0</v>
      </c>
      <c r="AA1087" s="148"/>
      <c r="AB1087" s="145"/>
      <c r="AC1087" s="145"/>
      <c r="AD1087" s="148">
        <f t="shared" si="320"/>
        <v>0</v>
      </c>
      <c r="AE1087" s="122">
        <f t="shared" si="321"/>
        <v>0</v>
      </c>
      <c r="AF1087" s="167">
        <f t="shared" si="315"/>
        <v>0</v>
      </c>
    </row>
    <row r="1088" spans="1:32" s="150" customFormat="1" x14ac:dyDescent="0.2">
      <c r="A1088" s="144" t="s">
        <v>487</v>
      </c>
      <c r="B1088" s="144"/>
      <c r="C1088" s="144"/>
      <c r="D1088" s="145">
        <v>0</v>
      </c>
      <c r="E1088" s="122"/>
      <c r="F1088" s="146">
        <v>0.5</v>
      </c>
      <c r="G1088" s="146"/>
      <c r="H1088" s="122">
        <v>0</v>
      </c>
      <c r="I1088" s="122">
        <f t="shared" si="316"/>
        <v>0</v>
      </c>
      <c r="J1088" s="147">
        <f t="shared" si="317"/>
        <v>0</v>
      </c>
      <c r="K1088" s="122"/>
      <c r="L1088" s="122">
        <v>0</v>
      </c>
      <c r="M1088" s="122">
        <f t="shared" si="318"/>
        <v>0</v>
      </c>
      <c r="N1088" s="122">
        <f t="shared" si="319"/>
        <v>0</v>
      </c>
      <c r="O1088" s="122"/>
      <c r="P1088" s="122">
        <v>0</v>
      </c>
      <c r="Q1088" s="122">
        <f t="shared" si="309"/>
        <v>0</v>
      </c>
      <c r="R1088" s="147">
        <f t="shared" si="310"/>
        <v>0</v>
      </c>
      <c r="S1088" s="145">
        <v>1</v>
      </c>
      <c r="T1088" s="144" t="s">
        <v>1161</v>
      </c>
      <c r="U1088" s="90">
        <f>SUMIF('Avoided Costs 2009-2017'!$A:$A,Actuals!T1088&amp;Actuals!S1088,'Avoided Costs 2009-2017'!$E:$E)*J1088</f>
        <v>0</v>
      </c>
      <c r="V1088" s="90">
        <f>SUMIF('Avoided Costs 2009-2017'!$A:$A,Actuals!T1088&amp;Actuals!S1088,'Avoided Costs 2009-2017'!$K:$K)*N1088</f>
        <v>0</v>
      </c>
      <c r="W1088" s="90">
        <f>SUMIF('Avoided Costs 2009-2017'!$A:$A,Actuals!T1088&amp;Actuals!S1088,'Avoided Costs 2009-2017'!$M:$M)*R1088</f>
        <v>0</v>
      </c>
      <c r="X1088" s="90">
        <f t="shared" si="311"/>
        <v>0</v>
      </c>
      <c r="Y1088" s="148">
        <v>0</v>
      </c>
      <c r="Z1088" s="149">
        <f t="shared" si="312"/>
        <v>0</v>
      </c>
      <c r="AA1088" s="148"/>
      <c r="AB1088" s="145"/>
      <c r="AC1088" s="145"/>
      <c r="AD1088" s="148">
        <f t="shared" si="320"/>
        <v>0</v>
      </c>
      <c r="AE1088" s="122">
        <f t="shared" si="321"/>
        <v>0</v>
      </c>
      <c r="AF1088" s="167">
        <f t="shared" si="315"/>
        <v>0</v>
      </c>
    </row>
    <row r="1089" spans="1:32" s="150" customFormat="1" x14ac:dyDescent="0.2">
      <c r="A1089" s="144" t="s">
        <v>488</v>
      </c>
      <c r="B1089" s="144"/>
      <c r="C1089" s="144"/>
      <c r="D1089" s="145">
        <v>0</v>
      </c>
      <c r="E1089" s="122"/>
      <c r="F1089" s="146">
        <v>0.5</v>
      </c>
      <c r="G1089" s="146"/>
      <c r="H1089" s="122">
        <v>0</v>
      </c>
      <c r="I1089" s="122">
        <f t="shared" si="316"/>
        <v>0</v>
      </c>
      <c r="J1089" s="147">
        <f t="shared" si="317"/>
        <v>0</v>
      </c>
      <c r="K1089" s="122"/>
      <c r="L1089" s="122">
        <v>0</v>
      </c>
      <c r="M1089" s="122">
        <f t="shared" si="318"/>
        <v>0</v>
      </c>
      <c r="N1089" s="122">
        <f t="shared" si="319"/>
        <v>0</v>
      </c>
      <c r="O1089" s="122"/>
      <c r="P1089" s="122">
        <v>0</v>
      </c>
      <c r="Q1089" s="122">
        <f t="shared" si="309"/>
        <v>0</v>
      </c>
      <c r="R1089" s="147">
        <f t="shared" si="310"/>
        <v>0</v>
      </c>
      <c r="S1089" s="145">
        <v>1</v>
      </c>
      <c r="T1089" s="144" t="s">
        <v>1161</v>
      </c>
      <c r="U1089" s="90">
        <f>SUMIF('Avoided Costs 2009-2017'!$A:$A,Actuals!T1089&amp;Actuals!S1089,'Avoided Costs 2009-2017'!$E:$E)*J1089</f>
        <v>0</v>
      </c>
      <c r="V1089" s="90">
        <f>SUMIF('Avoided Costs 2009-2017'!$A:$A,Actuals!T1089&amp;Actuals!S1089,'Avoided Costs 2009-2017'!$K:$K)*N1089</f>
        <v>0</v>
      </c>
      <c r="W1089" s="90">
        <f>SUMIF('Avoided Costs 2009-2017'!$A:$A,Actuals!T1089&amp;Actuals!S1089,'Avoided Costs 2009-2017'!$M:$M)*R1089</f>
        <v>0</v>
      </c>
      <c r="X1089" s="90">
        <f t="shared" si="311"/>
        <v>0</v>
      </c>
      <c r="Y1089" s="148">
        <v>0</v>
      </c>
      <c r="Z1089" s="149">
        <f t="shared" si="312"/>
        <v>0</v>
      </c>
      <c r="AA1089" s="148"/>
      <c r="AB1089" s="145"/>
      <c r="AC1089" s="145"/>
      <c r="AD1089" s="148">
        <f t="shared" si="320"/>
        <v>0</v>
      </c>
      <c r="AE1089" s="122">
        <f t="shared" si="321"/>
        <v>0</v>
      </c>
      <c r="AF1089" s="167">
        <f t="shared" si="315"/>
        <v>0</v>
      </c>
    </row>
    <row r="1090" spans="1:32" s="150" customFormat="1" x14ac:dyDescent="0.2">
      <c r="A1090" s="144" t="s">
        <v>489</v>
      </c>
      <c r="B1090" s="144"/>
      <c r="C1090" s="144"/>
      <c r="D1090" s="145">
        <v>0</v>
      </c>
      <c r="E1090" s="122"/>
      <c r="F1090" s="146">
        <v>0.5</v>
      </c>
      <c r="G1090" s="146"/>
      <c r="H1090" s="122">
        <v>0</v>
      </c>
      <c r="I1090" s="122">
        <f t="shared" si="316"/>
        <v>0</v>
      </c>
      <c r="J1090" s="147">
        <f t="shared" si="317"/>
        <v>0</v>
      </c>
      <c r="K1090" s="122"/>
      <c r="L1090" s="122">
        <v>0</v>
      </c>
      <c r="M1090" s="122">
        <f t="shared" si="318"/>
        <v>0</v>
      </c>
      <c r="N1090" s="122">
        <f t="shared" si="319"/>
        <v>0</v>
      </c>
      <c r="O1090" s="122"/>
      <c r="P1090" s="122">
        <v>0</v>
      </c>
      <c r="Q1090" s="122">
        <f t="shared" si="309"/>
        <v>0</v>
      </c>
      <c r="R1090" s="147">
        <f t="shared" si="310"/>
        <v>0</v>
      </c>
      <c r="S1090" s="145">
        <v>1</v>
      </c>
      <c r="T1090" s="144" t="s">
        <v>1161</v>
      </c>
      <c r="U1090" s="90">
        <f>SUMIF('Avoided Costs 2009-2017'!$A:$A,Actuals!T1090&amp;Actuals!S1090,'Avoided Costs 2009-2017'!$E:$E)*J1090</f>
        <v>0</v>
      </c>
      <c r="V1090" s="90">
        <f>SUMIF('Avoided Costs 2009-2017'!$A:$A,Actuals!T1090&amp;Actuals!S1090,'Avoided Costs 2009-2017'!$K:$K)*N1090</f>
        <v>0</v>
      </c>
      <c r="W1090" s="90">
        <f>SUMIF('Avoided Costs 2009-2017'!$A:$A,Actuals!T1090&amp;Actuals!S1090,'Avoided Costs 2009-2017'!$M:$M)*R1090</f>
        <v>0</v>
      </c>
      <c r="X1090" s="90">
        <f t="shared" si="311"/>
        <v>0</v>
      </c>
      <c r="Y1090" s="148">
        <v>0</v>
      </c>
      <c r="Z1090" s="149">
        <f t="shared" si="312"/>
        <v>0</v>
      </c>
      <c r="AA1090" s="148"/>
      <c r="AB1090" s="145"/>
      <c r="AC1090" s="145"/>
      <c r="AD1090" s="148">
        <f t="shared" si="320"/>
        <v>0</v>
      </c>
      <c r="AE1090" s="122">
        <f t="shared" si="321"/>
        <v>0</v>
      </c>
      <c r="AF1090" s="167">
        <f t="shared" si="315"/>
        <v>0</v>
      </c>
    </row>
    <row r="1091" spans="1:32" s="150" customFormat="1" x14ac:dyDescent="0.2">
      <c r="A1091" s="144" t="s">
        <v>490</v>
      </c>
      <c r="B1091" s="144"/>
      <c r="C1091" s="144"/>
      <c r="D1091" s="145">
        <v>0</v>
      </c>
      <c r="E1091" s="122"/>
      <c r="F1091" s="146">
        <v>0.5</v>
      </c>
      <c r="G1091" s="146"/>
      <c r="H1091" s="122">
        <v>0</v>
      </c>
      <c r="I1091" s="122">
        <f t="shared" si="316"/>
        <v>0</v>
      </c>
      <c r="J1091" s="147">
        <f t="shared" si="317"/>
        <v>0</v>
      </c>
      <c r="K1091" s="122"/>
      <c r="L1091" s="122">
        <v>0</v>
      </c>
      <c r="M1091" s="122">
        <f t="shared" si="318"/>
        <v>0</v>
      </c>
      <c r="N1091" s="122">
        <f t="shared" si="319"/>
        <v>0</v>
      </c>
      <c r="O1091" s="122"/>
      <c r="P1091" s="122">
        <v>0</v>
      </c>
      <c r="Q1091" s="122">
        <f t="shared" si="309"/>
        <v>0</v>
      </c>
      <c r="R1091" s="147">
        <f t="shared" si="310"/>
        <v>0</v>
      </c>
      <c r="S1091" s="145">
        <v>1</v>
      </c>
      <c r="T1091" s="144" t="s">
        <v>1161</v>
      </c>
      <c r="U1091" s="90">
        <f>SUMIF('Avoided Costs 2009-2017'!$A:$A,Actuals!T1091&amp;Actuals!S1091,'Avoided Costs 2009-2017'!$E:$E)*J1091</f>
        <v>0</v>
      </c>
      <c r="V1091" s="90">
        <f>SUMIF('Avoided Costs 2009-2017'!$A:$A,Actuals!T1091&amp;Actuals!S1091,'Avoided Costs 2009-2017'!$K:$K)*N1091</f>
        <v>0</v>
      </c>
      <c r="W1091" s="90">
        <f>SUMIF('Avoided Costs 2009-2017'!$A:$A,Actuals!T1091&amp;Actuals!S1091,'Avoided Costs 2009-2017'!$M:$M)*R1091</f>
        <v>0</v>
      </c>
      <c r="X1091" s="90">
        <f t="shared" si="311"/>
        <v>0</v>
      </c>
      <c r="Y1091" s="148">
        <v>0</v>
      </c>
      <c r="Z1091" s="149">
        <f t="shared" si="312"/>
        <v>0</v>
      </c>
      <c r="AA1091" s="148"/>
      <c r="AB1091" s="145"/>
      <c r="AC1091" s="145"/>
      <c r="AD1091" s="148">
        <f t="shared" si="320"/>
        <v>0</v>
      </c>
      <c r="AE1091" s="122">
        <f t="shared" si="321"/>
        <v>0</v>
      </c>
      <c r="AF1091" s="167">
        <f t="shared" si="315"/>
        <v>0</v>
      </c>
    </row>
    <row r="1092" spans="1:32" s="150" customFormat="1" x14ac:dyDescent="0.2">
      <c r="A1092" s="144" t="s">
        <v>491</v>
      </c>
      <c r="B1092" s="144"/>
      <c r="C1092" s="144"/>
      <c r="D1092" s="145">
        <v>0</v>
      </c>
      <c r="E1092" s="122"/>
      <c r="F1092" s="146">
        <v>0.5</v>
      </c>
      <c r="G1092" s="146"/>
      <c r="H1092" s="122">
        <v>0</v>
      </c>
      <c r="I1092" s="122">
        <f t="shared" si="316"/>
        <v>0</v>
      </c>
      <c r="J1092" s="147">
        <f t="shared" si="317"/>
        <v>0</v>
      </c>
      <c r="K1092" s="122"/>
      <c r="L1092" s="122">
        <v>0</v>
      </c>
      <c r="M1092" s="122">
        <f t="shared" si="318"/>
        <v>0</v>
      </c>
      <c r="N1092" s="122">
        <f t="shared" si="319"/>
        <v>0</v>
      </c>
      <c r="O1092" s="122"/>
      <c r="P1092" s="122">
        <v>0</v>
      </c>
      <c r="Q1092" s="122">
        <f t="shared" si="309"/>
        <v>0</v>
      </c>
      <c r="R1092" s="147">
        <f t="shared" si="310"/>
        <v>0</v>
      </c>
      <c r="S1092" s="145">
        <v>1</v>
      </c>
      <c r="T1092" s="144" t="s">
        <v>1161</v>
      </c>
      <c r="U1092" s="90">
        <f>SUMIF('Avoided Costs 2009-2017'!$A:$A,Actuals!T1092&amp;Actuals!S1092,'Avoided Costs 2009-2017'!$E:$E)*J1092</f>
        <v>0</v>
      </c>
      <c r="V1092" s="90">
        <f>SUMIF('Avoided Costs 2009-2017'!$A:$A,Actuals!T1092&amp;Actuals!S1092,'Avoided Costs 2009-2017'!$K:$K)*N1092</f>
        <v>0</v>
      </c>
      <c r="W1092" s="90">
        <f>SUMIF('Avoided Costs 2009-2017'!$A:$A,Actuals!T1092&amp;Actuals!S1092,'Avoided Costs 2009-2017'!$M:$M)*R1092</f>
        <v>0</v>
      </c>
      <c r="X1092" s="90">
        <f t="shared" si="311"/>
        <v>0</v>
      </c>
      <c r="Y1092" s="148">
        <v>0</v>
      </c>
      <c r="Z1092" s="149">
        <f t="shared" si="312"/>
        <v>0</v>
      </c>
      <c r="AA1092" s="148"/>
      <c r="AB1092" s="145"/>
      <c r="AC1092" s="145"/>
      <c r="AD1092" s="148">
        <f t="shared" si="320"/>
        <v>0</v>
      </c>
      <c r="AE1092" s="122">
        <f t="shared" si="321"/>
        <v>0</v>
      </c>
      <c r="AF1092" s="167">
        <f t="shared" si="315"/>
        <v>0</v>
      </c>
    </row>
    <row r="1093" spans="1:32" s="150" customFormat="1" x14ac:dyDescent="0.2">
      <c r="A1093" s="144" t="s">
        <v>492</v>
      </c>
      <c r="B1093" s="144"/>
      <c r="C1093" s="144"/>
      <c r="D1093" s="145">
        <v>0</v>
      </c>
      <c r="E1093" s="122"/>
      <c r="F1093" s="146">
        <v>0.5</v>
      </c>
      <c r="G1093" s="146"/>
      <c r="H1093" s="122">
        <v>0</v>
      </c>
      <c r="I1093" s="122">
        <f t="shared" si="316"/>
        <v>0</v>
      </c>
      <c r="J1093" s="147">
        <f t="shared" si="317"/>
        <v>0</v>
      </c>
      <c r="K1093" s="122"/>
      <c r="L1093" s="122">
        <v>0</v>
      </c>
      <c r="M1093" s="122">
        <f t="shared" si="318"/>
        <v>0</v>
      </c>
      <c r="N1093" s="122">
        <f t="shared" si="319"/>
        <v>0</v>
      </c>
      <c r="O1093" s="122"/>
      <c r="P1093" s="122">
        <v>0</v>
      </c>
      <c r="Q1093" s="122">
        <f t="shared" si="309"/>
        <v>0</v>
      </c>
      <c r="R1093" s="147">
        <f t="shared" si="310"/>
        <v>0</v>
      </c>
      <c r="S1093" s="145">
        <v>1</v>
      </c>
      <c r="T1093" s="144" t="s">
        <v>1161</v>
      </c>
      <c r="U1093" s="90">
        <f>SUMIF('Avoided Costs 2009-2017'!$A:$A,Actuals!T1093&amp;Actuals!S1093,'Avoided Costs 2009-2017'!$E:$E)*J1093</f>
        <v>0</v>
      </c>
      <c r="V1093" s="90">
        <f>SUMIF('Avoided Costs 2009-2017'!$A:$A,Actuals!T1093&amp;Actuals!S1093,'Avoided Costs 2009-2017'!$K:$K)*N1093</f>
        <v>0</v>
      </c>
      <c r="W1093" s="90">
        <f>SUMIF('Avoided Costs 2009-2017'!$A:$A,Actuals!T1093&amp;Actuals!S1093,'Avoided Costs 2009-2017'!$M:$M)*R1093</f>
        <v>0</v>
      </c>
      <c r="X1093" s="90">
        <f t="shared" si="311"/>
        <v>0</v>
      </c>
      <c r="Y1093" s="148">
        <v>0</v>
      </c>
      <c r="Z1093" s="149">
        <f t="shared" si="312"/>
        <v>0</v>
      </c>
      <c r="AA1093" s="148"/>
      <c r="AB1093" s="145"/>
      <c r="AC1093" s="145"/>
      <c r="AD1093" s="148">
        <f t="shared" si="320"/>
        <v>0</v>
      </c>
      <c r="AE1093" s="122">
        <f t="shared" si="321"/>
        <v>0</v>
      </c>
      <c r="AF1093" s="167">
        <f t="shared" si="315"/>
        <v>0</v>
      </c>
    </row>
    <row r="1094" spans="1:32" s="150" customFormat="1" x14ac:dyDescent="0.2">
      <c r="A1094" s="144" t="s">
        <v>493</v>
      </c>
      <c r="B1094" s="144"/>
      <c r="C1094" s="144"/>
      <c r="D1094" s="145">
        <v>1</v>
      </c>
      <c r="E1094" s="122"/>
      <c r="F1094" s="146">
        <v>0.5</v>
      </c>
      <c r="G1094" s="146"/>
      <c r="H1094" s="122">
        <v>13397</v>
      </c>
      <c r="I1094" s="122">
        <f t="shared" si="316"/>
        <v>13865.894999999999</v>
      </c>
      <c r="J1094" s="147">
        <f t="shared" si="317"/>
        <v>6932.9474999999993</v>
      </c>
      <c r="K1094" s="122"/>
      <c r="L1094" s="122">
        <v>0</v>
      </c>
      <c r="M1094" s="122">
        <f t="shared" si="318"/>
        <v>0</v>
      </c>
      <c r="N1094" s="122">
        <f t="shared" si="319"/>
        <v>0</v>
      </c>
      <c r="O1094" s="122"/>
      <c r="P1094" s="122">
        <v>0</v>
      </c>
      <c r="Q1094" s="122">
        <f t="shared" si="309"/>
        <v>0</v>
      </c>
      <c r="R1094" s="147">
        <f t="shared" si="310"/>
        <v>0</v>
      </c>
      <c r="S1094" s="145">
        <v>15</v>
      </c>
      <c r="T1094" s="144" t="s">
        <v>1161</v>
      </c>
      <c r="U1094" s="90">
        <f>SUMIF('Avoided Costs 2009-2017'!$A:$A,Actuals!T1094&amp;Actuals!S1094,'Avoided Costs 2009-2017'!$E:$E)*J1094</f>
        <v>21601.337329201473</v>
      </c>
      <c r="V1094" s="90">
        <f>SUMIF('Avoided Costs 2009-2017'!$A:$A,Actuals!T1094&amp;Actuals!S1094,'Avoided Costs 2009-2017'!$K:$K)*N1094</f>
        <v>0</v>
      </c>
      <c r="W1094" s="90">
        <f>SUMIF('Avoided Costs 2009-2017'!$A:$A,Actuals!T1094&amp;Actuals!S1094,'Avoided Costs 2009-2017'!$M:$M)*R1094</f>
        <v>0</v>
      </c>
      <c r="X1094" s="90">
        <f t="shared" si="311"/>
        <v>21601.337329201473</v>
      </c>
      <c r="Y1094" s="148">
        <v>28870</v>
      </c>
      <c r="Z1094" s="149">
        <f t="shared" si="312"/>
        <v>14435</v>
      </c>
      <c r="AA1094" s="148"/>
      <c r="AB1094" s="145"/>
      <c r="AC1094" s="145"/>
      <c r="AD1094" s="148">
        <f t="shared" si="320"/>
        <v>14435</v>
      </c>
      <c r="AE1094" s="122">
        <f t="shared" si="321"/>
        <v>7166.337329201473</v>
      </c>
      <c r="AF1094" s="167">
        <f t="shared" si="315"/>
        <v>103994.21249999999</v>
      </c>
    </row>
    <row r="1095" spans="1:32" s="150" customFormat="1" x14ac:dyDescent="0.2">
      <c r="A1095" s="144" t="s">
        <v>494</v>
      </c>
      <c r="B1095" s="144"/>
      <c r="C1095" s="144"/>
      <c r="D1095" s="145">
        <v>0</v>
      </c>
      <c r="E1095" s="122"/>
      <c r="F1095" s="146">
        <v>0.5</v>
      </c>
      <c r="G1095" s="146"/>
      <c r="H1095" s="122">
        <v>0</v>
      </c>
      <c r="I1095" s="122">
        <f t="shared" si="316"/>
        <v>0</v>
      </c>
      <c r="J1095" s="147">
        <f t="shared" si="317"/>
        <v>0</v>
      </c>
      <c r="K1095" s="122"/>
      <c r="L1095" s="122">
        <v>0</v>
      </c>
      <c r="M1095" s="122">
        <f t="shared" si="318"/>
        <v>0</v>
      </c>
      <c r="N1095" s="122">
        <f t="shared" si="319"/>
        <v>0</v>
      </c>
      <c r="O1095" s="122"/>
      <c r="P1095" s="122">
        <v>0</v>
      </c>
      <c r="Q1095" s="122">
        <f t="shared" si="309"/>
        <v>0</v>
      </c>
      <c r="R1095" s="147">
        <f t="shared" si="310"/>
        <v>0</v>
      </c>
      <c r="S1095" s="145">
        <v>1</v>
      </c>
      <c r="T1095" s="144" t="s">
        <v>1161</v>
      </c>
      <c r="U1095" s="90">
        <f>SUMIF('Avoided Costs 2009-2017'!$A:$A,Actuals!T1095&amp;Actuals!S1095,'Avoided Costs 2009-2017'!$E:$E)*J1095</f>
        <v>0</v>
      </c>
      <c r="V1095" s="90">
        <f>SUMIF('Avoided Costs 2009-2017'!$A:$A,Actuals!T1095&amp;Actuals!S1095,'Avoided Costs 2009-2017'!$K:$K)*N1095</f>
        <v>0</v>
      </c>
      <c r="W1095" s="90">
        <f>SUMIF('Avoided Costs 2009-2017'!$A:$A,Actuals!T1095&amp;Actuals!S1095,'Avoided Costs 2009-2017'!$M:$M)*R1095</f>
        <v>0</v>
      </c>
      <c r="X1095" s="90">
        <f t="shared" si="311"/>
        <v>0</v>
      </c>
      <c r="Y1095" s="148">
        <v>0</v>
      </c>
      <c r="Z1095" s="149">
        <f t="shared" si="312"/>
        <v>0</v>
      </c>
      <c r="AA1095" s="148"/>
      <c r="AB1095" s="145"/>
      <c r="AC1095" s="145"/>
      <c r="AD1095" s="148">
        <f t="shared" si="320"/>
        <v>0</v>
      </c>
      <c r="AE1095" s="122">
        <f t="shared" si="321"/>
        <v>0</v>
      </c>
      <c r="AF1095" s="167">
        <f t="shared" si="315"/>
        <v>0</v>
      </c>
    </row>
    <row r="1096" spans="1:32" s="150" customFormat="1" x14ac:dyDescent="0.2">
      <c r="A1096" s="144" t="s">
        <v>495</v>
      </c>
      <c r="B1096" s="144"/>
      <c r="C1096" s="144"/>
      <c r="D1096" s="145">
        <v>0</v>
      </c>
      <c r="E1096" s="122"/>
      <c r="F1096" s="146">
        <v>0.5</v>
      </c>
      <c r="G1096" s="146"/>
      <c r="H1096" s="122">
        <v>44599</v>
      </c>
      <c r="I1096" s="122">
        <f t="shared" si="316"/>
        <v>46159.964999999997</v>
      </c>
      <c r="J1096" s="147">
        <f t="shared" si="317"/>
        <v>23079.982499999998</v>
      </c>
      <c r="K1096" s="122"/>
      <c r="L1096" s="122">
        <v>0</v>
      </c>
      <c r="M1096" s="122">
        <f t="shared" si="318"/>
        <v>0</v>
      </c>
      <c r="N1096" s="122">
        <f t="shared" si="319"/>
        <v>0</v>
      </c>
      <c r="O1096" s="122"/>
      <c r="P1096" s="122">
        <v>0</v>
      </c>
      <c r="Q1096" s="122">
        <f t="shared" si="309"/>
        <v>0</v>
      </c>
      <c r="R1096" s="147">
        <f t="shared" si="310"/>
        <v>0</v>
      </c>
      <c r="S1096" s="145">
        <v>13</v>
      </c>
      <c r="T1096" s="144" t="s">
        <v>1161</v>
      </c>
      <c r="U1096" s="90">
        <f>SUMIF('Avoided Costs 2009-2017'!$A:$A,Actuals!T1096&amp;Actuals!S1096,'Avoided Costs 2009-2017'!$E:$E)*J1096</f>
        <v>66152.692764959502</v>
      </c>
      <c r="V1096" s="90">
        <f>SUMIF('Avoided Costs 2009-2017'!$A:$A,Actuals!T1096&amp;Actuals!S1096,'Avoided Costs 2009-2017'!$K:$K)*N1096</f>
        <v>0</v>
      </c>
      <c r="W1096" s="90">
        <f>SUMIF('Avoided Costs 2009-2017'!$A:$A,Actuals!T1096&amp;Actuals!S1096,'Avoided Costs 2009-2017'!$M:$M)*R1096</f>
        <v>0</v>
      </c>
      <c r="X1096" s="90">
        <f t="shared" si="311"/>
        <v>66152.692764959502</v>
      </c>
      <c r="Y1096" s="148">
        <v>17374</v>
      </c>
      <c r="Z1096" s="149">
        <f t="shared" si="312"/>
        <v>8687</v>
      </c>
      <c r="AA1096" s="148"/>
      <c r="AB1096" s="145"/>
      <c r="AC1096" s="145"/>
      <c r="AD1096" s="148">
        <f t="shared" si="320"/>
        <v>8687</v>
      </c>
      <c r="AE1096" s="122">
        <f t="shared" si="321"/>
        <v>57465.692764959502</v>
      </c>
      <c r="AF1096" s="167">
        <f t="shared" si="315"/>
        <v>300039.77249999996</v>
      </c>
    </row>
    <row r="1097" spans="1:32" s="150" customFormat="1" x14ac:dyDescent="0.2">
      <c r="A1097" s="144" t="s">
        <v>496</v>
      </c>
      <c r="B1097" s="144"/>
      <c r="C1097" s="144"/>
      <c r="D1097" s="145">
        <v>0</v>
      </c>
      <c r="E1097" s="122"/>
      <c r="F1097" s="146">
        <v>0.5</v>
      </c>
      <c r="G1097" s="146"/>
      <c r="H1097" s="122">
        <v>0</v>
      </c>
      <c r="I1097" s="122">
        <f t="shared" si="316"/>
        <v>0</v>
      </c>
      <c r="J1097" s="147">
        <f t="shared" si="317"/>
        <v>0</v>
      </c>
      <c r="K1097" s="122"/>
      <c r="L1097" s="122">
        <v>0</v>
      </c>
      <c r="M1097" s="122">
        <f t="shared" si="318"/>
        <v>0</v>
      </c>
      <c r="N1097" s="122">
        <f t="shared" si="319"/>
        <v>0</v>
      </c>
      <c r="O1097" s="122"/>
      <c r="P1097" s="122">
        <v>0</v>
      </c>
      <c r="Q1097" s="122">
        <f t="shared" si="309"/>
        <v>0</v>
      </c>
      <c r="R1097" s="147">
        <f t="shared" si="310"/>
        <v>0</v>
      </c>
      <c r="S1097" s="145">
        <v>1</v>
      </c>
      <c r="T1097" s="144" t="s">
        <v>1161</v>
      </c>
      <c r="U1097" s="90">
        <f>SUMIF('Avoided Costs 2009-2017'!$A:$A,Actuals!T1097&amp;Actuals!S1097,'Avoided Costs 2009-2017'!$E:$E)*J1097</f>
        <v>0</v>
      </c>
      <c r="V1097" s="90">
        <f>SUMIF('Avoided Costs 2009-2017'!$A:$A,Actuals!T1097&amp;Actuals!S1097,'Avoided Costs 2009-2017'!$K:$K)*N1097</f>
        <v>0</v>
      </c>
      <c r="W1097" s="90">
        <f>SUMIF('Avoided Costs 2009-2017'!$A:$A,Actuals!T1097&amp;Actuals!S1097,'Avoided Costs 2009-2017'!$M:$M)*R1097</f>
        <v>0</v>
      </c>
      <c r="X1097" s="90">
        <f t="shared" si="311"/>
        <v>0</v>
      </c>
      <c r="Y1097" s="148">
        <v>0</v>
      </c>
      <c r="Z1097" s="149">
        <f t="shared" si="312"/>
        <v>0</v>
      </c>
      <c r="AA1097" s="148"/>
      <c r="AB1097" s="145"/>
      <c r="AC1097" s="145"/>
      <c r="AD1097" s="148">
        <f t="shared" si="320"/>
        <v>0</v>
      </c>
      <c r="AE1097" s="122">
        <f t="shared" si="321"/>
        <v>0</v>
      </c>
      <c r="AF1097" s="167">
        <f t="shared" si="315"/>
        <v>0</v>
      </c>
    </row>
    <row r="1098" spans="1:32" s="150" customFormat="1" x14ac:dyDescent="0.2">
      <c r="A1098" s="144" t="s">
        <v>497</v>
      </c>
      <c r="B1098" s="144"/>
      <c r="C1098" s="144"/>
      <c r="D1098" s="145">
        <v>1</v>
      </c>
      <c r="E1098" s="122"/>
      <c r="F1098" s="146">
        <v>0.5</v>
      </c>
      <c r="G1098" s="146"/>
      <c r="H1098" s="122">
        <v>207746</v>
      </c>
      <c r="I1098" s="122">
        <f t="shared" si="316"/>
        <v>215017.11</v>
      </c>
      <c r="J1098" s="147">
        <f t="shared" si="317"/>
        <v>107508.55499999999</v>
      </c>
      <c r="K1098" s="122"/>
      <c r="L1098" s="122">
        <v>100420</v>
      </c>
      <c r="M1098" s="122">
        <f t="shared" si="318"/>
        <v>95599.84</v>
      </c>
      <c r="N1098" s="122">
        <f t="shared" si="319"/>
        <v>47799.92</v>
      </c>
      <c r="O1098" s="122"/>
      <c r="P1098" s="122">
        <v>26364</v>
      </c>
      <c r="Q1098" s="122">
        <f t="shared" si="309"/>
        <v>39335.088000000003</v>
      </c>
      <c r="R1098" s="147">
        <f t="shared" si="310"/>
        <v>19667.544000000002</v>
      </c>
      <c r="S1098" s="145">
        <v>15</v>
      </c>
      <c r="T1098" s="144" t="s">
        <v>1161</v>
      </c>
      <c r="U1098" s="90">
        <f>SUMIF('Avoided Costs 2009-2017'!$A:$A,Actuals!T1098&amp;Actuals!S1098,'Avoided Costs 2009-2017'!$E:$E)*J1098</f>
        <v>334969.87570294016</v>
      </c>
      <c r="V1098" s="90">
        <f>SUMIF('Avoided Costs 2009-2017'!$A:$A,Actuals!T1098&amp;Actuals!S1098,'Avoided Costs 2009-2017'!$K:$K)*N1098</f>
        <v>35684.178314521982</v>
      </c>
      <c r="W1098" s="90">
        <f>SUMIF('Avoided Costs 2009-2017'!$A:$A,Actuals!T1098&amp;Actuals!S1098,'Avoided Costs 2009-2017'!$M:$M)*R1098</f>
        <v>255505.17648826275</v>
      </c>
      <c r="X1098" s="90">
        <f t="shared" si="311"/>
        <v>626159.2305057249</v>
      </c>
      <c r="Y1098" s="148">
        <v>97029</v>
      </c>
      <c r="Z1098" s="149">
        <f t="shared" si="312"/>
        <v>48514.5</v>
      </c>
      <c r="AA1098" s="148"/>
      <c r="AB1098" s="145"/>
      <c r="AC1098" s="145"/>
      <c r="AD1098" s="148">
        <f t="shared" si="320"/>
        <v>48514.5</v>
      </c>
      <c r="AE1098" s="122">
        <f t="shared" si="321"/>
        <v>577644.7305057249</v>
      </c>
      <c r="AF1098" s="167">
        <f t="shared" si="315"/>
        <v>1612628.325</v>
      </c>
    </row>
    <row r="1099" spans="1:32" s="150" customFormat="1" x14ac:dyDescent="0.2">
      <c r="A1099" s="144" t="s">
        <v>498</v>
      </c>
      <c r="B1099" s="144"/>
      <c r="C1099" s="144"/>
      <c r="D1099" s="145">
        <v>0</v>
      </c>
      <c r="E1099" s="122"/>
      <c r="F1099" s="146">
        <v>0.5</v>
      </c>
      <c r="G1099" s="146"/>
      <c r="H1099" s="122">
        <v>67367</v>
      </c>
      <c r="I1099" s="122">
        <f t="shared" si="316"/>
        <v>69724.845000000001</v>
      </c>
      <c r="J1099" s="147">
        <f t="shared" si="317"/>
        <v>34862.422500000001</v>
      </c>
      <c r="K1099" s="122"/>
      <c r="L1099" s="122">
        <v>0</v>
      </c>
      <c r="M1099" s="122">
        <f t="shared" si="318"/>
        <v>0</v>
      </c>
      <c r="N1099" s="122">
        <f t="shared" si="319"/>
        <v>0</v>
      </c>
      <c r="O1099" s="122"/>
      <c r="P1099" s="122">
        <v>0</v>
      </c>
      <c r="Q1099" s="122">
        <f t="shared" si="309"/>
        <v>0</v>
      </c>
      <c r="R1099" s="147">
        <f t="shared" si="310"/>
        <v>0</v>
      </c>
      <c r="S1099" s="145">
        <v>15</v>
      </c>
      <c r="T1099" s="144" t="s">
        <v>1161</v>
      </c>
      <c r="U1099" s="90">
        <f>SUMIF('Avoided Costs 2009-2017'!$A:$A,Actuals!T1099&amp;Actuals!S1099,'Avoided Costs 2009-2017'!$E:$E)*J1099</f>
        <v>108622.6238602908</v>
      </c>
      <c r="V1099" s="90">
        <f>SUMIF('Avoided Costs 2009-2017'!$A:$A,Actuals!T1099&amp;Actuals!S1099,'Avoided Costs 2009-2017'!$K:$K)*N1099</f>
        <v>0</v>
      </c>
      <c r="W1099" s="90">
        <f>SUMIF('Avoided Costs 2009-2017'!$A:$A,Actuals!T1099&amp;Actuals!S1099,'Avoided Costs 2009-2017'!$M:$M)*R1099</f>
        <v>0</v>
      </c>
      <c r="X1099" s="90">
        <f t="shared" si="311"/>
        <v>108622.6238602908</v>
      </c>
      <c r="Y1099" s="148">
        <v>10500</v>
      </c>
      <c r="Z1099" s="149">
        <f t="shared" si="312"/>
        <v>5250</v>
      </c>
      <c r="AA1099" s="148"/>
      <c r="AB1099" s="145"/>
      <c r="AC1099" s="145"/>
      <c r="AD1099" s="148">
        <f t="shared" si="320"/>
        <v>5250</v>
      </c>
      <c r="AE1099" s="122">
        <f t="shared" si="321"/>
        <v>103372.6238602908</v>
      </c>
      <c r="AF1099" s="167">
        <f t="shared" si="315"/>
        <v>522936.33750000002</v>
      </c>
    </row>
    <row r="1100" spans="1:32" s="150" customFormat="1" x14ac:dyDescent="0.2">
      <c r="A1100" s="144" t="s">
        <v>499</v>
      </c>
      <c r="B1100" s="144"/>
      <c r="C1100" s="144"/>
      <c r="D1100" s="145">
        <v>0</v>
      </c>
      <c r="E1100" s="122"/>
      <c r="F1100" s="146">
        <v>0.5</v>
      </c>
      <c r="G1100" s="146"/>
      <c r="H1100" s="122">
        <v>27780</v>
      </c>
      <c r="I1100" s="122">
        <f t="shared" si="316"/>
        <v>28752.3</v>
      </c>
      <c r="J1100" s="147">
        <f t="shared" si="317"/>
        <v>14376.15</v>
      </c>
      <c r="K1100" s="122"/>
      <c r="L1100" s="122">
        <v>0</v>
      </c>
      <c r="M1100" s="122">
        <f t="shared" si="318"/>
        <v>0</v>
      </c>
      <c r="N1100" s="122">
        <f t="shared" si="319"/>
        <v>0</v>
      </c>
      <c r="O1100" s="122"/>
      <c r="P1100" s="122">
        <v>0</v>
      </c>
      <c r="Q1100" s="122">
        <f t="shared" si="309"/>
        <v>0</v>
      </c>
      <c r="R1100" s="147">
        <f t="shared" si="310"/>
        <v>0</v>
      </c>
      <c r="S1100" s="145">
        <v>15</v>
      </c>
      <c r="T1100" s="144" t="s">
        <v>1161</v>
      </c>
      <c r="U1100" s="90">
        <f>SUMIF('Avoided Costs 2009-2017'!$A:$A,Actuals!T1100&amp;Actuals!S1100,'Avoided Costs 2009-2017'!$E:$E)*J1100</f>
        <v>44792.50212773135</v>
      </c>
      <c r="V1100" s="90">
        <f>SUMIF('Avoided Costs 2009-2017'!$A:$A,Actuals!T1100&amp;Actuals!S1100,'Avoided Costs 2009-2017'!$K:$K)*N1100</f>
        <v>0</v>
      </c>
      <c r="W1100" s="90">
        <f>SUMIF('Avoided Costs 2009-2017'!$A:$A,Actuals!T1100&amp;Actuals!S1100,'Avoided Costs 2009-2017'!$M:$M)*R1100</f>
        <v>0</v>
      </c>
      <c r="X1100" s="90">
        <f t="shared" si="311"/>
        <v>44792.50212773135</v>
      </c>
      <c r="Y1100" s="148">
        <v>15680</v>
      </c>
      <c r="Z1100" s="149">
        <f t="shared" si="312"/>
        <v>7840</v>
      </c>
      <c r="AA1100" s="148"/>
      <c r="AB1100" s="145"/>
      <c r="AC1100" s="145"/>
      <c r="AD1100" s="148">
        <f t="shared" si="320"/>
        <v>7840</v>
      </c>
      <c r="AE1100" s="122">
        <f t="shared" si="321"/>
        <v>36952.50212773135</v>
      </c>
      <c r="AF1100" s="167">
        <f t="shared" si="315"/>
        <v>215642.25</v>
      </c>
    </row>
    <row r="1101" spans="1:32" s="150" customFormat="1" x14ac:dyDescent="0.2">
      <c r="A1101" s="144" t="s">
        <v>500</v>
      </c>
      <c r="B1101" s="144"/>
      <c r="C1101" s="144"/>
      <c r="D1101" s="145">
        <v>1</v>
      </c>
      <c r="E1101" s="122"/>
      <c r="F1101" s="146">
        <v>0.5</v>
      </c>
      <c r="G1101" s="146"/>
      <c r="H1101" s="122">
        <v>17257</v>
      </c>
      <c r="I1101" s="122">
        <f t="shared" si="316"/>
        <v>17860.994999999999</v>
      </c>
      <c r="J1101" s="147">
        <f t="shared" si="317"/>
        <v>8930.4974999999995</v>
      </c>
      <c r="K1101" s="122"/>
      <c r="L1101" s="122">
        <v>0</v>
      </c>
      <c r="M1101" s="122">
        <f t="shared" si="318"/>
        <v>0</v>
      </c>
      <c r="N1101" s="122">
        <f t="shared" si="319"/>
        <v>0</v>
      </c>
      <c r="O1101" s="122"/>
      <c r="P1101" s="122">
        <v>0</v>
      </c>
      <c r="Q1101" s="122">
        <f t="shared" si="309"/>
        <v>0</v>
      </c>
      <c r="R1101" s="147">
        <f t="shared" si="310"/>
        <v>0</v>
      </c>
      <c r="S1101" s="145">
        <v>25</v>
      </c>
      <c r="T1101" s="144" t="s">
        <v>1161</v>
      </c>
      <c r="U1101" s="90">
        <f>SUMIF('Avoided Costs 2009-2017'!$A:$A,Actuals!T1101&amp;Actuals!S1101,'Avoided Costs 2009-2017'!$E:$E)*J1101</f>
        <v>35385.856500564856</v>
      </c>
      <c r="V1101" s="90">
        <f>SUMIF('Avoided Costs 2009-2017'!$A:$A,Actuals!T1101&amp;Actuals!S1101,'Avoided Costs 2009-2017'!$K:$K)*N1101</f>
        <v>0</v>
      </c>
      <c r="W1101" s="90">
        <f>SUMIF('Avoided Costs 2009-2017'!$A:$A,Actuals!T1101&amp;Actuals!S1101,'Avoided Costs 2009-2017'!$M:$M)*R1101</f>
        <v>0</v>
      </c>
      <c r="X1101" s="90">
        <f t="shared" si="311"/>
        <v>35385.856500564856</v>
      </c>
      <c r="Y1101" s="148">
        <v>25500</v>
      </c>
      <c r="Z1101" s="149">
        <f t="shared" si="312"/>
        <v>12750</v>
      </c>
      <c r="AA1101" s="148"/>
      <c r="AB1101" s="145"/>
      <c r="AC1101" s="145"/>
      <c r="AD1101" s="148">
        <f t="shared" si="320"/>
        <v>12750</v>
      </c>
      <c r="AE1101" s="122">
        <f t="shared" si="321"/>
        <v>22635.856500564856</v>
      </c>
      <c r="AF1101" s="167">
        <f t="shared" si="315"/>
        <v>223262.4375</v>
      </c>
    </row>
    <row r="1102" spans="1:32" s="150" customFormat="1" x14ac:dyDescent="0.2">
      <c r="A1102" s="144" t="s">
        <v>501</v>
      </c>
      <c r="B1102" s="144"/>
      <c r="C1102" s="144"/>
      <c r="D1102" s="145">
        <v>1</v>
      </c>
      <c r="E1102" s="122"/>
      <c r="F1102" s="146">
        <v>0.5</v>
      </c>
      <c r="G1102" s="146"/>
      <c r="H1102" s="122">
        <v>24420</v>
      </c>
      <c r="I1102" s="122">
        <f t="shared" si="316"/>
        <v>25274.699999999997</v>
      </c>
      <c r="J1102" s="147">
        <f t="shared" si="317"/>
        <v>12637.349999999999</v>
      </c>
      <c r="K1102" s="122"/>
      <c r="L1102" s="122">
        <v>0</v>
      </c>
      <c r="M1102" s="122">
        <f t="shared" si="318"/>
        <v>0</v>
      </c>
      <c r="N1102" s="122">
        <f t="shared" si="319"/>
        <v>0</v>
      </c>
      <c r="O1102" s="122"/>
      <c r="P1102" s="122">
        <v>0</v>
      </c>
      <c r="Q1102" s="122">
        <f t="shared" si="309"/>
        <v>0</v>
      </c>
      <c r="R1102" s="147">
        <f t="shared" si="310"/>
        <v>0</v>
      </c>
      <c r="S1102" s="145">
        <v>15</v>
      </c>
      <c r="T1102" s="144" t="s">
        <v>1161</v>
      </c>
      <c r="U1102" s="90">
        <f>SUMIF('Avoided Costs 2009-2017'!$A:$A,Actuals!T1102&amp;Actuals!S1102,'Avoided Costs 2009-2017'!$E:$E)*J1102</f>
        <v>39374.83448377248</v>
      </c>
      <c r="V1102" s="90">
        <f>SUMIF('Avoided Costs 2009-2017'!$A:$A,Actuals!T1102&amp;Actuals!S1102,'Avoided Costs 2009-2017'!$K:$K)*N1102</f>
        <v>0</v>
      </c>
      <c r="W1102" s="90">
        <f>SUMIF('Avoided Costs 2009-2017'!$A:$A,Actuals!T1102&amp;Actuals!S1102,'Avoided Costs 2009-2017'!$M:$M)*R1102</f>
        <v>0</v>
      </c>
      <c r="X1102" s="90">
        <f t="shared" si="311"/>
        <v>39374.83448377248</v>
      </c>
      <c r="Y1102" s="148">
        <v>5000</v>
      </c>
      <c r="Z1102" s="149">
        <f t="shared" si="312"/>
        <v>2500</v>
      </c>
      <c r="AA1102" s="148"/>
      <c r="AB1102" s="145"/>
      <c r="AC1102" s="145"/>
      <c r="AD1102" s="148">
        <f t="shared" si="320"/>
        <v>2500</v>
      </c>
      <c r="AE1102" s="122">
        <f t="shared" si="321"/>
        <v>36874.83448377248</v>
      </c>
      <c r="AF1102" s="167">
        <f t="shared" si="315"/>
        <v>189560.24999999997</v>
      </c>
    </row>
    <row r="1103" spans="1:32" s="150" customFormat="1" x14ac:dyDescent="0.2">
      <c r="A1103" s="144" t="s">
        <v>502</v>
      </c>
      <c r="B1103" s="144"/>
      <c r="C1103" s="144"/>
      <c r="D1103" s="145">
        <v>1</v>
      </c>
      <c r="E1103" s="122"/>
      <c r="F1103" s="146">
        <v>0.5</v>
      </c>
      <c r="G1103" s="146"/>
      <c r="H1103" s="122">
        <v>1936396</v>
      </c>
      <c r="I1103" s="122">
        <v>1975030</v>
      </c>
      <c r="J1103" s="147">
        <f t="shared" si="317"/>
        <v>987515</v>
      </c>
      <c r="K1103" s="122"/>
      <c r="L1103" s="122">
        <v>0</v>
      </c>
      <c r="M1103" s="122">
        <f t="shared" si="318"/>
        <v>0</v>
      </c>
      <c r="N1103" s="122">
        <f t="shared" si="319"/>
        <v>0</v>
      </c>
      <c r="O1103" s="122"/>
      <c r="P1103" s="122">
        <v>0</v>
      </c>
      <c r="Q1103" s="122">
        <f t="shared" si="309"/>
        <v>0</v>
      </c>
      <c r="R1103" s="147">
        <f t="shared" si="310"/>
        <v>0</v>
      </c>
      <c r="S1103" s="145">
        <v>18</v>
      </c>
      <c r="T1103" s="144" t="s">
        <v>1161</v>
      </c>
      <c r="U1103" s="90">
        <f>SUMIF('Avoided Costs 2009-2017'!$A:$A,Actuals!T1103&amp;Actuals!S1103,'Avoided Costs 2009-2017'!$E:$E)*J1103</f>
        <v>3389231.8348604878</v>
      </c>
      <c r="V1103" s="90">
        <f>SUMIF('Avoided Costs 2009-2017'!$A:$A,Actuals!T1103&amp;Actuals!S1103,'Avoided Costs 2009-2017'!$K:$K)*N1103</f>
        <v>0</v>
      </c>
      <c r="W1103" s="90">
        <f>SUMIF('Avoided Costs 2009-2017'!$A:$A,Actuals!T1103&amp;Actuals!S1103,'Avoided Costs 2009-2017'!$M:$M)*R1103</f>
        <v>0</v>
      </c>
      <c r="X1103" s="90">
        <f t="shared" si="311"/>
        <v>3389231.8348604878</v>
      </c>
      <c r="Y1103" s="148">
        <v>148740</v>
      </c>
      <c r="Z1103" s="149">
        <f t="shared" si="312"/>
        <v>74370</v>
      </c>
      <c r="AA1103" s="148"/>
      <c r="AB1103" s="145"/>
      <c r="AC1103" s="145"/>
      <c r="AD1103" s="148">
        <f t="shared" si="320"/>
        <v>74370</v>
      </c>
      <c r="AE1103" s="122">
        <f t="shared" si="321"/>
        <v>3314861.8348604878</v>
      </c>
      <c r="AF1103" s="167">
        <f t="shared" si="315"/>
        <v>17775270</v>
      </c>
    </row>
    <row r="1104" spans="1:32" s="150" customFormat="1" x14ac:dyDescent="0.2">
      <c r="A1104" s="144" t="s">
        <v>503</v>
      </c>
      <c r="B1104" s="144"/>
      <c r="C1104" s="144"/>
      <c r="D1104" s="145">
        <v>1</v>
      </c>
      <c r="E1104" s="122"/>
      <c r="F1104" s="146">
        <v>0.5</v>
      </c>
      <c r="G1104" s="146"/>
      <c r="H1104" s="122">
        <v>315986</v>
      </c>
      <c r="I1104" s="122">
        <f>+H1104</f>
        <v>315986</v>
      </c>
      <c r="J1104" s="147">
        <f t="shared" si="317"/>
        <v>157993</v>
      </c>
      <c r="K1104" s="122"/>
      <c r="L1104" s="122">
        <v>2404852</v>
      </c>
      <c r="M1104" s="122">
        <f>+L1104</f>
        <v>2404852</v>
      </c>
      <c r="N1104" s="122">
        <f t="shared" si="319"/>
        <v>1202426</v>
      </c>
      <c r="O1104" s="122"/>
      <c r="P1104" s="122">
        <v>0</v>
      </c>
      <c r="Q1104" s="122">
        <f t="shared" si="309"/>
        <v>0</v>
      </c>
      <c r="R1104" s="147">
        <f t="shared" si="310"/>
        <v>0</v>
      </c>
      <c r="S1104" s="145">
        <v>15</v>
      </c>
      <c r="T1104" s="144" t="s">
        <v>1161</v>
      </c>
      <c r="U1104" s="90">
        <f>SUMIF('Avoided Costs 2009-2017'!$A:$A,Actuals!T1104&amp;Actuals!S1104,'Avoided Costs 2009-2017'!$E:$E)*J1104</f>
        <v>492266.83003910363</v>
      </c>
      <c r="V1104" s="90">
        <f>SUMIF('Avoided Costs 2009-2017'!$A:$A,Actuals!T1104&amp;Actuals!S1104,'Avoided Costs 2009-2017'!$K:$K)*N1104</f>
        <v>897649.69887015305</v>
      </c>
      <c r="W1104" s="90">
        <f>SUMIF('Avoided Costs 2009-2017'!$A:$A,Actuals!T1104&amp;Actuals!S1104,'Avoided Costs 2009-2017'!$M:$M)*R1104</f>
        <v>0</v>
      </c>
      <c r="X1104" s="90">
        <f t="shared" si="311"/>
        <v>1389916.5289092567</v>
      </c>
      <c r="Y1104" s="148">
        <v>202785</v>
      </c>
      <c r="Z1104" s="149">
        <f t="shared" si="312"/>
        <v>101392.5</v>
      </c>
      <c r="AA1104" s="148"/>
      <c r="AB1104" s="145"/>
      <c r="AC1104" s="145"/>
      <c r="AD1104" s="148">
        <f t="shared" si="320"/>
        <v>101392.5</v>
      </c>
      <c r="AE1104" s="122">
        <f t="shared" si="321"/>
        <v>1288524.0289092567</v>
      </c>
      <c r="AF1104" s="167">
        <f t="shared" si="315"/>
        <v>2369895</v>
      </c>
    </row>
    <row r="1105" spans="1:32" s="150" customFormat="1" x14ac:dyDescent="0.2">
      <c r="A1105" s="144" t="s">
        <v>539</v>
      </c>
      <c r="B1105" s="144"/>
      <c r="C1105" s="144"/>
      <c r="D1105" s="145">
        <v>0</v>
      </c>
      <c r="E1105" s="122"/>
      <c r="F1105" s="146">
        <v>0.5</v>
      </c>
      <c r="G1105" s="146"/>
      <c r="H1105" s="122">
        <v>104712</v>
      </c>
      <c r="I1105" s="122">
        <f t="shared" si="316"/>
        <v>108376.92</v>
      </c>
      <c r="J1105" s="147">
        <f t="shared" si="317"/>
        <v>54188.46</v>
      </c>
      <c r="K1105" s="122"/>
      <c r="L1105" s="122">
        <v>0</v>
      </c>
      <c r="M1105" s="122">
        <f t="shared" si="318"/>
        <v>0</v>
      </c>
      <c r="N1105" s="122">
        <f t="shared" si="319"/>
        <v>0</v>
      </c>
      <c r="O1105" s="122"/>
      <c r="P1105" s="122">
        <v>0</v>
      </c>
      <c r="Q1105" s="122">
        <f t="shared" si="309"/>
        <v>0</v>
      </c>
      <c r="R1105" s="147">
        <f t="shared" si="310"/>
        <v>0</v>
      </c>
      <c r="S1105" s="145">
        <v>15</v>
      </c>
      <c r="T1105" s="144" t="s">
        <v>1161</v>
      </c>
      <c r="U1105" s="90">
        <f>SUMIF('Avoided Costs 2009-2017'!$A:$A,Actuals!T1105&amp;Actuals!S1105,'Avoided Costs 2009-2017'!$E:$E)*J1105</f>
        <v>168837.74236137528</v>
      </c>
      <c r="V1105" s="90">
        <f>SUMIF('Avoided Costs 2009-2017'!$A:$A,Actuals!T1105&amp;Actuals!S1105,'Avoided Costs 2009-2017'!$K:$K)*N1105</f>
        <v>0</v>
      </c>
      <c r="W1105" s="90">
        <f>SUMIF('Avoided Costs 2009-2017'!$A:$A,Actuals!T1105&amp;Actuals!S1105,'Avoided Costs 2009-2017'!$M:$M)*R1105</f>
        <v>0</v>
      </c>
      <c r="X1105" s="90">
        <f t="shared" si="311"/>
        <v>168837.74236137528</v>
      </c>
      <c r="Y1105" s="148">
        <v>45000</v>
      </c>
      <c r="Z1105" s="149">
        <f t="shared" si="312"/>
        <v>22500</v>
      </c>
      <c r="AA1105" s="148"/>
      <c r="AB1105" s="145"/>
      <c r="AC1105" s="145"/>
      <c r="AD1105" s="148">
        <f t="shared" si="320"/>
        <v>22500</v>
      </c>
      <c r="AE1105" s="122">
        <f t="shared" si="321"/>
        <v>146337.74236137528</v>
      </c>
      <c r="AF1105" s="167">
        <f t="shared" si="315"/>
        <v>812826.9</v>
      </c>
    </row>
    <row r="1106" spans="1:32" s="150" customFormat="1" x14ac:dyDescent="0.2">
      <c r="A1106" s="144" t="s">
        <v>540</v>
      </c>
      <c r="B1106" s="144"/>
      <c r="C1106" s="144"/>
      <c r="D1106" s="145">
        <v>0</v>
      </c>
      <c r="E1106" s="122"/>
      <c r="F1106" s="146">
        <v>0.5</v>
      </c>
      <c r="G1106" s="146"/>
      <c r="H1106" s="122">
        <v>12152</v>
      </c>
      <c r="I1106" s="122">
        <f t="shared" si="316"/>
        <v>12577.32</v>
      </c>
      <c r="J1106" s="147">
        <f t="shared" si="317"/>
        <v>6288.66</v>
      </c>
      <c r="K1106" s="122"/>
      <c r="L1106" s="122">
        <v>0</v>
      </c>
      <c r="M1106" s="122">
        <f t="shared" si="318"/>
        <v>0</v>
      </c>
      <c r="N1106" s="122">
        <f t="shared" si="319"/>
        <v>0</v>
      </c>
      <c r="O1106" s="122"/>
      <c r="P1106" s="122">
        <v>0</v>
      </c>
      <c r="Q1106" s="122">
        <f t="shared" si="309"/>
        <v>0</v>
      </c>
      <c r="R1106" s="147">
        <f t="shared" si="310"/>
        <v>0</v>
      </c>
      <c r="S1106" s="145">
        <v>15</v>
      </c>
      <c r="T1106" s="144" t="s">
        <v>1161</v>
      </c>
      <c r="U1106" s="90">
        <f>SUMIF('Avoided Costs 2009-2017'!$A:$A,Actuals!T1106&amp;Actuals!S1106,'Avoided Costs 2009-2017'!$E:$E)*J1106</f>
        <v>19593.897978984573</v>
      </c>
      <c r="V1106" s="90">
        <f>SUMIF('Avoided Costs 2009-2017'!$A:$A,Actuals!T1106&amp;Actuals!S1106,'Avoided Costs 2009-2017'!$K:$K)*N1106</f>
        <v>0</v>
      </c>
      <c r="W1106" s="90">
        <f>SUMIF('Avoided Costs 2009-2017'!$A:$A,Actuals!T1106&amp;Actuals!S1106,'Avoided Costs 2009-2017'!$M:$M)*R1106</f>
        <v>0</v>
      </c>
      <c r="X1106" s="90">
        <f t="shared" si="311"/>
        <v>19593.897978984573</v>
      </c>
      <c r="Y1106" s="148">
        <v>8000</v>
      </c>
      <c r="Z1106" s="149">
        <f t="shared" si="312"/>
        <v>4000</v>
      </c>
      <c r="AA1106" s="148"/>
      <c r="AB1106" s="145"/>
      <c r="AC1106" s="145"/>
      <c r="AD1106" s="148">
        <f t="shared" si="320"/>
        <v>4000</v>
      </c>
      <c r="AE1106" s="122">
        <f t="shared" si="321"/>
        <v>15593.897978984573</v>
      </c>
      <c r="AF1106" s="167">
        <f t="shared" si="315"/>
        <v>94329.9</v>
      </c>
    </row>
    <row r="1107" spans="1:32" s="150" customFormat="1" x14ac:dyDescent="0.2">
      <c r="A1107" s="144" t="s">
        <v>541</v>
      </c>
      <c r="B1107" s="144"/>
      <c r="C1107" s="144"/>
      <c r="D1107" s="145">
        <v>1</v>
      </c>
      <c r="E1107" s="122"/>
      <c r="F1107" s="146">
        <v>0.5</v>
      </c>
      <c r="G1107" s="146"/>
      <c r="H1107" s="122">
        <v>118841</v>
      </c>
      <c r="I1107" s="122">
        <f t="shared" si="316"/>
        <v>123000.435</v>
      </c>
      <c r="J1107" s="147">
        <f t="shared" si="317"/>
        <v>61500.217499999999</v>
      </c>
      <c r="K1107" s="122"/>
      <c r="L1107" s="122">
        <v>0</v>
      </c>
      <c r="M1107" s="122">
        <f t="shared" si="318"/>
        <v>0</v>
      </c>
      <c r="N1107" s="122">
        <f t="shared" si="319"/>
        <v>0</v>
      </c>
      <c r="O1107" s="122"/>
      <c r="P1107" s="122">
        <v>0</v>
      </c>
      <c r="Q1107" s="122">
        <f t="shared" si="309"/>
        <v>0</v>
      </c>
      <c r="R1107" s="147">
        <f t="shared" si="310"/>
        <v>0</v>
      </c>
      <c r="S1107" s="145">
        <v>5</v>
      </c>
      <c r="T1107" s="144" t="s">
        <v>1161</v>
      </c>
      <c r="U1107" s="90">
        <f>SUMIF('Avoided Costs 2009-2017'!$A:$A,Actuals!T1107&amp;Actuals!S1107,'Avoided Costs 2009-2017'!$E:$E)*J1107</f>
        <v>85543.102203176386</v>
      </c>
      <c r="V1107" s="90">
        <f>SUMIF('Avoided Costs 2009-2017'!$A:$A,Actuals!T1107&amp;Actuals!S1107,'Avoided Costs 2009-2017'!$K:$K)*N1107</f>
        <v>0</v>
      </c>
      <c r="W1107" s="90">
        <f>SUMIF('Avoided Costs 2009-2017'!$A:$A,Actuals!T1107&amp;Actuals!S1107,'Avoided Costs 2009-2017'!$M:$M)*R1107</f>
        <v>0</v>
      </c>
      <c r="X1107" s="90">
        <f t="shared" si="311"/>
        <v>85543.102203176386</v>
      </c>
      <c r="Y1107" s="148">
        <v>60000</v>
      </c>
      <c r="Z1107" s="149">
        <f t="shared" si="312"/>
        <v>30000</v>
      </c>
      <c r="AA1107" s="148"/>
      <c r="AB1107" s="145"/>
      <c r="AC1107" s="145"/>
      <c r="AD1107" s="148">
        <f t="shared" si="320"/>
        <v>30000</v>
      </c>
      <c r="AE1107" s="122">
        <f t="shared" si="321"/>
        <v>55543.102203176386</v>
      </c>
      <c r="AF1107" s="167">
        <f t="shared" si="315"/>
        <v>307501.08750000002</v>
      </c>
    </row>
    <row r="1108" spans="1:32" s="150" customFormat="1" x14ac:dyDescent="0.2">
      <c r="A1108" s="144" t="s">
        <v>542</v>
      </c>
      <c r="B1108" s="144"/>
      <c r="C1108" s="144"/>
      <c r="D1108" s="145">
        <v>0</v>
      </c>
      <c r="E1108" s="122"/>
      <c r="F1108" s="146">
        <v>0.5</v>
      </c>
      <c r="G1108" s="146"/>
      <c r="H1108" s="122">
        <v>21580</v>
      </c>
      <c r="I1108" s="122">
        <f t="shared" si="316"/>
        <v>22335.3</v>
      </c>
      <c r="J1108" s="147">
        <f t="shared" si="317"/>
        <v>11167.65</v>
      </c>
      <c r="K1108" s="122"/>
      <c r="L1108" s="122">
        <v>0</v>
      </c>
      <c r="M1108" s="122">
        <f t="shared" si="318"/>
        <v>0</v>
      </c>
      <c r="N1108" s="122">
        <f t="shared" si="319"/>
        <v>0</v>
      </c>
      <c r="O1108" s="122"/>
      <c r="P1108" s="122">
        <v>0</v>
      </c>
      <c r="Q1108" s="122">
        <f>+P1108*$P$68</f>
        <v>0</v>
      </c>
      <c r="R1108" s="147">
        <f>Q1108*(1-F1108)</f>
        <v>0</v>
      </c>
      <c r="S1108" s="145">
        <v>15</v>
      </c>
      <c r="T1108" s="144" t="s">
        <v>1161</v>
      </c>
      <c r="U1108" s="90">
        <f>SUMIF('Avoided Costs 2009-2017'!$A:$A,Actuals!T1108&amp;Actuals!S1108,'Avoided Costs 2009-2017'!$E:$E)*J1108</f>
        <v>34795.615403759635</v>
      </c>
      <c r="V1108" s="90">
        <f>SUMIF('Avoided Costs 2009-2017'!$A:$A,Actuals!T1108&amp;Actuals!S1108,'Avoided Costs 2009-2017'!$K:$K)*N1108</f>
        <v>0</v>
      </c>
      <c r="W1108" s="90">
        <f>SUMIF('Avoided Costs 2009-2017'!$A:$A,Actuals!T1108&amp;Actuals!S1108,'Avoided Costs 2009-2017'!$M:$M)*R1108</f>
        <v>0</v>
      </c>
      <c r="X1108" s="90">
        <f>SUM(U1108:W1108)</f>
        <v>34795.615403759635</v>
      </c>
      <c r="Y1108" s="148">
        <v>0</v>
      </c>
      <c r="Z1108" s="149">
        <f>Y1108*(1-F1108)</f>
        <v>0</v>
      </c>
      <c r="AA1108" s="148"/>
      <c r="AB1108" s="145"/>
      <c r="AC1108" s="145"/>
      <c r="AD1108" s="148">
        <f t="shared" si="320"/>
        <v>0</v>
      </c>
      <c r="AE1108" s="122">
        <f t="shared" ref="AE1108:AE1112" si="322">X1108-AD1108</f>
        <v>34795.615403759635</v>
      </c>
      <c r="AF1108" s="167">
        <f t="shared" ref="AF1108:AF1111" si="323">J1108*S1108</f>
        <v>167514.75</v>
      </c>
    </row>
    <row r="1109" spans="1:32" s="150" customFormat="1" x14ac:dyDescent="0.2">
      <c r="A1109" s="144" t="s">
        <v>543</v>
      </c>
      <c r="B1109" s="144"/>
      <c r="C1109" s="144"/>
      <c r="D1109" s="145">
        <v>1</v>
      </c>
      <c r="E1109" s="122"/>
      <c r="F1109" s="146">
        <v>0.5</v>
      </c>
      <c r="G1109" s="146"/>
      <c r="H1109" s="122">
        <v>23908</v>
      </c>
      <c r="I1109" s="122">
        <f>+$H$979*H1109</f>
        <v>24744.78</v>
      </c>
      <c r="J1109" s="147">
        <f>I1109*(1-F1109)</f>
        <v>12372.39</v>
      </c>
      <c r="K1109" s="122"/>
      <c r="L1109" s="122">
        <v>0</v>
      </c>
      <c r="M1109" s="122">
        <f>+$L$979*L1109</f>
        <v>0</v>
      </c>
      <c r="N1109" s="122">
        <f>M1109*(1-F1109)</f>
        <v>0</v>
      </c>
      <c r="O1109" s="122"/>
      <c r="P1109" s="122">
        <v>0</v>
      </c>
      <c r="Q1109" s="122">
        <f>+P1109*$P$68</f>
        <v>0</v>
      </c>
      <c r="R1109" s="147">
        <f>Q1109*(1-F1109)</f>
        <v>0</v>
      </c>
      <c r="S1109" s="145">
        <v>15</v>
      </c>
      <c r="T1109" s="144" t="s">
        <v>1161</v>
      </c>
      <c r="U1109" s="90">
        <f>SUMIF('Avoided Costs 2009-2017'!$A:$A,Actuals!T1109&amp;Actuals!S1109,'Avoided Costs 2009-2017'!$E:$E)*J1109</f>
        <v>38549.285128502561</v>
      </c>
      <c r="V1109" s="90">
        <f>SUMIF('Avoided Costs 2009-2017'!$A:$A,Actuals!T1109&amp;Actuals!S1109,'Avoided Costs 2009-2017'!$K:$K)*N1109</f>
        <v>0</v>
      </c>
      <c r="W1109" s="90">
        <f>SUMIF('Avoided Costs 2009-2017'!$A:$A,Actuals!T1109&amp;Actuals!S1109,'Avoided Costs 2009-2017'!$M:$M)*R1109</f>
        <v>0</v>
      </c>
      <c r="X1109" s="90">
        <f>SUM(U1109:W1109)</f>
        <v>38549.285128502561</v>
      </c>
      <c r="Y1109" s="148">
        <v>3075</v>
      </c>
      <c r="Z1109" s="149">
        <f>Y1109*(1-F1109)</f>
        <v>1537.5</v>
      </c>
      <c r="AA1109" s="148"/>
      <c r="AB1109" s="145"/>
      <c r="AC1109" s="145"/>
      <c r="AD1109" s="148">
        <f t="shared" si="320"/>
        <v>1537.5</v>
      </c>
      <c r="AE1109" s="122">
        <f t="shared" si="322"/>
        <v>37011.785128502561</v>
      </c>
      <c r="AF1109" s="167">
        <f t="shared" si="323"/>
        <v>185585.84999999998</v>
      </c>
    </row>
    <row r="1110" spans="1:32" s="150" customFormat="1" x14ac:dyDescent="0.2">
      <c r="A1110" s="144" t="s">
        <v>544</v>
      </c>
      <c r="B1110" s="144"/>
      <c r="C1110" s="144"/>
      <c r="D1110" s="145">
        <v>1</v>
      </c>
      <c r="E1110" s="122"/>
      <c r="F1110" s="146">
        <v>0.5</v>
      </c>
      <c r="G1110" s="146"/>
      <c r="H1110" s="122">
        <v>438986</v>
      </c>
      <c r="I1110" s="122">
        <f>+$H$979*H1110</f>
        <v>454350.50999999995</v>
      </c>
      <c r="J1110" s="147">
        <f>I1110*(1-F1110)</f>
        <v>227175.25499999998</v>
      </c>
      <c r="K1110" s="122"/>
      <c r="L1110" s="122">
        <v>640214</v>
      </c>
      <c r="M1110" s="122">
        <f>+$L$979*L1110</f>
        <v>609483.728</v>
      </c>
      <c r="N1110" s="122">
        <f>M1110*(1-F1110)</f>
        <v>304741.864</v>
      </c>
      <c r="O1110" s="122"/>
      <c r="P1110" s="122">
        <v>0</v>
      </c>
      <c r="Q1110" s="122">
        <f>+P1110*$P$68</f>
        <v>0</v>
      </c>
      <c r="R1110" s="147">
        <f>Q1110*(1-F1110)</f>
        <v>0</v>
      </c>
      <c r="S1110" s="145">
        <v>5</v>
      </c>
      <c r="T1110" s="144" t="s">
        <v>1161</v>
      </c>
      <c r="U1110" s="90">
        <f>SUMIF('Avoided Costs 2009-2017'!$A:$A,Actuals!T1110&amp;Actuals!S1110,'Avoided Costs 2009-2017'!$E:$E)*J1110</f>
        <v>315987.11104554479</v>
      </c>
      <c r="V1110" s="90">
        <f>SUMIF('Avoided Costs 2009-2017'!$A:$A,Actuals!T1110&amp;Actuals!S1110,'Avoided Costs 2009-2017'!$K:$K)*N1110</f>
        <v>102728.8770957786</v>
      </c>
      <c r="W1110" s="90">
        <f>SUMIF('Avoided Costs 2009-2017'!$A:$A,Actuals!T1110&amp;Actuals!S1110,'Avoided Costs 2009-2017'!$M:$M)*R1110</f>
        <v>0</v>
      </c>
      <c r="X1110" s="90">
        <f>SUM(U1110:W1110)</f>
        <v>418715.98814132338</v>
      </c>
      <c r="Y1110" s="148">
        <v>39581</v>
      </c>
      <c r="Z1110" s="149">
        <f>Y1110*(1-F1110)</f>
        <v>19790.5</v>
      </c>
      <c r="AA1110" s="148"/>
      <c r="AB1110" s="145"/>
      <c r="AC1110" s="145"/>
      <c r="AD1110" s="148">
        <f t="shared" si="320"/>
        <v>19790.5</v>
      </c>
      <c r="AE1110" s="122">
        <f t="shared" si="322"/>
        <v>398925.48814132338</v>
      </c>
      <c r="AF1110" s="167">
        <f t="shared" si="323"/>
        <v>1135876.2749999999</v>
      </c>
    </row>
    <row r="1111" spans="1:32" s="150" customFormat="1" x14ac:dyDescent="0.2">
      <c r="A1111" s="144" t="s">
        <v>545</v>
      </c>
      <c r="B1111" s="144"/>
      <c r="C1111" s="144"/>
      <c r="D1111" s="145">
        <v>1</v>
      </c>
      <c r="E1111" s="122"/>
      <c r="F1111" s="146">
        <v>0.5</v>
      </c>
      <c r="G1111" s="146"/>
      <c r="H1111" s="122">
        <v>12222</v>
      </c>
      <c r="I1111" s="122">
        <f>+$H$979*H1111</f>
        <v>12649.769999999999</v>
      </c>
      <c r="J1111" s="147">
        <f>I1111*(1-F1111)</f>
        <v>6324.8849999999993</v>
      </c>
      <c r="K1111" s="122"/>
      <c r="L1111" s="122">
        <v>0</v>
      </c>
      <c r="M1111" s="122">
        <f>+$L$979*L1111</f>
        <v>0</v>
      </c>
      <c r="N1111" s="122">
        <f>M1111*(1-F1111)</f>
        <v>0</v>
      </c>
      <c r="O1111" s="122"/>
      <c r="P1111" s="122">
        <v>0</v>
      </c>
      <c r="Q1111" s="122">
        <f>+P1111*$P$68</f>
        <v>0</v>
      </c>
      <c r="R1111" s="147">
        <f>Q1111*(1-F1111)</f>
        <v>0</v>
      </c>
      <c r="S1111" s="145">
        <v>15</v>
      </c>
      <c r="T1111" s="144" t="s">
        <v>1161</v>
      </c>
      <c r="U1111" s="90">
        <f>SUMIF('Avoided Costs 2009-2017'!$A:$A,Actuals!T1111&amp;Actuals!S1111,'Avoided Costs 2009-2017'!$E:$E)*J1111</f>
        <v>19706.766054900381</v>
      </c>
      <c r="V1111" s="90">
        <f>SUMIF('Avoided Costs 2009-2017'!$A:$A,Actuals!T1111&amp;Actuals!S1111,'Avoided Costs 2009-2017'!$K:$K)*N1111</f>
        <v>0</v>
      </c>
      <c r="W1111" s="90">
        <f>SUMIF('Avoided Costs 2009-2017'!$A:$A,Actuals!T1111&amp;Actuals!S1111,'Avoided Costs 2009-2017'!$M:$M)*R1111</f>
        <v>0</v>
      </c>
      <c r="X1111" s="90">
        <f>SUM(U1111:W1111)</f>
        <v>19706.766054900381</v>
      </c>
      <c r="Y1111" s="148">
        <v>3344</v>
      </c>
      <c r="Z1111" s="149">
        <f>Y1111*(1-F1111)</f>
        <v>1672</v>
      </c>
      <c r="AA1111" s="148"/>
      <c r="AB1111" s="145"/>
      <c r="AC1111" s="145"/>
      <c r="AD1111" s="148">
        <f t="shared" si="320"/>
        <v>1672</v>
      </c>
      <c r="AE1111" s="122">
        <f t="shared" si="322"/>
        <v>18034.766054900381</v>
      </c>
      <c r="AF1111" s="167">
        <f t="shared" si="323"/>
        <v>94873.274999999994</v>
      </c>
    </row>
    <row r="1112" spans="1:32" s="4" customFormat="1" x14ac:dyDescent="0.2">
      <c r="A1112" s="152" t="s">
        <v>200</v>
      </c>
      <c r="B1112" s="152" t="s">
        <v>515</v>
      </c>
      <c r="C1112" s="152"/>
      <c r="D1112" s="153">
        <f>SUM(D980:D1111)</f>
        <v>92</v>
      </c>
      <c r="E1112" s="147"/>
      <c r="F1112" s="154"/>
      <c r="G1112" s="155"/>
      <c r="H1112" s="237">
        <f>SUM(H980:H1111)</f>
        <v>40497234</v>
      </c>
      <c r="I1112" s="237">
        <f>SUM(I980:I1111)</f>
        <v>41906325.670000009</v>
      </c>
      <c r="J1112" s="237">
        <f>SUM(J980:J1111)</f>
        <v>20953162.835000005</v>
      </c>
      <c r="K1112" s="147"/>
      <c r="L1112" s="237">
        <f>SUM(L980:L1111)</f>
        <v>10390246</v>
      </c>
      <c r="M1112" s="237">
        <f>SUM(M980:M1111)</f>
        <v>9889985.4480000008</v>
      </c>
      <c r="N1112" s="237">
        <f>SUM(N980:N1111)</f>
        <v>4944992.7240000004</v>
      </c>
      <c r="O1112" s="156"/>
      <c r="P1112" s="237">
        <f>SUM(P980:P1111)</f>
        <v>538280</v>
      </c>
      <c r="Q1112" s="237">
        <f>SUM(Q980:Q1111)</f>
        <v>803030.45199999993</v>
      </c>
      <c r="R1112" s="237">
        <f>SUM(R980:R1111)</f>
        <v>401515.22599999997</v>
      </c>
      <c r="S1112" s="153"/>
      <c r="T1112" s="152"/>
      <c r="U1112" s="238">
        <f>SUM(U980:U1111)</f>
        <v>69942641.953944728</v>
      </c>
      <c r="V1112" s="238">
        <f>SUM(V980:V1111)</f>
        <v>3639174.3169632307</v>
      </c>
      <c r="W1112" s="238">
        <f>SUM(W980:W1111)</f>
        <v>5931231.7903830083</v>
      </c>
      <c r="X1112" s="238">
        <f>SUM(X980:X1111)</f>
        <v>79513048.061290994</v>
      </c>
      <c r="Y1112" s="157"/>
      <c r="Z1112" s="238">
        <f>SUM(Z980:Z1111)</f>
        <v>10022070</v>
      </c>
      <c r="AA1112" s="148">
        <v>1648779.56</v>
      </c>
      <c r="AB1112" s="148">
        <v>591001.34</v>
      </c>
      <c r="AC1112" s="149">
        <f>AB1112+AA1112</f>
        <v>2239780.9</v>
      </c>
      <c r="AD1112" s="149">
        <f t="shared" si="320"/>
        <v>10613071.34</v>
      </c>
      <c r="AE1112" s="270">
        <f t="shared" si="322"/>
        <v>68899976.721290991</v>
      </c>
      <c r="AF1112" s="168">
        <f>SUM(AF980:AF1111)</f>
        <v>363503958.42249995</v>
      </c>
    </row>
    <row r="1113" spans="1:32" s="4" customFormat="1" x14ac:dyDescent="0.2">
      <c r="A1113" s="135"/>
      <c r="D1113" s="26"/>
      <c r="E1113" s="31"/>
      <c r="F1113" s="32"/>
      <c r="G1113" s="32"/>
      <c r="H1113" s="31"/>
      <c r="I1113" s="31"/>
      <c r="J1113" s="26"/>
      <c r="K1113" s="26"/>
      <c r="L1113" s="26"/>
      <c r="M1113" s="31"/>
      <c r="N1113" s="26"/>
      <c r="O1113" s="92"/>
      <c r="P1113" s="36"/>
      <c r="Q1113" s="31"/>
      <c r="R1113" s="26"/>
      <c r="S1113" s="26"/>
      <c r="T1113" s="5"/>
      <c r="U1113" s="53"/>
      <c r="V1113" s="53"/>
      <c r="W1113" s="53"/>
      <c r="X1113" s="53"/>
      <c r="Y1113" s="105"/>
      <c r="Z1113" s="53"/>
      <c r="AA1113" s="63"/>
      <c r="AB1113" s="63"/>
      <c r="AC1113" s="53"/>
      <c r="AD1113" s="53"/>
      <c r="AE1113" s="53"/>
      <c r="AF1113" s="166"/>
    </row>
    <row r="1114" spans="1:32" s="4" customFormat="1" x14ac:dyDescent="0.2">
      <c r="A1114" s="138" t="s">
        <v>1247</v>
      </c>
      <c r="B1114" s="30" t="s">
        <v>983</v>
      </c>
      <c r="C1114" s="64"/>
      <c r="D1114" s="65"/>
      <c r="E1114" s="66"/>
      <c r="F1114" s="67"/>
      <c r="G1114" s="67"/>
      <c r="H1114" s="236"/>
      <c r="I1114" s="236"/>
      <c r="J1114" s="236"/>
      <c r="K1114" s="236"/>
      <c r="L1114" s="236"/>
      <c r="M1114" s="236"/>
      <c r="N1114" s="33"/>
      <c r="O1114" s="92"/>
      <c r="P1114" s="236"/>
      <c r="Q1114" s="236"/>
      <c r="R1114" s="65"/>
      <c r="S1114" s="65"/>
      <c r="T1114" s="39"/>
      <c r="U1114" s="68"/>
      <c r="V1114" s="68"/>
      <c r="W1114" s="68"/>
      <c r="X1114" s="68"/>
      <c r="Y1114" s="104"/>
      <c r="Z1114" s="68"/>
      <c r="AA1114" s="104"/>
      <c r="AB1114" s="104"/>
      <c r="AC1114" s="68"/>
      <c r="AD1114" s="68"/>
      <c r="AE1114" s="68"/>
      <c r="AF1114" s="170"/>
    </row>
    <row r="1115" spans="1:32" s="150" customFormat="1" x14ac:dyDescent="0.2">
      <c r="A1115" s="144" t="s">
        <v>1132</v>
      </c>
      <c r="B1115" s="144"/>
      <c r="C1115" s="144"/>
      <c r="D1115" s="145">
        <v>1</v>
      </c>
      <c r="E1115" s="122"/>
      <c r="F1115" s="146">
        <v>0.4</v>
      </c>
      <c r="G1115" s="146"/>
      <c r="H1115" s="122">
        <v>45678</v>
      </c>
      <c r="I1115" s="122">
        <f t="shared" ref="I1115:I1158" si="324">+$H$979*H1115</f>
        <v>47276.729999999996</v>
      </c>
      <c r="J1115" s="147">
        <f t="shared" ref="J1115:J1158" si="325">I1115*(1-F1115)</f>
        <v>28366.037999999997</v>
      </c>
      <c r="K1115" s="122"/>
      <c r="L1115" s="122">
        <v>0</v>
      </c>
      <c r="M1115" s="122">
        <f t="shared" ref="M1115:M1158" si="326">+$L$979*L1115</f>
        <v>0</v>
      </c>
      <c r="N1115" s="122">
        <f t="shared" ref="N1115:N1158" si="327">M1115*(1-F1115)</f>
        <v>0</v>
      </c>
      <c r="O1115" s="122"/>
      <c r="P1115" s="122">
        <v>0</v>
      </c>
      <c r="Q1115" s="122">
        <f t="shared" ref="Q1115:Q1158" si="328">+P1115*$P$68</f>
        <v>0</v>
      </c>
      <c r="R1115" s="147">
        <f t="shared" ref="R1115:R1158" si="329">Q1115*(1-F1115)</f>
        <v>0</v>
      </c>
      <c r="S1115" s="145">
        <v>25</v>
      </c>
      <c r="T1115" s="144" t="s">
        <v>1161</v>
      </c>
      <c r="U1115" s="90">
        <f>SUMIF('Avoided Costs 2009-2017'!$A:$A,Actuals!T1115&amp;Actuals!S1115,'Avoided Costs 2009-2017'!$E:$E)*J1115</f>
        <v>112396.48744737566</v>
      </c>
      <c r="V1115" s="90">
        <f>SUMIF('Avoided Costs 2009-2017'!$A:$A,Actuals!T1115&amp;Actuals!S1115,'Avoided Costs 2009-2017'!$K:$K)*N1115</f>
        <v>0</v>
      </c>
      <c r="W1115" s="90">
        <f>SUMIF('Avoided Costs 2009-2017'!$A:$A,Actuals!T1115&amp;Actuals!S1115,'Avoided Costs 2009-2017'!$M:$M)*R1115</f>
        <v>0</v>
      </c>
      <c r="X1115" s="90">
        <f t="shared" ref="X1115:X1158" si="330">SUM(U1115:W1115)</f>
        <v>112396.48744737566</v>
      </c>
      <c r="Y1115" s="148">
        <v>27178</v>
      </c>
      <c r="Z1115" s="149">
        <f t="shared" ref="Z1115:Z1158" si="331">Y1115*(1-F1115)</f>
        <v>16306.8</v>
      </c>
      <c r="AA1115" s="148"/>
      <c r="AB1115" s="145"/>
      <c r="AC1115" s="145"/>
      <c r="AD1115" s="148">
        <f t="shared" ref="AD1115:AD1159" si="332">Z1115+AB1115</f>
        <v>16306.8</v>
      </c>
      <c r="AE1115" s="122">
        <f t="shared" ref="AE1115:AE1159" si="333">X1115-AD1115</f>
        <v>96089.687447375662</v>
      </c>
      <c r="AF1115" s="167">
        <f t="shared" ref="AF1115:AF1158" si="334">J1115*S1115</f>
        <v>709150.95</v>
      </c>
    </row>
    <row r="1116" spans="1:32" s="150" customFormat="1" x14ac:dyDescent="0.2">
      <c r="A1116" s="144" t="s">
        <v>1133</v>
      </c>
      <c r="B1116" s="144"/>
      <c r="C1116" s="144"/>
      <c r="D1116" s="145">
        <v>0</v>
      </c>
      <c r="E1116" s="122"/>
      <c r="F1116" s="146">
        <v>0.4</v>
      </c>
      <c r="G1116" s="146"/>
      <c r="H1116" s="122">
        <v>17541</v>
      </c>
      <c r="I1116" s="122">
        <f t="shared" si="324"/>
        <v>18154.934999999998</v>
      </c>
      <c r="J1116" s="147">
        <f t="shared" si="325"/>
        <v>10892.960999999998</v>
      </c>
      <c r="K1116" s="122"/>
      <c r="L1116" s="122">
        <v>0</v>
      </c>
      <c r="M1116" s="122">
        <f t="shared" si="326"/>
        <v>0</v>
      </c>
      <c r="N1116" s="122">
        <f t="shared" si="327"/>
        <v>0</v>
      </c>
      <c r="O1116" s="122"/>
      <c r="P1116" s="122">
        <v>0</v>
      </c>
      <c r="Q1116" s="122">
        <f t="shared" si="328"/>
        <v>0</v>
      </c>
      <c r="R1116" s="147">
        <f t="shared" si="329"/>
        <v>0</v>
      </c>
      <c r="S1116" s="145">
        <v>15</v>
      </c>
      <c r="T1116" s="144" t="s">
        <v>1161</v>
      </c>
      <c r="U1116" s="90">
        <f>SUMIF('Avoided Costs 2009-2017'!$A:$A,Actuals!T1116&amp;Actuals!S1116,'Avoided Costs 2009-2017'!$E:$E)*J1116</f>
        <v>33939.752908100883</v>
      </c>
      <c r="V1116" s="90">
        <f>SUMIF('Avoided Costs 2009-2017'!$A:$A,Actuals!T1116&amp;Actuals!S1116,'Avoided Costs 2009-2017'!$K:$K)*N1116</f>
        <v>0</v>
      </c>
      <c r="W1116" s="90">
        <f>SUMIF('Avoided Costs 2009-2017'!$A:$A,Actuals!T1116&amp;Actuals!S1116,'Avoided Costs 2009-2017'!$M:$M)*R1116</f>
        <v>0</v>
      </c>
      <c r="X1116" s="90">
        <f t="shared" si="330"/>
        <v>33939.752908100883</v>
      </c>
      <c r="Y1116" s="148">
        <v>27933</v>
      </c>
      <c r="Z1116" s="149">
        <f t="shared" si="331"/>
        <v>16759.8</v>
      </c>
      <c r="AA1116" s="148"/>
      <c r="AB1116" s="145"/>
      <c r="AC1116" s="145"/>
      <c r="AD1116" s="148">
        <f t="shared" si="332"/>
        <v>16759.8</v>
      </c>
      <c r="AE1116" s="122">
        <f t="shared" si="333"/>
        <v>17179.952908100884</v>
      </c>
      <c r="AF1116" s="167">
        <f t="shared" si="334"/>
        <v>163394.41499999995</v>
      </c>
    </row>
    <row r="1117" spans="1:32" s="150" customFormat="1" x14ac:dyDescent="0.2">
      <c r="A1117" s="144" t="s">
        <v>1134</v>
      </c>
      <c r="B1117" s="144"/>
      <c r="C1117" s="144"/>
      <c r="D1117" s="145">
        <v>1</v>
      </c>
      <c r="E1117" s="122"/>
      <c r="F1117" s="146">
        <v>0.4</v>
      </c>
      <c r="G1117" s="146"/>
      <c r="H1117" s="122">
        <v>34445</v>
      </c>
      <c r="I1117" s="122">
        <f t="shared" si="324"/>
        <v>35650.574999999997</v>
      </c>
      <c r="J1117" s="147">
        <f t="shared" si="325"/>
        <v>21390.344999999998</v>
      </c>
      <c r="K1117" s="122"/>
      <c r="L1117" s="122">
        <v>0</v>
      </c>
      <c r="M1117" s="122">
        <f t="shared" si="326"/>
        <v>0</v>
      </c>
      <c r="N1117" s="122">
        <f t="shared" si="327"/>
        <v>0</v>
      </c>
      <c r="O1117" s="122"/>
      <c r="P1117" s="122">
        <v>0</v>
      </c>
      <c r="Q1117" s="122">
        <f t="shared" si="328"/>
        <v>0</v>
      </c>
      <c r="R1117" s="147">
        <f t="shared" si="329"/>
        <v>0</v>
      </c>
      <c r="S1117" s="145">
        <v>10</v>
      </c>
      <c r="T1117" s="144" t="s">
        <v>1161</v>
      </c>
      <c r="U1117" s="90">
        <f>SUMIF('Avoided Costs 2009-2017'!$A:$A,Actuals!T1117&amp;Actuals!S1117,'Avoided Costs 2009-2017'!$E:$E)*J1117</f>
        <v>51819.540257565823</v>
      </c>
      <c r="V1117" s="90">
        <f>SUMIF('Avoided Costs 2009-2017'!$A:$A,Actuals!T1117&amp;Actuals!S1117,'Avoided Costs 2009-2017'!$K:$K)*N1117</f>
        <v>0</v>
      </c>
      <c r="W1117" s="90">
        <f>SUMIF('Avoided Costs 2009-2017'!$A:$A,Actuals!T1117&amp;Actuals!S1117,'Avoided Costs 2009-2017'!$M:$M)*R1117</f>
        <v>0</v>
      </c>
      <c r="X1117" s="90">
        <f t="shared" si="330"/>
        <v>51819.540257565823</v>
      </c>
      <c r="Y1117" s="148">
        <v>9220</v>
      </c>
      <c r="Z1117" s="149">
        <f t="shared" si="331"/>
        <v>5532</v>
      </c>
      <c r="AA1117" s="148"/>
      <c r="AB1117" s="145"/>
      <c r="AC1117" s="145"/>
      <c r="AD1117" s="148">
        <f t="shared" si="332"/>
        <v>5532</v>
      </c>
      <c r="AE1117" s="122">
        <f t="shared" si="333"/>
        <v>46287.540257565823</v>
      </c>
      <c r="AF1117" s="167">
        <f t="shared" si="334"/>
        <v>213903.44999999998</v>
      </c>
    </row>
    <row r="1118" spans="1:32" s="150" customFormat="1" x14ac:dyDescent="0.2">
      <c r="A1118" s="144" t="s">
        <v>1135</v>
      </c>
      <c r="B1118" s="144"/>
      <c r="C1118" s="144"/>
      <c r="D1118" s="145">
        <v>1</v>
      </c>
      <c r="E1118" s="122"/>
      <c r="F1118" s="146">
        <v>0.4</v>
      </c>
      <c r="G1118" s="146"/>
      <c r="H1118" s="122">
        <v>34280</v>
      </c>
      <c r="I1118" s="122">
        <f>+H1118</f>
        <v>34280</v>
      </c>
      <c r="J1118" s="147">
        <f t="shared" si="325"/>
        <v>20568</v>
      </c>
      <c r="K1118" s="122"/>
      <c r="L1118" s="122">
        <v>0</v>
      </c>
      <c r="M1118" s="122">
        <f t="shared" si="326"/>
        <v>0</v>
      </c>
      <c r="N1118" s="122">
        <f t="shared" si="327"/>
        <v>0</v>
      </c>
      <c r="O1118" s="122"/>
      <c r="P1118" s="122">
        <v>0</v>
      </c>
      <c r="Q1118" s="122">
        <f t="shared" si="328"/>
        <v>0</v>
      </c>
      <c r="R1118" s="147">
        <f t="shared" si="329"/>
        <v>0</v>
      </c>
      <c r="S1118" s="145">
        <v>10</v>
      </c>
      <c r="T1118" s="144" t="s">
        <v>1161</v>
      </c>
      <c r="U1118" s="90">
        <f>SUMIF('Avoided Costs 2009-2017'!$A:$A,Actuals!T1118&amp;Actuals!S1118,'Avoided Costs 2009-2017'!$E:$E)*J1118</f>
        <v>49827.354538583364</v>
      </c>
      <c r="V1118" s="90">
        <f>SUMIF('Avoided Costs 2009-2017'!$A:$A,Actuals!T1118&amp;Actuals!S1118,'Avoided Costs 2009-2017'!$K:$K)*N1118</f>
        <v>0</v>
      </c>
      <c r="W1118" s="90">
        <f>SUMIF('Avoided Costs 2009-2017'!$A:$A,Actuals!T1118&amp;Actuals!S1118,'Avoided Costs 2009-2017'!$M:$M)*R1118</f>
        <v>0</v>
      </c>
      <c r="X1118" s="90">
        <f t="shared" si="330"/>
        <v>49827.354538583364</v>
      </c>
      <c r="Y1118" s="148">
        <v>65683</v>
      </c>
      <c r="Z1118" s="149">
        <f t="shared" si="331"/>
        <v>39409.799999999996</v>
      </c>
      <c r="AA1118" s="148"/>
      <c r="AB1118" s="145"/>
      <c r="AC1118" s="145"/>
      <c r="AD1118" s="148">
        <f t="shared" si="332"/>
        <v>39409.799999999996</v>
      </c>
      <c r="AE1118" s="122">
        <f t="shared" si="333"/>
        <v>10417.554538583368</v>
      </c>
      <c r="AF1118" s="167">
        <f t="shared" si="334"/>
        <v>205680</v>
      </c>
    </row>
    <row r="1119" spans="1:32" s="150" customFormat="1" x14ac:dyDescent="0.2">
      <c r="A1119" s="144" t="s">
        <v>343</v>
      </c>
      <c r="B1119" s="144"/>
      <c r="C1119" s="144"/>
      <c r="D1119" s="145">
        <v>1</v>
      </c>
      <c r="E1119" s="122"/>
      <c r="F1119" s="146">
        <v>0.4</v>
      </c>
      <c r="G1119" s="146"/>
      <c r="H1119" s="122">
        <v>15496</v>
      </c>
      <c r="I1119" s="122">
        <f t="shared" si="324"/>
        <v>16038.359999999999</v>
      </c>
      <c r="J1119" s="147">
        <f t="shared" si="325"/>
        <v>9623.0159999999996</v>
      </c>
      <c r="K1119" s="122"/>
      <c r="L1119" s="122">
        <v>0</v>
      </c>
      <c r="M1119" s="122">
        <f t="shared" si="326"/>
        <v>0</v>
      </c>
      <c r="N1119" s="122">
        <f t="shared" si="327"/>
        <v>0</v>
      </c>
      <c r="O1119" s="122"/>
      <c r="P1119" s="122">
        <v>0</v>
      </c>
      <c r="Q1119" s="122">
        <f t="shared" si="328"/>
        <v>0</v>
      </c>
      <c r="R1119" s="147">
        <f t="shared" si="329"/>
        <v>0</v>
      </c>
      <c r="S1119" s="145">
        <v>10</v>
      </c>
      <c r="T1119" s="144" t="s">
        <v>1161</v>
      </c>
      <c r="U1119" s="90">
        <f>SUMIF('Avoided Costs 2009-2017'!$A:$A,Actuals!T1119&amp;Actuals!S1119,'Avoided Costs 2009-2017'!$E:$E)*J1119</f>
        <v>23312.39935640122</v>
      </c>
      <c r="V1119" s="90">
        <f>SUMIF('Avoided Costs 2009-2017'!$A:$A,Actuals!T1119&amp;Actuals!S1119,'Avoided Costs 2009-2017'!$K:$K)*N1119</f>
        <v>0</v>
      </c>
      <c r="W1119" s="90">
        <f>SUMIF('Avoided Costs 2009-2017'!$A:$A,Actuals!T1119&amp;Actuals!S1119,'Avoided Costs 2009-2017'!$M:$M)*R1119</f>
        <v>0</v>
      </c>
      <c r="X1119" s="90">
        <f t="shared" si="330"/>
        <v>23312.39935640122</v>
      </c>
      <c r="Y1119" s="148">
        <v>29649</v>
      </c>
      <c r="Z1119" s="149">
        <f t="shared" si="331"/>
        <v>17789.399999999998</v>
      </c>
      <c r="AA1119" s="148"/>
      <c r="AB1119" s="145"/>
      <c r="AC1119" s="145"/>
      <c r="AD1119" s="148">
        <f t="shared" si="332"/>
        <v>17789.399999999998</v>
      </c>
      <c r="AE1119" s="122">
        <f t="shared" si="333"/>
        <v>5522.999356401222</v>
      </c>
      <c r="AF1119" s="167">
        <f t="shared" si="334"/>
        <v>96230.16</v>
      </c>
    </row>
    <row r="1120" spans="1:32" s="150" customFormat="1" x14ac:dyDescent="0.2">
      <c r="A1120" s="144" t="s">
        <v>344</v>
      </c>
      <c r="B1120" s="144"/>
      <c r="C1120" s="144"/>
      <c r="D1120" s="145">
        <v>0</v>
      </c>
      <c r="E1120" s="122"/>
      <c r="F1120" s="146">
        <v>0.4</v>
      </c>
      <c r="G1120" s="146"/>
      <c r="H1120" s="122">
        <v>36990</v>
      </c>
      <c r="I1120" s="122">
        <f t="shared" si="324"/>
        <v>38284.649999999994</v>
      </c>
      <c r="J1120" s="147">
        <f t="shared" si="325"/>
        <v>22970.789999999997</v>
      </c>
      <c r="K1120" s="122"/>
      <c r="L1120" s="122">
        <v>0</v>
      </c>
      <c r="M1120" s="122">
        <f t="shared" si="326"/>
        <v>0</v>
      </c>
      <c r="N1120" s="122">
        <f t="shared" si="327"/>
        <v>0</v>
      </c>
      <c r="O1120" s="122"/>
      <c r="P1120" s="122">
        <v>0</v>
      </c>
      <c r="Q1120" s="122">
        <f t="shared" si="328"/>
        <v>0</v>
      </c>
      <c r="R1120" s="147">
        <f t="shared" si="329"/>
        <v>0</v>
      </c>
      <c r="S1120" s="145">
        <v>10</v>
      </c>
      <c r="T1120" s="144" t="s">
        <v>1161</v>
      </c>
      <c r="U1120" s="90">
        <f>SUMIF('Avoided Costs 2009-2017'!$A:$A,Actuals!T1120&amp;Actuals!S1120,'Avoided Costs 2009-2017'!$E:$E)*J1120</f>
        <v>55648.273889602548</v>
      </c>
      <c r="V1120" s="90">
        <f>SUMIF('Avoided Costs 2009-2017'!$A:$A,Actuals!T1120&amp;Actuals!S1120,'Avoided Costs 2009-2017'!$K:$K)*N1120</f>
        <v>0</v>
      </c>
      <c r="W1120" s="90">
        <f>SUMIF('Avoided Costs 2009-2017'!$A:$A,Actuals!T1120&amp;Actuals!S1120,'Avoided Costs 2009-2017'!$M:$M)*R1120</f>
        <v>0</v>
      </c>
      <c r="X1120" s="90">
        <f t="shared" si="330"/>
        <v>55648.273889602548</v>
      </c>
      <c r="Y1120" s="148">
        <v>49831</v>
      </c>
      <c r="Z1120" s="149">
        <f t="shared" si="331"/>
        <v>29898.6</v>
      </c>
      <c r="AA1120" s="148"/>
      <c r="AB1120" s="145"/>
      <c r="AC1120" s="145"/>
      <c r="AD1120" s="148">
        <f t="shared" si="332"/>
        <v>29898.6</v>
      </c>
      <c r="AE1120" s="122">
        <f t="shared" si="333"/>
        <v>25749.673889602549</v>
      </c>
      <c r="AF1120" s="167">
        <f t="shared" si="334"/>
        <v>229707.89999999997</v>
      </c>
    </row>
    <row r="1121" spans="1:32" s="150" customFormat="1" x14ac:dyDescent="0.2">
      <c r="A1121" s="144" t="s">
        <v>345</v>
      </c>
      <c r="B1121" s="144"/>
      <c r="C1121" s="144"/>
      <c r="D1121" s="145">
        <v>0</v>
      </c>
      <c r="E1121" s="122"/>
      <c r="F1121" s="146">
        <v>0.4</v>
      </c>
      <c r="G1121" s="146"/>
      <c r="H1121" s="122">
        <v>12711</v>
      </c>
      <c r="I1121" s="122">
        <f t="shared" si="324"/>
        <v>13155.884999999998</v>
      </c>
      <c r="J1121" s="147">
        <f t="shared" si="325"/>
        <v>7893.530999999999</v>
      </c>
      <c r="K1121" s="122"/>
      <c r="L1121" s="122">
        <v>0</v>
      </c>
      <c r="M1121" s="122">
        <f t="shared" si="326"/>
        <v>0</v>
      </c>
      <c r="N1121" s="122">
        <f t="shared" si="327"/>
        <v>0</v>
      </c>
      <c r="O1121" s="122"/>
      <c r="P1121" s="122">
        <v>0</v>
      </c>
      <c r="Q1121" s="122">
        <f t="shared" si="328"/>
        <v>0</v>
      </c>
      <c r="R1121" s="147">
        <f t="shared" si="329"/>
        <v>0</v>
      </c>
      <c r="S1121" s="145">
        <v>15</v>
      </c>
      <c r="T1121" s="144" t="s">
        <v>1161</v>
      </c>
      <c r="U1121" s="90">
        <f>SUMIF('Avoided Costs 2009-2017'!$A:$A,Actuals!T1121&amp;Actuals!S1121,'Avoided Costs 2009-2017'!$E:$E)*J1121</f>
        <v>24594.276222271845</v>
      </c>
      <c r="V1121" s="90">
        <f>SUMIF('Avoided Costs 2009-2017'!$A:$A,Actuals!T1121&amp;Actuals!S1121,'Avoided Costs 2009-2017'!$K:$K)*N1121</f>
        <v>0</v>
      </c>
      <c r="W1121" s="90">
        <f>SUMIF('Avoided Costs 2009-2017'!$A:$A,Actuals!T1121&amp;Actuals!S1121,'Avoided Costs 2009-2017'!$M:$M)*R1121</f>
        <v>0</v>
      </c>
      <c r="X1121" s="90">
        <f t="shared" si="330"/>
        <v>24594.276222271845</v>
      </c>
      <c r="Y1121" s="148">
        <v>46626</v>
      </c>
      <c r="Z1121" s="149">
        <f t="shared" si="331"/>
        <v>27975.599999999999</v>
      </c>
      <c r="AA1121" s="148"/>
      <c r="AB1121" s="145"/>
      <c r="AC1121" s="145"/>
      <c r="AD1121" s="148">
        <f t="shared" si="332"/>
        <v>27975.599999999999</v>
      </c>
      <c r="AE1121" s="122">
        <f t="shared" si="333"/>
        <v>-3381.3237777281538</v>
      </c>
      <c r="AF1121" s="167">
        <f t="shared" si="334"/>
        <v>118402.96499999998</v>
      </c>
    </row>
    <row r="1122" spans="1:32" s="150" customFormat="1" x14ac:dyDescent="0.2">
      <c r="A1122" s="144" t="s">
        <v>346</v>
      </c>
      <c r="B1122" s="144"/>
      <c r="C1122" s="144"/>
      <c r="D1122" s="145">
        <v>1</v>
      </c>
      <c r="E1122" s="122"/>
      <c r="F1122" s="146">
        <v>0.4</v>
      </c>
      <c r="G1122" s="146"/>
      <c r="H1122" s="122">
        <v>6625</v>
      </c>
      <c r="I1122" s="122">
        <f t="shared" si="324"/>
        <v>6856.8749999999991</v>
      </c>
      <c r="J1122" s="147">
        <f t="shared" si="325"/>
        <v>4114.1249999999991</v>
      </c>
      <c r="K1122" s="122"/>
      <c r="L1122" s="122">
        <v>0</v>
      </c>
      <c r="M1122" s="122">
        <f t="shared" si="326"/>
        <v>0</v>
      </c>
      <c r="N1122" s="122">
        <f t="shared" si="327"/>
        <v>0</v>
      </c>
      <c r="O1122" s="122"/>
      <c r="P1122" s="122">
        <v>0</v>
      </c>
      <c r="Q1122" s="122">
        <f t="shared" si="328"/>
        <v>0</v>
      </c>
      <c r="R1122" s="147">
        <f t="shared" si="329"/>
        <v>0</v>
      </c>
      <c r="S1122" s="145">
        <v>15</v>
      </c>
      <c r="T1122" s="144" t="s">
        <v>1161</v>
      </c>
      <c r="U1122" s="90">
        <f>SUMIF('Avoided Costs 2009-2017'!$A:$A,Actuals!T1122&amp;Actuals!S1122,'Avoided Costs 2009-2017'!$E:$E)*J1122</f>
        <v>12818.588621866962</v>
      </c>
      <c r="V1122" s="90">
        <f>SUMIF('Avoided Costs 2009-2017'!$A:$A,Actuals!T1122&amp;Actuals!S1122,'Avoided Costs 2009-2017'!$K:$K)*N1122</f>
        <v>0</v>
      </c>
      <c r="W1122" s="90">
        <f>SUMIF('Avoided Costs 2009-2017'!$A:$A,Actuals!T1122&amp;Actuals!S1122,'Avoided Costs 2009-2017'!$M:$M)*R1122</f>
        <v>0</v>
      </c>
      <c r="X1122" s="90">
        <f t="shared" si="330"/>
        <v>12818.588621866962</v>
      </c>
      <c r="Y1122" s="148">
        <v>15466</v>
      </c>
      <c r="Z1122" s="149">
        <f t="shared" si="331"/>
        <v>9279.6</v>
      </c>
      <c r="AA1122" s="148"/>
      <c r="AB1122" s="145"/>
      <c r="AC1122" s="145"/>
      <c r="AD1122" s="148">
        <f t="shared" si="332"/>
        <v>9279.6</v>
      </c>
      <c r="AE1122" s="122">
        <f t="shared" si="333"/>
        <v>3538.9886218669617</v>
      </c>
      <c r="AF1122" s="167">
        <f t="shared" si="334"/>
        <v>61711.874999999985</v>
      </c>
    </row>
    <row r="1123" spans="1:32" s="150" customFormat="1" x14ac:dyDescent="0.2">
      <c r="A1123" s="144" t="s">
        <v>347</v>
      </c>
      <c r="B1123" s="144"/>
      <c r="C1123" s="144"/>
      <c r="D1123" s="145">
        <v>1</v>
      </c>
      <c r="E1123" s="122"/>
      <c r="F1123" s="146">
        <v>0.4</v>
      </c>
      <c r="G1123" s="146"/>
      <c r="H1123" s="122">
        <v>82640</v>
      </c>
      <c r="I1123" s="122">
        <f t="shared" si="324"/>
        <v>85532.4</v>
      </c>
      <c r="J1123" s="147">
        <f t="shared" si="325"/>
        <v>51319.439999999995</v>
      </c>
      <c r="K1123" s="122"/>
      <c r="L1123" s="122">
        <v>0</v>
      </c>
      <c r="M1123" s="122">
        <f t="shared" si="326"/>
        <v>0</v>
      </c>
      <c r="N1123" s="122">
        <f t="shared" si="327"/>
        <v>0</v>
      </c>
      <c r="O1123" s="122"/>
      <c r="P1123" s="122">
        <v>0</v>
      </c>
      <c r="Q1123" s="122">
        <f t="shared" si="328"/>
        <v>0</v>
      </c>
      <c r="R1123" s="147">
        <f t="shared" si="329"/>
        <v>0</v>
      </c>
      <c r="S1123" s="145">
        <v>10</v>
      </c>
      <c r="T1123" s="144" t="s">
        <v>1161</v>
      </c>
      <c r="U1123" s="90">
        <f>SUMIF('Avoided Costs 2009-2017'!$A:$A,Actuals!T1123&amp;Actuals!S1123,'Avoided Costs 2009-2017'!$E:$E)*J1123</f>
        <v>124324.77302613558</v>
      </c>
      <c r="V1123" s="90">
        <f>SUMIF('Avoided Costs 2009-2017'!$A:$A,Actuals!T1123&amp;Actuals!S1123,'Avoided Costs 2009-2017'!$K:$K)*N1123</f>
        <v>0</v>
      </c>
      <c r="W1123" s="90">
        <f>SUMIF('Avoided Costs 2009-2017'!$A:$A,Actuals!T1123&amp;Actuals!S1123,'Avoided Costs 2009-2017'!$M:$M)*R1123</f>
        <v>0</v>
      </c>
      <c r="X1123" s="90">
        <f t="shared" si="330"/>
        <v>124324.77302613558</v>
      </c>
      <c r="Y1123" s="148">
        <v>86150</v>
      </c>
      <c r="Z1123" s="149">
        <f t="shared" si="331"/>
        <v>51690</v>
      </c>
      <c r="AA1123" s="148"/>
      <c r="AB1123" s="145"/>
      <c r="AC1123" s="145"/>
      <c r="AD1123" s="148">
        <f t="shared" si="332"/>
        <v>51690</v>
      </c>
      <c r="AE1123" s="122">
        <f t="shared" si="333"/>
        <v>72634.773026135575</v>
      </c>
      <c r="AF1123" s="167">
        <f t="shared" si="334"/>
        <v>513194.39999999997</v>
      </c>
    </row>
    <row r="1124" spans="1:32" s="150" customFormat="1" x14ac:dyDescent="0.2">
      <c r="A1124" s="144" t="s">
        <v>348</v>
      </c>
      <c r="B1124" s="144"/>
      <c r="C1124" s="144"/>
      <c r="D1124" s="145">
        <v>0</v>
      </c>
      <c r="E1124" s="122"/>
      <c r="F1124" s="146">
        <v>0.4</v>
      </c>
      <c r="G1124" s="146"/>
      <c r="H1124" s="122">
        <v>5455</v>
      </c>
      <c r="I1124" s="122">
        <f t="shared" si="324"/>
        <v>5645.9249999999993</v>
      </c>
      <c r="J1124" s="147">
        <f t="shared" si="325"/>
        <v>3387.5549999999994</v>
      </c>
      <c r="K1124" s="122"/>
      <c r="L1124" s="122">
        <v>0</v>
      </c>
      <c r="M1124" s="122">
        <f t="shared" si="326"/>
        <v>0</v>
      </c>
      <c r="N1124" s="122">
        <f t="shared" si="327"/>
        <v>0</v>
      </c>
      <c r="O1124" s="122"/>
      <c r="P1124" s="122">
        <v>0</v>
      </c>
      <c r="Q1124" s="122">
        <f t="shared" si="328"/>
        <v>0</v>
      </c>
      <c r="R1124" s="147">
        <f t="shared" si="329"/>
        <v>0</v>
      </c>
      <c r="S1124" s="145">
        <v>15</v>
      </c>
      <c r="T1124" s="144" t="s">
        <v>1161</v>
      </c>
      <c r="U1124" s="90">
        <f>SUMIF('Avoided Costs 2009-2017'!$A:$A,Actuals!T1124&amp;Actuals!S1124,'Avoided Costs 2009-2017'!$E:$E)*J1124</f>
        <v>10554.777499212722</v>
      </c>
      <c r="V1124" s="90">
        <f>SUMIF('Avoided Costs 2009-2017'!$A:$A,Actuals!T1124&amp;Actuals!S1124,'Avoided Costs 2009-2017'!$K:$K)*N1124</f>
        <v>0</v>
      </c>
      <c r="W1124" s="90">
        <f>SUMIF('Avoided Costs 2009-2017'!$A:$A,Actuals!T1124&amp;Actuals!S1124,'Avoided Costs 2009-2017'!$M:$M)*R1124</f>
        <v>0</v>
      </c>
      <c r="X1124" s="90">
        <f t="shared" si="330"/>
        <v>10554.777499212722</v>
      </c>
      <c r="Y1124" s="148">
        <v>1221</v>
      </c>
      <c r="Z1124" s="149">
        <f t="shared" si="331"/>
        <v>732.6</v>
      </c>
      <c r="AA1124" s="148"/>
      <c r="AB1124" s="145"/>
      <c r="AC1124" s="145"/>
      <c r="AD1124" s="148">
        <f t="shared" si="332"/>
        <v>732.6</v>
      </c>
      <c r="AE1124" s="122">
        <f t="shared" si="333"/>
        <v>9822.1774992127212</v>
      </c>
      <c r="AF1124" s="167">
        <f t="shared" si="334"/>
        <v>50813.32499999999</v>
      </c>
    </row>
    <row r="1125" spans="1:32" s="150" customFormat="1" x14ac:dyDescent="0.2">
      <c r="A1125" s="144" t="s">
        <v>349</v>
      </c>
      <c r="B1125" s="144"/>
      <c r="C1125" s="144"/>
      <c r="D1125" s="145">
        <v>0</v>
      </c>
      <c r="E1125" s="122"/>
      <c r="F1125" s="146">
        <v>0.4</v>
      </c>
      <c r="G1125" s="146"/>
      <c r="H1125" s="122">
        <v>19793</v>
      </c>
      <c r="I1125" s="122">
        <f t="shared" si="324"/>
        <v>20485.754999999997</v>
      </c>
      <c r="J1125" s="147">
        <f t="shared" si="325"/>
        <v>12291.452999999998</v>
      </c>
      <c r="K1125" s="122"/>
      <c r="L1125" s="122">
        <v>0</v>
      </c>
      <c r="M1125" s="122">
        <f t="shared" si="326"/>
        <v>0</v>
      </c>
      <c r="N1125" s="122">
        <f t="shared" si="327"/>
        <v>0</v>
      </c>
      <c r="O1125" s="122"/>
      <c r="P1125" s="122">
        <v>0</v>
      </c>
      <c r="Q1125" s="122">
        <f t="shared" si="328"/>
        <v>0</v>
      </c>
      <c r="R1125" s="147">
        <f t="shared" si="329"/>
        <v>0</v>
      </c>
      <c r="S1125" s="145">
        <v>11</v>
      </c>
      <c r="T1125" s="144" t="s">
        <v>1161</v>
      </c>
      <c r="U1125" s="90">
        <f>SUMIF('Avoided Costs 2009-2017'!$A:$A,Actuals!T1125&amp;Actuals!S1125,'Avoided Costs 2009-2017'!$E:$E)*J1125</f>
        <v>31718.929004812671</v>
      </c>
      <c r="V1125" s="90">
        <f>SUMIF('Avoided Costs 2009-2017'!$A:$A,Actuals!T1125&amp;Actuals!S1125,'Avoided Costs 2009-2017'!$K:$K)*N1125</f>
        <v>0</v>
      </c>
      <c r="W1125" s="90">
        <f>SUMIF('Avoided Costs 2009-2017'!$A:$A,Actuals!T1125&amp;Actuals!S1125,'Avoided Costs 2009-2017'!$M:$M)*R1125</f>
        <v>0</v>
      </c>
      <c r="X1125" s="90">
        <f t="shared" si="330"/>
        <v>31718.929004812671</v>
      </c>
      <c r="Y1125" s="148">
        <v>38987</v>
      </c>
      <c r="Z1125" s="149">
        <f t="shared" si="331"/>
        <v>23392.2</v>
      </c>
      <c r="AA1125" s="148"/>
      <c r="AB1125" s="145"/>
      <c r="AC1125" s="145"/>
      <c r="AD1125" s="148">
        <f t="shared" si="332"/>
        <v>23392.2</v>
      </c>
      <c r="AE1125" s="122">
        <f t="shared" si="333"/>
        <v>8326.7290048126706</v>
      </c>
      <c r="AF1125" s="167">
        <f t="shared" si="334"/>
        <v>135205.98299999998</v>
      </c>
    </row>
    <row r="1126" spans="1:32" s="150" customFormat="1" x14ac:dyDescent="0.2">
      <c r="A1126" s="144" t="s">
        <v>350</v>
      </c>
      <c r="B1126" s="144"/>
      <c r="C1126" s="144"/>
      <c r="D1126" s="145">
        <v>1</v>
      </c>
      <c r="E1126" s="122"/>
      <c r="F1126" s="146">
        <v>0.4</v>
      </c>
      <c r="G1126" s="146"/>
      <c r="H1126" s="122">
        <v>20061</v>
      </c>
      <c r="I1126" s="122">
        <f t="shared" si="324"/>
        <v>20763.134999999998</v>
      </c>
      <c r="J1126" s="147">
        <f t="shared" si="325"/>
        <v>12457.880999999999</v>
      </c>
      <c r="K1126" s="122"/>
      <c r="L1126" s="122">
        <v>0</v>
      </c>
      <c r="M1126" s="122">
        <f t="shared" si="326"/>
        <v>0</v>
      </c>
      <c r="N1126" s="122">
        <f t="shared" si="327"/>
        <v>0</v>
      </c>
      <c r="O1126" s="122"/>
      <c r="P1126" s="122">
        <v>0</v>
      </c>
      <c r="Q1126" s="122">
        <f t="shared" si="328"/>
        <v>0</v>
      </c>
      <c r="R1126" s="147">
        <f t="shared" si="329"/>
        <v>0</v>
      </c>
      <c r="S1126" s="145">
        <v>10</v>
      </c>
      <c r="T1126" s="144" t="s">
        <v>1161</v>
      </c>
      <c r="U1126" s="90">
        <f>SUMIF('Avoided Costs 2009-2017'!$A:$A,Actuals!T1126&amp;Actuals!S1126,'Avoided Costs 2009-2017'!$E:$E)*J1126</f>
        <v>30180.049270054522</v>
      </c>
      <c r="V1126" s="90">
        <f>SUMIF('Avoided Costs 2009-2017'!$A:$A,Actuals!T1126&amp;Actuals!S1126,'Avoided Costs 2009-2017'!$K:$K)*N1126</f>
        <v>0</v>
      </c>
      <c r="W1126" s="90">
        <f>SUMIF('Avoided Costs 2009-2017'!$A:$A,Actuals!T1126&amp;Actuals!S1126,'Avoided Costs 2009-2017'!$M:$M)*R1126</f>
        <v>0</v>
      </c>
      <c r="X1126" s="90">
        <f t="shared" si="330"/>
        <v>30180.049270054522</v>
      </c>
      <c r="Y1126" s="148">
        <v>18204</v>
      </c>
      <c r="Z1126" s="149">
        <f t="shared" si="331"/>
        <v>10922.4</v>
      </c>
      <c r="AA1126" s="148"/>
      <c r="AB1126" s="145"/>
      <c r="AC1126" s="145"/>
      <c r="AD1126" s="148">
        <f t="shared" si="332"/>
        <v>10922.4</v>
      </c>
      <c r="AE1126" s="122">
        <f t="shared" si="333"/>
        <v>19257.64927005452</v>
      </c>
      <c r="AF1126" s="167">
        <f t="shared" si="334"/>
        <v>124578.81</v>
      </c>
    </row>
    <row r="1127" spans="1:32" s="150" customFormat="1" x14ac:dyDescent="0.2">
      <c r="A1127" s="144" t="s">
        <v>351</v>
      </c>
      <c r="B1127" s="144"/>
      <c r="C1127" s="144"/>
      <c r="D1127" s="145">
        <v>0</v>
      </c>
      <c r="E1127" s="122"/>
      <c r="F1127" s="146">
        <v>0.4</v>
      </c>
      <c r="G1127" s="146"/>
      <c r="H1127" s="122">
        <v>22786</v>
      </c>
      <c r="I1127" s="122">
        <f t="shared" si="324"/>
        <v>23583.51</v>
      </c>
      <c r="J1127" s="147">
        <f t="shared" si="325"/>
        <v>14150.105999999998</v>
      </c>
      <c r="K1127" s="122"/>
      <c r="L1127" s="122">
        <v>0</v>
      </c>
      <c r="M1127" s="122">
        <f t="shared" si="326"/>
        <v>0</v>
      </c>
      <c r="N1127" s="122">
        <f t="shared" si="327"/>
        <v>0</v>
      </c>
      <c r="O1127" s="122"/>
      <c r="P1127" s="122">
        <v>0</v>
      </c>
      <c r="Q1127" s="122">
        <f t="shared" si="328"/>
        <v>0</v>
      </c>
      <c r="R1127" s="147">
        <f t="shared" si="329"/>
        <v>0</v>
      </c>
      <c r="S1127" s="145">
        <v>25</v>
      </c>
      <c r="T1127" s="144" t="s">
        <v>1161</v>
      </c>
      <c r="U1127" s="90">
        <f>SUMIF('Avoided Costs 2009-2017'!$A:$A,Actuals!T1127&amp;Actuals!S1127,'Avoided Costs 2009-2017'!$E:$E)*J1127</f>
        <v>56067.830530581501</v>
      </c>
      <c r="V1127" s="90">
        <f>SUMIF('Avoided Costs 2009-2017'!$A:$A,Actuals!T1127&amp;Actuals!S1127,'Avoided Costs 2009-2017'!$K:$K)*N1127</f>
        <v>0</v>
      </c>
      <c r="W1127" s="90">
        <f>SUMIF('Avoided Costs 2009-2017'!$A:$A,Actuals!T1127&amp;Actuals!S1127,'Avoided Costs 2009-2017'!$M:$M)*R1127</f>
        <v>0</v>
      </c>
      <c r="X1127" s="90">
        <f t="shared" si="330"/>
        <v>56067.830530581501</v>
      </c>
      <c r="Y1127" s="148">
        <v>21830</v>
      </c>
      <c r="Z1127" s="149">
        <f t="shared" si="331"/>
        <v>13098</v>
      </c>
      <c r="AA1127" s="148"/>
      <c r="AB1127" s="145"/>
      <c r="AC1127" s="145"/>
      <c r="AD1127" s="148">
        <f t="shared" si="332"/>
        <v>13098</v>
      </c>
      <c r="AE1127" s="122">
        <f t="shared" si="333"/>
        <v>42969.830530581501</v>
      </c>
      <c r="AF1127" s="167">
        <f t="shared" si="334"/>
        <v>353752.64999999997</v>
      </c>
    </row>
    <row r="1128" spans="1:32" s="150" customFormat="1" x14ac:dyDescent="0.2">
      <c r="A1128" s="144" t="s">
        <v>352</v>
      </c>
      <c r="B1128" s="144"/>
      <c r="C1128" s="144"/>
      <c r="D1128" s="145">
        <v>1</v>
      </c>
      <c r="E1128" s="122"/>
      <c r="F1128" s="146">
        <v>0.4</v>
      </c>
      <c r="G1128" s="146"/>
      <c r="H1128" s="122">
        <v>17123</v>
      </c>
      <c r="I1128" s="122">
        <f t="shared" si="324"/>
        <v>17722.305</v>
      </c>
      <c r="J1128" s="147">
        <f t="shared" si="325"/>
        <v>10633.383</v>
      </c>
      <c r="K1128" s="122"/>
      <c r="L1128" s="122">
        <v>0</v>
      </c>
      <c r="M1128" s="122">
        <f t="shared" si="326"/>
        <v>0</v>
      </c>
      <c r="N1128" s="122">
        <f t="shared" si="327"/>
        <v>0</v>
      </c>
      <c r="O1128" s="122"/>
      <c r="P1128" s="122">
        <v>0</v>
      </c>
      <c r="Q1128" s="122">
        <f t="shared" si="328"/>
        <v>0</v>
      </c>
      <c r="R1128" s="147">
        <f t="shared" si="329"/>
        <v>0</v>
      </c>
      <c r="S1128" s="145">
        <v>10</v>
      </c>
      <c r="T1128" s="144" t="s">
        <v>1161</v>
      </c>
      <c r="U1128" s="90">
        <f>SUMIF('Avoided Costs 2009-2017'!$A:$A,Actuals!T1128&amp;Actuals!S1128,'Avoided Costs 2009-2017'!$E:$E)*J1128</f>
        <v>25760.080935703285</v>
      </c>
      <c r="V1128" s="90">
        <f>SUMIF('Avoided Costs 2009-2017'!$A:$A,Actuals!T1128&amp;Actuals!S1128,'Avoided Costs 2009-2017'!$K:$K)*N1128</f>
        <v>0</v>
      </c>
      <c r="W1128" s="90">
        <f>SUMIF('Avoided Costs 2009-2017'!$A:$A,Actuals!T1128&amp;Actuals!S1128,'Avoided Costs 2009-2017'!$M:$M)*R1128</f>
        <v>0</v>
      </c>
      <c r="X1128" s="90">
        <f t="shared" si="330"/>
        <v>25760.080935703285</v>
      </c>
      <c r="Y1128" s="148">
        <v>38665</v>
      </c>
      <c r="Z1128" s="149">
        <f t="shared" si="331"/>
        <v>23199</v>
      </c>
      <c r="AA1128" s="148"/>
      <c r="AB1128" s="145"/>
      <c r="AC1128" s="145"/>
      <c r="AD1128" s="148">
        <f t="shared" si="332"/>
        <v>23199</v>
      </c>
      <c r="AE1128" s="122">
        <f t="shared" si="333"/>
        <v>2561.0809357032849</v>
      </c>
      <c r="AF1128" s="167">
        <f t="shared" si="334"/>
        <v>106333.83</v>
      </c>
    </row>
    <row r="1129" spans="1:32" s="150" customFormat="1" x14ac:dyDescent="0.2">
      <c r="A1129" s="144" t="s">
        <v>353</v>
      </c>
      <c r="B1129" s="144"/>
      <c r="C1129" s="144"/>
      <c r="D1129" s="145">
        <v>1</v>
      </c>
      <c r="E1129" s="122"/>
      <c r="F1129" s="146">
        <v>0.4</v>
      </c>
      <c r="G1129" s="146"/>
      <c r="H1129" s="122">
        <v>41491</v>
      </c>
      <c r="I1129" s="122">
        <f t="shared" si="324"/>
        <v>42943.184999999998</v>
      </c>
      <c r="J1129" s="147">
        <f t="shared" si="325"/>
        <v>25765.910999999996</v>
      </c>
      <c r="K1129" s="122"/>
      <c r="L1129" s="122">
        <v>0</v>
      </c>
      <c r="M1129" s="122">
        <f t="shared" si="326"/>
        <v>0</v>
      </c>
      <c r="N1129" s="122">
        <f t="shared" si="327"/>
        <v>0</v>
      </c>
      <c r="O1129" s="122"/>
      <c r="P1129" s="122">
        <v>0</v>
      </c>
      <c r="Q1129" s="122">
        <f t="shared" si="328"/>
        <v>0</v>
      </c>
      <c r="R1129" s="147">
        <f t="shared" si="329"/>
        <v>0</v>
      </c>
      <c r="S1129" s="145">
        <v>10</v>
      </c>
      <c r="T1129" s="144" t="s">
        <v>1161</v>
      </c>
      <c r="U1129" s="90">
        <f>SUMIF('Avoided Costs 2009-2017'!$A:$A,Actuals!T1129&amp;Actuals!S1129,'Avoided Costs 2009-2017'!$E:$E)*J1129</f>
        <v>62419.641307204634</v>
      </c>
      <c r="V1129" s="90">
        <f>SUMIF('Avoided Costs 2009-2017'!$A:$A,Actuals!T1129&amp;Actuals!S1129,'Avoided Costs 2009-2017'!$K:$K)*N1129</f>
        <v>0</v>
      </c>
      <c r="W1129" s="90">
        <f>SUMIF('Avoided Costs 2009-2017'!$A:$A,Actuals!T1129&amp;Actuals!S1129,'Avoided Costs 2009-2017'!$M:$M)*R1129</f>
        <v>0</v>
      </c>
      <c r="X1129" s="90">
        <f t="shared" si="330"/>
        <v>62419.641307204634</v>
      </c>
      <c r="Y1129" s="148">
        <v>34678</v>
      </c>
      <c r="Z1129" s="149">
        <f t="shared" si="331"/>
        <v>20806.8</v>
      </c>
      <c r="AA1129" s="148"/>
      <c r="AB1129" s="145"/>
      <c r="AC1129" s="145"/>
      <c r="AD1129" s="148">
        <f t="shared" si="332"/>
        <v>20806.8</v>
      </c>
      <c r="AE1129" s="122">
        <f t="shared" si="333"/>
        <v>41612.841307204639</v>
      </c>
      <c r="AF1129" s="167">
        <f t="shared" si="334"/>
        <v>257659.10999999996</v>
      </c>
    </row>
    <row r="1130" spans="1:32" s="150" customFormat="1" x14ac:dyDescent="0.2">
      <c r="A1130" s="144" t="s">
        <v>354</v>
      </c>
      <c r="B1130" s="144"/>
      <c r="C1130" s="144"/>
      <c r="D1130" s="145">
        <v>0</v>
      </c>
      <c r="E1130" s="122"/>
      <c r="F1130" s="146">
        <v>0.4</v>
      </c>
      <c r="G1130" s="146"/>
      <c r="H1130" s="122">
        <v>268165</v>
      </c>
      <c r="I1130" s="122">
        <f t="shared" si="324"/>
        <v>277550.77499999997</v>
      </c>
      <c r="J1130" s="147">
        <f t="shared" si="325"/>
        <v>166530.46499999997</v>
      </c>
      <c r="K1130" s="122"/>
      <c r="L1130" s="122">
        <v>0</v>
      </c>
      <c r="M1130" s="122">
        <f t="shared" si="326"/>
        <v>0</v>
      </c>
      <c r="N1130" s="122">
        <f t="shared" si="327"/>
        <v>0</v>
      </c>
      <c r="O1130" s="122"/>
      <c r="P1130" s="122">
        <v>0</v>
      </c>
      <c r="Q1130" s="122">
        <f t="shared" si="328"/>
        <v>0</v>
      </c>
      <c r="R1130" s="147">
        <f t="shared" si="329"/>
        <v>0</v>
      </c>
      <c r="S1130" s="145">
        <v>5</v>
      </c>
      <c r="T1130" s="144" t="s">
        <v>1161</v>
      </c>
      <c r="U1130" s="90">
        <f>SUMIF('Avoided Costs 2009-2017'!$A:$A,Actuals!T1130&amp;Actuals!S1130,'Avoided Costs 2009-2017'!$E:$E)*J1130</f>
        <v>231633.85702558671</v>
      </c>
      <c r="V1130" s="90">
        <f>SUMIF('Avoided Costs 2009-2017'!$A:$A,Actuals!T1130&amp;Actuals!S1130,'Avoided Costs 2009-2017'!$K:$K)*N1130</f>
        <v>0</v>
      </c>
      <c r="W1130" s="90">
        <f>SUMIF('Avoided Costs 2009-2017'!$A:$A,Actuals!T1130&amp;Actuals!S1130,'Avoided Costs 2009-2017'!$M:$M)*R1130</f>
        <v>0</v>
      </c>
      <c r="X1130" s="90">
        <f t="shared" si="330"/>
        <v>231633.85702558671</v>
      </c>
      <c r="Y1130" s="148">
        <v>388885</v>
      </c>
      <c r="Z1130" s="149">
        <f t="shared" si="331"/>
        <v>233331</v>
      </c>
      <c r="AA1130" s="148"/>
      <c r="AB1130" s="145"/>
      <c r="AC1130" s="145"/>
      <c r="AD1130" s="148">
        <f t="shared" si="332"/>
        <v>233331</v>
      </c>
      <c r="AE1130" s="122">
        <f t="shared" si="333"/>
        <v>-1697.1429744132911</v>
      </c>
      <c r="AF1130" s="167">
        <f t="shared" si="334"/>
        <v>832652.32499999984</v>
      </c>
    </row>
    <row r="1131" spans="1:32" s="150" customFormat="1" x14ac:dyDescent="0.2">
      <c r="A1131" s="144" t="s">
        <v>355</v>
      </c>
      <c r="B1131" s="144"/>
      <c r="C1131" s="144"/>
      <c r="D1131" s="145">
        <v>0</v>
      </c>
      <c r="E1131" s="122"/>
      <c r="F1131" s="146">
        <v>0.4</v>
      </c>
      <c r="G1131" s="146"/>
      <c r="H1131" s="122">
        <v>27939</v>
      </c>
      <c r="I1131" s="122">
        <f t="shared" si="324"/>
        <v>28916.864999999998</v>
      </c>
      <c r="J1131" s="147">
        <f t="shared" si="325"/>
        <v>17350.118999999999</v>
      </c>
      <c r="K1131" s="122"/>
      <c r="L1131" s="122">
        <v>0</v>
      </c>
      <c r="M1131" s="122">
        <f t="shared" si="326"/>
        <v>0</v>
      </c>
      <c r="N1131" s="122">
        <f t="shared" si="327"/>
        <v>0</v>
      </c>
      <c r="O1131" s="122"/>
      <c r="P1131" s="122">
        <v>0</v>
      </c>
      <c r="Q1131" s="122">
        <f t="shared" si="328"/>
        <v>0</v>
      </c>
      <c r="R1131" s="147">
        <f t="shared" si="329"/>
        <v>0</v>
      </c>
      <c r="S1131" s="145">
        <v>15</v>
      </c>
      <c r="T1131" s="144" t="s">
        <v>1161</v>
      </c>
      <c r="U1131" s="90">
        <f>SUMIF('Avoided Costs 2009-2017'!$A:$A,Actuals!T1131&amp;Actuals!S1131,'Avoided Costs 2009-2017'!$E:$E)*J1131</f>
        <v>54058.64868020243</v>
      </c>
      <c r="V1131" s="90">
        <f>SUMIF('Avoided Costs 2009-2017'!$A:$A,Actuals!T1131&amp;Actuals!S1131,'Avoided Costs 2009-2017'!$K:$K)*N1131</f>
        <v>0</v>
      </c>
      <c r="W1131" s="90">
        <f>SUMIF('Avoided Costs 2009-2017'!$A:$A,Actuals!T1131&amp;Actuals!S1131,'Avoided Costs 2009-2017'!$M:$M)*R1131</f>
        <v>0</v>
      </c>
      <c r="X1131" s="90">
        <f t="shared" si="330"/>
        <v>54058.64868020243</v>
      </c>
      <c r="Y1131" s="148">
        <v>11967</v>
      </c>
      <c r="Z1131" s="149">
        <f t="shared" si="331"/>
        <v>7180.2</v>
      </c>
      <c r="AA1131" s="148"/>
      <c r="AB1131" s="145"/>
      <c r="AC1131" s="145"/>
      <c r="AD1131" s="148">
        <f t="shared" si="332"/>
        <v>7180.2</v>
      </c>
      <c r="AE1131" s="122">
        <f t="shared" si="333"/>
        <v>46878.448680202433</v>
      </c>
      <c r="AF1131" s="167">
        <f t="shared" si="334"/>
        <v>260251.78499999997</v>
      </c>
    </row>
    <row r="1132" spans="1:32" s="150" customFormat="1" x14ac:dyDescent="0.2">
      <c r="A1132" s="144" t="s">
        <v>356</v>
      </c>
      <c r="B1132" s="144"/>
      <c r="C1132" s="144"/>
      <c r="D1132" s="145">
        <v>0</v>
      </c>
      <c r="E1132" s="122"/>
      <c r="F1132" s="146">
        <v>0.4</v>
      </c>
      <c r="G1132" s="146"/>
      <c r="H1132" s="122">
        <v>109858</v>
      </c>
      <c r="I1132" s="122">
        <f t="shared" si="324"/>
        <v>113703.02999999998</v>
      </c>
      <c r="J1132" s="147">
        <f t="shared" si="325"/>
        <v>68221.817999999985</v>
      </c>
      <c r="K1132" s="122"/>
      <c r="L1132" s="122">
        <v>0</v>
      </c>
      <c r="M1132" s="122">
        <f t="shared" si="326"/>
        <v>0</v>
      </c>
      <c r="N1132" s="122">
        <f t="shared" si="327"/>
        <v>0</v>
      </c>
      <c r="O1132" s="122"/>
      <c r="P1132" s="122">
        <v>0</v>
      </c>
      <c r="Q1132" s="122">
        <f t="shared" si="328"/>
        <v>0</v>
      </c>
      <c r="R1132" s="147">
        <f t="shared" si="329"/>
        <v>0</v>
      </c>
      <c r="S1132" s="145">
        <v>25</v>
      </c>
      <c r="T1132" s="144" t="s">
        <v>1161</v>
      </c>
      <c r="U1132" s="90">
        <f>SUMIF('Avoided Costs 2009-2017'!$A:$A,Actuals!T1132&amp;Actuals!S1132,'Avoided Costs 2009-2017'!$E:$E)*J1132</f>
        <v>270319.48242028535</v>
      </c>
      <c r="V1132" s="90">
        <f>SUMIF('Avoided Costs 2009-2017'!$A:$A,Actuals!T1132&amp;Actuals!S1132,'Avoided Costs 2009-2017'!$K:$K)*N1132</f>
        <v>0</v>
      </c>
      <c r="W1132" s="90">
        <f>SUMIF('Avoided Costs 2009-2017'!$A:$A,Actuals!T1132&amp;Actuals!S1132,'Avoided Costs 2009-2017'!$M:$M)*R1132</f>
        <v>0</v>
      </c>
      <c r="X1132" s="90">
        <f t="shared" si="330"/>
        <v>270319.48242028535</v>
      </c>
      <c r="Y1132" s="148">
        <v>190950</v>
      </c>
      <c r="Z1132" s="149">
        <f t="shared" si="331"/>
        <v>114570</v>
      </c>
      <c r="AA1132" s="148"/>
      <c r="AB1132" s="145"/>
      <c r="AC1132" s="145"/>
      <c r="AD1132" s="148">
        <f t="shared" si="332"/>
        <v>114570</v>
      </c>
      <c r="AE1132" s="122">
        <f t="shared" si="333"/>
        <v>155749.48242028535</v>
      </c>
      <c r="AF1132" s="167">
        <f t="shared" si="334"/>
        <v>1705545.4499999997</v>
      </c>
    </row>
    <row r="1133" spans="1:32" s="150" customFormat="1" x14ac:dyDescent="0.2">
      <c r="A1133" s="144" t="s">
        <v>357</v>
      </c>
      <c r="B1133" s="144"/>
      <c r="C1133" s="144"/>
      <c r="D1133" s="145">
        <v>1</v>
      </c>
      <c r="E1133" s="122"/>
      <c r="F1133" s="146">
        <v>0.4</v>
      </c>
      <c r="G1133" s="146"/>
      <c r="H1133" s="122">
        <v>105211</v>
      </c>
      <c r="I1133" s="122">
        <f t="shared" si="324"/>
        <v>108893.38499999999</v>
      </c>
      <c r="J1133" s="147">
        <f t="shared" si="325"/>
        <v>65336.030999999995</v>
      </c>
      <c r="K1133" s="122"/>
      <c r="L1133" s="122">
        <v>0</v>
      </c>
      <c r="M1133" s="122">
        <f t="shared" si="326"/>
        <v>0</v>
      </c>
      <c r="N1133" s="122">
        <f t="shared" si="327"/>
        <v>0</v>
      </c>
      <c r="O1133" s="122"/>
      <c r="P1133" s="122">
        <v>0</v>
      </c>
      <c r="Q1133" s="122">
        <f t="shared" si="328"/>
        <v>0</v>
      </c>
      <c r="R1133" s="147">
        <f t="shared" si="329"/>
        <v>0</v>
      </c>
      <c r="S1133" s="145">
        <v>10</v>
      </c>
      <c r="T1133" s="144" t="s">
        <v>1161</v>
      </c>
      <c r="U1133" s="90">
        <f>SUMIF('Avoided Costs 2009-2017'!$A:$A,Actuals!T1133&amp;Actuals!S1133,'Avoided Costs 2009-2017'!$E:$E)*J1133</f>
        <v>158280.90143819881</v>
      </c>
      <c r="V1133" s="90">
        <f>SUMIF('Avoided Costs 2009-2017'!$A:$A,Actuals!T1133&amp;Actuals!S1133,'Avoided Costs 2009-2017'!$K:$K)*N1133</f>
        <v>0</v>
      </c>
      <c r="W1133" s="90">
        <f>SUMIF('Avoided Costs 2009-2017'!$A:$A,Actuals!T1133&amp;Actuals!S1133,'Avoided Costs 2009-2017'!$M:$M)*R1133</f>
        <v>0</v>
      </c>
      <c r="X1133" s="90">
        <f t="shared" si="330"/>
        <v>158280.90143819881</v>
      </c>
      <c r="Y1133" s="148">
        <v>239087</v>
      </c>
      <c r="Z1133" s="149">
        <f t="shared" si="331"/>
        <v>143452.19999999998</v>
      </c>
      <c r="AA1133" s="148"/>
      <c r="AB1133" s="145"/>
      <c r="AC1133" s="145"/>
      <c r="AD1133" s="148">
        <f t="shared" si="332"/>
        <v>143452.19999999998</v>
      </c>
      <c r="AE1133" s="122">
        <f t="shared" si="333"/>
        <v>14828.701438198827</v>
      </c>
      <c r="AF1133" s="167">
        <f t="shared" si="334"/>
        <v>653360.30999999994</v>
      </c>
    </row>
    <row r="1134" spans="1:32" s="150" customFormat="1" x14ac:dyDescent="0.2">
      <c r="A1134" s="144" t="s">
        <v>358</v>
      </c>
      <c r="B1134" s="144"/>
      <c r="C1134" s="144"/>
      <c r="D1134" s="145">
        <v>1</v>
      </c>
      <c r="E1134" s="122"/>
      <c r="F1134" s="146">
        <v>0.4</v>
      </c>
      <c r="G1134" s="146"/>
      <c r="H1134" s="122">
        <v>45457</v>
      </c>
      <c r="I1134" s="122">
        <f>+H1134</f>
        <v>45457</v>
      </c>
      <c r="J1134" s="147">
        <f t="shared" si="325"/>
        <v>27274.2</v>
      </c>
      <c r="K1134" s="122"/>
      <c r="L1134" s="122">
        <v>0</v>
      </c>
      <c r="M1134" s="122">
        <f t="shared" si="326"/>
        <v>0</v>
      </c>
      <c r="N1134" s="122">
        <f t="shared" si="327"/>
        <v>0</v>
      </c>
      <c r="O1134" s="122"/>
      <c r="P1134" s="122">
        <v>0</v>
      </c>
      <c r="Q1134" s="122">
        <f t="shared" si="328"/>
        <v>0</v>
      </c>
      <c r="R1134" s="147">
        <f t="shared" si="329"/>
        <v>0</v>
      </c>
      <c r="S1134" s="145">
        <v>10</v>
      </c>
      <c r="T1134" s="144" t="s">
        <v>1161</v>
      </c>
      <c r="U1134" s="90">
        <f>SUMIF('Avoided Costs 2009-2017'!$A:$A,Actuals!T1134&amp;Actuals!S1134,'Avoided Costs 2009-2017'!$E:$E)*J1134</f>
        <v>66073.572207129051</v>
      </c>
      <c r="V1134" s="90">
        <f>SUMIF('Avoided Costs 2009-2017'!$A:$A,Actuals!T1134&amp;Actuals!S1134,'Avoided Costs 2009-2017'!$K:$K)*N1134</f>
        <v>0</v>
      </c>
      <c r="W1134" s="90">
        <f>SUMIF('Avoided Costs 2009-2017'!$A:$A,Actuals!T1134&amp;Actuals!S1134,'Avoided Costs 2009-2017'!$M:$M)*R1134</f>
        <v>0</v>
      </c>
      <c r="X1134" s="90">
        <f t="shared" si="330"/>
        <v>66073.572207129051</v>
      </c>
      <c r="Y1134" s="148">
        <v>85010</v>
      </c>
      <c r="Z1134" s="149">
        <f t="shared" si="331"/>
        <v>51006</v>
      </c>
      <c r="AA1134" s="148"/>
      <c r="AB1134" s="145"/>
      <c r="AC1134" s="145"/>
      <c r="AD1134" s="148">
        <f t="shared" si="332"/>
        <v>51006</v>
      </c>
      <c r="AE1134" s="122">
        <f t="shared" si="333"/>
        <v>15067.572207129051</v>
      </c>
      <c r="AF1134" s="167">
        <f t="shared" si="334"/>
        <v>272742</v>
      </c>
    </row>
    <row r="1135" spans="1:32" s="150" customFormat="1" x14ac:dyDescent="0.2">
      <c r="A1135" s="144" t="s">
        <v>359</v>
      </c>
      <c r="B1135" s="144"/>
      <c r="C1135" s="144"/>
      <c r="D1135" s="145">
        <v>1</v>
      </c>
      <c r="E1135" s="122"/>
      <c r="F1135" s="146">
        <v>0.4</v>
      </c>
      <c r="G1135" s="146"/>
      <c r="H1135" s="122">
        <v>10419</v>
      </c>
      <c r="I1135" s="122">
        <f t="shared" si="324"/>
        <v>10783.664999999999</v>
      </c>
      <c r="J1135" s="147">
        <f t="shared" si="325"/>
        <v>6470.1989999999996</v>
      </c>
      <c r="K1135" s="122"/>
      <c r="L1135" s="122">
        <v>0</v>
      </c>
      <c r="M1135" s="122">
        <f t="shared" si="326"/>
        <v>0</v>
      </c>
      <c r="N1135" s="122">
        <f t="shared" si="327"/>
        <v>0</v>
      </c>
      <c r="O1135" s="122"/>
      <c r="P1135" s="122">
        <v>0</v>
      </c>
      <c r="Q1135" s="122">
        <f t="shared" si="328"/>
        <v>0</v>
      </c>
      <c r="R1135" s="147">
        <f t="shared" si="329"/>
        <v>0</v>
      </c>
      <c r="S1135" s="145">
        <v>10</v>
      </c>
      <c r="T1135" s="144" t="s">
        <v>1161</v>
      </c>
      <c r="U1135" s="90">
        <f>SUMIF('Avoided Costs 2009-2017'!$A:$A,Actuals!T1135&amp;Actuals!S1135,'Avoided Costs 2009-2017'!$E:$E)*J1135</f>
        <v>15674.489474338172</v>
      </c>
      <c r="V1135" s="90">
        <f>SUMIF('Avoided Costs 2009-2017'!$A:$A,Actuals!T1135&amp;Actuals!S1135,'Avoided Costs 2009-2017'!$K:$K)*N1135</f>
        <v>0</v>
      </c>
      <c r="W1135" s="90">
        <f>SUMIF('Avoided Costs 2009-2017'!$A:$A,Actuals!T1135&amp;Actuals!S1135,'Avoided Costs 2009-2017'!$M:$M)*R1135</f>
        <v>0</v>
      </c>
      <c r="X1135" s="90">
        <f t="shared" si="330"/>
        <v>15674.489474338172</v>
      </c>
      <c r="Y1135" s="148">
        <v>13143</v>
      </c>
      <c r="Z1135" s="149">
        <f t="shared" si="331"/>
        <v>7885.7999999999993</v>
      </c>
      <c r="AA1135" s="148"/>
      <c r="AB1135" s="145"/>
      <c r="AC1135" s="145"/>
      <c r="AD1135" s="148">
        <f t="shared" si="332"/>
        <v>7885.7999999999993</v>
      </c>
      <c r="AE1135" s="122">
        <f t="shared" si="333"/>
        <v>7788.6894743381727</v>
      </c>
      <c r="AF1135" s="167">
        <f t="shared" si="334"/>
        <v>64701.99</v>
      </c>
    </row>
    <row r="1136" spans="1:32" s="150" customFormat="1" x14ac:dyDescent="0.2">
      <c r="A1136" s="144" t="s">
        <v>360</v>
      </c>
      <c r="B1136" s="144"/>
      <c r="C1136" s="144"/>
      <c r="D1136" s="145">
        <v>0</v>
      </c>
      <c r="E1136" s="122"/>
      <c r="F1136" s="146">
        <v>0.4</v>
      </c>
      <c r="G1136" s="146"/>
      <c r="H1136" s="122">
        <v>32715</v>
      </c>
      <c r="I1136" s="122">
        <f t="shared" si="324"/>
        <v>33860.024999999994</v>
      </c>
      <c r="J1136" s="147">
        <f t="shared" si="325"/>
        <v>20316.014999999996</v>
      </c>
      <c r="K1136" s="122"/>
      <c r="L1136" s="122">
        <v>0</v>
      </c>
      <c r="M1136" s="122">
        <f t="shared" si="326"/>
        <v>0</v>
      </c>
      <c r="N1136" s="122">
        <f t="shared" si="327"/>
        <v>0</v>
      </c>
      <c r="O1136" s="122"/>
      <c r="P1136" s="122">
        <v>0</v>
      </c>
      <c r="Q1136" s="122">
        <f t="shared" si="328"/>
        <v>0</v>
      </c>
      <c r="R1136" s="147">
        <f t="shared" si="329"/>
        <v>0</v>
      </c>
      <c r="S1136" s="145">
        <v>20</v>
      </c>
      <c r="T1136" s="144" t="s">
        <v>1161</v>
      </c>
      <c r="U1136" s="90">
        <f>SUMIF('Avoided Costs 2009-2017'!$A:$A,Actuals!T1136&amp;Actuals!S1136,'Avoided Costs 2009-2017'!$E:$E)*J1136</f>
        <v>73340.439153364307</v>
      </c>
      <c r="V1136" s="90">
        <f>SUMIF('Avoided Costs 2009-2017'!$A:$A,Actuals!T1136&amp;Actuals!S1136,'Avoided Costs 2009-2017'!$K:$K)*N1136</f>
        <v>0</v>
      </c>
      <c r="W1136" s="90">
        <f>SUMIF('Avoided Costs 2009-2017'!$A:$A,Actuals!T1136&amp;Actuals!S1136,'Avoided Costs 2009-2017'!$M:$M)*R1136</f>
        <v>0</v>
      </c>
      <c r="X1136" s="90">
        <f t="shared" si="330"/>
        <v>73340.439153364307</v>
      </c>
      <c r="Y1136" s="148">
        <v>51520</v>
      </c>
      <c r="Z1136" s="149">
        <f t="shared" si="331"/>
        <v>30912</v>
      </c>
      <c r="AA1136" s="148"/>
      <c r="AB1136" s="145"/>
      <c r="AC1136" s="145"/>
      <c r="AD1136" s="148">
        <f t="shared" si="332"/>
        <v>30912</v>
      </c>
      <c r="AE1136" s="122">
        <f t="shared" si="333"/>
        <v>42428.439153364307</v>
      </c>
      <c r="AF1136" s="167">
        <f t="shared" si="334"/>
        <v>406320.29999999993</v>
      </c>
    </row>
    <row r="1137" spans="1:32" s="150" customFormat="1" x14ac:dyDescent="0.2">
      <c r="A1137" s="144" t="s">
        <v>361</v>
      </c>
      <c r="B1137" s="144"/>
      <c r="C1137" s="144"/>
      <c r="D1137" s="145">
        <v>1</v>
      </c>
      <c r="E1137" s="122"/>
      <c r="F1137" s="146">
        <v>0.4</v>
      </c>
      <c r="G1137" s="146"/>
      <c r="H1137" s="122">
        <v>3280</v>
      </c>
      <c r="I1137" s="122">
        <f t="shared" si="324"/>
        <v>3394.7999999999997</v>
      </c>
      <c r="J1137" s="147">
        <f t="shared" si="325"/>
        <v>2036.8799999999997</v>
      </c>
      <c r="K1137" s="122"/>
      <c r="L1137" s="122">
        <v>0</v>
      </c>
      <c r="M1137" s="122">
        <f t="shared" si="326"/>
        <v>0</v>
      </c>
      <c r="N1137" s="122">
        <f t="shared" si="327"/>
        <v>0</v>
      </c>
      <c r="O1137" s="122"/>
      <c r="P1137" s="122">
        <v>0</v>
      </c>
      <c r="Q1137" s="122">
        <f t="shared" si="328"/>
        <v>0</v>
      </c>
      <c r="R1137" s="147">
        <f t="shared" si="329"/>
        <v>0</v>
      </c>
      <c r="S1137" s="145">
        <v>10</v>
      </c>
      <c r="T1137" s="144" t="s">
        <v>1161</v>
      </c>
      <c r="U1137" s="90">
        <f>SUMIF('Avoided Costs 2009-2017'!$A:$A,Actuals!T1137&amp;Actuals!S1137,'Avoided Costs 2009-2017'!$E:$E)*J1137</f>
        <v>4934.4779226249348</v>
      </c>
      <c r="V1137" s="90">
        <f>SUMIF('Avoided Costs 2009-2017'!$A:$A,Actuals!T1137&amp;Actuals!S1137,'Avoided Costs 2009-2017'!$K:$K)*N1137</f>
        <v>0</v>
      </c>
      <c r="W1137" s="90">
        <f>SUMIF('Avoided Costs 2009-2017'!$A:$A,Actuals!T1137&amp;Actuals!S1137,'Avoided Costs 2009-2017'!$M:$M)*R1137</f>
        <v>0</v>
      </c>
      <c r="X1137" s="90">
        <f t="shared" si="330"/>
        <v>4934.4779226249348</v>
      </c>
      <c r="Y1137" s="148">
        <v>6600</v>
      </c>
      <c r="Z1137" s="149">
        <f t="shared" si="331"/>
        <v>3960</v>
      </c>
      <c r="AA1137" s="148"/>
      <c r="AB1137" s="145"/>
      <c r="AC1137" s="145"/>
      <c r="AD1137" s="148">
        <f t="shared" si="332"/>
        <v>3960</v>
      </c>
      <c r="AE1137" s="122">
        <f t="shared" si="333"/>
        <v>974.47792262493476</v>
      </c>
      <c r="AF1137" s="167">
        <f t="shared" si="334"/>
        <v>20368.799999999996</v>
      </c>
    </row>
    <row r="1138" spans="1:32" s="150" customFormat="1" x14ac:dyDescent="0.2">
      <c r="A1138" s="144" t="s">
        <v>362</v>
      </c>
      <c r="B1138" s="144"/>
      <c r="C1138" s="144"/>
      <c r="D1138" s="145">
        <v>1</v>
      </c>
      <c r="E1138" s="122"/>
      <c r="F1138" s="146">
        <v>0.4</v>
      </c>
      <c r="G1138" s="146"/>
      <c r="H1138" s="122">
        <v>0</v>
      </c>
      <c r="I1138" s="122">
        <f t="shared" si="324"/>
        <v>0</v>
      </c>
      <c r="J1138" s="147">
        <f t="shared" si="325"/>
        <v>0</v>
      </c>
      <c r="K1138" s="122"/>
      <c r="L1138" s="122">
        <v>0</v>
      </c>
      <c r="M1138" s="122">
        <f t="shared" si="326"/>
        <v>0</v>
      </c>
      <c r="N1138" s="122">
        <f t="shared" si="327"/>
        <v>0</v>
      </c>
      <c r="O1138" s="122"/>
      <c r="P1138" s="122">
        <v>0</v>
      </c>
      <c r="Q1138" s="122">
        <f t="shared" si="328"/>
        <v>0</v>
      </c>
      <c r="R1138" s="147">
        <f t="shared" si="329"/>
        <v>0</v>
      </c>
      <c r="S1138" s="145">
        <v>1</v>
      </c>
      <c r="T1138" s="144" t="s">
        <v>1161</v>
      </c>
      <c r="U1138" s="90">
        <f>SUMIF('Avoided Costs 2009-2017'!$A:$A,Actuals!T1138&amp;Actuals!S1138,'Avoided Costs 2009-2017'!$E:$E)*J1138</f>
        <v>0</v>
      </c>
      <c r="V1138" s="90">
        <f>SUMIF('Avoided Costs 2009-2017'!$A:$A,Actuals!T1138&amp;Actuals!S1138,'Avoided Costs 2009-2017'!$K:$K)*N1138</f>
        <v>0</v>
      </c>
      <c r="W1138" s="90">
        <f>SUMIF('Avoided Costs 2009-2017'!$A:$A,Actuals!T1138&amp;Actuals!S1138,'Avoided Costs 2009-2017'!$M:$M)*R1138</f>
        <v>0</v>
      </c>
      <c r="X1138" s="90">
        <f t="shared" si="330"/>
        <v>0</v>
      </c>
      <c r="Y1138" s="148">
        <v>0</v>
      </c>
      <c r="Z1138" s="149">
        <f t="shared" si="331"/>
        <v>0</v>
      </c>
      <c r="AA1138" s="148"/>
      <c r="AB1138" s="145"/>
      <c r="AC1138" s="145"/>
      <c r="AD1138" s="148">
        <f t="shared" si="332"/>
        <v>0</v>
      </c>
      <c r="AE1138" s="122">
        <f t="shared" si="333"/>
        <v>0</v>
      </c>
      <c r="AF1138" s="167">
        <f t="shared" si="334"/>
        <v>0</v>
      </c>
    </row>
    <row r="1139" spans="1:32" s="150" customFormat="1" x14ac:dyDescent="0.2">
      <c r="A1139" s="144" t="s">
        <v>363</v>
      </c>
      <c r="B1139" s="144"/>
      <c r="C1139" s="144"/>
      <c r="D1139" s="145">
        <v>1</v>
      </c>
      <c r="E1139" s="122"/>
      <c r="F1139" s="146">
        <v>0.4</v>
      </c>
      <c r="G1139" s="146"/>
      <c r="H1139" s="122">
        <v>57531</v>
      </c>
      <c r="I1139" s="122">
        <f t="shared" si="324"/>
        <v>59544.584999999992</v>
      </c>
      <c r="J1139" s="147">
        <f t="shared" si="325"/>
        <v>35726.750999999997</v>
      </c>
      <c r="K1139" s="122"/>
      <c r="L1139" s="122">
        <v>0</v>
      </c>
      <c r="M1139" s="122">
        <f t="shared" si="326"/>
        <v>0</v>
      </c>
      <c r="N1139" s="122">
        <f t="shared" si="327"/>
        <v>0</v>
      </c>
      <c r="O1139" s="122"/>
      <c r="P1139" s="122">
        <v>0</v>
      </c>
      <c r="Q1139" s="122">
        <f t="shared" si="328"/>
        <v>0</v>
      </c>
      <c r="R1139" s="147">
        <f t="shared" si="329"/>
        <v>0</v>
      </c>
      <c r="S1139" s="145">
        <v>10</v>
      </c>
      <c r="T1139" s="144" t="s">
        <v>1161</v>
      </c>
      <c r="U1139" s="90">
        <f>SUMIF('Avoided Costs 2009-2017'!$A:$A,Actuals!T1139&amp;Actuals!S1139,'Avoided Costs 2009-2017'!$E:$E)*J1139</f>
        <v>86550.44188004121</v>
      </c>
      <c r="V1139" s="90">
        <f>SUMIF('Avoided Costs 2009-2017'!$A:$A,Actuals!T1139&amp;Actuals!S1139,'Avoided Costs 2009-2017'!$K:$K)*N1139</f>
        <v>0</v>
      </c>
      <c r="W1139" s="90">
        <f>SUMIF('Avoided Costs 2009-2017'!$A:$A,Actuals!T1139&amp;Actuals!S1139,'Avoided Costs 2009-2017'!$M:$M)*R1139</f>
        <v>0</v>
      </c>
      <c r="X1139" s="90">
        <f t="shared" si="330"/>
        <v>86550.44188004121</v>
      </c>
      <c r="Y1139" s="148">
        <v>42161</v>
      </c>
      <c r="Z1139" s="149">
        <f t="shared" si="331"/>
        <v>25296.6</v>
      </c>
      <c r="AA1139" s="148"/>
      <c r="AB1139" s="145"/>
      <c r="AC1139" s="145"/>
      <c r="AD1139" s="148">
        <f t="shared" si="332"/>
        <v>25296.6</v>
      </c>
      <c r="AE1139" s="122">
        <f t="shared" si="333"/>
        <v>61253.841880041211</v>
      </c>
      <c r="AF1139" s="167">
        <f t="shared" si="334"/>
        <v>357267.50999999995</v>
      </c>
    </row>
    <row r="1140" spans="1:32" s="150" customFormat="1" x14ac:dyDescent="0.2">
      <c r="A1140" s="144" t="s">
        <v>364</v>
      </c>
      <c r="B1140" s="144"/>
      <c r="C1140" s="144"/>
      <c r="D1140" s="145">
        <v>0</v>
      </c>
      <c r="E1140" s="122"/>
      <c r="F1140" s="146">
        <v>0.4</v>
      </c>
      <c r="G1140" s="146"/>
      <c r="H1140" s="122">
        <v>45485</v>
      </c>
      <c r="I1140" s="122">
        <f t="shared" si="324"/>
        <v>47076.974999999999</v>
      </c>
      <c r="J1140" s="147">
        <f t="shared" si="325"/>
        <v>28246.184999999998</v>
      </c>
      <c r="K1140" s="122"/>
      <c r="L1140" s="122">
        <v>0</v>
      </c>
      <c r="M1140" s="122">
        <f t="shared" si="326"/>
        <v>0</v>
      </c>
      <c r="N1140" s="122">
        <f t="shared" si="327"/>
        <v>0</v>
      </c>
      <c r="O1140" s="122"/>
      <c r="P1140" s="122">
        <v>0</v>
      </c>
      <c r="Q1140" s="122">
        <f t="shared" si="328"/>
        <v>0</v>
      </c>
      <c r="R1140" s="147">
        <f t="shared" si="329"/>
        <v>0</v>
      </c>
      <c r="S1140" s="145">
        <v>10</v>
      </c>
      <c r="T1140" s="144" t="s">
        <v>1161</v>
      </c>
      <c r="U1140" s="90">
        <f>SUMIF('Avoided Costs 2009-2017'!$A:$A,Actuals!T1140&amp;Actuals!S1140,'Avoided Costs 2009-2017'!$E:$E)*J1140</f>
        <v>68428.270826400971</v>
      </c>
      <c r="V1140" s="90">
        <f>SUMIF('Avoided Costs 2009-2017'!$A:$A,Actuals!T1140&amp;Actuals!S1140,'Avoided Costs 2009-2017'!$K:$K)*N1140</f>
        <v>0</v>
      </c>
      <c r="W1140" s="90">
        <f>SUMIF('Avoided Costs 2009-2017'!$A:$A,Actuals!T1140&amp;Actuals!S1140,'Avoided Costs 2009-2017'!$M:$M)*R1140</f>
        <v>0</v>
      </c>
      <c r="X1140" s="90">
        <f t="shared" si="330"/>
        <v>68428.270826400971</v>
      </c>
      <c r="Y1140" s="148">
        <v>21610</v>
      </c>
      <c r="Z1140" s="149">
        <f t="shared" si="331"/>
        <v>12966</v>
      </c>
      <c r="AA1140" s="148"/>
      <c r="AB1140" s="145"/>
      <c r="AC1140" s="145"/>
      <c r="AD1140" s="148">
        <f t="shared" si="332"/>
        <v>12966</v>
      </c>
      <c r="AE1140" s="122">
        <f t="shared" si="333"/>
        <v>55462.270826400971</v>
      </c>
      <c r="AF1140" s="167">
        <f t="shared" si="334"/>
        <v>282461.84999999998</v>
      </c>
    </row>
    <row r="1141" spans="1:32" s="150" customFormat="1" x14ac:dyDescent="0.2">
      <c r="A1141" s="144" t="s">
        <v>365</v>
      </c>
      <c r="B1141" s="144"/>
      <c r="C1141" s="144"/>
      <c r="D1141" s="145">
        <v>0</v>
      </c>
      <c r="E1141" s="122"/>
      <c r="F1141" s="146">
        <v>0.4</v>
      </c>
      <c r="G1141" s="146"/>
      <c r="H1141" s="122">
        <v>26285</v>
      </c>
      <c r="I1141" s="122">
        <f t="shared" si="324"/>
        <v>27204.974999999999</v>
      </c>
      <c r="J1141" s="147">
        <f t="shared" si="325"/>
        <v>16322.984999999999</v>
      </c>
      <c r="K1141" s="122"/>
      <c r="L1141" s="122">
        <v>0</v>
      </c>
      <c r="M1141" s="122">
        <f t="shared" si="326"/>
        <v>0</v>
      </c>
      <c r="N1141" s="122">
        <f t="shared" si="327"/>
        <v>0</v>
      </c>
      <c r="O1141" s="122"/>
      <c r="P1141" s="122">
        <v>0</v>
      </c>
      <c r="Q1141" s="122">
        <f t="shared" si="328"/>
        <v>0</v>
      </c>
      <c r="R1141" s="147">
        <f t="shared" si="329"/>
        <v>0</v>
      </c>
      <c r="S1141" s="145">
        <v>15</v>
      </c>
      <c r="T1141" s="144" t="s">
        <v>1161</v>
      </c>
      <c r="U1141" s="90">
        <f>SUMIF('Avoided Costs 2009-2017'!$A:$A,Actuals!T1141&amp;Actuals!S1141,'Avoided Costs 2009-2017'!$E:$E)*J1141</f>
        <v>50858.355007663871</v>
      </c>
      <c r="V1141" s="90">
        <f>SUMIF('Avoided Costs 2009-2017'!$A:$A,Actuals!T1141&amp;Actuals!S1141,'Avoided Costs 2009-2017'!$K:$K)*N1141</f>
        <v>0</v>
      </c>
      <c r="W1141" s="90">
        <f>SUMIF('Avoided Costs 2009-2017'!$A:$A,Actuals!T1141&amp;Actuals!S1141,'Avoided Costs 2009-2017'!$M:$M)*R1141</f>
        <v>0</v>
      </c>
      <c r="X1141" s="90">
        <f t="shared" si="330"/>
        <v>50858.355007663871</v>
      </c>
      <c r="Y1141" s="148">
        <v>23569</v>
      </c>
      <c r="Z1141" s="149">
        <f t="shared" si="331"/>
        <v>14141.4</v>
      </c>
      <c r="AA1141" s="148"/>
      <c r="AB1141" s="145"/>
      <c r="AC1141" s="145"/>
      <c r="AD1141" s="148">
        <f t="shared" si="332"/>
        <v>14141.4</v>
      </c>
      <c r="AE1141" s="122">
        <f t="shared" si="333"/>
        <v>36716.95500766387</v>
      </c>
      <c r="AF1141" s="167">
        <f t="shared" si="334"/>
        <v>244844.77499999999</v>
      </c>
    </row>
    <row r="1142" spans="1:32" s="150" customFormat="1" x14ac:dyDescent="0.2">
      <c r="A1142" s="144" t="s">
        <v>366</v>
      </c>
      <c r="B1142" s="144"/>
      <c r="C1142" s="144"/>
      <c r="D1142" s="145">
        <v>1</v>
      </c>
      <c r="E1142" s="122"/>
      <c r="F1142" s="146">
        <v>0.4</v>
      </c>
      <c r="G1142" s="146"/>
      <c r="H1142" s="122">
        <v>41917</v>
      </c>
      <c r="I1142" s="122">
        <f t="shared" si="324"/>
        <v>43384.094999999994</v>
      </c>
      <c r="J1142" s="147">
        <f t="shared" si="325"/>
        <v>26030.456999999995</v>
      </c>
      <c r="K1142" s="122"/>
      <c r="L1142" s="122">
        <v>0</v>
      </c>
      <c r="M1142" s="122">
        <f t="shared" si="326"/>
        <v>0</v>
      </c>
      <c r="N1142" s="122">
        <f t="shared" si="327"/>
        <v>0</v>
      </c>
      <c r="O1142" s="122"/>
      <c r="P1142" s="122">
        <v>0</v>
      </c>
      <c r="Q1142" s="122">
        <f t="shared" si="328"/>
        <v>0</v>
      </c>
      <c r="R1142" s="147">
        <f t="shared" si="329"/>
        <v>0</v>
      </c>
      <c r="S1142" s="145">
        <v>10</v>
      </c>
      <c r="T1142" s="144" t="s">
        <v>1161</v>
      </c>
      <c r="U1142" s="90">
        <f>SUMIF('Avoided Costs 2009-2017'!$A:$A,Actuals!T1142&amp;Actuals!S1142,'Avoided Costs 2009-2017'!$E:$E)*J1142</f>
        <v>63060.521671545546</v>
      </c>
      <c r="V1142" s="90">
        <f>SUMIF('Avoided Costs 2009-2017'!$A:$A,Actuals!T1142&amp;Actuals!S1142,'Avoided Costs 2009-2017'!$K:$K)*N1142</f>
        <v>0</v>
      </c>
      <c r="W1142" s="90">
        <f>SUMIF('Avoided Costs 2009-2017'!$A:$A,Actuals!T1142&amp;Actuals!S1142,'Avoided Costs 2009-2017'!$M:$M)*R1142</f>
        <v>0</v>
      </c>
      <c r="X1142" s="90">
        <f t="shared" si="330"/>
        <v>63060.521671545546</v>
      </c>
      <c r="Y1142" s="148">
        <v>113874</v>
      </c>
      <c r="Z1142" s="149">
        <f t="shared" si="331"/>
        <v>68324.399999999994</v>
      </c>
      <c r="AA1142" s="148"/>
      <c r="AB1142" s="145"/>
      <c r="AC1142" s="145"/>
      <c r="AD1142" s="148">
        <f t="shared" si="332"/>
        <v>68324.399999999994</v>
      </c>
      <c r="AE1142" s="122">
        <f t="shared" si="333"/>
        <v>-5263.8783284544479</v>
      </c>
      <c r="AF1142" s="167">
        <f t="shared" si="334"/>
        <v>260304.56999999995</v>
      </c>
    </row>
    <row r="1143" spans="1:32" s="150" customFormat="1" x14ac:dyDescent="0.2">
      <c r="A1143" s="144" t="s">
        <v>367</v>
      </c>
      <c r="B1143" s="144"/>
      <c r="C1143" s="144"/>
      <c r="D1143" s="145">
        <v>1</v>
      </c>
      <c r="E1143" s="122"/>
      <c r="F1143" s="146">
        <v>0.4</v>
      </c>
      <c r="G1143" s="146"/>
      <c r="H1143" s="122">
        <v>199702</v>
      </c>
      <c r="I1143" s="122">
        <f t="shared" si="324"/>
        <v>206691.56999999998</v>
      </c>
      <c r="J1143" s="147">
        <f t="shared" si="325"/>
        <v>124014.94199999998</v>
      </c>
      <c r="K1143" s="122"/>
      <c r="L1143" s="122">
        <v>141591</v>
      </c>
      <c r="M1143" s="122">
        <f t="shared" si="326"/>
        <v>134794.63199999998</v>
      </c>
      <c r="N1143" s="122">
        <f t="shared" si="327"/>
        <v>80876.77919999999</v>
      </c>
      <c r="O1143" s="122"/>
      <c r="P1143" s="122">
        <v>0</v>
      </c>
      <c r="Q1143" s="122">
        <f t="shared" si="328"/>
        <v>0</v>
      </c>
      <c r="R1143" s="147">
        <f t="shared" si="329"/>
        <v>0</v>
      </c>
      <c r="S1143" s="145">
        <v>15</v>
      </c>
      <c r="T1143" s="144" t="s">
        <v>1161</v>
      </c>
      <c r="U1143" s="90">
        <f>SUMIF('Avoided Costs 2009-2017'!$A:$A,Actuals!T1143&amp;Actuals!S1143,'Avoided Costs 2009-2017'!$E:$E)*J1143</f>
        <v>386399.66565495491</v>
      </c>
      <c r="V1143" s="90">
        <f>SUMIF('Avoided Costs 2009-2017'!$A:$A,Actuals!T1143&amp;Actuals!S1143,'Avoided Costs 2009-2017'!$K:$K)*N1143</f>
        <v>60377.118005156117</v>
      </c>
      <c r="W1143" s="90">
        <f>SUMIF('Avoided Costs 2009-2017'!$A:$A,Actuals!T1143&amp;Actuals!S1143,'Avoided Costs 2009-2017'!$M:$M)*R1143</f>
        <v>0</v>
      </c>
      <c r="X1143" s="90">
        <f t="shared" si="330"/>
        <v>446776.78366011102</v>
      </c>
      <c r="Y1143" s="148">
        <v>165436</v>
      </c>
      <c r="Z1143" s="149">
        <f t="shared" si="331"/>
        <v>99261.599999999991</v>
      </c>
      <c r="AA1143" s="148"/>
      <c r="AB1143" s="145"/>
      <c r="AC1143" s="145"/>
      <c r="AD1143" s="148">
        <f t="shared" si="332"/>
        <v>99261.599999999991</v>
      </c>
      <c r="AE1143" s="122">
        <f t="shared" si="333"/>
        <v>347515.18366011104</v>
      </c>
      <c r="AF1143" s="167">
        <f t="shared" si="334"/>
        <v>1860224.1299999997</v>
      </c>
    </row>
    <row r="1144" spans="1:32" s="150" customFormat="1" x14ac:dyDescent="0.2">
      <c r="A1144" s="144" t="s">
        <v>368</v>
      </c>
      <c r="B1144" s="144"/>
      <c r="C1144" s="144"/>
      <c r="D1144" s="145">
        <v>0</v>
      </c>
      <c r="E1144" s="122"/>
      <c r="F1144" s="146">
        <v>0.4</v>
      </c>
      <c r="G1144" s="146"/>
      <c r="H1144" s="122">
        <v>11970</v>
      </c>
      <c r="I1144" s="122">
        <f t="shared" si="324"/>
        <v>12388.949999999999</v>
      </c>
      <c r="J1144" s="147">
        <f t="shared" si="325"/>
        <v>7433.369999999999</v>
      </c>
      <c r="K1144" s="122"/>
      <c r="L1144" s="122">
        <v>0</v>
      </c>
      <c r="M1144" s="122">
        <f t="shared" si="326"/>
        <v>0</v>
      </c>
      <c r="N1144" s="122">
        <f t="shared" si="327"/>
        <v>0</v>
      </c>
      <c r="O1144" s="122"/>
      <c r="P1144" s="122">
        <v>0</v>
      </c>
      <c r="Q1144" s="122">
        <f t="shared" si="328"/>
        <v>0</v>
      </c>
      <c r="R1144" s="147">
        <f t="shared" si="329"/>
        <v>0</v>
      </c>
      <c r="S1144" s="145">
        <v>5</v>
      </c>
      <c r="T1144" s="144" t="s">
        <v>1161</v>
      </c>
      <c r="U1144" s="90">
        <f>SUMIF('Avoided Costs 2009-2017'!$A:$A,Actuals!T1144&amp;Actuals!S1144,'Avoided Costs 2009-2017'!$E:$E)*J1144</f>
        <v>10339.370419690389</v>
      </c>
      <c r="V1144" s="90">
        <f>SUMIF('Avoided Costs 2009-2017'!$A:$A,Actuals!T1144&amp;Actuals!S1144,'Avoided Costs 2009-2017'!$K:$K)*N1144</f>
        <v>0</v>
      </c>
      <c r="W1144" s="90">
        <f>SUMIF('Avoided Costs 2009-2017'!$A:$A,Actuals!T1144&amp;Actuals!S1144,'Avoided Costs 2009-2017'!$M:$M)*R1144</f>
        <v>0</v>
      </c>
      <c r="X1144" s="90">
        <f t="shared" si="330"/>
        <v>10339.370419690389</v>
      </c>
      <c r="Y1144" s="148">
        <v>11118</v>
      </c>
      <c r="Z1144" s="149">
        <f t="shared" si="331"/>
        <v>6670.8</v>
      </c>
      <c r="AA1144" s="148"/>
      <c r="AB1144" s="145"/>
      <c r="AC1144" s="145"/>
      <c r="AD1144" s="148">
        <f t="shared" si="332"/>
        <v>6670.8</v>
      </c>
      <c r="AE1144" s="122">
        <f t="shared" si="333"/>
        <v>3668.5704196903889</v>
      </c>
      <c r="AF1144" s="167">
        <f t="shared" si="334"/>
        <v>37166.849999999991</v>
      </c>
    </row>
    <row r="1145" spans="1:32" s="150" customFormat="1" x14ac:dyDescent="0.2">
      <c r="A1145" s="144" t="s">
        <v>369</v>
      </c>
      <c r="B1145" s="144"/>
      <c r="C1145" s="144"/>
      <c r="D1145" s="145">
        <v>1</v>
      </c>
      <c r="E1145" s="122"/>
      <c r="F1145" s="146">
        <v>0.4</v>
      </c>
      <c r="G1145" s="146"/>
      <c r="H1145" s="122">
        <v>21151</v>
      </c>
      <c r="I1145" s="122">
        <f t="shared" si="324"/>
        <v>21891.285</v>
      </c>
      <c r="J1145" s="147">
        <f t="shared" si="325"/>
        <v>13134.770999999999</v>
      </c>
      <c r="K1145" s="122"/>
      <c r="L1145" s="122">
        <v>0</v>
      </c>
      <c r="M1145" s="122">
        <f t="shared" si="326"/>
        <v>0</v>
      </c>
      <c r="N1145" s="122">
        <f t="shared" si="327"/>
        <v>0</v>
      </c>
      <c r="O1145" s="122"/>
      <c r="P1145" s="122">
        <v>0</v>
      </c>
      <c r="Q1145" s="122">
        <f t="shared" si="328"/>
        <v>0</v>
      </c>
      <c r="R1145" s="147">
        <f t="shared" si="329"/>
        <v>0</v>
      </c>
      <c r="S1145" s="145">
        <v>10</v>
      </c>
      <c r="T1145" s="144" t="s">
        <v>1161</v>
      </c>
      <c r="U1145" s="90">
        <f>SUMIF('Avoided Costs 2009-2017'!$A:$A,Actuals!T1145&amp;Actuals!S1145,'Avoided Costs 2009-2017'!$E:$E)*J1145</f>
        <v>31819.860530926831</v>
      </c>
      <c r="V1145" s="90">
        <f>SUMIF('Avoided Costs 2009-2017'!$A:$A,Actuals!T1145&amp;Actuals!S1145,'Avoided Costs 2009-2017'!$K:$K)*N1145</f>
        <v>0</v>
      </c>
      <c r="W1145" s="90">
        <f>SUMIF('Avoided Costs 2009-2017'!$A:$A,Actuals!T1145&amp;Actuals!S1145,'Avoided Costs 2009-2017'!$M:$M)*R1145</f>
        <v>0</v>
      </c>
      <c r="X1145" s="90">
        <f t="shared" si="330"/>
        <v>31819.860530926831</v>
      </c>
      <c r="Y1145" s="148">
        <v>22364</v>
      </c>
      <c r="Z1145" s="149">
        <f t="shared" si="331"/>
        <v>13418.4</v>
      </c>
      <c r="AA1145" s="148"/>
      <c r="AB1145" s="145"/>
      <c r="AC1145" s="145"/>
      <c r="AD1145" s="148">
        <f t="shared" si="332"/>
        <v>13418.4</v>
      </c>
      <c r="AE1145" s="122">
        <f t="shared" si="333"/>
        <v>18401.46053092683</v>
      </c>
      <c r="AF1145" s="167">
        <f t="shared" si="334"/>
        <v>131347.71</v>
      </c>
    </row>
    <row r="1146" spans="1:32" s="150" customFormat="1" x14ac:dyDescent="0.2">
      <c r="A1146" s="144" t="s">
        <v>370</v>
      </c>
      <c r="B1146" s="144"/>
      <c r="C1146" s="144"/>
      <c r="D1146" s="145">
        <v>1</v>
      </c>
      <c r="E1146" s="122"/>
      <c r="F1146" s="146">
        <v>0.4</v>
      </c>
      <c r="G1146" s="146"/>
      <c r="H1146" s="122">
        <v>56532</v>
      </c>
      <c r="I1146" s="122">
        <f t="shared" si="324"/>
        <v>58510.619999999995</v>
      </c>
      <c r="J1146" s="147">
        <f t="shared" si="325"/>
        <v>35106.371999999996</v>
      </c>
      <c r="K1146" s="122"/>
      <c r="L1146" s="122">
        <v>0</v>
      </c>
      <c r="M1146" s="122">
        <f t="shared" si="326"/>
        <v>0</v>
      </c>
      <c r="N1146" s="122">
        <f t="shared" si="327"/>
        <v>0</v>
      </c>
      <c r="O1146" s="122"/>
      <c r="P1146" s="122">
        <v>0</v>
      </c>
      <c r="Q1146" s="122">
        <f t="shared" si="328"/>
        <v>0</v>
      </c>
      <c r="R1146" s="147">
        <f t="shared" si="329"/>
        <v>0</v>
      </c>
      <c r="S1146" s="145">
        <v>10</v>
      </c>
      <c r="T1146" s="144" t="s">
        <v>1161</v>
      </c>
      <c r="U1146" s="90">
        <f>SUMIF('Avoided Costs 2009-2017'!$A:$A,Actuals!T1146&amp;Actuals!S1146,'Avoided Costs 2009-2017'!$E:$E)*J1146</f>
        <v>85047.532293241718</v>
      </c>
      <c r="V1146" s="90">
        <f>SUMIF('Avoided Costs 2009-2017'!$A:$A,Actuals!T1146&amp;Actuals!S1146,'Avoided Costs 2009-2017'!$K:$K)*N1146</f>
        <v>0</v>
      </c>
      <c r="W1146" s="90">
        <f>SUMIF('Avoided Costs 2009-2017'!$A:$A,Actuals!T1146&amp;Actuals!S1146,'Avoided Costs 2009-2017'!$M:$M)*R1146</f>
        <v>0</v>
      </c>
      <c r="X1146" s="90">
        <f t="shared" si="330"/>
        <v>85047.532293241718</v>
      </c>
      <c r="Y1146" s="148">
        <v>67029</v>
      </c>
      <c r="Z1146" s="149">
        <f t="shared" si="331"/>
        <v>40217.4</v>
      </c>
      <c r="AA1146" s="148"/>
      <c r="AB1146" s="145"/>
      <c r="AC1146" s="145"/>
      <c r="AD1146" s="148">
        <f t="shared" si="332"/>
        <v>40217.4</v>
      </c>
      <c r="AE1146" s="122">
        <f t="shared" si="333"/>
        <v>44830.132293241717</v>
      </c>
      <c r="AF1146" s="167">
        <f t="shared" si="334"/>
        <v>351063.72</v>
      </c>
    </row>
    <row r="1147" spans="1:32" s="150" customFormat="1" x14ac:dyDescent="0.2">
      <c r="A1147" s="144" t="s">
        <v>371</v>
      </c>
      <c r="B1147" s="144"/>
      <c r="C1147" s="144"/>
      <c r="D1147" s="145">
        <v>1</v>
      </c>
      <c r="E1147" s="122"/>
      <c r="F1147" s="146">
        <v>0.4</v>
      </c>
      <c r="G1147" s="146"/>
      <c r="H1147" s="122">
        <v>97930</v>
      </c>
      <c r="I1147" s="122">
        <f t="shared" si="324"/>
        <v>101357.54999999999</v>
      </c>
      <c r="J1147" s="147">
        <f t="shared" si="325"/>
        <v>60814.529999999992</v>
      </c>
      <c r="K1147" s="122"/>
      <c r="L1147" s="122">
        <v>0</v>
      </c>
      <c r="M1147" s="122">
        <f t="shared" si="326"/>
        <v>0</v>
      </c>
      <c r="N1147" s="122">
        <f t="shared" si="327"/>
        <v>0</v>
      </c>
      <c r="O1147" s="122"/>
      <c r="P1147" s="122">
        <v>0</v>
      </c>
      <c r="Q1147" s="122">
        <f t="shared" si="328"/>
        <v>0</v>
      </c>
      <c r="R1147" s="147">
        <f t="shared" si="329"/>
        <v>0</v>
      </c>
      <c r="S1147" s="145">
        <v>10</v>
      </c>
      <c r="T1147" s="144" t="s">
        <v>1161</v>
      </c>
      <c r="U1147" s="90">
        <f>SUMIF('Avoided Costs 2009-2017'!$A:$A,Actuals!T1147&amp;Actuals!S1147,'Avoided Costs 2009-2017'!$E:$E)*J1147</f>
        <v>147327.26309837191</v>
      </c>
      <c r="V1147" s="90">
        <f>SUMIF('Avoided Costs 2009-2017'!$A:$A,Actuals!T1147&amp;Actuals!S1147,'Avoided Costs 2009-2017'!$K:$K)*N1147</f>
        <v>0</v>
      </c>
      <c r="W1147" s="90">
        <f>SUMIF('Avoided Costs 2009-2017'!$A:$A,Actuals!T1147&amp;Actuals!S1147,'Avoided Costs 2009-2017'!$M:$M)*R1147</f>
        <v>0</v>
      </c>
      <c r="X1147" s="90">
        <f t="shared" si="330"/>
        <v>147327.26309837191</v>
      </c>
      <c r="Y1147" s="148">
        <v>119929</v>
      </c>
      <c r="Z1147" s="149">
        <f t="shared" si="331"/>
        <v>71957.399999999994</v>
      </c>
      <c r="AA1147" s="148"/>
      <c r="AB1147" s="145"/>
      <c r="AC1147" s="145"/>
      <c r="AD1147" s="148">
        <f t="shared" si="332"/>
        <v>71957.399999999994</v>
      </c>
      <c r="AE1147" s="122">
        <f t="shared" si="333"/>
        <v>75369.863098371919</v>
      </c>
      <c r="AF1147" s="167">
        <f t="shared" si="334"/>
        <v>608145.29999999993</v>
      </c>
    </row>
    <row r="1148" spans="1:32" s="150" customFormat="1" x14ac:dyDescent="0.2">
      <c r="A1148" s="144" t="s">
        <v>372</v>
      </c>
      <c r="B1148" s="144"/>
      <c r="C1148" s="144"/>
      <c r="D1148" s="145">
        <v>0</v>
      </c>
      <c r="E1148" s="122"/>
      <c r="F1148" s="146">
        <v>0.4</v>
      </c>
      <c r="G1148" s="146"/>
      <c r="H1148" s="122">
        <v>14556</v>
      </c>
      <c r="I1148" s="122">
        <f t="shared" si="324"/>
        <v>15065.46</v>
      </c>
      <c r="J1148" s="147">
        <f t="shared" si="325"/>
        <v>9039.2759999999998</v>
      </c>
      <c r="K1148" s="122"/>
      <c r="L1148" s="122">
        <v>-2992</v>
      </c>
      <c r="M1148" s="122">
        <f t="shared" si="326"/>
        <v>-2848.384</v>
      </c>
      <c r="N1148" s="122">
        <f t="shared" si="327"/>
        <v>-1709.0303999999999</v>
      </c>
      <c r="O1148" s="122"/>
      <c r="P1148" s="122">
        <v>0</v>
      </c>
      <c r="Q1148" s="122">
        <f t="shared" si="328"/>
        <v>0</v>
      </c>
      <c r="R1148" s="147">
        <f t="shared" si="329"/>
        <v>0</v>
      </c>
      <c r="S1148" s="145">
        <v>15</v>
      </c>
      <c r="T1148" s="144" t="s">
        <v>1161</v>
      </c>
      <c r="U1148" s="90">
        <f>SUMIF('Avoided Costs 2009-2017'!$A:$A,Actuals!T1148&amp;Actuals!S1148,'Avoided Costs 2009-2017'!$E:$E)*J1148</f>
        <v>28164.132223380457</v>
      </c>
      <c r="V1148" s="90">
        <f>SUMIF('Avoided Costs 2009-2017'!$A:$A,Actuals!T1148&amp;Actuals!S1148,'Avoided Costs 2009-2017'!$K:$K)*N1148</f>
        <v>-1275.8461842308277</v>
      </c>
      <c r="W1148" s="90">
        <f>SUMIF('Avoided Costs 2009-2017'!$A:$A,Actuals!T1148&amp;Actuals!S1148,'Avoided Costs 2009-2017'!$M:$M)*R1148</f>
        <v>0</v>
      </c>
      <c r="X1148" s="90">
        <f t="shared" si="330"/>
        <v>26888.286039149629</v>
      </c>
      <c r="Y1148" s="148">
        <v>38819</v>
      </c>
      <c r="Z1148" s="149">
        <f t="shared" si="331"/>
        <v>23291.399999999998</v>
      </c>
      <c r="AA1148" s="148"/>
      <c r="AB1148" s="145"/>
      <c r="AC1148" s="145"/>
      <c r="AD1148" s="148">
        <f t="shared" si="332"/>
        <v>23291.399999999998</v>
      </c>
      <c r="AE1148" s="122">
        <f t="shared" si="333"/>
        <v>3596.886039149631</v>
      </c>
      <c r="AF1148" s="167">
        <f t="shared" si="334"/>
        <v>135589.13999999998</v>
      </c>
    </row>
    <row r="1149" spans="1:32" s="150" customFormat="1" x14ac:dyDescent="0.2">
      <c r="A1149" s="144" t="s">
        <v>373</v>
      </c>
      <c r="B1149" s="144"/>
      <c r="C1149" s="144"/>
      <c r="D1149" s="145">
        <v>1</v>
      </c>
      <c r="E1149" s="122"/>
      <c r="F1149" s="146">
        <v>0.4</v>
      </c>
      <c r="G1149" s="146"/>
      <c r="H1149" s="122">
        <v>34572</v>
      </c>
      <c r="I1149" s="122">
        <f t="shared" si="324"/>
        <v>35782.019999999997</v>
      </c>
      <c r="J1149" s="147">
        <f t="shared" si="325"/>
        <v>21469.211999999996</v>
      </c>
      <c r="K1149" s="122"/>
      <c r="L1149" s="122">
        <v>0</v>
      </c>
      <c r="M1149" s="122">
        <f t="shared" si="326"/>
        <v>0</v>
      </c>
      <c r="N1149" s="122">
        <f t="shared" si="327"/>
        <v>0</v>
      </c>
      <c r="O1149" s="122"/>
      <c r="P1149" s="122">
        <v>0</v>
      </c>
      <c r="Q1149" s="122">
        <f t="shared" si="328"/>
        <v>0</v>
      </c>
      <c r="R1149" s="147">
        <f t="shared" si="329"/>
        <v>0</v>
      </c>
      <c r="S1149" s="145">
        <v>10</v>
      </c>
      <c r="T1149" s="144" t="s">
        <v>1161</v>
      </c>
      <c r="U1149" s="90">
        <f>SUMIF('Avoided Costs 2009-2017'!$A:$A,Actuals!T1149&amp;Actuals!S1149,'Avoided Costs 2009-2017'!$E:$E)*J1149</f>
        <v>52010.600835667457</v>
      </c>
      <c r="V1149" s="90">
        <f>SUMIF('Avoided Costs 2009-2017'!$A:$A,Actuals!T1149&amp;Actuals!S1149,'Avoided Costs 2009-2017'!$K:$K)*N1149</f>
        <v>0</v>
      </c>
      <c r="W1149" s="90">
        <f>SUMIF('Avoided Costs 2009-2017'!$A:$A,Actuals!T1149&amp;Actuals!S1149,'Avoided Costs 2009-2017'!$M:$M)*R1149</f>
        <v>0</v>
      </c>
      <c r="X1149" s="90">
        <f t="shared" si="330"/>
        <v>52010.600835667457</v>
      </c>
      <c r="Y1149" s="148">
        <v>27849</v>
      </c>
      <c r="Z1149" s="149">
        <f t="shared" si="331"/>
        <v>16709.399999999998</v>
      </c>
      <c r="AA1149" s="148"/>
      <c r="AB1149" s="145"/>
      <c r="AC1149" s="145"/>
      <c r="AD1149" s="148">
        <f t="shared" si="332"/>
        <v>16709.399999999998</v>
      </c>
      <c r="AE1149" s="122">
        <f t="shared" si="333"/>
        <v>35301.200835667463</v>
      </c>
      <c r="AF1149" s="167">
        <f t="shared" si="334"/>
        <v>214692.11999999997</v>
      </c>
    </row>
    <row r="1150" spans="1:32" s="150" customFormat="1" x14ac:dyDescent="0.2">
      <c r="A1150" s="144" t="s">
        <v>374</v>
      </c>
      <c r="B1150" s="144"/>
      <c r="C1150" s="144"/>
      <c r="D1150" s="145">
        <v>1</v>
      </c>
      <c r="E1150" s="122"/>
      <c r="F1150" s="146">
        <v>0.4</v>
      </c>
      <c r="G1150" s="146"/>
      <c r="H1150" s="122">
        <v>215600</v>
      </c>
      <c r="I1150" s="122">
        <f t="shared" si="324"/>
        <v>223145.99999999997</v>
      </c>
      <c r="J1150" s="147">
        <f t="shared" si="325"/>
        <v>133887.59999999998</v>
      </c>
      <c r="K1150" s="122"/>
      <c r="L1150" s="122">
        <v>0</v>
      </c>
      <c r="M1150" s="122">
        <f t="shared" si="326"/>
        <v>0</v>
      </c>
      <c r="N1150" s="122">
        <f t="shared" si="327"/>
        <v>0</v>
      </c>
      <c r="O1150" s="122"/>
      <c r="P1150" s="122">
        <v>0</v>
      </c>
      <c r="Q1150" s="122">
        <f t="shared" si="328"/>
        <v>0</v>
      </c>
      <c r="R1150" s="147">
        <f t="shared" si="329"/>
        <v>0</v>
      </c>
      <c r="S1150" s="145">
        <v>10</v>
      </c>
      <c r="T1150" s="144" t="s">
        <v>1161</v>
      </c>
      <c r="U1150" s="90">
        <f>SUMIF('Avoided Costs 2009-2017'!$A:$A,Actuals!T1150&amp;Actuals!S1150,'Avoided Costs 2009-2017'!$E:$E)*J1150</f>
        <v>324351.65857254149</v>
      </c>
      <c r="V1150" s="90">
        <f>SUMIF('Avoided Costs 2009-2017'!$A:$A,Actuals!T1150&amp;Actuals!S1150,'Avoided Costs 2009-2017'!$K:$K)*N1150</f>
        <v>0</v>
      </c>
      <c r="W1150" s="90">
        <f>SUMIF('Avoided Costs 2009-2017'!$A:$A,Actuals!T1150&amp;Actuals!S1150,'Avoided Costs 2009-2017'!$M:$M)*R1150</f>
        <v>0</v>
      </c>
      <c r="X1150" s="90">
        <f t="shared" si="330"/>
        <v>324351.65857254149</v>
      </c>
      <c r="Y1150" s="148">
        <v>144670</v>
      </c>
      <c r="Z1150" s="149">
        <f t="shared" si="331"/>
        <v>86802</v>
      </c>
      <c r="AA1150" s="148"/>
      <c r="AB1150" s="145"/>
      <c r="AC1150" s="145"/>
      <c r="AD1150" s="148">
        <f t="shared" si="332"/>
        <v>86802</v>
      </c>
      <c r="AE1150" s="122">
        <f t="shared" si="333"/>
        <v>237549.65857254149</v>
      </c>
      <c r="AF1150" s="167">
        <f t="shared" si="334"/>
        <v>1338875.9999999998</v>
      </c>
    </row>
    <row r="1151" spans="1:32" s="150" customFormat="1" x14ac:dyDescent="0.2">
      <c r="A1151" s="144" t="s">
        <v>375</v>
      </c>
      <c r="B1151" s="144"/>
      <c r="C1151" s="144"/>
      <c r="D1151" s="145">
        <v>1</v>
      </c>
      <c r="E1151" s="122"/>
      <c r="F1151" s="146">
        <v>0.4</v>
      </c>
      <c r="G1151" s="146"/>
      <c r="H1151" s="122">
        <v>53580</v>
      </c>
      <c r="I1151" s="122">
        <f t="shared" si="324"/>
        <v>55455.299999999996</v>
      </c>
      <c r="J1151" s="147">
        <f t="shared" si="325"/>
        <v>33273.179999999993</v>
      </c>
      <c r="K1151" s="122"/>
      <c r="L1151" s="122">
        <v>0</v>
      </c>
      <c r="M1151" s="122">
        <f t="shared" si="326"/>
        <v>0</v>
      </c>
      <c r="N1151" s="122">
        <f t="shared" si="327"/>
        <v>0</v>
      </c>
      <c r="O1151" s="122"/>
      <c r="P1151" s="122">
        <v>0</v>
      </c>
      <c r="Q1151" s="122">
        <f t="shared" si="328"/>
        <v>0</v>
      </c>
      <c r="R1151" s="147">
        <f t="shared" si="329"/>
        <v>0</v>
      </c>
      <c r="S1151" s="145">
        <v>10</v>
      </c>
      <c r="T1151" s="144" t="s">
        <v>1161</v>
      </c>
      <c r="U1151" s="90">
        <f>SUMIF('Avoided Costs 2009-2017'!$A:$A,Actuals!T1151&amp;Actuals!S1151,'Avoided Costs 2009-2017'!$E:$E)*J1151</f>
        <v>80606.502162879275</v>
      </c>
      <c r="V1151" s="90">
        <f>SUMIF('Avoided Costs 2009-2017'!$A:$A,Actuals!T1151&amp;Actuals!S1151,'Avoided Costs 2009-2017'!$K:$K)*N1151</f>
        <v>0</v>
      </c>
      <c r="W1151" s="90">
        <f>SUMIF('Avoided Costs 2009-2017'!$A:$A,Actuals!T1151&amp;Actuals!S1151,'Avoided Costs 2009-2017'!$M:$M)*R1151</f>
        <v>0</v>
      </c>
      <c r="X1151" s="90">
        <f t="shared" si="330"/>
        <v>80606.502162879275</v>
      </c>
      <c r="Y1151" s="148">
        <v>28518</v>
      </c>
      <c r="Z1151" s="149">
        <f t="shared" si="331"/>
        <v>17110.8</v>
      </c>
      <c r="AA1151" s="148"/>
      <c r="AB1151" s="145"/>
      <c r="AC1151" s="145"/>
      <c r="AD1151" s="148">
        <f t="shared" si="332"/>
        <v>17110.8</v>
      </c>
      <c r="AE1151" s="122">
        <f t="shared" si="333"/>
        <v>63495.702162879272</v>
      </c>
      <c r="AF1151" s="167">
        <f t="shared" si="334"/>
        <v>332731.79999999993</v>
      </c>
    </row>
    <row r="1152" spans="1:32" s="150" customFormat="1" x14ac:dyDescent="0.2">
      <c r="A1152" s="144" t="s">
        <v>376</v>
      </c>
      <c r="B1152" s="144"/>
      <c r="C1152" s="144"/>
      <c r="D1152" s="145">
        <v>1</v>
      </c>
      <c r="E1152" s="122"/>
      <c r="F1152" s="146">
        <v>0.4</v>
      </c>
      <c r="G1152" s="146"/>
      <c r="H1152" s="122">
        <v>13489</v>
      </c>
      <c r="I1152" s="122">
        <f t="shared" si="324"/>
        <v>13961.115</v>
      </c>
      <c r="J1152" s="147">
        <f t="shared" si="325"/>
        <v>8376.6689999999999</v>
      </c>
      <c r="K1152" s="122"/>
      <c r="L1152" s="122">
        <v>0</v>
      </c>
      <c r="M1152" s="122">
        <f t="shared" si="326"/>
        <v>0</v>
      </c>
      <c r="N1152" s="122">
        <f t="shared" si="327"/>
        <v>0</v>
      </c>
      <c r="O1152" s="122"/>
      <c r="P1152" s="122">
        <v>0</v>
      </c>
      <c r="Q1152" s="122">
        <f t="shared" si="328"/>
        <v>0</v>
      </c>
      <c r="R1152" s="147">
        <f t="shared" si="329"/>
        <v>0</v>
      </c>
      <c r="S1152" s="145">
        <v>15</v>
      </c>
      <c r="T1152" s="144" t="s">
        <v>1161</v>
      </c>
      <c r="U1152" s="90">
        <f>SUMIF('Avoided Costs 2009-2017'!$A:$A,Actuals!T1152&amp;Actuals!S1152,'Avoided Costs 2009-2017'!$E:$E)*J1152</f>
        <v>26099.613874771847</v>
      </c>
      <c r="V1152" s="90">
        <f>SUMIF('Avoided Costs 2009-2017'!$A:$A,Actuals!T1152&amp;Actuals!S1152,'Avoided Costs 2009-2017'!$K:$K)*N1152</f>
        <v>0</v>
      </c>
      <c r="W1152" s="90">
        <f>SUMIF('Avoided Costs 2009-2017'!$A:$A,Actuals!T1152&amp;Actuals!S1152,'Avoided Costs 2009-2017'!$M:$M)*R1152</f>
        <v>0</v>
      </c>
      <c r="X1152" s="90">
        <f t="shared" si="330"/>
        <v>26099.613874771847</v>
      </c>
      <c r="Y1152" s="148">
        <v>5371</v>
      </c>
      <c r="Z1152" s="149">
        <f t="shared" si="331"/>
        <v>3222.6</v>
      </c>
      <c r="AA1152" s="148"/>
      <c r="AB1152" s="145"/>
      <c r="AC1152" s="145"/>
      <c r="AD1152" s="148">
        <f t="shared" si="332"/>
        <v>3222.6</v>
      </c>
      <c r="AE1152" s="122">
        <f t="shared" si="333"/>
        <v>22877.013874771848</v>
      </c>
      <c r="AF1152" s="167">
        <f t="shared" si="334"/>
        <v>125650.035</v>
      </c>
    </row>
    <row r="1153" spans="1:32" s="150" customFormat="1" x14ac:dyDescent="0.2">
      <c r="A1153" s="144" t="s">
        <v>377</v>
      </c>
      <c r="B1153" s="144"/>
      <c r="C1153" s="144"/>
      <c r="D1153" s="145">
        <v>0</v>
      </c>
      <c r="E1153" s="122"/>
      <c r="F1153" s="146">
        <v>0.4</v>
      </c>
      <c r="G1153" s="146"/>
      <c r="H1153" s="122">
        <v>122777</v>
      </c>
      <c r="I1153" s="122">
        <f t="shared" si="324"/>
        <v>127074.19499999999</v>
      </c>
      <c r="J1153" s="147">
        <f t="shared" si="325"/>
        <v>76244.516999999993</v>
      </c>
      <c r="K1153" s="122"/>
      <c r="L1153" s="122">
        <v>0</v>
      </c>
      <c r="M1153" s="122">
        <f t="shared" si="326"/>
        <v>0</v>
      </c>
      <c r="N1153" s="122">
        <f t="shared" si="327"/>
        <v>0</v>
      </c>
      <c r="O1153" s="122"/>
      <c r="P1153" s="122">
        <v>0</v>
      </c>
      <c r="Q1153" s="122">
        <f t="shared" si="328"/>
        <v>0</v>
      </c>
      <c r="R1153" s="147">
        <f t="shared" si="329"/>
        <v>0</v>
      </c>
      <c r="S1153" s="145">
        <v>15</v>
      </c>
      <c r="T1153" s="144" t="s">
        <v>1161</v>
      </c>
      <c r="U1153" s="90">
        <f>SUMIF('Avoided Costs 2009-2017'!$A:$A,Actuals!T1153&amp;Actuals!S1153,'Avoided Costs 2009-2017'!$E:$E)*J1153</f>
        <v>237558.92154369209</v>
      </c>
      <c r="V1153" s="90">
        <f>SUMIF('Avoided Costs 2009-2017'!$A:$A,Actuals!T1153&amp;Actuals!S1153,'Avoided Costs 2009-2017'!$K:$K)*N1153</f>
        <v>0</v>
      </c>
      <c r="W1153" s="90">
        <f>SUMIF('Avoided Costs 2009-2017'!$A:$A,Actuals!T1153&amp;Actuals!S1153,'Avoided Costs 2009-2017'!$M:$M)*R1153</f>
        <v>0</v>
      </c>
      <c r="X1153" s="90">
        <f t="shared" si="330"/>
        <v>237558.92154369209</v>
      </c>
      <c r="Y1153" s="148">
        <v>30619</v>
      </c>
      <c r="Z1153" s="149">
        <f t="shared" si="331"/>
        <v>18371.399999999998</v>
      </c>
      <c r="AA1153" s="148"/>
      <c r="AB1153" s="145"/>
      <c r="AC1153" s="145"/>
      <c r="AD1153" s="148">
        <f t="shared" si="332"/>
        <v>18371.399999999998</v>
      </c>
      <c r="AE1153" s="122">
        <f t="shared" si="333"/>
        <v>219187.5215436921</v>
      </c>
      <c r="AF1153" s="167">
        <f t="shared" si="334"/>
        <v>1143667.7549999999</v>
      </c>
    </row>
    <row r="1154" spans="1:32" s="150" customFormat="1" x14ac:dyDescent="0.2">
      <c r="A1154" s="144" t="s">
        <v>378</v>
      </c>
      <c r="B1154" s="144"/>
      <c r="C1154" s="144"/>
      <c r="D1154" s="145">
        <v>1</v>
      </c>
      <c r="E1154" s="122"/>
      <c r="F1154" s="146">
        <v>0.4</v>
      </c>
      <c r="G1154" s="146"/>
      <c r="H1154" s="122">
        <v>102925</v>
      </c>
      <c r="I1154" s="122">
        <f t="shared" si="324"/>
        <v>106527.37499999999</v>
      </c>
      <c r="J1154" s="147">
        <f t="shared" si="325"/>
        <v>63916.424999999988</v>
      </c>
      <c r="K1154" s="122"/>
      <c r="L1154" s="122">
        <v>0</v>
      </c>
      <c r="M1154" s="122">
        <f t="shared" si="326"/>
        <v>0</v>
      </c>
      <c r="N1154" s="122">
        <f t="shared" si="327"/>
        <v>0</v>
      </c>
      <c r="O1154" s="122"/>
      <c r="P1154" s="122">
        <v>0</v>
      </c>
      <c r="Q1154" s="122">
        <f t="shared" si="328"/>
        <v>0</v>
      </c>
      <c r="R1154" s="147">
        <f t="shared" si="329"/>
        <v>0</v>
      </c>
      <c r="S1154" s="145">
        <v>10</v>
      </c>
      <c r="T1154" s="144" t="s">
        <v>1161</v>
      </c>
      <c r="U1154" s="90">
        <f>SUMIF('Avoided Costs 2009-2017'!$A:$A,Actuals!T1154&amp;Actuals!S1154,'Avoided Costs 2009-2017'!$E:$E)*J1154</f>
        <v>154841.81103236935</v>
      </c>
      <c r="V1154" s="90">
        <f>SUMIF('Avoided Costs 2009-2017'!$A:$A,Actuals!T1154&amp;Actuals!S1154,'Avoided Costs 2009-2017'!$K:$K)*N1154</f>
        <v>0</v>
      </c>
      <c r="W1154" s="90">
        <f>SUMIF('Avoided Costs 2009-2017'!$A:$A,Actuals!T1154&amp;Actuals!S1154,'Avoided Costs 2009-2017'!$M:$M)*R1154</f>
        <v>0</v>
      </c>
      <c r="X1154" s="90">
        <f t="shared" si="330"/>
        <v>154841.81103236935</v>
      </c>
      <c r="Y1154" s="148">
        <v>96229</v>
      </c>
      <c r="Z1154" s="149">
        <f t="shared" si="331"/>
        <v>57737.4</v>
      </c>
      <c r="AA1154" s="148"/>
      <c r="AB1154" s="145"/>
      <c r="AC1154" s="145"/>
      <c r="AD1154" s="148">
        <f t="shared" si="332"/>
        <v>57737.4</v>
      </c>
      <c r="AE1154" s="122">
        <f t="shared" si="333"/>
        <v>97104.41103236936</v>
      </c>
      <c r="AF1154" s="167">
        <f t="shared" si="334"/>
        <v>639164.24999999988</v>
      </c>
    </row>
    <row r="1155" spans="1:32" s="150" customFormat="1" x14ac:dyDescent="0.2">
      <c r="A1155" s="144" t="s">
        <v>379</v>
      </c>
      <c r="B1155" s="144"/>
      <c r="C1155" s="144"/>
      <c r="D1155" s="145">
        <v>0</v>
      </c>
      <c r="E1155" s="122"/>
      <c r="F1155" s="146">
        <v>0.4</v>
      </c>
      <c r="G1155" s="146"/>
      <c r="H1155" s="122">
        <v>0</v>
      </c>
      <c r="I1155" s="122">
        <f t="shared" si="324"/>
        <v>0</v>
      </c>
      <c r="J1155" s="147">
        <f t="shared" si="325"/>
        <v>0</v>
      </c>
      <c r="K1155" s="122"/>
      <c r="L1155" s="122">
        <v>0</v>
      </c>
      <c r="M1155" s="122">
        <f t="shared" si="326"/>
        <v>0</v>
      </c>
      <c r="N1155" s="122">
        <f t="shared" si="327"/>
        <v>0</v>
      </c>
      <c r="O1155" s="122"/>
      <c r="P1155" s="122">
        <v>0</v>
      </c>
      <c r="Q1155" s="122">
        <f t="shared" si="328"/>
        <v>0</v>
      </c>
      <c r="R1155" s="147">
        <f t="shared" si="329"/>
        <v>0</v>
      </c>
      <c r="S1155" s="145">
        <v>1</v>
      </c>
      <c r="T1155" s="144" t="s">
        <v>1161</v>
      </c>
      <c r="U1155" s="90">
        <f>SUMIF('Avoided Costs 2009-2017'!$A:$A,Actuals!T1155&amp;Actuals!S1155,'Avoided Costs 2009-2017'!$E:$E)*J1155</f>
        <v>0</v>
      </c>
      <c r="V1155" s="90">
        <f>SUMIF('Avoided Costs 2009-2017'!$A:$A,Actuals!T1155&amp;Actuals!S1155,'Avoided Costs 2009-2017'!$K:$K)*N1155</f>
        <v>0</v>
      </c>
      <c r="W1155" s="90">
        <f>SUMIF('Avoided Costs 2009-2017'!$A:$A,Actuals!T1155&amp;Actuals!S1155,'Avoided Costs 2009-2017'!$M:$M)*R1155</f>
        <v>0</v>
      </c>
      <c r="X1155" s="90">
        <f t="shared" si="330"/>
        <v>0</v>
      </c>
      <c r="Y1155" s="148">
        <v>0</v>
      </c>
      <c r="Z1155" s="149">
        <f t="shared" si="331"/>
        <v>0</v>
      </c>
      <c r="AA1155" s="148"/>
      <c r="AB1155" s="145"/>
      <c r="AC1155" s="145"/>
      <c r="AD1155" s="148">
        <f t="shared" si="332"/>
        <v>0</v>
      </c>
      <c r="AE1155" s="122">
        <f t="shared" si="333"/>
        <v>0</v>
      </c>
      <c r="AF1155" s="167">
        <f t="shared" si="334"/>
        <v>0</v>
      </c>
    </row>
    <row r="1156" spans="1:32" s="150" customFormat="1" x14ac:dyDescent="0.2">
      <c r="A1156" s="144" t="s">
        <v>380</v>
      </c>
      <c r="B1156" s="144"/>
      <c r="C1156" s="144"/>
      <c r="D1156" s="145">
        <v>1</v>
      </c>
      <c r="E1156" s="122"/>
      <c r="F1156" s="146">
        <v>0.4</v>
      </c>
      <c r="G1156" s="146"/>
      <c r="H1156" s="122">
        <v>22984</v>
      </c>
      <c r="I1156" s="122">
        <f t="shared" si="324"/>
        <v>23788.44</v>
      </c>
      <c r="J1156" s="147">
        <f t="shared" si="325"/>
        <v>14273.063999999998</v>
      </c>
      <c r="K1156" s="122"/>
      <c r="L1156" s="122">
        <v>0</v>
      </c>
      <c r="M1156" s="122">
        <f t="shared" si="326"/>
        <v>0</v>
      </c>
      <c r="N1156" s="122">
        <f t="shared" si="327"/>
        <v>0</v>
      </c>
      <c r="O1156" s="122"/>
      <c r="P1156" s="122">
        <v>0</v>
      </c>
      <c r="Q1156" s="122">
        <f t="shared" si="328"/>
        <v>0</v>
      </c>
      <c r="R1156" s="147">
        <f t="shared" si="329"/>
        <v>0</v>
      </c>
      <c r="S1156" s="145">
        <v>10</v>
      </c>
      <c r="T1156" s="144" t="s">
        <v>1161</v>
      </c>
      <c r="U1156" s="90">
        <f>SUMIF('Avoided Costs 2009-2017'!$A:$A,Actuals!T1156&amp;Actuals!S1156,'Avoided Costs 2009-2017'!$E:$E)*J1156</f>
        <v>34577.451394393756</v>
      </c>
      <c r="V1156" s="90">
        <f>SUMIF('Avoided Costs 2009-2017'!$A:$A,Actuals!T1156&amp;Actuals!S1156,'Avoided Costs 2009-2017'!$K:$K)*N1156</f>
        <v>0</v>
      </c>
      <c r="W1156" s="90">
        <f>SUMIF('Avoided Costs 2009-2017'!$A:$A,Actuals!T1156&amp;Actuals!S1156,'Avoided Costs 2009-2017'!$M:$M)*R1156</f>
        <v>0</v>
      </c>
      <c r="X1156" s="90">
        <f t="shared" si="330"/>
        <v>34577.451394393756</v>
      </c>
      <c r="Y1156" s="148">
        <v>15372</v>
      </c>
      <c r="Z1156" s="149">
        <f t="shared" si="331"/>
        <v>9223.1999999999989</v>
      </c>
      <c r="AA1156" s="148"/>
      <c r="AB1156" s="145"/>
      <c r="AC1156" s="145"/>
      <c r="AD1156" s="148">
        <f t="shared" si="332"/>
        <v>9223.1999999999989</v>
      </c>
      <c r="AE1156" s="122">
        <f t="shared" si="333"/>
        <v>25354.251394393759</v>
      </c>
      <c r="AF1156" s="167">
        <f t="shared" si="334"/>
        <v>142730.63999999998</v>
      </c>
    </row>
    <row r="1157" spans="1:32" s="150" customFormat="1" x14ac:dyDescent="0.2">
      <c r="A1157" s="144" t="s">
        <v>381</v>
      </c>
      <c r="B1157" s="144"/>
      <c r="C1157" s="144"/>
      <c r="D1157" s="145">
        <v>1</v>
      </c>
      <c r="E1157" s="122"/>
      <c r="F1157" s="146">
        <v>0.4</v>
      </c>
      <c r="G1157" s="146"/>
      <c r="H1157" s="122">
        <v>41675</v>
      </c>
      <c r="I1157" s="122">
        <f t="shared" si="324"/>
        <v>43133.625</v>
      </c>
      <c r="J1157" s="147">
        <f t="shared" si="325"/>
        <v>25880.174999999999</v>
      </c>
      <c r="K1157" s="122"/>
      <c r="L1157" s="122">
        <v>0</v>
      </c>
      <c r="M1157" s="122">
        <f t="shared" si="326"/>
        <v>0</v>
      </c>
      <c r="N1157" s="122">
        <f t="shared" si="327"/>
        <v>0</v>
      </c>
      <c r="O1157" s="122"/>
      <c r="P1157" s="122">
        <v>0</v>
      </c>
      <c r="Q1157" s="122">
        <f t="shared" si="328"/>
        <v>0</v>
      </c>
      <c r="R1157" s="147">
        <f t="shared" si="329"/>
        <v>0</v>
      </c>
      <c r="S1157" s="145">
        <v>10</v>
      </c>
      <c r="T1157" s="144" t="s">
        <v>1161</v>
      </c>
      <c r="U1157" s="90">
        <f>SUMIF('Avoided Costs 2009-2017'!$A:$A,Actuals!T1157&amp;Actuals!S1157,'Avoided Costs 2009-2017'!$E:$E)*J1157</f>
        <v>62696.453483351892</v>
      </c>
      <c r="V1157" s="90">
        <f>SUMIF('Avoided Costs 2009-2017'!$A:$A,Actuals!T1157&amp;Actuals!S1157,'Avoided Costs 2009-2017'!$K:$K)*N1157</f>
        <v>0</v>
      </c>
      <c r="W1157" s="90">
        <f>SUMIF('Avoided Costs 2009-2017'!$A:$A,Actuals!T1157&amp;Actuals!S1157,'Avoided Costs 2009-2017'!$M:$M)*R1157</f>
        <v>0</v>
      </c>
      <c r="X1157" s="90">
        <f t="shared" si="330"/>
        <v>62696.453483351892</v>
      </c>
      <c r="Y1157" s="148">
        <v>57813</v>
      </c>
      <c r="Z1157" s="149">
        <f t="shared" si="331"/>
        <v>34687.799999999996</v>
      </c>
      <c r="AA1157" s="148"/>
      <c r="AB1157" s="145"/>
      <c r="AC1157" s="145"/>
      <c r="AD1157" s="148">
        <f t="shared" si="332"/>
        <v>34687.799999999996</v>
      </c>
      <c r="AE1157" s="122">
        <f t="shared" si="333"/>
        <v>28008.653483351896</v>
      </c>
      <c r="AF1157" s="167">
        <f t="shared" si="334"/>
        <v>258801.75</v>
      </c>
    </row>
    <row r="1158" spans="1:32" s="150" customFormat="1" x14ac:dyDescent="0.2">
      <c r="A1158" s="144" t="s">
        <v>382</v>
      </c>
      <c r="B1158" s="144"/>
      <c r="C1158" s="144"/>
      <c r="D1158" s="145">
        <v>1</v>
      </c>
      <c r="E1158" s="122"/>
      <c r="F1158" s="146">
        <v>0.4</v>
      </c>
      <c r="G1158" s="146"/>
      <c r="H1158" s="122">
        <v>24185</v>
      </c>
      <c r="I1158" s="122">
        <f t="shared" si="324"/>
        <v>25031.474999999999</v>
      </c>
      <c r="J1158" s="147">
        <f t="shared" si="325"/>
        <v>15018.884999999998</v>
      </c>
      <c r="K1158" s="122"/>
      <c r="L1158" s="122">
        <v>0</v>
      </c>
      <c r="M1158" s="122">
        <f t="shared" si="326"/>
        <v>0</v>
      </c>
      <c r="N1158" s="122">
        <f t="shared" si="327"/>
        <v>0</v>
      </c>
      <c r="O1158" s="122"/>
      <c r="P1158" s="122">
        <v>0</v>
      </c>
      <c r="Q1158" s="122">
        <f t="shared" si="328"/>
        <v>0</v>
      </c>
      <c r="R1158" s="147">
        <f t="shared" si="329"/>
        <v>0</v>
      </c>
      <c r="S1158" s="145">
        <v>15</v>
      </c>
      <c r="T1158" s="144" t="s">
        <v>1161</v>
      </c>
      <c r="U1158" s="90">
        <f>SUMIF('Avoided Costs 2009-2017'!$A:$A,Actuals!T1158&amp;Actuals!S1158,'Avoided Costs 2009-2017'!$E:$E)*J1158</f>
        <v>46795.104274694713</v>
      </c>
      <c r="V1158" s="90">
        <f>SUMIF('Avoided Costs 2009-2017'!$A:$A,Actuals!T1158&amp;Actuals!S1158,'Avoided Costs 2009-2017'!$K:$K)*N1158</f>
        <v>0</v>
      </c>
      <c r="W1158" s="90">
        <f>SUMIF('Avoided Costs 2009-2017'!$A:$A,Actuals!T1158&amp;Actuals!S1158,'Avoided Costs 2009-2017'!$M:$M)*R1158</f>
        <v>0</v>
      </c>
      <c r="X1158" s="90">
        <f t="shared" si="330"/>
        <v>46795.104274694713</v>
      </c>
      <c r="Y1158" s="148">
        <v>7313</v>
      </c>
      <c r="Z1158" s="149">
        <f t="shared" si="331"/>
        <v>4387.8</v>
      </c>
      <c r="AA1158" s="148"/>
      <c r="AB1158" s="145"/>
      <c r="AC1158" s="145"/>
      <c r="AD1158" s="148">
        <f t="shared" si="332"/>
        <v>4387.8</v>
      </c>
      <c r="AE1158" s="122">
        <f t="shared" si="333"/>
        <v>42407.30427469471</v>
      </c>
      <c r="AF1158" s="167">
        <f t="shared" si="334"/>
        <v>225283.27499999997</v>
      </c>
    </row>
    <row r="1159" spans="1:32" s="4" customFormat="1" x14ac:dyDescent="0.2">
      <c r="A1159" s="152" t="s">
        <v>200</v>
      </c>
      <c r="B1159" s="152" t="s">
        <v>1136</v>
      </c>
      <c r="C1159" s="152"/>
      <c r="D1159" s="153">
        <f>SUM(D1115:D1158)</f>
        <v>28</v>
      </c>
      <c r="E1159" s="147"/>
      <c r="F1159" s="154"/>
      <c r="G1159" s="155"/>
      <c r="H1159" s="237">
        <f>SUM(H1115:H1158)</f>
        <v>2221005</v>
      </c>
      <c r="I1159" s="237">
        <f>SUM(I1115:I1158)</f>
        <v>2295949.3800000004</v>
      </c>
      <c r="J1159" s="237">
        <f>SUM(J1115:J1158)</f>
        <v>1377569.6279999998</v>
      </c>
      <c r="K1159" s="147"/>
      <c r="L1159" s="237">
        <f>SUM(L1115:L1158)</f>
        <v>138599</v>
      </c>
      <c r="M1159" s="237">
        <f>SUM(M1115:M1158)</f>
        <v>131946.24799999999</v>
      </c>
      <c r="N1159" s="237">
        <f>SUM(N1115:N1158)</f>
        <v>79167.748799999987</v>
      </c>
      <c r="O1159" s="156"/>
      <c r="P1159" s="237">
        <f>SUM(P1115:P1158)</f>
        <v>0</v>
      </c>
      <c r="Q1159" s="237">
        <f>SUM(Q1115:Q1158)</f>
        <v>0</v>
      </c>
      <c r="R1159" s="237">
        <f>SUM(R1115:R1158)</f>
        <v>0</v>
      </c>
      <c r="S1159" s="153"/>
      <c r="T1159" s="152"/>
      <c r="U1159" s="238">
        <f>SUM(U1115:U1158)</f>
        <v>3557232.1539177825</v>
      </c>
      <c r="V1159" s="238">
        <f>SUM(V1115:V1158)</f>
        <v>59101.271820925293</v>
      </c>
      <c r="W1159" s="238">
        <f>SUM(W1115:W1158)</f>
        <v>0</v>
      </c>
      <c r="X1159" s="238">
        <f>SUM(X1115:X1158)</f>
        <v>3616333.4257387086</v>
      </c>
      <c r="Y1159" s="157"/>
      <c r="Z1159" s="238">
        <f>SUM(Z1115:Z1158)</f>
        <v>1522887.5999999996</v>
      </c>
      <c r="AA1159" s="148">
        <v>152070</v>
      </c>
      <c r="AB1159" s="148">
        <v>9011.2199999999993</v>
      </c>
      <c r="AC1159" s="149">
        <f>AB1159+AA1159</f>
        <v>161081.22</v>
      </c>
      <c r="AD1159" s="149">
        <f t="shared" si="332"/>
        <v>1531898.8199999996</v>
      </c>
      <c r="AE1159" s="158">
        <f t="shared" si="333"/>
        <v>2084434.605738709</v>
      </c>
      <c r="AF1159" s="168">
        <f>SUM(AF1115:AF1158)</f>
        <v>16245675.963000001</v>
      </c>
    </row>
    <row r="1160" spans="1:32" s="4" customFormat="1" x14ac:dyDescent="0.2">
      <c r="A1160" s="135"/>
      <c r="B1160" s="135"/>
      <c r="C1160" s="135"/>
      <c r="D1160" s="268"/>
      <c r="E1160" s="263"/>
      <c r="F1160" s="264"/>
      <c r="G1160" s="265"/>
      <c r="H1160" s="266"/>
      <c r="I1160" s="266"/>
      <c r="J1160" s="266"/>
      <c r="K1160" s="263"/>
      <c r="L1160" s="266"/>
      <c r="M1160" s="266"/>
      <c r="N1160" s="266"/>
      <c r="O1160" s="267"/>
      <c r="P1160" s="266"/>
      <c r="Q1160" s="266"/>
      <c r="R1160" s="266"/>
      <c r="S1160" s="268"/>
      <c r="T1160" s="135"/>
      <c r="U1160" s="271"/>
      <c r="V1160" s="271"/>
      <c r="W1160" s="271"/>
      <c r="X1160" s="271"/>
      <c r="Y1160" s="141"/>
      <c r="Z1160" s="271"/>
      <c r="AA1160" s="141"/>
      <c r="AB1160" s="141"/>
      <c r="AC1160" s="159"/>
      <c r="AD1160" s="159"/>
      <c r="AE1160" s="159"/>
      <c r="AF1160" s="169"/>
    </row>
    <row r="1161" spans="1:32" x14ac:dyDescent="0.2">
      <c r="A1161" s="140" t="s">
        <v>1158</v>
      </c>
      <c r="B1161" s="79"/>
      <c r="C1161" s="79"/>
      <c r="D1161" s="56">
        <f>D1159+D1112</f>
        <v>120</v>
      </c>
      <c r="E1161" s="54"/>
      <c r="F1161" s="55"/>
      <c r="G1161" s="55"/>
      <c r="H1161" s="56">
        <f>H1159+H1112</f>
        <v>42718239</v>
      </c>
      <c r="I1161" s="56">
        <f>I1159+I1112</f>
        <v>44202275.050000012</v>
      </c>
      <c r="J1161" s="56">
        <f>J1159+J1112</f>
        <v>22330732.463000003</v>
      </c>
      <c r="K1161" s="56"/>
      <c r="L1161" s="56">
        <f>L1159+L1112</f>
        <v>10528845</v>
      </c>
      <c r="M1161" s="56">
        <f>M1159+M1112</f>
        <v>10021931.696</v>
      </c>
      <c r="N1161" s="56">
        <f>N1159+N1112</f>
        <v>5024160.4728000006</v>
      </c>
      <c r="O1161" s="95"/>
      <c r="P1161" s="56">
        <f>P1159+P1112</f>
        <v>538280</v>
      </c>
      <c r="Q1161" s="56">
        <f>Q1159+Q1112</f>
        <v>803030.45199999993</v>
      </c>
      <c r="R1161" s="56">
        <f>R1159+R1112</f>
        <v>401515.22599999997</v>
      </c>
      <c r="S1161" s="56"/>
      <c r="T1161" s="25"/>
      <c r="U1161" s="56">
        <f>U1159+U1112</f>
        <v>73499874.107862517</v>
      </c>
      <c r="V1161" s="56">
        <f>V1159+V1112</f>
        <v>3698275.5887841559</v>
      </c>
      <c r="W1161" s="56">
        <f>W1159+W1112</f>
        <v>5931231.7903830083</v>
      </c>
      <c r="X1161" s="56">
        <f>X1159+X1112</f>
        <v>83129381.487029701</v>
      </c>
      <c r="Y1161" s="62"/>
      <c r="Z1161" s="56">
        <f t="shared" ref="Z1161:AF1161" si="335">Z1159+Z1112</f>
        <v>11544957.6</v>
      </c>
      <c r="AA1161" s="62">
        <f t="shared" si="335"/>
        <v>1800849.56</v>
      </c>
      <c r="AB1161" s="62">
        <f t="shared" si="335"/>
        <v>600012.55999999994</v>
      </c>
      <c r="AC1161" s="56">
        <f t="shared" si="335"/>
        <v>2400862.12</v>
      </c>
      <c r="AD1161" s="56">
        <f t="shared" si="335"/>
        <v>12144970.16</v>
      </c>
      <c r="AE1161" s="56">
        <f t="shared" si="335"/>
        <v>70984411.327029705</v>
      </c>
      <c r="AF1161" s="228">
        <f t="shared" si="335"/>
        <v>379749634.38549995</v>
      </c>
    </row>
    <row r="1162" spans="1:32" ht="12" thickBot="1" x14ac:dyDescent="0.25">
      <c r="A1162" s="136"/>
      <c r="I1162" s="51">
        <f>SUM(I1161-H1161)</f>
        <v>1484036.0500000119</v>
      </c>
      <c r="M1162" s="51">
        <f>SUM(M1161-L1161)</f>
        <v>-506913.30399999954</v>
      </c>
      <c r="Q1162" s="51">
        <f>SUM(Q1161-P1161)</f>
        <v>264750.45199999993</v>
      </c>
      <c r="T1162" s="272"/>
    </row>
    <row r="1163" spans="1:32" ht="12" thickTop="1" x14ac:dyDescent="0.2">
      <c r="A1163" s="134" t="s">
        <v>1192</v>
      </c>
      <c r="B1163" s="69"/>
      <c r="C1163" s="69"/>
      <c r="D1163" s="73">
        <f>D1161+D977+D953+D492+D64</f>
        <v>44773</v>
      </c>
      <c r="E1163" s="70"/>
      <c r="F1163" s="71"/>
      <c r="G1163" s="71"/>
      <c r="H1163" s="73">
        <f>H1161+H977+H953+H492+H64</f>
        <v>85996191</v>
      </c>
      <c r="I1163" s="73">
        <f>I1161+I977+I953+I492+I64</f>
        <v>64760058.370000012</v>
      </c>
      <c r="J1163" s="73">
        <f>J1161+J977+J953+J492+J64</f>
        <v>57119665.321160004</v>
      </c>
      <c r="K1163" s="73"/>
      <c r="L1163" s="73">
        <f>L1161+L977+L953+L492+L64</f>
        <v>30288999</v>
      </c>
      <c r="M1163" s="73">
        <f>M1161+M977+M953+M492+M64</f>
        <v>26829167.781000003</v>
      </c>
      <c r="N1163" s="73">
        <f>N1161+N977+N953+N492+N64</f>
        <v>19591767.658100002</v>
      </c>
      <c r="O1163" s="97"/>
      <c r="P1163" s="73">
        <f>P1161+P977+P953+P492+P64</f>
        <v>1076057.8370000001</v>
      </c>
      <c r="Q1163" s="73">
        <f>Q1161+Q977+Q953+Q492+Q64</f>
        <v>1115543.973</v>
      </c>
      <c r="R1163" s="73">
        <f>R1161+R977+R953+R492+R64</f>
        <v>818038.69665947999</v>
      </c>
      <c r="S1163" s="73"/>
      <c r="T1163" s="7"/>
      <c r="U1163" s="73">
        <f>U1161+U977+U953+U492+U64</f>
        <v>180411289.86994714</v>
      </c>
      <c r="V1163" s="73">
        <f>V1161+V977+V953+V492+V64</f>
        <v>15313321.078603977</v>
      </c>
      <c r="W1163" s="73">
        <f>W1161+W977+W953+W492+W64</f>
        <v>9374323.9673230276</v>
      </c>
      <c r="X1163" s="73">
        <f>X1161+X977+X953+X492+X64</f>
        <v>205098934.91587418</v>
      </c>
      <c r="Y1163" s="117"/>
      <c r="Z1163" s="73">
        <f t="shared" ref="Z1163:AF1163" si="336">Z1161+Z977+Z953+Z492+Z64</f>
        <v>46745275.021999985</v>
      </c>
      <c r="AA1163" s="117">
        <f t="shared" si="336"/>
        <v>6472330.2300000004</v>
      </c>
      <c r="AB1163" s="117">
        <f t="shared" si="336"/>
        <v>1327908.33</v>
      </c>
      <c r="AC1163" s="73">
        <f t="shared" si="336"/>
        <v>7800238.5600000005</v>
      </c>
      <c r="AD1163" s="73">
        <f t="shared" si="336"/>
        <v>48073183.351999991</v>
      </c>
      <c r="AE1163" s="73">
        <f t="shared" si="336"/>
        <v>157025751.56387419</v>
      </c>
      <c r="AF1163" s="273">
        <f t="shared" si="336"/>
        <v>867222834.9218998</v>
      </c>
    </row>
    <row r="1164" spans="1:32" ht="12" thickBot="1" x14ac:dyDescent="0.25">
      <c r="A1164" s="136"/>
      <c r="B1164" s="4"/>
      <c r="C1164" s="4"/>
      <c r="D1164" s="26"/>
      <c r="E1164" s="31"/>
      <c r="F1164" s="32"/>
      <c r="G1164" s="32"/>
      <c r="H1164" s="31"/>
      <c r="I1164" s="31"/>
      <c r="J1164" s="26"/>
      <c r="K1164" s="26"/>
      <c r="L1164" s="26"/>
      <c r="M1164" s="31"/>
      <c r="N1164" s="26"/>
      <c r="O1164" s="92"/>
      <c r="P1164" s="36"/>
      <c r="Q1164" s="31"/>
      <c r="R1164" s="26"/>
      <c r="S1164" s="26"/>
      <c r="T1164" s="5"/>
      <c r="U1164" s="53"/>
      <c r="V1164" s="53"/>
      <c r="W1164" s="53"/>
      <c r="X1164" s="53"/>
      <c r="Y1164" s="63"/>
      <c r="Z1164" s="53"/>
      <c r="AA1164" s="274">
        <f>+AA1163/Z1163</f>
        <v>0.13845956039308555</v>
      </c>
      <c r="AB1164" s="63"/>
      <c r="AC1164" s="53"/>
      <c r="AD1164" s="53"/>
      <c r="AE1164" s="53"/>
      <c r="AF1164" s="166"/>
    </row>
    <row r="1165" spans="1:32" ht="12.75" thickTop="1" thickBot="1" x14ac:dyDescent="0.25">
      <c r="A1165" s="275" t="s">
        <v>1172</v>
      </c>
      <c r="B1165" s="74"/>
      <c r="C1165" s="74"/>
      <c r="D1165" s="77">
        <f>D1163+D37</f>
        <v>879083</v>
      </c>
      <c r="E1165" s="75"/>
      <c r="F1165" s="76"/>
      <c r="G1165" s="76"/>
      <c r="H1165" s="77">
        <f>H1163+H37</f>
        <v>123343823</v>
      </c>
      <c r="I1165" s="77">
        <f>I1163+I37</f>
        <v>64760058.370000012</v>
      </c>
      <c r="J1165" s="77">
        <f>J1163+J37</f>
        <v>74321557.561159998</v>
      </c>
      <c r="K1165" s="77"/>
      <c r="L1165" s="77">
        <f>L1163+L37</f>
        <v>54701901.969999999</v>
      </c>
      <c r="M1165" s="77">
        <f>M1163+M37</f>
        <v>26829167.781000003</v>
      </c>
      <c r="N1165" s="77">
        <f>N1163+N37</f>
        <v>40008738.01213105</v>
      </c>
      <c r="O1165" s="98"/>
      <c r="P1165" s="77">
        <f>P1163+P37</f>
        <v>5460173.3738421053</v>
      </c>
      <c r="Q1165" s="77">
        <f>Q1163+Q37</f>
        <v>1115543.973</v>
      </c>
      <c r="R1165" s="77">
        <f>R1163+R37</f>
        <v>3136445.4977831515</v>
      </c>
      <c r="S1165" s="77"/>
      <c r="T1165" s="13"/>
      <c r="U1165" s="276">
        <f>U1163+U37</f>
        <v>231168736.28426433</v>
      </c>
      <c r="V1165" s="276">
        <f>V1163+V37</f>
        <v>27216029.789964814</v>
      </c>
      <c r="W1165" s="276">
        <f>W1163+W37</f>
        <v>32616213.000636112</v>
      </c>
      <c r="X1165" s="276">
        <f>X1163+X37</f>
        <v>291000979.07486528</v>
      </c>
      <c r="Y1165" s="118"/>
      <c r="Z1165" s="276">
        <f t="shared" ref="Z1165:AF1165" si="337">Z1163+Z37</f>
        <v>68569334.271999985</v>
      </c>
      <c r="AA1165" s="118">
        <f t="shared" si="337"/>
        <v>17932355.620000001</v>
      </c>
      <c r="AB1165" s="118">
        <f t="shared" si="337"/>
        <v>1856250.54</v>
      </c>
      <c r="AC1165" s="276">
        <f t="shared" si="337"/>
        <v>19788606.160000004</v>
      </c>
      <c r="AD1165" s="276">
        <f t="shared" si="337"/>
        <v>70425584.811999992</v>
      </c>
      <c r="AE1165" s="276">
        <f t="shared" si="337"/>
        <v>220575394.2628653</v>
      </c>
      <c r="AF1165" s="277">
        <f t="shared" si="337"/>
        <v>1051801901.6718998</v>
      </c>
    </row>
    <row r="1166" spans="1:32" ht="12" thickTop="1" x14ac:dyDescent="0.2">
      <c r="A1166" s="134"/>
      <c r="H1166" s="61"/>
      <c r="I1166" s="61"/>
      <c r="M1166" s="61"/>
      <c r="Q1166" s="61"/>
      <c r="T1166" s="30"/>
    </row>
    <row r="1167" spans="1:32" x14ac:dyDescent="0.2">
      <c r="A1167" s="134"/>
      <c r="B1167" s="4"/>
      <c r="C1167" s="4"/>
      <c r="D1167" s="26"/>
      <c r="E1167" s="26"/>
      <c r="F1167" s="26"/>
      <c r="G1167" s="278"/>
      <c r="H1167" s="26"/>
      <c r="I1167" s="26"/>
      <c r="J1167" s="26"/>
      <c r="K1167" s="26"/>
      <c r="L1167" s="26"/>
      <c r="M1167" s="26"/>
      <c r="N1167" s="26"/>
      <c r="O1167" s="92"/>
      <c r="P1167" s="26"/>
      <c r="Q1167" s="26"/>
      <c r="R1167" s="26"/>
      <c r="S1167" s="26"/>
      <c r="T1167" s="26"/>
      <c r="U1167" s="26"/>
      <c r="V1167" s="26"/>
      <c r="W1167" s="26"/>
      <c r="X1167" s="26"/>
      <c r="Y1167" s="63"/>
      <c r="Z1167" s="26"/>
      <c r="AA1167" s="63"/>
      <c r="AB1167" s="63"/>
      <c r="AC1167" s="26"/>
      <c r="AD1167" s="26"/>
      <c r="AE1167" s="26"/>
      <c r="AF1167" s="279"/>
    </row>
    <row r="1168" spans="1:32" x14ac:dyDescent="0.2">
      <c r="A1168" s="134"/>
      <c r="B1168" s="4" t="s">
        <v>1322</v>
      </c>
      <c r="C1168" s="4"/>
      <c r="D1168" s="26"/>
      <c r="E1168" s="31"/>
      <c r="F1168" s="32"/>
      <c r="G1168" s="32"/>
      <c r="H1168" s="31"/>
      <c r="I1168" s="31"/>
      <c r="J1168" s="26"/>
      <c r="K1168" s="26"/>
      <c r="L1168" s="26"/>
      <c r="M1168" s="31"/>
      <c r="N1168" s="26"/>
      <c r="O1168" s="92"/>
      <c r="P1168" s="36"/>
      <c r="Q1168" s="31"/>
      <c r="R1168" s="26"/>
      <c r="S1168" s="26"/>
      <c r="T1168" s="5"/>
      <c r="U1168" s="53"/>
      <c r="V1168" s="53"/>
      <c r="W1168" s="53"/>
      <c r="X1168" s="53"/>
      <c r="Y1168" s="63"/>
      <c r="Z1168" s="53"/>
      <c r="AA1168" s="63"/>
      <c r="AB1168" s="63"/>
      <c r="AC1168" s="53"/>
      <c r="AD1168" s="53"/>
      <c r="AE1168" s="53"/>
      <c r="AF1168" s="166"/>
    </row>
    <row r="1169" spans="1:32" x14ac:dyDescent="0.2">
      <c r="A1169" s="134"/>
      <c r="B1169" s="30" t="s">
        <v>1160</v>
      </c>
      <c r="D1169" s="26"/>
      <c r="E1169" s="31"/>
      <c r="F1169" s="32"/>
      <c r="G1169" s="32"/>
      <c r="H1169" s="31"/>
      <c r="I1169" s="31"/>
      <c r="J1169" s="26"/>
      <c r="K1169" s="26"/>
      <c r="L1169" s="26"/>
      <c r="M1169" s="31"/>
      <c r="N1169" s="26"/>
      <c r="O1169" s="92"/>
      <c r="P1169" s="36"/>
      <c r="Q1169" s="31"/>
      <c r="R1169" s="26"/>
      <c r="S1169" s="26"/>
      <c r="T1169" s="5"/>
      <c r="U1169" s="53"/>
      <c r="V1169" s="53"/>
      <c r="W1169" s="53"/>
      <c r="X1169" s="53"/>
      <c r="Y1169" s="63"/>
      <c r="Z1169" s="53"/>
      <c r="AA1169" s="63"/>
      <c r="AB1169" s="63"/>
      <c r="AC1169" s="53"/>
      <c r="AD1169" s="53"/>
      <c r="AE1169" s="53"/>
      <c r="AF1169" s="166"/>
    </row>
    <row r="1170" spans="1:32" x14ac:dyDescent="0.2">
      <c r="A1170" s="134" t="s">
        <v>965</v>
      </c>
      <c r="B1170" s="30" t="s">
        <v>1140</v>
      </c>
      <c r="F1170" s="2"/>
      <c r="G1170" s="2"/>
      <c r="O1170" s="92"/>
      <c r="P1170" s="36"/>
      <c r="AA1170" s="141">
        <v>21769.81</v>
      </c>
      <c r="AB1170" s="141">
        <v>15991.49</v>
      </c>
      <c r="AC1170" s="63">
        <f t="shared" ref="AC1170:AC1175" si="338">AB1170+AA1170</f>
        <v>37761.300000000003</v>
      </c>
    </row>
    <row r="1171" spans="1:32" x14ac:dyDescent="0.2">
      <c r="A1171" s="134" t="s">
        <v>964</v>
      </c>
      <c r="B1171" s="30" t="s">
        <v>1209</v>
      </c>
      <c r="F1171" s="2"/>
      <c r="G1171" s="2"/>
      <c r="O1171" s="92"/>
      <c r="P1171" s="36"/>
      <c r="AA1171" s="63">
        <v>0</v>
      </c>
      <c r="AB1171" s="141">
        <v>57389.34</v>
      </c>
      <c r="AC1171" s="63">
        <f t="shared" si="338"/>
        <v>57389.34</v>
      </c>
    </row>
    <row r="1172" spans="1:32" x14ac:dyDescent="0.2">
      <c r="A1172" s="134" t="s">
        <v>966</v>
      </c>
      <c r="B1172" s="30" t="s">
        <v>978</v>
      </c>
      <c r="F1172" s="2"/>
      <c r="G1172" s="2"/>
      <c r="O1172" s="92"/>
      <c r="P1172" s="36"/>
      <c r="AA1172" s="63">
        <v>0</v>
      </c>
      <c r="AB1172" s="141">
        <v>296599.53000000003</v>
      </c>
      <c r="AC1172" s="63">
        <f t="shared" si="338"/>
        <v>296599.53000000003</v>
      </c>
    </row>
    <row r="1173" spans="1:32" x14ac:dyDescent="0.2">
      <c r="A1173" s="134" t="s">
        <v>1208</v>
      </c>
      <c r="B1173" s="30" t="s">
        <v>1207</v>
      </c>
      <c r="F1173" s="2"/>
      <c r="G1173" s="2"/>
      <c r="O1173" s="92"/>
      <c r="P1173" s="36"/>
      <c r="AA1173" s="141">
        <v>169200</v>
      </c>
      <c r="AB1173" s="141">
        <v>185573.51</v>
      </c>
      <c r="AC1173" s="63">
        <f t="shared" si="338"/>
        <v>354773.51</v>
      </c>
    </row>
    <row r="1174" spans="1:32" x14ac:dyDescent="0.2">
      <c r="A1174" s="134" t="s">
        <v>962</v>
      </c>
      <c r="B1174" s="30" t="s">
        <v>919</v>
      </c>
      <c r="F1174" s="2"/>
      <c r="G1174" s="2"/>
      <c r="O1174" s="92"/>
      <c r="P1174" s="36"/>
      <c r="AA1174" s="141">
        <v>3719.88</v>
      </c>
      <c r="AB1174" s="141">
        <v>82833.42</v>
      </c>
      <c r="AC1174" s="63">
        <f t="shared" si="338"/>
        <v>86553.3</v>
      </c>
    </row>
    <row r="1175" spans="1:32" x14ac:dyDescent="0.2">
      <c r="A1175" s="138" t="s">
        <v>963</v>
      </c>
      <c r="B1175" s="4" t="s">
        <v>920</v>
      </c>
      <c r="C1175" s="4"/>
      <c r="F1175" s="2"/>
      <c r="G1175" s="2"/>
      <c r="J1175" s="26"/>
      <c r="K1175" s="26"/>
      <c r="L1175" s="26"/>
      <c r="N1175" s="26"/>
      <c r="O1175" s="92"/>
      <c r="P1175" s="36"/>
      <c r="R1175" s="26"/>
      <c r="S1175" s="26"/>
      <c r="T1175" s="5"/>
      <c r="X1175" s="53"/>
      <c r="Z1175" s="53"/>
      <c r="AA1175" s="104"/>
      <c r="AB1175" s="143">
        <v>12000</v>
      </c>
      <c r="AC1175" s="104">
        <f t="shared" si="338"/>
        <v>12000</v>
      </c>
    </row>
    <row r="1176" spans="1:32" x14ac:dyDescent="0.2">
      <c r="A1176" s="135" t="s">
        <v>1201</v>
      </c>
      <c r="B1176" s="57"/>
      <c r="C1176" s="57"/>
      <c r="D1176" s="60"/>
      <c r="E1176" s="78"/>
      <c r="F1176" s="58"/>
      <c r="G1176" s="58"/>
      <c r="H1176" s="78"/>
      <c r="I1176" s="78"/>
      <c r="J1176" s="60"/>
      <c r="K1176" s="60"/>
      <c r="L1176" s="60"/>
      <c r="M1176" s="78"/>
      <c r="N1176" s="60"/>
      <c r="O1176" s="96"/>
      <c r="P1176" s="59"/>
      <c r="Q1176" s="78"/>
      <c r="R1176" s="60"/>
      <c r="S1176" s="60"/>
      <c r="T1176" s="6"/>
      <c r="U1176" s="232"/>
      <c r="V1176" s="232"/>
      <c r="W1176" s="232"/>
      <c r="X1176" s="232"/>
      <c r="Y1176" s="116"/>
      <c r="Z1176" s="232"/>
      <c r="AA1176" s="63">
        <f>SUM(AA1170:AA1175)</f>
        <v>194689.69</v>
      </c>
      <c r="AB1176" s="63">
        <f>SUM(AB1170:AB1175)</f>
        <v>650387.29000000015</v>
      </c>
      <c r="AC1176" s="63">
        <f>SUM(AC1170:AC1175)</f>
        <v>845076.9800000001</v>
      </c>
      <c r="AD1176" s="232"/>
      <c r="AE1176" s="232"/>
      <c r="AF1176" s="233"/>
    </row>
    <row r="1177" spans="1:32" x14ac:dyDescent="0.2">
      <c r="A1177" s="135"/>
      <c r="B1177" s="4"/>
      <c r="C1177" s="4"/>
      <c r="D1177" s="26"/>
      <c r="E1177" s="31"/>
      <c r="F1177" s="32"/>
      <c r="G1177" s="32"/>
      <c r="H1177" s="31"/>
      <c r="I1177" s="31"/>
      <c r="J1177" s="26"/>
      <c r="K1177" s="26"/>
      <c r="L1177" s="26"/>
      <c r="M1177" s="31"/>
      <c r="N1177" s="26"/>
      <c r="O1177" s="92"/>
      <c r="P1177" s="36"/>
      <c r="Q1177" s="31"/>
      <c r="R1177" s="26"/>
      <c r="S1177" s="26"/>
      <c r="T1177" s="5"/>
      <c r="U1177" s="53"/>
      <c r="V1177" s="53"/>
      <c r="W1177" s="53"/>
      <c r="X1177" s="53"/>
      <c r="Y1177" s="63"/>
      <c r="Z1177" s="53"/>
      <c r="AA1177" s="63"/>
      <c r="AB1177" s="63"/>
      <c r="AC1177" s="63"/>
      <c r="AD1177" s="53"/>
      <c r="AE1177" s="53"/>
      <c r="AF1177" s="166"/>
    </row>
    <row r="1178" spans="1:32" x14ac:dyDescent="0.2">
      <c r="A1178" s="134"/>
      <c r="B1178" s="30" t="s">
        <v>1241</v>
      </c>
      <c r="D1178" s="26"/>
      <c r="E1178" s="31"/>
      <c r="F1178" s="32"/>
      <c r="G1178" s="32"/>
      <c r="H1178" s="31"/>
      <c r="I1178" s="31"/>
      <c r="J1178" s="26"/>
      <c r="K1178" s="26"/>
      <c r="L1178" s="26"/>
      <c r="M1178" s="31"/>
      <c r="N1178" s="26"/>
      <c r="O1178" s="92"/>
      <c r="P1178" s="36"/>
      <c r="Q1178" s="31"/>
      <c r="R1178" s="26"/>
      <c r="S1178" s="26"/>
      <c r="T1178" s="5"/>
      <c r="U1178" s="53"/>
      <c r="V1178" s="53"/>
      <c r="W1178" s="53"/>
      <c r="X1178" s="53"/>
      <c r="Y1178" s="63"/>
      <c r="Z1178" s="53"/>
      <c r="AA1178" s="63"/>
      <c r="AB1178" s="63"/>
      <c r="AC1178" s="63"/>
      <c r="AD1178" s="53"/>
      <c r="AE1178" s="53"/>
      <c r="AF1178" s="166"/>
    </row>
    <row r="1179" spans="1:32" x14ac:dyDescent="0.2">
      <c r="A1179" s="134" t="s">
        <v>968</v>
      </c>
      <c r="B1179" s="4" t="s">
        <v>976</v>
      </c>
      <c r="C1179" s="4"/>
      <c r="J1179" s="26"/>
      <c r="K1179" s="26"/>
      <c r="L1179" s="26"/>
      <c r="O1179" s="92"/>
      <c r="P1179" s="36"/>
      <c r="R1179" s="26"/>
      <c r="S1179" s="26"/>
      <c r="X1179" s="53"/>
      <c r="Z1179" s="53"/>
      <c r="AA1179" s="63">
        <v>0</v>
      </c>
      <c r="AB1179" s="141">
        <v>12109.56</v>
      </c>
      <c r="AC1179" s="63">
        <f>AB1179+AA1179</f>
        <v>12109.56</v>
      </c>
      <c r="AD1179" s="53"/>
      <c r="AE1179" s="53"/>
      <c r="AF1179" s="166"/>
    </row>
    <row r="1180" spans="1:32" x14ac:dyDescent="0.2">
      <c r="A1180" s="134" t="s">
        <v>967</v>
      </c>
      <c r="B1180" s="4" t="s">
        <v>1138</v>
      </c>
      <c r="C1180" s="4"/>
      <c r="J1180" s="26"/>
      <c r="K1180" s="26"/>
      <c r="L1180" s="26"/>
      <c r="O1180" s="92"/>
      <c r="P1180" s="36"/>
      <c r="R1180" s="26"/>
      <c r="S1180" s="26"/>
      <c r="X1180" s="53"/>
      <c r="Z1180" s="53"/>
      <c r="AA1180" s="63">
        <v>0</v>
      </c>
      <c r="AB1180" s="141">
        <v>5048.08</v>
      </c>
      <c r="AC1180" s="63">
        <f>AB1180+AA1180</f>
        <v>5048.08</v>
      </c>
      <c r="AD1180" s="53"/>
      <c r="AE1180" s="53"/>
      <c r="AF1180" s="166"/>
    </row>
    <row r="1181" spans="1:32" x14ac:dyDescent="0.2">
      <c r="A1181" s="138" t="s">
        <v>969</v>
      </c>
      <c r="B1181" s="4" t="s">
        <v>920</v>
      </c>
      <c r="C1181" s="4"/>
      <c r="J1181" s="26"/>
      <c r="K1181" s="26"/>
      <c r="L1181" s="26"/>
      <c r="O1181" s="92"/>
      <c r="P1181" s="36"/>
      <c r="R1181" s="26"/>
      <c r="S1181" s="26"/>
      <c r="X1181" s="53"/>
      <c r="Z1181" s="53"/>
      <c r="AA1181" s="104"/>
      <c r="AB1181" s="143">
        <v>27281.279999999999</v>
      </c>
      <c r="AC1181" s="104">
        <f>AB1181+AA1181</f>
        <v>27281.279999999999</v>
      </c>
      <c r="AD1181" s="53"/>
      <c r="AE1181" s="53"/>
      <c r="AF1181" s="166"/>
    </row>
    <row r="1182" spans="1:32" x14ac:dyDescent="0.2">
      <c r="A1182" s="134" t="s">
        <v>1202</v>
      </c>
      <c r="B1182" s="57"/>
      <c r="C1182" s="57"/>
      <c r="D1182" s="60"/>
      <c r="E1182" s="78"/>
      <c r="F1182" s="58"/>
      <c r="G1182" s="58"/>
      <c r="H1182" s="78"/>
      <c r="I1182" s="78"/>
      <c r="J1182" s="60"/>
      <c r="K1182" s="60"/>
      <c r="L1182" s="60"/>
      <c r="M1182" s="78"/>
      <c r="N1182" s="60"/>
      <c r="O1182" s="96"/>
      <c r="P1182" s="59"/>
      <c r="Q1182" s="78"/>
      <c r="R1182" s="60"/>
      <c r="S1182" s="60"/>
      <c r="T1182" s="6"/>
      <c r="U1182" s="60"/>
      <c r="V1182" s="60"/>
      <c r="W1182" s="60"/>
      <c r="X1182" s="60"/>
      <c r="Y1182" s="116"/>
      <c r="Z1182" s="60"/>
      <c r="AA1182" s="63">
        <f>SUM(AA1179:AA1180)</f>
        <v>0</v>
      </c>
      <c r="AB1182" s="63">
        <f>SUM(AB1179:AB1181)</f>
        <v>44438.92</v>
      </c>
      <c r="AC1182" s="63">
        <f>SUM(AC1179:AC1181)</f>
        <v>44438.92</v>
      </c>
      <c r="AD1182" s="232"/>
      <c r="AE1182" s="232"/>
      <c r="AF1182" s="233"/>
    </row>
    <row r="1183" spans="1:32" ht="12" thickBot="1" x14ac:dyDescent="0.25">
      <c r="A1183" s="136"/>
      <c r="B1183" s="4"/>
      <c r="C1183" s="4"/>
      <c r="D1183" s="26"/>
      <c r="E1183" s="31"/>
      <c r="F1183" s="32"/>
      <c r="G1183" s="32"/>
      <c r="H1183" s="31"/>
      <c r="I1183" s="31"/>
      <c r="J1183" s="26"/>
      <c r="K1183" s="26"/>
      <c r="L1183" s="26"/>
      <c r="M1183" s="31"/>
      <c r="N1183" s="26"/>
      <c r="O1183" s="92"/>
      <c r="P1183" s="36"/>
      <c r="Q1183" s="31"/>
      <c r="R1183" s="26"/>
      <c r="S1183" s="26"/>
      <c r="T1183" s="5"/>
      <c r="U1183" s="53"/>
      <c r="V1183" s="53"/>
      <c r="W1183" s="53"/>
      <c r="X1183" s="53"/>
      <c r="Y1183" s="63"/>
      <c r="Z1183" s="53"/>
      <c r="AA1183" s="63"/>
      <c r="AB1183" s="63"/>
      <c r="AC1183" s="63"/>
      <c r="AD1183" s="53"/>
      <c r="AE1183" s="53"/>
      <c r="AF1183" s="166"/>
    </row>
    <row r="1184" spans="1:32" ht="12" thickTop="1" x14ac:dyDescent="0.2">
      <c r="A1184" s="134" t="s">
        <v>1323</v>
      </c>
      <c r="B1184" s="69"/>
      <c r="C1184" s="69"/>
      <c r="D1184" s="73"/>
      <c r="E1184" s="70"/>
      <c r="F1184" s="71"/>
      <c r="G1184" s="71"/>
      <c r="H1184" s="70"/>
      <c r="I1184" s="70"/>
      <c r="J1184" s="73"/>
      <c r="K1184" s="73"/>
      <c r="L1184" s="73"/>
      <c r="M1184" s="70"/>
      <c r="N1184" s="73"/>
      <c r="O1184" s="97"/>
      <c r="P1184" s="72"/>
      <c r="Q1184" s="70"/>
      <c r="R1184" s="73"/>
      <c r="S1184" s="73"/>
      <c r="T1184" s="7"/>
      <c r="U1184" s="280"/>
      <c r="V1184" s="280"/>
      <c r="W1184" s="280"/>
      <c r="X1184" s="280"/>
      <c r="Y1184" s="117"/>
      <c r="Z1184" s="280"/>
      <c r="AA1184" s="117">
        <f>AA1182+AA1176</f>
        <v>194689.69</v>
      </c>
      <c r="AB1184" s="117">
        <f>AB1182+AB1176</f>
        <v>694826.2100000002</v>
      </c>
      <c r="AC1184" s="117">
        <f>AC1182+AC1176</f>
        <v>889515.90000000014</v>
      </c>
      <c r="AD1184" s="280"/>
      <c r="AE1184" s="280"/>
      <c r="AF1184" s="281"/>
    </row>
    <row r="1185" spans="1:32" ht="12.75" x14ac:dyDescent="0.2">
      <c r="A1185" s="134"/>
      <c r="B1185" s="4"/>
      <c r="C1185" s="4"/>
      <c r="D1185" s="26"/>
      <c r="E1185" s="31"/>
      <c r="F1185" s="32"/>
      <c r="G1185" s="32"/>
      <c r="H1185" s="31"/>
      <c r="I1185" s="31"/>
      <c r="J1185" s="26"/>
      <c r="K1185" s="26"/>
      <c r="L1185" s="26"/>
      <c r="M1185" s="31"/>
      <c r="N1185" s="26"/>
      <c r="O1185" s="92"/>
      <c r="P1185" s="36"/>
      <c r="Q1185" s="31"/>
      <c r="R1185" s="26"/>
      <c r="S1185" s="26"/>
      <c r="T1185" s="5"/>
      <c r="U1185" s="137"/>
      <c r="V1185" s="53"/>
      <c r="W1185" s="53"/>
      <c r="X1185" s="53"/>
      <c r="Y1185" s="63"/>
      <c r="Z1185" s="53"/>
      <c r="AA1185" s="63"/>
      <c r="AB1185" s="63"/>
      <c r="AC1185" s="53"/>
      <c r="AD1185" s="53"/>
      <c r="AE1185" s="53"/>
      <c r="AF1185" s="166"/>
    </row>
    <row r="1186" spans="1:32" x14ac:dyDescent="0.2">
      <c r="A1186" s="134"/>
      <c r="AD1186" s="53"/>
      <c r="AE1186" s="53"/>
      <c r="AF1186" s="166"/>
    </row>
    <row r="1187" spans="1:32" x14ac:dyDescent="0.2">
      <c r="A1187" s="134"/>
      <c r="B1187" s="4" t="s">
        <v>1169</v>
      </c>
      <c r="C1187" s="4"/>
      <c r="AD1187" s="53"/>
      <c r="AE1187" s="53"/>
      <c r="AF1187" s="166"/>
    </row>
    <row r="1188" spans="1:32" x14ac:dyDescent="0.2">
      <c r="A1188" s="134"/>
      <c r="B1188" s="30" t="s">
        <v>1160</v>
      </c>
      <c r="AD1188" s="53"/>
      <c r="AE1188" s="53"/>
      <c r="AF1188" s="166"/>
    </row>
    <row r="1189" spans="1:32" x14ac:dyDescent="0.2">
      <c r="A1189" s="134"/>
      <c r="B1189" s="30" t="s">
        <v>1167</v>
      </c>
      <c r="O1189" s="92"/>
      <c r="P1189" s="36"/>
      <c r="AB1189" s="141">
        <v>2349</v>
      </c>
      <c r="AC1189" s="105">
        <f t="shared" ref="AC1189:AC1194" si="339">AB1189+AA1189</f>
        <v>2349</v>
      </c>
      <c r="AD1189" s="105">
        <f t="shared" ref="AD1189:AD1194" si="340">Z1189+AB1189</f>
        <v>2349</v>
      </c>
      <c r="AE1189" s="105">
        <f t="shared" ref="AE1189:AE1194" si="341">X1189-AD1189</f>
        <v>-2349</v>
      </c>
    </row>
    <row r="1190" spans="1:32" x14ac:dyDescent="0.2">
      <c r="A1190" s="134"/>
      <c r="B1190" s="4" t="s">
        <v>1210</v>
      </c>
      <c r="C1190" s="4"/>
      <c r="O1190" s="92"/>
      <c r="P1190" s="36"/>
      <c r="AB1190" s="141">
        <v>-130.94999999999999</v>
      </c>
      <c r="AC1190" s="105">
        <f t="shared" si="339"/>
        <v>-130.94999999999999</v>
      </c>
      <c r="AD1190" s="105">
        <f t="shared" si="340"/>
        <v>-130.94999999999999</v>
      </c>
      <c r="AE1190" s="105">
        <f t="shared" si="341"/>
        <v>130.94999999999999</v>
      </c>
    </row>
    <row r="1191" spans="1:32" x14ac:dyDescent="0.2">
      <c r="A1191" s="134"/>
      <c r="B1191" s="4" t="s">
        <v>504</v>
      </c>
      <c r="C1191" s="4"/>
      <c r="O1191" s="92"/>
      <c r="P1191" s="36"/>
      <c r="AB1191" s="141">
        <v>24786.02</v>
      </c>
      <c r="AC1191" s="105">
        <f t="shared" si="339"/>
        <v>24786.02</v>
      </c>
      <c r="AD1191" s="105">
        <f t="shared" si="340"/>
        <v>24786.02</v>
      </c>
      <c r="AE1191" s="105">
        <f t="shared" si="341"/>
        <v>-24786.02</v>
      </c>
    </row>
    <row r="1192" spans="1:32" x14ac:dyDescent="0.2">
      <c r="A1192" s="134"/>
      <c r="B1192" s="4" t="s">
        <v>1211</v>
      </c>
      <c r="C1192" s="4"/>
      <c r="O1192" s="92"/>
      <c r="P1192" s="36"/>
      <c r="AB1192" s="141">
        <v>1611.04</v>
      </c>
      <c r="AC1192" s="105">
        <f t="shared" si="339"/>
        <v>1611.04</v>
      </c>
      <c r="AD1192" s="105">
        <f t="shared" si="340"/>
        <v>1611.04</v>
      </c>
      <c r="AE1192" s="105">
        <f t="shared" si="341"/>
        <v>-1611.04</v>
      </c>
    </row>
    <row r="1193" spans="1:32" x14ac:dyDescent="0.2">
      <c r="A1193" s="134"/>
      <c r="B1193" s="4" t="s">
        <v>1212</v>
      </c>
      <c r="C1193" s="4"/>
      <c r="O1193" s="92"/>
      <c r="P1193" s="36"/>
      <c r="AB1193" s="141">
        <v>-3179.53</v>
      </c>
      <c r="AC1193" s="105">
        <f t="shared" si="339"/>
        <v>-3179.53</v>
      </c>
      <c r="AD1193" s="105">
        <f t="shared" si="340"/>
        <v>-3179.53</v>
      </c>
      <c r="AE1193" s="105">
        <f t="shared" si="341"/>
        <v>3179.53</v>
      </c>
    </row>
    <row r="1194" spans="1:32" x14ac:dyDescent="0.2">
      <c r="A1194" s="138"/>
      <c r="B1194" s="4" t="s">
        <v>1213</v>
      </c>
      <c r="C1194" s="4"/>
      <c r="O1194" s="92"/>
      <c r="P1194" s="36"/>
      <c r="AB1194" s="143">
        <v>68130.58</v>
      </c>
      <c r="AC1194" s="105">
        <f t="shared" si="339"/>
        <v>68130.58</v>
      </c>
      <c r="AD1194" s="105">
        <f t="shared" si="340"/>
        <v>68130.58</v>
      </c>
      <c r="AE1194" s="105">
        <f t="shared" si="341"/>
        <v>-68130.58</v>
      </c>
    </row>
    <row r="1195" spans="1:32" x14ac:dyDescent="0.2">
      <c r="A1195" s="135" t="s">
        <v>1203</v>
      </c>
      <c r="B1195" s="57"/>
      <c r="C1195" s="57"/>
      <c r="D1195" s="60"/>
      <c r="E1195" s="78"/>
      <c r="F1195" s="58"/>
      <c r="G1195" s="58"/>
      <c r="H1195" s="78"/>
      <c r="I1195" s="78"/>
      <c r="J1195" s="60"/>
      <c r="K1195" s="60"/>
      <c r="L1195" s="60"/>
      <c r="M1195" s="78"/>
      <c r="N1195" s="60"/>
      <c r="O1195" s="96"/>
      <c r="P1195" s="59"/>
      <c r="Q1195" s="78"/>
      <c r="R1195" s="60"/>
      <c r="S1195" s="60"/>
      <c r="T1195" s="6"/>
      <c r="U1195" s="232"/>
      <c r="V1195" s="232"/>
      <c r="W1195" s="232"/>
      <c r="X1195" s="232"/>
      <c r="Y1195" s="116"/>
      <c r="Z1195" s="232"/>
      <c r="AA1195" s="116"/>
      <c r="AB1195" s="63">
        <f>SUM(AB1189:AB1194)</f>
        <v>93566.16</v>
      </c>
      <c r="AC1195" s="116">
        <f>SUM(AC1189:AC1194)</f>
        <v>93566.16</v>
      </c>
      <c r="AD1195" s="116">
        <f>SUM(AD1189:AD1194)</f>
        <v>93566.16</v>
      </c>
      <c r="AE1195" s="116">
        <f>SUM(AE1189:AE1194)</f>
        <v>-93566.16</v>
      </c>
      <c r="AF1195" s="233"/>
    </row>
    <row r="1196" spans="1:32" x14ac:dyDescent="0.2">
      <c r="A1196" s="134"/>
      <c r="B1196" s="4"/>
      <c r="C1196" s="4"/>
      <c r="AB1196" s="63"/>
      <c r="AC1196" s="105"/>
      <c r="AD1196" s="63"/>
      <c r="AE1196" s="63"/>
      <c r="AF1196" s="166"/>
    </row>
    <row r="1197" spans="1:32" x14ac:dyDescent="0.2">
      <c r="A1197" s="134"/>
      <c r="B1197" s="134" t="s">
        <v>1241</v>
      </c>
      <c r="C1197" s="134"/>
      <c r="AB1197" s="63"/>
      <c r="AC1197" s="105"/>
      <c r="AD1197" s="63"/>
      <c r="AE1197" s="63"/>
      <c r="AF1197" s="166"/>
    </row>
    <row r="1198" spans="1:32" x14ac:dyDescent="0.2">
      <c r="A1198" s="134"/>
      <c r="B1198" s="30" t="s">
        <v>974</v>
      </c>
      <c r="J1198" s="26"/>
      <c r="K1198" s="26"/>
      <c r="L1198" s="26"/>
      <c r="O1198" s="92"/>
      <c r="P1198" s="36"/>
      <c r="R1198" s="26"/>
      <c r="S1198" s="26"/>
      <c r="X1198" s="53"/>
      <c r="Z1198" s="53"/>
      <c r="AA1198" s="63"/>
      <c r="AB1198" s="141">
        <v>59042.42</v>
      </c>
      <c r="AC1198" s="63">
        <f>AB1198+AA1198</f>
        <v>59042.42</v>
      </c>
      <c r="AD1198" s="63">
        <f>Z1198+AB1198</f>
        <v>59042.42</v>
      </c>
      <c r="AE1198" s="63">
        <f>X1198-AD1198</f>
        <v>-59042.42</v>
      </c>
      <c r="AF1198" s="166"/>
    </row>
    <row r="1199" spans="1:32" x14ac:dyDescent="0.2">
      <c r="A1199" s="138"/>
      <c r="B1199" s="30" t="s">
        <v>975</v>
      </c>
      <c r="J1199" s="26"/>
      <c r="K1199" s="26"/>
      <c r="L1199" s="26"/>
      <c r="O1199" s="92"/>
      <c r="P1199" s="36"/>
      <c r="R1199" s="26"/>
      <c r="S1199" s="26"/>
      <c r="X1199" s="53"/>
      <c r="Z1199" s="53"/>
      <c r="AA1199" s="63"/>
      <c r="AB1199" s="143">
        <v>3023.53</v>
      </c>
      <c r="AC1199" s="63">
        <f>AB1199+AA1199</f>
        <v>3023.53</v>
      </c>
      <c r="AD1199" s="63">
        <f>Z1199+AB1199</f>
        <v>3023.53</v>
      </c>
      <c r="AE1199" s="63">
        <f>X1199-AD1199</f>
        <v>-3023.53</v>
      </c>
      <c r="AF1199" s="166"/>
    </row>
    <row r="1200" spans="1:32" x14ac:dyDescent="0.2">
      <c r="A1200" s="134" t="s">
        <v>1204</v>
      </c>
      <c r="B1200" s="57"/>
      <c r="C1200" s="57"/>
      <c r="D1200" s="60"/>
      <c r="E1200" s="78"/>
      <c r="F1200" s="58"/>
      <c r="G1200" s="58"/>
      <c r="H1200" s="78"/>
      <c r="I1200" s="78"/>
      <c r="J1200" s="60"/>
      <c r="K1200" s="60"/>
      <c r="L1200" s="60"/>
      <c r="M1200" s="78"/>
      <c r="N1200" s="60"/>
      <c r="O1200" s="96"/>
      <c r="P1200" s="59"/>
      <c r="Q1200" s="78"/>
      <c r="R1200" s="60"/>
      <c r="S1200" s="60"/>
      <c r="T1200" s="6"/>
      <c r="U1200" s="232"/>
      <c r="V1200" s="232"/>
      <c r="W1200" s="232"/>
      <c r="X1200" s="232"/>
      <c r="Y1200" s="116"/>
      <c r="Z1200" s="232"/>
      <c r="AA1200" s="116"/>
      <c r="AB1200" s="63">
        <f>SUM(AB1198:AB1199)</f>
        <v>62065.95</v>
      </c>
      <c r="AC1200" s="116">
        <f>SUM(AC1198:AC1199)</f>
        <v>62065.95</v>
      </c>
      <c r="AD1200" s="116">
        <f>SUM(AD1198:AD1199)</f>
        <v>62065.95</v>
      </c>
      <c r="AE1200" s="116">
        <f>SUM(AE1198:AE1199)</f>
        <v>-62065.95</v>
      </c>
      <c r="AF1200" s="233"/>
    </row>
    <row r="1201" spans="1:32" ht="12" thickBot="1" x14ac:dyDescent="0.25">
      <c r="A1201" s="136"/>
      <c r="AC1201" s="105"/>
      <c r="AD1201" s="63"/>
      <c r="AE1201" s="63"/>
      <c r="AF1201" s="166"/>
    </row>
    <row r="1202" spans="1:32" ht="12" thickTop="1" x14ac:dyDescent="0.2">
      <c r="A1202" s="134" t="s">
        <v>1171</v>
      </c>
      <c r="B1202" s="69"/>
      <c r="C1202" s="69"/>
      <c r="D1202" s="73"/>
      <c r="E1202" s="70"/>
      <c r="F1202" s="71"/>
      <c r="G1202" s="71"/>
      <c r="H1202" s="70"/>
      <c r="I1202" s="70"/>
      <c r="J1202" s="73"/>
      <c r="K1202" s="73"/>
      <c r="L1202" s="73"/>
      <c r="M1202" s="70"/>
      <c r="N1202" s="73"/>
      <c r="O1202" s="97"/>
      <c r="P1202" s="72"/>
      <c r="Q1202" s="70"/>
      <c r="R1202" s="73"/>
      <c r="S1202" s="73"/>
      <c r="T1202" s="7"/>
      <c r="U1202" s="280"/>
      <c r="V1202" s="280"/>
      <c r="W1202" s="280"/>
      <c r="X1202" s="280"/>
      <c r="Y1202" s="117"/>
      <c r="Z1202" s="280"/>
      <c r="AA1202" s="117"/>
      <c r="AB1202" s="117">
        <f>AB1200+AB1195</f>
        <v>155632.10999999999</v>
      </c>
      <c r="AC1202" s="117">
        <f>AC1200+AC1195</f>
        <v>155632.10999999999</v>
      </c>
      <c r="AD1202" s="117">
        <f>AD1200+AD1195</f>
        <v>155632.10999999999</v>
      </c>
      <c r="AE1202" s="117">
        <f>X1202-AD1202</f>
        <v>-155632.10999999999</v>
      </c>
      <c r="AF1202" s="281"/>
    </row>
    <row r="1203" spans="1:32" x14ac:dyDescent="0.2">
      <c r="A1203" s="134"/>
      <c r="B1203" s="4"/>
      <c r="C1203" s="4"/>
      <c r="D1203" s="26"/>
      <c r="E1203" s="31"/>
      <c r="F1203" s="32"/>
      <c r="G1203" s="32"/>
      <c r="H1203" s="31"/>
      <c r="I1203" s="31"/>
      <c r="J1203" s="26"/>
      <c r="K1203" s="26"/>
      <c r="L1203" s="26"/>
      <c r="M1203" s="31"/>
      <c r="N1203" s="26"/>
      <c r="O1203" s="92"/>
      <c r="P1203" s="36"/>
      <c r="Q1203" s="31"/>
      <c r="R1203" s="26"/>
      <c r="S1203" s="26"/>
      <c r="T1203" s="5"/>
      <c r="U1203" s="53"/>
      <c r="V1203" s="53"/>
      <c r="W1203" s="53"/>
      <c r="X1203" s="53"/>
      <c r="Y1203" s="63"/>
      <c r="Z1203" s="53"/>
      <c r="AA1203" s="63"/>
      <c r="AB1203" s="63"/>
      <c r="AC1203" s="53"/>
      <c r="AD1203" s="53"/>
      <c r="AE1203" s="53"/>
      <c r="AF1203" s="166"/>
    </row>
    <row r="1204" spans="1:32" x14ac:dyDescent="0.2">
      <c r="A1204" s="134"/>
      <c r="B1204" s="4" t="s">
        <v>1170</v>
      </c>
      <c r="C1204" s="4"/>
      <c r="AD1204" s="53"/>
      <c r="AE1204" s="53"/>
      <c r="AF1204" s="166"/>
    </row>
    <row r="1205" spans="1:32" ht="15.75" customHeight="1" x14ac:dyDescent="0.2">
      <c r="A1205" s="134"/>
      <c r="B1205" s="30" t="s">
        <v>1160</v>
      </c>
      <c r="AD1205" s="53"/>
      <c r="AE1205" s="53"/>
      <c r="AF1205" s="166"/>
    </row>
    <row r="1206" spans="1:32" x14ac:dyDescent="0.2">
      <c r="A1206" s="134"/>
      <c r="B1206" s="30" t="s">
        <v>1168</v>
      </c>
      <c r="O1206" s="92"/>
      <c r="P1206" s="36"/>
      <c r="AB1206" s="141">
        <v>0</v>
      </c>
      <c r="AC1206" s="35">
        <f t="shared" ref="AC1206:AC1211" si="342">AB1206+AA1206</f>
        <v>0</v>
      </c>
      <c r="AD1206" s="35">
        <f t="shared" ref="AD1206:AD1211" si="343">Z1206+AB1206</f>
        <v>0</v>
      </c>
      <c r="AE1206" s="35">
        <f t="shared" ref="AE1206:AE1211" si="344">X1206-AD1206</f>
        <v>0</v>
      </c>
    </row>
    <row r="1207" spans="1:32" x14ac:dyDescent="0.2">
      <c r="A1207" s="134"/>
      <c r="B1207" s="139" t="s">
        <v>1214</v>
      </c>
      <c r="C1207" s="139"/>
      <c r="O1207" s="92"/>
      <c r="P1207" s="36"/>
      <c r="AB1207" s="141">
        <v>3923.41</v>
      </c>
      <c r="AC1207" s="35">
        <f t="shared" si="342"/>
        <v>3923.41</v>
      </c>
      <c r="AD1207" s="35">
        <f t="shared" si="343"/>
        <v>3923.41</v>
      </c>
      <c r="AE1207" s="35">
        <f t="shared" si="344"/>
        <v>-3923.41</v>
      </c>
    </row>
    <row r="1208" spans="1:32" x14ac:dyDescent="0.2">
      <c r="A1208" s="134"/>
      <c r="B1208" s="139" t="s">
        <v>516</v>
      </c>
      <c r="C1208" s="139"/>
      <c r="O1208" s="92"/>
      <c r="P1208" s="36"/>
      <c r="AB1208" s="141">
        <v>60455</v>
      </c>
      <c r="AC1208" s="35">
        <f t="shared" si="342"/>
        <v>60455</v>
      </c>
      <c r="AD1208" s="35">
        <f t="shared" si="343"/>
        <v>60455</v>
      </c>
      <c r="AE1208" s="35">
        <f t="shared" si="344"/>
        <v>-60455</v>
      </c>
    </row>
    <row r="1209" spans="1:32" x14ac:dyDescent="0.2">
      <c r="A1209" s="134"/>
      <c r="B1209" s="4" t="s">
        <v>1215</v>
      </c>
      <c r="C1209" s="4"/>
      <c r="O1209" s="92"/>
      <c r="P1209" s="36"/>
      <c r="AB1209" s="141">
        <v>0</v>
      </c>
      <c r="AC1209" s="35">
        <f t="shared" si="342"/>
        <v>0</v>
      </c>
      <c r="AD1209" s="35">
        <f t="shared" si="343"/>
        <v>0</v>
      </c>
      <c r="AE1209" s="35">
        <f t="shared" si="344"/>
        <v>0</v>
      </c>
    </row>
    <row r="1210" spans="1:32" x14ac:dyDescent="0.2">
      <c r="A1210" s="134"/>
      <c r="B1210" s="4" t="s">
        <v>1216</v>
      </c>
      <c r="C1210" s="4"/>
      <c r="O1210" s="92"/>
      <c r="P1210" s="36"/>
      <c r="AB1210" s="141">
        <v>4324.97</v>
      </c>
      <c r="AC1210" s="35">
        <f t="shared" si="342"/>
        <v>4324.97</v>
      </c>
      <c r="AD1210" s="35">
        <f t="shared" si="343"/>
        <v>4324.97</v>
      </c>
      <c r="AE1210" s="35">
        <f t="shared" si="344"/>
        <v>-4324.97</v>
      </c>
    </row>
    <row r="1211" spans="1:32" x14ac:dyDescent="0.2">
      <c r="A1211" s="138"/>
      <c r="B1211" s="4" t="s">
        <v>1217</v>
      </c>
      <c r="C1211" s="4"/>
      <c r="O1211" s="92"/>
      <c r="P1211" s="36"/>
      <c r="AB1211" s="143">
        <v>2380.9899999999998</v>
      </c>
      <c r="AC1211" s="35">
        <f t="shared" si="342"/>
        <v>2380.9899999999998</v>
      </c>
      <c r="AD1211" s="35">
        <f t="shared" si="343"/>
        <v>2380.9899999999998</v>
      </c>
      <c r="AE1211" s="35">
        <f t="shared" si="344"/>
        <v>-2380.9899999999998</v>
      </c>
    </row>
    <row r="1212" spans="1:32" x14ac:dyDescent="0.2">
      <c r="A1212" s="134" t="s">
        <v>1205</v>
      </c>
      <c r="B1212" s="57"/>
      <c r="C1212" s="57"/>
      <c r="D1212" s="60"/>
      <c r="E1212" s="78"/>
      <c r="F1212" s="58"/>
      <c r="G1212" s="58"/>
      <c r="H1212" s="78"/>
      <c r="I1212" s="78"/>
      <c r="J1212" s="60"/>
      <c r="K1212" s="60"/>
      <c r="L1212" s="60"/>
      <c r="M1212" s="78"/>
      <c r="N1212" s="60"/>
      <c r="O1212" s="96"/>
      <c r="P1212" s="59"/>
      <c r="Q1212" s="78"/>
      <c r="R1212" s="60"/>
      <c r="S1212" s="60"/>
      <c r="T1212" s="6"/>
      <c r="U1212" s="232"/>
      <c r="V1212" s="232"/>
      <c r="W1212" s="232"/>
      <c r="X1212" s="232"/>
      <c r="Y1212" s="116"/>
      <c r="Z1212" s="232"/>
      <c r="AA1212" s="116"/>
      <c r="AB1212" s="63">
        <f>SUM(AB1206:AB1211)</f>
        <v>71084.37000000001</v>
      </c>
      <c r="AC1212" s="232">
        <f>SUM(AC1206:AC1211)</f>
        <v>71084.37000000001</v>
      </c>
      <c r="AD1212" s="232">
        <f>SUM(AD1206:AD1211)</f>
        <v>71084.37000000001</v>
      </c>
      <c r="AE1212" s="232">
        <f>SUM(AE1206:AE1211)</f>
        <v>-71084.37000000001</v>
      </c>
      <c r="AF1212" s="233"/>
    </row>
    <row r="1213" spans="1:32" x14ac:dyDescent="0.2">
      <c r="A1213" s="134"/>
      <c r="B1213" s="4"/>
      <c r="C1213" s="4"/>
      <c r="AD1213" s="53"/>
      <c r="AE1213" s="53"/>
      <c r="AF1213" s="166"/>
    </row>
    <row r="1214" spans="1:32" x14ac:dyDescent="0.2">
      <c r="A1214" s="134"/>
      <c r="B1214" s="30" t="s">
        <v>1241</v>
      </c>
      <c r="T1214" s="30"/>
    </row>
    <row r="1215" spans="1:32" x14ac:dyDescent="0.2">
      <c r="A1215" s="138"/>
      <c r="B1215" s="4"/>
      <c r="C1215" s="4"/>
      <c r="AC1215" s="53"/>
      <c r="AD1215" s="53"/>
      <c r="AE1215" s="53"/>
      <c r="AF1215" s="166"/>
    </row>
    <row r="1216" spans="1:32" x14ac:dyDescent="0.2">
      <c r="A1216" s="134" t="s">
        <v>1206</v>
      </c>
      <c r="B1216" s="57"/>
      <c r="C1216" s="57"/>
      <c r="D1216" s="60"/>
      <c r="E1216" s="78"/>
      <c r="F1216" s="58"/>
      <c r="G1216" s="58"/>
      <c r="H1216" s="78"/>
      <c r="I1216" s="78"/>
      <c r="J1216" s="60"/>
      <c r="K1216" s="60"/>
      <c r="L1216" s="60"/>
      <c r="M1216" s="78"/>
      <c r="N1216" s="60"/>
      <c r="O1216" s="96"/>
      <c r="P1216" s="59"/>
      <c r="Q1216" s="78"/>
      <c r="R1216" s="60"/>
      <c r="S1216" s="60"/>
      <c r="T1216" s="6"/>
      <c r="U1216" s="232"/>
      <c r="V1216" s="232"/>
      <c r="W1216" s="232"/>
      <c r="X1216" s="232"/>
      <c r="Y1216" s="116"/>
      <c r="Z1216" s="232"/>
      <c r="AA1216" s="116"/>
      <c r="AB1216" s="116">
        <v>0</v>
      </c>
      <c r="AC1216" s="232">
        <f>SUM(AC1215)</f>
        <v>0</v>
      </c>
      <c r="AD1216" s="232">
        <f>SUM(AD1215)</f>
        <v>0</v>
      </c>
      <c r="AE1216" s="232">
        <f>SUM(AE1215)</f>
        <v>0</v>
      </c>
      <c r="AF1216" s="233"/>
    </row>
    <row r="1217" spans="1:32" ht="12" thickBot="1" x14ac:dyDescent="0.25">
      <c r="A1217" s="136"/>
      <c r="AD1217" s="53"/>
      <c r="AE1217" s="53"/>
      <c r="AF1217" s="166"/>
    </row>
    <row r="1218" spans="1:32" ht="12" thickTop="1" x14ac:dyDescent="0.2">
      <c r="A1218" s="134" t="s">
        <v>1173</v>
      </c>
      <c r="B1218" s="69"/>
      <c r="C1218" s="69"/>
      <c r="D1218" s="73"/>
      <c r="E1218" s="70"/>
      <c r="F1218" s="282"/>
      <c r="G1218" s="282"/>
      <c r="H1218" s="70"/>
      <c r="I1218" s="70"/>
      <c r="J1218" s="73"/>
      <c r="K1218" s="73"/>
      <c r="L1218" s="73"/>
      <c r="M1218" s="70"/>
      <c r="N1218" s="283"/>
      <c r="O1218" s="97"/>
      <c r="P1218" s="72"/>
      <c r="Q1218" s="70"/>
      <c r="R1218" s="283"/>
      <c r="S1218" s="73"/>
      <c r="T1218" s="7"/>
      <c r="U1218" s="284"/>
      <c r="V1218" s="284"/>
      <c r="W1218" s="284"/>
      <c r="X1218" s="284"/>
      <c r="Y1218" s="117"/>
      <c r="Z1218" s="284"/>
      <c r="AA1218" s="117"/>
      <c r="AB1218" s="285">
        <f>AB1212+AB1216</f>
        <v>71084.37000000001</v>
      </c>
      <c r="AC1218" s="284">
        <f>AC1212+AC1216</f>
        <v>71084.37000000001</v>
      </c>
      <c r="AD1218" s="284">
        <f>AD1212+AD1216</f>
        <v>71084.37000000001</v>
      </c>
      <c r="AE1218" s="284">
        <f>AE1212+AE1216</f>
        <v>-71084.37000000001</v>
      </c>
      <c r="AF1218" s="286"/>
    </row>
    <row r="1219" spans="1:32" x14ac:dyDescent="0.2">
      <c r="A1219" s="134"/>
      <c r="AD1219" s="53"/>
      <c r="AE1219" s="53"/>
      <c r="AF1219" s="166"/>
    </row>
    <row r="1220" spans="1:32" x14ac:dyDescent="0.2">
      <c r="A1220" s="134"/>
      <c r="AD1220" s="53"/>
      <c r="AE1220" s="53"/>
      <c r="AF1220" s="166"/>
    </row>
    <row r="1221" spans="1:32" x14ac:dyDescent="0.2">
      <c r="A1221" s="138"/>
      <c r="B1221" s="64" t="s">
        <v>1191</v>
      </c>
      <c r="C1221" s="64"/>
      <c r="D1221" s="65"/>
      <c r="E1221" s="66"/>
      <c r="F1221" s="67"/>
      <c r="G1221" s="67"/>
      <c r="H1221" s="66"/>
      <c r="I1221" s="66"/>
      <c r="J1221" s="65"/>
      <c r="K1221" s="65"/>
      <c r="L1221" s="65"/>
      <c r="M1221" s="66"/>
      <c r="N1221" s="65"/>
      <c r="O1221" s="287"/>
      <c r="P1221" s="288"/>
      <c r="Q1221" s="66"/>
      <c r="R1221" s="65"/>
      <c r="S1221" s="65"/>
      <c r="T1221" s="39"/>
      <c r="U1221" s="68"/>
      <c r="V1221" s="68"/>
      <c r="W1221" s="68"/>
      <c r="X1221" s="68"/>
      <c r="Y1221" s="104"/>
      <c r="Z1221" s="68"/>
      <c r="AA1221" s="104"/>
      <c r="AB1221" s="104">
        <v>4515222.43</v>
      </c>
      <c r="AC1221" s="68">
        <f>AB1221+AA1221</f>
        <v>4515222.43</v>
      </c>
      <c r="AD1221" s="68">
        <f>Z1221+AB1221</f>
        <v>4515222.43</v>
      </c>
      <c r="AE1221" s="68">
        <f>X1221-AD1221</f>
        <v>-4515222.43</v>
      </c>
      <c r="AF1221" s="170"/>
    </row>
    <row r="1222" spans="1:32" x14ac:dyDescent="0.2">
      <c r="A1222" s="134"/>
      <c r="B1222" s="79"/>
      <c r="C1222" s="4"/>
      <c r="D1222" s="26"/>
      <c r="E1222" s="31"/>
      <c r="F1222" s="32"/>
      <c r="G1222" s="32"/>
      <c r="H1222" s="31"/>
      <c r="I1222" s="31"/>
      <c r="J1222" s="26"/>
      <c r="K1222" s="26"/>
      <c r="L1222" s="26"/>
      <c r="M1222" s="31"/>
      <c r="N1222" s="26"/>
      <c r="O1222" s="92"/>
      <c r="P1222" s="36"/>
      <c r="Q1222" s="31"/>
      <c r="R1222" s="26"/>
      <c r="S1222" s="26"/>
      <c r="T1222" s="5"/>
      <c r="U1222" s="53"/>
      <c r="V1222" s="53"/>
      <c r="W1222" s="53"/>
      <c r="X1222" s="53"/>
      <c r="Y1222" s="63"/>
      <c r="Z1222" s="53"/>
      <c r="AA1222" s="63"/>
      <c r="AB1222" s="63" t="s">
        <v>1189</v>
      </c>
      <c r="AC1222" s="53" t="s">
        <v>1189</v>
      </c>
      <c r="AD1222" s="53" t="s">
        <v>1189</v>
      </c>
      <c r="AE1222" s="53" t="s">
        <v>1189</v>
      </c>
      <c r="AF1222" s="166"/>
    </row>
    <row r="1223" spans="1:32" s="4" customFormat="1" ht="34.5" customHeight="1" x14ac:dyDescent="0.2">
      <c r="A1223" s="140"/>
      <c r="B1223" s="289" t="s">
        <v>1319</v>
      </c>
      <c r="C1223" s="290"/>
      <c r="D1223" s="56">
        <f>D1165+D1202+D1218</f>
        <v>879083</v>
      </c>
      <c r="E1223" s="54" t="s">
        <v>1189</v>
      </c>
      <c r="F1223" s="55" t="s">
        <v>1189</v>
      </c>
      <c r="G1223" s="55"/>
      <c r="H1223" s="54"/>
      <c r="I1223" s="54"/>
      <c r="J1223" s="56">
        <f>J1165+J1202+J1218</f>
        <v>74321557.561159998</v>
      </c>
      <c r="K1223" s="56" t="s">
        <v>1189</v>
      </c>
      <c r="L1223" s="56"/>
      <c r="M1223" s="54"/>
      <c r="N1223" s="56" t="s">
        <v>1189</v>
      </c>
      <c r="O1223" s="95" t="s">
        <v>1189</v>
      </c>
      <c r="P1223" s="162"/>
      <c r="Q1223" s="54"/>
      <c r="R1223" s="56" t="s">
        <v>1189</v>
      </c>
      <c r="S1223" s="229">
        <v>0</v>
      </c>
      <c r="T1223" s="229"/>
      <c r="U1223" s="229">
        <f t="shared" ref="U1223:AD1223" si="345">U1165+U1202+U1218</f>
        <v>231168736.28426433</v>
      </c>
      <c r="V1223" s="229">
        <f t="shared" si="345"/>
        <v>27216029.789964814</v>
      </c>
      <c r="W1223" s="229">
        <f t="shared" si="345"/>
        <v>32616213.000636112</v>
      </c>
      <c r="X1223" s="229">
        <f t="shared" si="345"/>
        <v>291000979.07486528</v>
      </c>
      <c r="Y1223" s="62">
        <v>0</v>
      </c>
      <c r="Z1223" s="229">
        <f t="shared" si="345"/>
        <v>68569334.271999985</v>
      </c>
      <c r="AA1223" s="62">
        <f t="shared" si="345"/>
        <v>17932355.620000001</v>
      </c>
      <c r="AB1223" s="62">
        <f t="shared" si="345"/>
        <v>2082967.02</v>
      </c>
      <c r="AC1223" s="229">
        <f t="shared" si="345"/>
        <v>20015322.640000004</v>
      </c>
      <c r="AD1223" s="229">
        <f t="shared" si="345"/>
        <v>70652301.291999996</v>
      </c>
      <c r="AE1223" s="229">
        <f>AE1165+AE1202+AE1218</f>
        <v>220348677.78286529</v>
      </c>
      <c r="AF1223" s="229">
        <f>AF1165+AF1202+AF1218</f>
        <v>1051801901.6718998</v>
      </c>
    </row>
    <row r="1224" spans="1:32" s="4" customFormat="1" ht="24.75" customHeight="1" x14ac:dyDescent="0.2">
      <c r="A1224" s="140"/>
      <c r="B1224" s="289" t="s">
        <v>1174</v>
      </c>
      <c r="C1224" s="290"/>
      <c r="D1224" s="56">
        <f>D1223-D1221</f>
        <v>879083</v>
      </c>
      <c r="E1224" s="54" t="s">
        <v>1189</v>
      </c>
      <c r="F1224" s="55" t="s">
        <v>1189</v>
      </c>
      <c r="G1224" s="55"/>
      <c r="H1224" s="54"/>
      <c r="I1224" s="54"/>
      <c r="J1224" s="56">
        <f>J1223-J1221</f>
        <v>74321557.561159998</v>
      </c>
      <c r="K1224" s="56" t="s">
        <v>1189</v>
      </c>
      <c r="L1224" s="56"/>
      <c r="M1224" s="54"/>
      <c r="N1224" s="56" t="s">
        <v>1189</v>
      </c>
      <c r="O1224" s="95" t="s">
        <v>1189</v>
      </c>
      <c r="P1224" s="162"/>
      <c r="Q1224" s="54"/>
      <c r="R1224" s="56" t="s">
        <v>1189</v>
      </c>
      <c r="S1224" s="56">
        <v>0</v>
      </c>
      <c r="T1224" s="56"/>
      <c r="U1224" s="229">
        <f t="shared" ref="U1224:Z1224" si="346">U1223+U1222</f>
        <v>231168736.28426433</v>
      </c>
      <c r="V1224" s="229">
        <f t="shared" si="346"/>
        <v>27216029.789964814</v>
      </c>
      <c r="W1224" s="229">
        <f t="shared" si="346"/>
        <v>32616213.000636112</v>
      </c>
      <c r="X1224" s="229">
        <f t="shared" si="346"/>
        <v>291000979.07486528</v>
      </c>
      <c r="Y1224" s="62">
        <v>0</v>
      </c>
      <c r="Z1224" s="229">
        <f t="shared" si="346"/>
        <v>68569334.271999985</v>
      </c>
      <c r="AA1224" s="62">
        <f t="shared" ref="AA1224:AF1224" si="347">AA1223+AA1221</f>
        <v>17932355.620000001</v>
      </c>
      <c r="AB1224" s="62">
        <f t="shared" si="347"/>
        <v>6598189.4499999993</v>
      </c>
      <c r="AC1224" s="229">
        <f t="shared" si="347"/>
        <v>24530545.070000004</v>
      </c>
      <c r="AD1224" s="229">
        <f t="shared" si="347"/>
        <v>75167523.722000003</v>
      </c>
      <c r="AE1224" s="294">
        <f t="shared" si="347"/>
        <v>215833455.35286528</v>
      </c>
      <c r="AF1224" s="294">
        <f t="shared" si="347"/>
        <v>1051801901.6718998</v>
      </c>
    </row>
    <row r="1225" spans="1:32" x14ac:dyDescent="0.2">
      <c r="A1225" s="134"/>
      <c r="D1225" s="33" t="s">
        <v>1189</v>
      </c>
      <c r="U1225" s="35" t="s">
        <v>1189</v>
      </c>
      <c r="V1225" s="35" t="s">
        <v>1189</v>
      </c>
      <c r="W1225" s="35" t="s">
        <v>1189</v>
      </c>
      <c r="AD1225" s="35" t="s">
        <v>1189</v>
      </c>
    </row>
    <row r="1226" spans="1:32" s="4" customFormat="1" ht="12.75" thickBot="1" x14ac:dyDescent="0.25">
      <c r="A1226" s="291"/>
      <c r="B1226" s="292"/>
      <c r="C1226" s="292"/>
      <c r="D1226" s="21"/>
      <c r="E1226" s="28"/>
      <c r="F1226" s="22"/>
      <c r="G1226" s="22"/>
      <c r="H1226" s="28"/>
      <c r="I1226" s="28"/>
      <c r="J1226" s="21"/>
      <c r="K1226" s="21"/>
      <c r="L1226" s="21"/>
      <c r="M1226" s="28"/>
      <c r="N1226" s="21"/>
      <c r="O1226" s="99"/>
      <c r="P1226" s="80"/>
      <c r="Q1226" s="28"/>
      <c r="R1226" s="21"/>
      <c r="S1226" s="21"/>
      <c r="T1226" s="14"/>
      <c r="U1226" s="81"/>
      <c r="V1226" s="81"/>
      <c r="W1226" s="81"/>
      <c r="X1226" s="81"/>
      <c r="Y1226" s="111"/>
      <c r="Z1226" s="81"/>
      <c r="AA1226" s="111"/>
      <c r="AB1226" s="111"/>
      <c r="AC1226" s="81"/>
      <c r="AD1226" s="81"/>
      <c r="AE1226" s="81"/>
      <c r="AF1226" s="293"/>
    </row>
    <row r="1227" spans="1:32" s="4" customFormat="1" ht="12" thickTop="1" x14ac:dyDescent="0.2">
      <c r="A1227" s="134"/>
      <c r="D1227" s="33"/>
      <c r="E1227" s="51"/>
      <c r="F1227" s="50"/>
      <c r="G1227" s="50"/>
      <c r="H1227" s="51"/>
      <c r="I1227" s="51"/>
      <c r="J1227" s="33"/>
      <c r="K1227" s="26"/>
      <c r="L1227" s="26"/>
      <c r="M1227" s="51"/>
      <c r="N1227" s="33"/>
      <c r="O1227" s="92"/>
      <c r="P1227" s="36"/>
      <c r="Q1227" s="51"/>
      <c r="R1227" s="33"/>
      <c r="S1227" s="33"/>
      <c r="T1227" s="5"/>
      <c r="U1227" s="35"/>
      <c r="V1227" s="35"/>
      <c r="W1227" s="35"/>
      <c r="X1227" s="35"/>
      <c r="Y1227" s="105"/>
      <c r="Z1227" s="53"/>
      <c r="AA1227" s="63"/>
      <c r="AB1227" s="105"/>
      <c r="AC1227" s="35"/>
      <c r="AD1227" s="35"/>
      <c r="AE1227" s="35"/>
      <c r="AF1227" s="163"/>
    </row>
    <row r="1228" spans="1:32" x14ac:dyDescent="0.2">
      <c r="A1228" s="135"/>
      <c r="B1228" s="4"/>
      <c r="C1228" s="4"/>
      <c r="D1228" s="26"/>
      <c r="E1228" s="31"/>
      <c r="F1228" s="32"/>
      <c r="G1228" s="32"/>
      <c r="H1228" s="31"/>
      <c r="I1228" s="31"/>
      <c r="J1228" s="26"/>
      <c r="K1228" s="26"/>
      <c r="L1228" s="26"/>
      <c r="M1228" s="31"/>
      <c r="N1228" s="26"/>
      <c r="O1228" s="92"/>
      <c r="P1228" s="36"/>
      <c r="Q1228" s="31"/>
      <c r="R1228" s="26"/>
      <c r="S1228" s="26"/>
      <c r="T1228" s="52"/>
      <c r="U1228" s="53"/>
      <c r="V1228" s="53"/>
      <c r="W1228" s="53"/>
      <c r="X1228" s="53"/>
      <c r="Y1228" s="63"/>
      <c r="Z1228" s="53"/>
      <c r="AA1228" s="63" t="s">
        <v>1189</v>
      </c>
      <c r="AB1228" s="63" t="s">
        <v>1189</v>
      </c>
      <c r="AC1228" s="53" t="s">
        <v>1189</v>
      </c>
      <c r="AD1228" s="53" t="s">
        <v>1189</v>
      </c>
      <c r="AE1228" s="53" t="s">
        <v>1189</v>
      </c>
      <c r="AF1228" s="166"/>
    </row>
    <row r="1229" spans="1:32" s="4" customFormat="1" ht="36.75" customHeight="1" x14ac:dyDescent="0.2">
      <c r="A1229" s="140"/>
      <c r="B1229" s="289" t="s">
        <v>977</v>
      </c>
      <c r="C1229" s="290"/>
      <c r="D1229" s="56">
        <f>D1224+D1184</f>
        <v>879083</v>
      </c>
      <c r="E1229" s="54" t="s">
        <v>1189</v>
      </c>
      <c r="F1229" s="55" t="s">
        <v>1189</v>
      </c>
      <c r="G1229" s="55"/>
      <c r="H1229" s="54"/>
      <c r="I1229" s="54"/>
      <c r="J1229" s="56">
        <f>J1224+J1184</f>
        <v>74321557.561159998</v>
      </c>
      <c r="K1229" s="56" t="s">
        <v>1189</v>
      </c>
      <c r="L1229" s="56"/>
      <c r="M1229" s="54"/>
      <c r="N1229" s="56" t="s">
        <v>1189</v>
      </c>
      <c r="O1229" s="95" t="s">
        <v>1189</v>
      </c>
      <c r="P1229" s="162"/>
      <c r="Q1229" s="54"/>
      <c r="R1229" s="56" t="s">
        <v>1189</v>
      </c>
      <c r="S1229" s="56">
        <v>0</v>
      </c>
      <c r="T1229" s="229" t="s">
        <v>1189</v>
      </c>
      <c r="U1229" s="56">
        <f t="shared" ref="U1229:AC1229" si="348">U1224+U1184</f>
        <v>231168736.28426433</v>
      </c>
      <c r="V1229" s="56">
        <f t="shared" si="348"/>
        <v>27216029.789964814</v>
      </c>
      <c r="W1229" s="56">
        <f t="shared" si="348"/>
        <v>32616213.000636112</v>
      </c>
      <c r="X1229" s="56">
        <f t="shared" si="348"/>
        <v>291000979.07486528</v>
      </c>
      <c r="Y1229" s="62">
        <v>0</v>
      </c>
      <c r="Z1229" s="56">
        <f t="shared" si="348"/>
        <v>68569334.271999985</v>
      </c>
      <c r="AA1229" s="62">
        <f t="shared" si="348"/>
        <v>18127045.310000002</v>
      </c>
      <c r="AB1229" s="62">
        <f t="shared" si="348"/>
        <v>7293015.6599999992</v>
      </c>
      <c r="AC1229" s="56">
        <f t="shared" si="348"/>
        <v>25420060.970000003</v>
      </c>
      <c r="AD1229" s="56"/>
      <c r="AE1229" s="56"/>
      <c r="AF1229" s="228"/>
    </row>
    <row r="1230" spans="1:32" x14ac:dyDescent="0.2">
      <c r="E1230" s="33"/>
      <c r="F1230" s="33"/>
      <c r="G1230" s="119"/>
      <c r="H1230" s="33"/>
      <c r="I1230" s="33"/>
      <c r="M1230" s="33"/>
      <c r="P1230" s="33"/>
      <c r="Q1230" s="33"/>
      <c r="T1230" s="33"/>
      <c r="U1230" s="33"/>
      <c r="V1230" s="33"/>
      <c r="W1230" s="33"/>
      <c r="X1230" s="33"/>
      <c r="Z1230" s="33"/>
      <c r="AC1230" s="33"/>
      <c r="AD1230" s="33"/>
      <c r="AE1230" s="33"/>
      <c r="AF1230" s="171"/>
    </row>
  </sheetData>
  <autoFilter ref="A1:AE1229"/>
  <customSheetViews>
    <customSheetView guid="{D3618886-EC92-4244-941D-CAF99D049731}" showGridLines="0" fitToPage="1" printArea="1" showAutoFilter="1" showRuler="0">
      <pane xSplit="2" ySplit="8" topLeftCell="D42" activePane="bottomRight" state="frozen"/>
      <selection pane="bottomRight" activeCell="I46" sqref="I46"/>
      <rowBreaks count="1" manualBreakCount="1">
        <brk id="103" max="24" man="1"/>
      </rowBreaks>
      <pageMargins left="0" right="0" top="0" bottom="0.5" header="0.17" footer="0.2"/>
      <printOptions horizontalCentered="1" verticalCentered="1" headings="1"/>
      <pageSetup paperSize="17" scale="65" fitToHeight="2" orientation="landscape" verticalDpi="300" r:id="rId1"/>
      <headerFooter alignWithMargins="0">
        <oddFooter>&amp;L&amp;8&amp;D&amp;T&amp;R&amp;"Arial,Italic"&amp;8&amp;Z&amp;F&amp;A</oddFooter>
      </headerFooter>
      <autoFilter ref="B1:AL1"/>
    </customSheetView>
  </customSheetViews>
  <mergeCells count="1">
    <mergeCell ref="AA3:AC3"/>
  </mergeCells>
  <phoneticPr fontId="5" type="noConversion"/>
  <conditionalFormatting sqref="S1223:T1223 S1224:S1229 S1168:S1222 R1231:S65530 R1168:R1229 V4:V5 M749:N1159 M1160:M1229 R749:S1166 O749:P1166 N1160:N1166 Q749:Q1229 N1167:P1229 V6:Y747 Z3:Z747 D749:L1229 D1230:Q65530 AF18 R1230:AC1230 U1231:AC65530 U1168:Z1229 R1167:Z1167 U748:Z1166 AA4:AC1229 AD1230:AF65530 V1:V2 W1:Y5 U1:U747 D1:S748 AD1:AE1229 Z1:AC2 AF1:AF2 AF1223:AF1224">
    <cfRule type="cellIs" dxfId="6" priority="10" stopIfTrue="1" operator="lessThan">
      <formula>0</formula>
    </cfRule>
  </conditionalFormatting>
  <conditionalFormatting sqref="I148:I159">
    <cfRule type="cellIs" dxfId="5" priority="9" stopIfTrue="1" operator="lessThan">
      <formula>0</formula>
    </cfRule>
  </conditionalFormatting>
  <conditionalFormatting sqref="L148:M159">
    <cfRule type="cellIs" dxfId="4" priority="8" stopIfTrue="1" operator="lessThan">
      <formula>0</formula>
    </cfRule>
  </conditionalFormatting>
  <conditionalFormatting sqref="I364:I477">
    <cfRule type="cellIs" dxfId="3" priority="7" stopIfTrue="1" operator="lessThan">
      <formula>0</formula>
    </cfRule>
  </conditionalFormatting>
  <conditionalFormatting sqref="Y50">
    <cfRule type="cellIs" dxfId="2" priority="6" stopIfTrue="1" operator="lessThan">
      <formula>0</formula>
    </cfRule>
  </conditionalFormatting>
  <conditionalFormatting sqref="AF5:AF17 AF19:AF1222 AF1225:AF1229">
    <cfRule type="cellIs" dxfId="1" priority="4" stopIfTrue="1" operator="lessThan">
      <formula>0</formula>
    </cfRule>
  </conditionalFormatting>
  <conditionalFormatting sqref="AF3:AF4">
    <cfRule type="cellIs" dxfId="0" priority="2" stopIfTrue="1" operator="lessThan">
      <formula>0</formula>
    </cfRule>
  </conditionalFormatting>
  <printOptions horizontalCentered="1" verticalCentered="1" headings="1"/>
  <pageMargins left="0" right="0" top="0" bottom="0.5" header="0.17" footer="0.2"/>
  <pageSetup paperSize="17" scale="46" fitToHeight="15" orientation="landscape" verticalDpi="300" r:id="rId2"/>
  <headerFooter alignWithMargins="0"/>
  <rowBreaks count="1" manualBreakCount="1">
    <brk id="1166" max="31" man="1"/>
  </rowBreaks>
  <drawing r:id="rId3"/>
  <legacyDrawing r:id="rId4"/>
  <controls>
    <mc:AlternateContent xmlns:mc="http://schemas.openxmlformats.org/markup-compatibility/2006">
      <mc:Choice Requires="x14">
        <control shapeId="12085" r:id="rId5" name="Control 1845">
          <controlPr defaultSize="0" autoPict="0" r:id="rId6">
            <anchor moveWithCells="1">
              <from>
                <xdr:col>26</xdr:col>
                <xdr:colOff>0</xdr:colOff>
                <xdr:row>26</xdr:row>
                <xdr:rowOff>0</xdr:rowOff>
              </from>
              <to>
                <xdr:col>27</xdr:col>
                <xdr:colOff>47625</xdr:colOff>
                <xdr:row>27</xdr:row>
                <xdr:rowOff>85725</xdr:rowOff>
              </to>
            </anchor>
          </controlPr>
        </control>
      </mc:Choice>
      <mc:Fallback>
        <control shapeId="12085" r:id="rId5" name="Control 184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AM504"/>
  <sheetViews>
    <sheetView workbookViewId="0">
      <selection activeCell="D43" sqref="D43"/>
    </sheetView>
  </sheetViews>
  <sheetFormatPr defaultRowHeight="12.75" x14ac:dyDescent="0.2"/>
  <cols>
    <col min="1" max="1" width="4.28515625" style="1" bestFit="1" customWidth="1"/>
    <col min="2" max="2" width="15.7109375" style="176" bestFit="1" customWidth="1"/>
    <col min="3" max="3" width="7.140625" style="176" customWidth="1"/>
    <col min="4" max="4" width="9.7109375" style="176" bestFit="1" customWidth="1"/>
    <col min="5" max="6" width="9.140625" style="176"/>
    <col min="7" max="7" width="12.85546875" style="176" bestFit="1" customWidth="1"/>
    <col min="8" max="9" width="12.7109375" style="176" bestFit="1" customWidth="1"/>
    <col min="10" max="11" width="9.140625" style="176"/>
    <col min="12" max="12" width="10.5703125" style="176" customWidth="1"/>
    <col min="13" max="16384" width="9.140625" style="176"/>
  </cols>
  <sheetData>
    <row r="1" spans="1:39" x14ac:dyDescent="0.2">
      <c r="B1" s="1" t="s">
        <v>214</v>
      </c>
      <c r="C1" s="175">
        <v>9.1399999999999995E-2</v>
      </c>
      <c r="D1" s="1"/>
      <c r="E1" s="1">
        <v>4</v>
      </c>
      <c r="F1" s="1"/>
      <c r="G1" s="1"/>
      <c r="H1" s="1"/>
      <c r="I1" s="1"/>
      <c r="J1" s="3" t="s">
        <v>233</v>
      </c>
      <c r="K1" s="1">
        <v>10</v>
      </c>
      <c r="L1" s="3" t="s">
        <v>1242</v>
      </c>
      <c r="M1" s="1">
        <v>12</v>
      </c>
    </row>
    <row r="2" spans="1:39" x14ac:dyDescent="0.2">
      <c r="B2" s="1" t="s">
        <v>215</v>
      </c>
      <c r="C2" s="175"/>
      <c r="D2" s="1" t="s">
        <v>216</v>
      </c>
      <c r="E2" s="1"/>
      <c r="F2" s="177"/>
      <c r="G2" s="1"/>
      <c r="H2" s="1"/>
      <c r="I2" s="1"/>
      <c r="J2" s="3" t="s">
        <v>229</v>
      </c>
      <c r="K2" s="1"/>
      <c r="L2" s="3" t="s">
        <v>1256</v>
      </c>
      <c r="M2" s="1"/>
    </row>
    <row r="3" spans="1:39" x14ac:dyDescent="0.2">
      <c r="B3" s="1"/>
      <c r="C3" s="175"/>
      <c r="D3" s="1" t="s">
        <v>217</v>
      </c>
      <c r="E3" s="1"/>
      <c r="F3" s="178"/>
      <c r="G3" s="1"/>
      <c r="H3" s="3" t="s">
        <v>1236</v>
      </c>
      <c r="I3" s="3" t="s">
        <v>1236</v>
      </c>
      <c r="J3" s="3" t="s">
        <v>231</v>
      </c>
      <c r="K3" s="1"/>
      <c r="L3" s="3" t="s">
        <v>298</v>
      </c>
      <c r="M3" s="1"/>
    </row>
    <row r="4" spans="1:39" x14ac:dyDescent="0.2">
      <c r="B4" s="1" t="s">
        <v>218</v>
      </c>
      <c r="C4" s="179"/>
      <c r="D4" s="1"/>
      <c r="E4" s="3" t="s">
        <v>219</v>
      </c>
      <c r="F4" s="180"/>
      <c r="G4" s="1"/>
      <c r="H4" s="3" t="s">
        <v>1237</v>
      </c>
      <c r="I4" s="3" t="s">
        <v>1238</v>
      </c>
      <c r="J4" s="1"/>
      <c r="K4" s="3" t="s">
        <v>219</v>
      </c>
      <c r="L4" s="1"/>
      <c r="M4" s="3" t="s">
        <v>219</v>
      </c>
    </row>
    <row r="5" spans="1:39" hidden="1" x14ac:dyDescent="0.2">
      <c r="B5" s="1">
        <v>0</v>
      </c>
      <c r="C5" s="1">
        <v>2006</v>
      </c>
      <c r="D5" s="172"/>
      <c r="E5" s="181"/>
      <c r="F5" s="1"/>
      <c r="G5" s="182">
        <v>40</v>
      </c>
      <c r="H5" s="183">
        <v>7.7132000000000006E-2</v>
      </c>
      <c r="I5" s="183">
        <v>2.8400000000000002E-2</v>
      </c>
      <c r="J5" s="173"/>
      <c r="K5" s="181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84"/>
      <c r="AL5" s="184"/>
      <c r="AM5" s="184"/>
    </row>
    <row r="6" spans="1:39" x14ac:dyDescent="0.2">
      <c r="A6" s="1" t="str">
        <f>+"w"&amp;B6</f>
        <v>w1</v>
      </c>
      <c r="B6" s="1">
        <v>1</v>
      </c>
      <c r="C6" s="1">
        <v>2009</v>
      </c>
      <c r="D6" s="172">
        <f>'Avoided Cost inputs'!D14/1000</f>
        <v>0.30086169186139089</v>
      </c>
      <c r="E6" s="185">
        <f>+D6</f>
        <v>0.30086169186139089</v>
      </c>
      <c r="F6" s="185">
        <f>+D6</f>
        <v>0.30086169186139089</v>
      </c>
      <c r="G6" s="186">
        <f>G5</f>
        <v>40</v>
      </c>
      <c r="H6" s="180">
        <f>H5</f>
        <v>7.7132000000000006E-2</v>
      </c>
      <c r="I6" s="180">
        <f>I5</f>
        <v>2.8400000000000002E-2</v>
      </c>
      <c r="J6" s="173">
        <f>+'Avoided Cost inputs'!M7/100</f>
        <v>7.7100000000000002E-2</v>
      </c>
      <c r="K6" s="181">
        <f>+J6</f>
        <v>7.7100000000000002E-2</v>
      </c>
      <c r="L6" s="173">
        <f>'Avoided Cost inputs'!N7/100</f>
        <v>1.3416999999999999</v>
      </c>
      <c r="M6" s="181">
        <f>+L6</f>
        <v>1.3416999999999999</v>
      </c>
      <c r="N6" s="187"/>
      <c r="O6" s="188"/>
    </row>
    <row r="7" spans="1:39" x14ac:dyDescent="0.2">
      <c r="A7" s="1" t="str">
        <f t="shared" ref="A7:A35" si="0">+"w"&amp;B7</f>
        <v>w2</v>
      </c>
      <c r="B7" s="1">
        <v>2</v>
      </c>
      <c r="C7" s="1">
        <f t="shared" ref="C7:C35" si="1">+C6+1</f>
        <v>2010</v>
      </c>
      <c r="D7" s="172">
        <f>'Avoided Cost inputs'!D15/1000</f>
        <v>0.31359558409256921</v>
      </c>
      <c r="E7" s="181">
        <f>NPV($C$1,$D$7:D7)+D$6</f>
        <v>0.58819501061947155</v>
      </c>
      <c r="F7" s="189">
        <f>NPV($C$1,F6)</f>
        <v>0.2756658345807137</v>
      </c>
      <c r="G7" s="190">
        <f t="shared" ref="G7:I22" si="2">NPV($C$1,G5)</f>
        <v>36.650174088326921</v>
      </c>
      <c r="H7" s="180">
        <f t="shared" si="2"/>
        <v>7.0672530694520813E-2</v>
      </c>
      <c r="I7" s="180">
        <f t="shared" si="2"/>
        <v>2.6021623602712117E-2</v>
      </c>
      <c r="J7" s="173">
        <f>+'Avoided Cost inputs'!M8/100</f>
        <v>7.8435476582365063E-2</v>
      </c>
      <c r="K7" s="181">
        <f>NPV($C$1,$J$7:J7)+J$6</f>
        <v>0.14896684678611422</v>
      </c>
      <c r="L7" s="173">
        <f>'Avoided Cost inputs'!N8/100</f>
        <v>1.3649400639501841</v>
      </c>
      <c r="M7" s="181">
        <f>NPV($C$1,$L$7:L7)+L$6</f>
        <v>2.5923322740976582</v>
      </c>
      <c r="N7" s="187"/>
      <c r="O7" s="188"/>
    </row>
    <row r="8" spans="1:39" x14ac:dyDescent="0.2">
      <c r="A8" s="1" t="str">
        <f t="shared" si="0"/>
        <v>w3</v>
      </c>
      <c r="B8" s="1">
        <v>3</v>
      </c>
      <c r="C8" s="1">
        <f t="shared" si="1"/>
        <v>2011</v>
      </c>
      <c r="D8" s="172">
        <f>'Avoided Cost inputs'!D16/1000</f>
        <v>0.33535942415358422</v>
      </c>
      <c r="E8" s="181">
        <f>NPV($C$1,$D$7:D8)+D$6</f>
        <v>0.86973663782741384</v>
      </c>
      <c r="F8" s="189">
        <f t="shared" ref="F8:F35" si="3">NPV($C$1,F7)</f>
        <v>0.25258002068967722</v>
      </c>
      <c r="G8" s="190">
        <f t="shared" si="2"/>
        <v>36.650174088326921</v>
      </c>
      <c r="H8" s="180">
        <f t="shared" si="2"/>
        <v>7.0672530694520813E-2</v>
      </c>
      <c r="I8" s="180">
        <f t="shared" si="2"/>
        <v>2.6021623602712117E-2</v>
      </c>
      <c r="J8" s="173">
        <f>+'Avoided Cost inputs'!M9/100</f>
        <v>7.9879813340984901E-2</v>
      </c>
      <c r="K8" s="181">
        <f>NPV($C$1,$J$7:J8)+J$6</f>
        <v>0.21602771047243813</v>
      </c>
      <c r="L8" s="173">
        <f>'Avoided Cost inputs'!N9/100</f>
        <v>1.390074520876776</v>
      </c>
      <c r="M8" s="181">
        <f>NPV($C$1,$L$7:L8)+L$6</f>
        <v>3.7593304687531801</v>
      </c>
      <c r="N8" s="187"/>
      <c r="O8" s="188"/>
    </row>
    <row r="9" spans="1:39" x14ac:dyDescent="0.2">
      <c r="A9" s="1" t="str">
        <f t="shared" si="0"/>
        <v>w4</v>
      </c>
      <c r="B9" s="1">
        <v>4</v>
      </c>
      <c r="C9" s="1">
        <f t="shared" si="1"/>
        <v>2012</v>
      </c>
      <c r="D9" s="172">
        <f>'Avoided Cost inputs'!D17/1000</f>
        <v>0.3310315105647168</v>
      </c>
      <c r="E9" s="181">
        <f>NPV($C$1,$D$7:D9)+D$6</f>
        <v>1.1243712799126131</v>
      </c>
      <c r="F9" s="189">
        <f t="shared" si="3"/>
        <v>0.23142754323774714</v>
      </c>
      <c r="G9" s="190">
        <f t="shared" si="2"/>
        <v>33.580881517616753</v>
      </c>
      <c r="H9" s="180">
        <f t="shared" si="2"/>
        <v>6.4754013830420398E-2</v>
      </c>
      <c r="I9" s="180">
        <f t="shared" si="2"/>
        <v>2.3842425877507897E-2</v>
      </c>
      <c r="J9" s="173">
        <f>+'Avoided Cost inputs'!M10/100</f>
        <v>8.1390988411726109E-2</v>
      </c>
      <c r="K9" s="181">
        <f>NPV($C$1,$J$7:J9)+J$6</f>
        <v>0.27863493830952568</v>
      </c>
      <c r="L9" s="173">
        <f>'Avoided Cost inputs'!N10/100</f>
        <v>1.416372103138948</v>
      </c>
      <c r="M9" s="181">
        <f>NPV($C$1,$L$7:L9)+L$6</f>
        <v>4.8488261573267248</v>
      </c>
      <c r="N9" s="187"/>
      <c r="O9" s="188"/>
    </row>
    <row r="10" spans="1:39" x14ac:dyDescent="0.2">
      <c r="A10" s="1" t="str">
        <f t="shared" si="0"/>
        <v>w5</v>
      </c>
      <c r="B10" s="1">
        <v>5</v>
      </c>
      <c r="C10" s="1">
        <f t="shared" si="1"/>
        <v>2013</v>
      </c>
      <c r="D10" s="172">
        <f>'Avoided Cost inputs'!D18/1000</f>
        <v>0.35519484838642973</v>
      </c>
      <c r="E10" s="181">
        <f>NPV($C$1,$D$7:D10)+D$6</f>
        <v>1.3747116330465721</v>
      </c>
      <c r="F10" s="189">
        <f t="shared" si="3"/>
        <v>0.21204649371243098</v>
      </c>
      <c r="G10" s="190">
        <f t="shared" si="2"/>
        <v>33.580881517616753</v>
      </c>
      <c r="H10" s="180">
        <f t="shared" si="2"/>
        <v>6.4754013830420398E-2</v>
      </c>
      <c r="I10" s="180">
        <f t="shared" si="2"/>
        <v>2.3842425877507897E-2</v>
      </c>
      <c r="J10" s="173">
        <f>+'Avoided Cost inputs'!M11/100</f>
        <v>8.2954859485231125E-2</v>
      </c>
      <c r="K10" s="181">
        <f>NPV($C$1,$J$7:J10)+J$6</f>
        <v>0.33710129533032784</v>
      </c>
      <c r="L10" s="173">
        <f>'Avoided Cost inputs'!N11/100</f>
        <v>1.4435867052053768</v>
      </c>
      <c r="M10" s="181">
        <f>NPV($C$1,$L$7:L10)+L$6</f>
        <v>5.8662621004500739</v>
      </c>
      <c r="N10" s="187"/>
      <c r="O10" s="188"/>
    </row>
    <row r="11" spans="1:39" x14ac:dyDescent="0.2">
      <c r="A11" s="1" t="str">
        <f t="shared" si="0"/>
        <v>w6</v>
      </c>
      <c r="B11" s="1">
        <v>6</v>
      </c>
      <c r="C11" s="1">
        <f t="shared" si="1"/>
        <v>2014</v>
      </c>
      <c r="D11" s="172">
        <f>'Avoided Cost inputs'!D19/1000</f>
        <v>0.37028377493735332</v>
      </c>
      <c r="E11" s="181">
        <f>NPV($C$1,$D$7:D11)+D$6</f>
        <v>1.6138311007994681</v>
      </c>
      <c r="F11" s="189">
        <f t="shared" si="3"/>
        <v>0.1942885227344979</v>
      </c>
      <c r="G11" s="190">
        <f t="shared" si="2"/>
        <v>30.76862884150335</v>
      </c>
      <c r="H11" s="180">
        <f t="shared" si="2"/>
        <v>5.9331146995070923E-2</v>
      </c>
      <c r="I11" s="180">
        <f t="shared" si="2"/>
        <v>2.1845726477467381E-2</v>
      </c>
      <c r="J11" s="173">
        <f>+'Avoided Cost inputs'!M12/100</f>
        <v>8.4548837602100857E-2</v>
      </c>
      <c r="K11" s="181">
        <f>NPV($C$1,$J$7:J11)+J$6</f>
        <v>0.3917006983151356</v>
      </c>
      <c r="L11" s="173">
        <f>'Avoided Cost inputs'!N12/100</f>
        <v>1.4713252323053008</v>
      </c>
      <c r="M11" s="181">
        <f>NPV($C$1,$L$7:L11)+L$6</f>
        <v>6.8164050185397844</v>
      </c>
      <c r="N11" s="187"/>
      <c r="O11" s="188"/>
    </row>
    <row r="12" spans="1:39" x14ac:dyDescent="0.2">
      <c r="A12" s="1" t="str">
        <f t="shared" si="0"/>
        <v>w7</v>
      </c>
      <c r="B12" s="1">
        <v>7</v>
      </c>
      <c r="C12" s="1">
        <f t="shared" si="1"/>
        <v>2015</v>
      </c>
      <c r="D12" s="172">
        <f>'Avoided Cost inputs'!D20/1000</f>
        <v>0.38287045284229909</v>
      </c>
      <c r="E12" s="181">
        <f>NPV($C$1,$D$7:D12)+D$6</f>
        <v>1.8403728008388884</v>
      </c>
      <c r="F12" s="189">
        <f t="shared" si="3"/>
        <v>0.17801770453958027</v>
      </c>
      <c r="G12" s="190">
        <f t="shared" si="2"/>
        <v>30.76862884150335</v>
      </c>
      <c r="H12" s="180">
        <f t="shared" si="2"/>
        <v>5.9331146995070923E-2</v>
      </c>
      <c r="I12" s="180">
        <f t="shared" si="2"/>
        <v>2.1845726477467381E-2</v>
      </c>
      <c r="J12" s="173">
        <f>+'Avoided Cost inputs'!M13/100</f>
        <v>8.615608700938239E-2</v>
      </c>
      <c r="K12" s="181">
        <f>NPV($C$1,$J$7:J12)+J$6</f>
        <v>0.4426786368709974</v>
      </c>
      <c r="L12" s="173">
        <f>'Avoided Cost inputs'!N13/100</f>
        <v>1.4992947073993295</v>
      </c>
      <c r="M12" s="181">
        <f>NPV($C$1,$L$7:L12)+L$6</f>
        <v>7.7035269402051494</v>
      </c>
      <c r="N12" s="187"/>
      <c r="O12" s="188"/>
    </row>
    <row r="13" spans="1:39" x14ac:dyDescent="0.2">
      <c r="A13" s="1" t="str">
        <f t="shared" si="0"/>
        <v>w8</v>
      </c>
      <c r="B13" s="1">
        <v>8</v>
      </c>
      <c r="C13" s="1">
        <f t="shared" si="1"/>
        <v>2016</v>
      </c>
      <c r="D13" s="172">
        <f>'Avoided Cost inputs'!D21/1000</f>
        <v>0.38445834165438325</v>
      </c>
      <c r="E13" s="181">
        <f>NPV($C$1,$D$7:D13)+D$6</f>
        <v>2.0488034792860281</v>
      </c>
      <c r="F13" s="189">
        <f t="shared" si="3"/>
        <v>0.16310949655449908</v>
      </c>
      <c r="G13" s="190">
        <f t="shared" si="2"/>
        <v>28.191890087505364</v>
      </c>
      <c r="H13" s="180">
        <f t="shared" si="2"/>
        <v>5.4362421655736598E-2</v>
      </c>
      <c r="I13" s="180">
        <f t="shared" si="2"/>
        <v>2.0016241962128808E-2</v>
      </c>
      <c r="J13" s="173">
        <f>+'Avoided Cost inputs'!M14/100</f>
        <v>8.7702518580828476E-2</v>
      </c>
      <c r="K13" s="181">
        <f>NPV($C$1,$J$7:J13)+J$6</f>
        <v>0.49022577909364695</v>
      </c>
      <c r="L13" s="173">
        <f>'Avoided Cost inputs'!N14/100</f>
        <v>1.5262058259390081</v>
      </c>
      <c r="M13" s="181">
        <f>NPV($C$1,$L$7:L13)+L$6</f>
        <v>8.5309458859915175</v>
      </c>
      <c r="N13" s="187"/>
      <c r="O13" s="188"/>
    </row>
    <row r="14" spans="1:39" x14ac:dyDescent="0.2">
      <c r="A14" s="1" t="str">
        <f t="shared" si="0"/>
        <v>w9</v>
      </c>
      <c r="B14" s="1">
        <v>9</v>
      </c>
      <c r="C14" s="1">
        <f t="shared" si="1"/>
        <v>2017</v>
      </c>
      <c r="D14" s="172">
        <f>'Avoided Cost inputs'!D22/1000</f>
        <v>0.36016638986472482</v>
      </c>
      <c r="E14" s="181">
        <f>NPV($C$1,$D$7:D14)+D$6</f>
        <v>2.2277122316576241</v>
      </c>
      <c r="F14" s="189">
        <f t="shared" si="3"/>
        <v>0.14944978610454379</v>
      </c>
      <c r="G14" s="190">
        <f t="shared" si="2"/>
        <v>28.191890087505364</v>
      </c>
      <c r="H14" s="180">
        <f t="shared" si="2"/>
        <v>5.4362421655736598E-2</v>
      </c>
      <c r="I14" s="180">
        <f t="shared" si="2"/>
        <v>2.0016241962128808E-2</v>
      </c>
      <c r="J14" s="173">
        <f>+'Avoided Cost inputs'!M15/100</f>
        <v>8.9357150464272478E-2</v>
      </c>
      <c r="K14" s="181">
        <f>NPV($C$1,$J$7:J14)+J$6</f>
        <v>0.53461297555317344</v>
      </c>
      <c r="L14" s="173">
        <f>'Avoided Cost inputs'!N15/100</f>
        <v>1.5549998544476569</v>
      </c>
      <c r="M14" s="181">
        <f>NPV($C$1,$L$7:L14)+L$6</f>
        <v>9.3033752178948461</v>
      </c>
      <c r="N14" s="187"/>
      <c r="O14" s="188"/>
      <c r="P14" s="191"/>
    </row>
    <row r="15" spans="1:39" x14ac:dyDescent="0.2">
      <c r="A15" s="1" t="str">
        <f t="shared" si="0"/>
        <v>w10</v>
      </c>
      <c r="B15" s="1">
        <v>10</v>
      </c>
      <c r="C15" s="1">
        <f t="shared" si="1"/>
        <v>2018</v>
      </c>
      <c r="D15" s="173">
        <f>D14*(1+'Avoided Cost inputs'!$I$9)</f>
        <v>0.36736971766201931</v>
      </c>
      <c r="E15" s="181">
        <f>NPV($C$1,$D$7:D15)+D$6</f>
        <v>2.3949166731264047</v>
      </c>
      <c r="F15" s="189">
        <f t="shared" si="3"/>
        <v>0.13693401695486879</v>
      </c>
      <c r="G15" s="190">
        <f t="shared" si="2"/>
        <v>25.830941989651244</v>
      </c>
      <c r="H15" s="180">
        <f t="shared" si="2"/>
        <v>4.9809805438644494E-2</v>
      </c>
      <c r="I15" s="180">
        <f t="shared" si="2"/>
        <v>1.8339968812652381E-2</v>
      </c>
      <c r="J15" s="173">
        <f>+'Avoided Cost inputs'!M16/100</f>
        <v>9.1102400414455081E-2</v>
      </c>
      <c r="K15" s="181">
        <f>NPV($C$1,$J$7:J15)+J$6</f>
        <v>0.57607726954753657</v>
      </c>
      <c r="L15" s="173">
        <f>'Avoided Cost inputs'!N16/100</f>
        <v>1.585370825370614</v>
      </c>
      <c r="M15" s="181">
        <f>NPV($C$1,$L$7:L15)+L$6</f>
        <v>10.024939981218285</v>
      </c>
      <c r="N15" s="187"/>
      <c r="O15" s="173"/>
      <c r="P15" s="191"/>
    </row>
    <row r="16" spans="1:39" x14ac:dyDescent="0.2">
      <c r="A16" s="1" t="str">
        <f t="shared" si="0"/>
        <v>w11</v>
      </c>
      <c r="B16" s="1">
        <v>11</v>
      </c>
      <c r="C16" s="1">
        <f t="shared" si="1"/>
        <v>2019</v>
      </c>
      <c r="D16" s="173">
        <f>D15*(1+'Avoided Cost inputs'!$I$9)</f>
        <v>0.3747171120152597</v>
      </c>
      <c r="E16" s="181">
        <f>NPV($C$1,$D$7:D16)+D$6</f>
        <v>2.5511825062747979</v>
      </c>
      <c r="F16" s="189">
        <f t="shared" si="3"/>
        <v>0.12546638900024629</v>
      </c>
      <c r="G16" s="190">
        <f t="shared" si="2"/>
        <v>25.830941989651244</v>
      </c>
      <c r="H16" s="180">
        <f t="shared" si="2"/>
        <v>4.9809805438644494E-2</v>
      </c>
      <c r="I16" s="180">
        <f t="shared" si="2"/>
        <v>1.8339968812652381E-2</v>
      </c>
      <c r="J16" s="173">
        <f>+'Avoided Cost inputs'!M17/100</f>
        <v>9.2920688485174013E-2</v>
      </c>
      <c r="K16" s="181">
        <f>NPV($C$1,$J$7:J16)+J$6</f>
        <v>0.61482737819554178</v>
      </c>
      <c r="L16" s="173">
        <f>'Avoided Cost inputs'!N17/100</f>
        <v>1.6170128111615814</v>
      </c>
      <c r="M16" s="181">
        <f>NPV($C$1,$L$7:L16)+L$6</f>
        <v>10.699272286964439</v>
      </c>
      <c r="N16" s="187"/>
      <c r="O16" s="173"/>
      <c r="P16" s="191"/>
    </row>
    <row r="17" spans="1:16" x14ac:dyDescent="0.2">
      <c r="A17" s="1" t="str">
        <f t="shared" si="0"/>
        <v>w12</v>
      </c>
      <c r="B17" s="1">
        <v>12</v>
      </c>
      <c r="C17" s="1">
        <f t="shared" si="1"/>
        <v>2020</v>
      </c>
      <c r="D17" s="173">
        <f>D16*(1+'Avoided Cost inputs'!$I$9)</f>
        <v>0.38221145425556491</v>
      </c>
      <c r="E17" s="181">
        <f>NPV($C$1,$D$7:D17)+D$6</f>
        <v>2.6972253409929223</v>
      </c>
      <c r="F17" s="189">
        <f t="shared" si="3"/>
        <v>0.1149591249773193</v>
      </c>
      <c r="G17" s="190">
        <f t="shared" si="2"/>
        <v>23.667713019654798</v>
      </c>
      <c r="H17" s="180">
        <f t="shared" si="2"/>
        <v>4.5638451015800344E-2</v>
      </c>
      <c r="I17" s="180">
        <f t="shared" si="2"/>
        <v>1.6804076243954903E-2</v>
      </c>
      <c r="J17" s="173">
        <f>+'Avoided Cost inputs'!M18/100</f>
        <v>9.500304523802576E-2</v>
      </c>
      <c r="K17" s="181">
        <f>NPV($C$1,$J$7:J17)+J$6</f>
        <v>0.65112800152573191</v>
      </c>
      <c r="L17" s="173">
        <f>'Avoided Cost inputs'!N18/100</f>
        <v>1.6532501400241131</v>
      </c>
      <c r="M17" s="181">
        <f>NPV($C$1,$L$7:L17)+L$6</f>
        <v>11.3309784649426</v>
      </c>
      <c r="N17" s="187"/>
      <c r="O17" s="173"/>
      <c r="P17" s="191"/>
    </row>
    <row r="18" spans="1:16" x14ac:dyDescent="0.2">
      <c r="A18" s="1" t="str">
        <f t="shared" si="0"/>
        <v>w13</v>
      </c>
      <c r="B18" s="1">
        <v>13</v>
      </c>
      <c r="C18" s="1">
        <f t="shared" si="1"/>
        <v>2021</v>
      </c>
      <c r="D18" s="173">
        <f>D17*(1+'Avoided Cost inputs'!$I$9)</f>
        <v>0.38985568334067622</v>
      </c>
      <c r="E18" s="181">
        <f>NPV($C$1,$D$7:D18)+D$6</f>
        <v>2.8337139715706083</v>
      </c>
      <c r="F18" s="189">
        <f t="shared" si="3"/>
        <v>0.10533179858651211</v>
      </c>
      <c r="G18" s="190">
        <f t="shared" si="2"/>
        <v>23.667713019654798</v>
      </c>
      <c r="H18" s="180">
        <f t="shared" si="2"/>
        <v>4.5638451015800344E-2</v>
      </c>
      <c r="I18" s="180">
        <f t="shared" si="2"/>
        <v>1.6804076243954903E-2</v>
      </c>
      <c r="J18" s="173">
        <f>+'Avoided Cost inputs'!M19/100</f>
        <v>9.7007042580908281E-2</v>
      </c>
      <c r="K18" s="181">
        <f>NPV($C$1,$J$7:J18)+J$6</f>
        <v>0.68509020591070535</v>
      </c>
      <c r="L18" s="173">
        <f>'Avoided Cost inputs'!N19/100</f>
        <v>1.6881238525396185</v>
      </c>
      <c r="M18" s="181">
        <f>NPV($C$1,$L$7:L18)+L$6</f>
        <v>11.921991300523906</v>
      </c>
      <c r="N18" s="187"/>
      <c r="O18" s="173"/>
      <c r="P18" s="191"/>
    </row>
    <row r="19" spans="1:16" x14ac:dyDescent="0.2">
      <c r="A19" s="1" t="str">
        <f t="shared" si="0"/>
        <v>w14</v>
      </c>
      <c r="B19" s="1">
        <v>14</v>
      </c>
      <c r="C19" s="1">
        <f t="shared" si="1"/>
        <v>2022</v>
      </c>
      <c r="D19" s="173">
        <f>D18*(1+'Avoided Cost inputs'!$I$9)</f>
        <v>0.39765279700748973</v>
      </c>
      <c r="E19" s="181">
        <f>NPV($C$1,$D$7:D19)+D$6</f>
        <v>2.9612734394002223</v>
      </c>
      <c r="F19" s="189">
        <f t="shared" si="3"/>
        <v>9.6510718880806409E-2</v>
      </c>
      <c r="G19" s="190">
        <f t="shared" si="2"/>
        <v>21.685645061072751</v>
      </c>
      <c r="H19" s="180">
        <f t="shared" si="2"/>
        <v>4.1816429371266582E-2</v>
      </c>
      <c r="I19" s="180">
        <f t="shared" si="2"/>
        <v>1.5396807993361648E-2</v>
      </c>
      <c r="J19" s="173">
        <f>+'Avoided Cost inputs'!M20/100</f>
        <v>9.8983282627950864E-2</v>
      </c>
      <c r="K19" s="181">
        <f>NPV($C$1,$J$7:J19)+J$6</f>
        <v>0.71684216377713494</v>
      </c>
      <c r="L19" s="173">
        <f>'Avoided Cost inputs'!N20/100</f>
        <v>1.72251453050482</v>
      </c>
      <c r="M19" s="181">
        <f>NPV($C$1,$L$7:L19)+L$6</f>
        <v>12.474541259919347</v>
      </c>
      <c r="N19" s="187"/>
      <c r="O19" s="173"/>
      <c r="P19" s="191"/>
    </row>
    <row r="20" spans="1:16" x14ac:dyDescent="0.2">
      <c r="A20" s="1" t="str">
        <f t="shared" si="0"/>
        <v>w15</v>
      </c>
      <c r="B20" s="1">
        <v>15</v>
      </c>
      <c r="C20" s="1">
        <f t="shared" si="1"/>
        <v>2023</v>
      </c>
      <c r="D20" s="173">
        <f>D19*(1+'Avoided Cost inputs'!$I$9)</f>
        <v>0.40560585294763951</v>
      </c>
      <c r="E20" s="181">
        <f>NPV($C$1,$D$7:D20)+D$6</f>
        <v>3.0804878953157484</v>
      </c>
      <c r="F20" s="189">
        <f t="shared" si="3"/>
        <v>8.8428366209278367E-2</v>
      </c>
      <c r="G20" s="190">
        <f t="shared" si="2"/>
        <v>21.685645061072751</v>
      </c>
      <c r="H20" s="180">
        <f t="shared" si="2"/>
        <v>4.1816429371266582E-2</v>
      </c>
      <c r="I20" s="180">
        <f t="shared" si="2"/>
        <v>1.5396807993361648E-2</v>
      </c>
      <c r="J20" s="173">
        <f>+'Avoided Cost inputs'!M21/100</f>
        <v>0.10101495532033619</v>
      </c>
      <c r="K20" s="181">
        <f>NPV($C$1,$J$7:J20)+J$6</f>
        <v>0.74653217650828663</v>
      </c>
      <c r="L20" s="173">
        <f>'Avoided Cost inputs'!N21/100</f>
        <v>1.7578698515343061</v>
      </c>
      <c r="M20" s="181">
        <f>NPV($C$1,$L$7:L20)+L$6</f>
        <v>12.991209094956783</v>
      </c>
      <c r="N20" s="187"/>
      <c r="O20" s="173"/>
      <c r="P20" s="191"/>
    </row>
    <row r="21" spans="1:16" x14ac:dyDescent="0.2">
      <c r="A21" s="1" t="str">
        <f t="shared" si="0"/>
        <v>w16</v>
      </c>
      <c r="B21" s="1">
        <v>16</v>
      </c>
      <c r="C21" s="1">
        <f t="shared" si="1"/>
        <v>2024</v>
      </c>
      <c r="D21" s="173">
        <f>D20*(1+'Avoided Cost inputs'!$I$9)</f>
        <v>0.41371797000659233</v>
      </c>
      <c r="E21" s="181">
        <f>NPV($C$1,$D$7:D21)+D$6</f>
        <v>3.1919032746760543</v>
      </c>
      <c r="F21" s="189">
        <f t="shared" si="3"/>
        <v>8.102287539790945E-2</v>
      </c>
      <c r="G21" s="190">
        <f t="shared" si="2"/>
        <v>19.869566667649583</v>
      </c>
      <c r="H21" s="180">
        <f t="shared" si="2"/>
        <v>3.8314485405228686E-2</v>
      </c>
      <c r="I21" s="180">
        <f t="shared" si="2"/>
        <v>1.4107392334031198E-2</v>
      </c>
      <c r="J21" s="173">
        <f>+'Avoided Cost inputs'!M22/100</f>
        <v>0.10312742869995967</v>
      </c>
      <c r="K21" s="181">
        <f>NPV($C$1,$J$7:J21)+J$6</f>
        <v>0.77430467474150522</v>
      </c>
      <c r="L21" s="173">
        <f>'Avoided Cost inputs'!N22/100</f>
        <v>1.7946312722015023</v>
      </c>
      <c r="M21" s="181">
        <f>NPV($C$1,$L$7:L21)+L$6</f>
        <v>13.474508198452364</v>
      </c>
      <c r="N21" s="187"/>
      <c r="O21" s="173"/>
      <c r="P21" s="191"/>
    </row>
    <row r="22" spans="1:16" x14ac:dyDescent="0.2">
      <c r="A22" s="1" t="str">
        <f t="shared" si="0"/>
        <v>w17</v>
      </c>
      <c r="B22" s="1">
        <v>17</v>
      </c>
      <c r="C22" s="1">
        <f t="shared" si="1"/>
        <v>2025</v>
      </c>
      <c r="D22" s="173">
        <f>D21*(1+'Avoided Cost inputs'!$I$9)</f>
        <v>0.42199232940672421</v>
      </c>
      <c r="E22" s="181">
        <f>NPV($C$1,$D$7:D22)+D$6</f>
        <v>3.2960297974426949</v>
      </c>
      <c r="F22" s="189">
        <f t="shared" si="3"/>
        <v>7.4237562211755051E-2</v>
      </c>
      <c r="G22" s="190">
        <f t="shared" si="2"/>
        <v>19.869566667649583</v>
      </c>
      <c r="H22" s="180">
        <f t="shared" si="2"/>
        <v>3.8314485405228686E-2</v>
      </c>
      <c r="I22" s="180">
        <f t="shared" si="2"/>
        <v>1.4107392334031198E-2</v>
      </c>
      <c r="J22" s="173">
        <f>+'Avoided Cost inputs'!M23/100</f>
        <v>0.10532008930404643</v>
      </c>
      <c r="K22" s="181">
        <f>NPV($C$1,$J$7:J22)+J$6</f>
        <v>0.80029238568430894</v>
      </c>
      <c r="L22" s="173">
        <f>'Avoided Cost inputs'!N23/100</f>
        <v>1.8327881169810509</v>
      </c>
      <c r="M22" s="181">
        <f>NPV($C$1,$L$7:L22)+L$6</f>
        <v>13.926748299255994</v>
      </c>
      <c r="N22" s="187"/>
      <c r="O22" s="173"/>
      <c r="P22" s="191"/>
    </row>
    <row r="23" spans="1:16" x14ac:dyDescent="0.2">
      <c r="A23" s="1" t="str">
        <f t="shared" si="0"/>
        <v>w18</v>
      </c>
      <c r="B23" s="1">
        <v>18</v>
      </c>
      <c r="C23" s="1">
        <f t="shared" si="1"/>
        <v>2026</v>
      </c>
      <c r="D23" s="173">
        <f>D22*(1+'Avoided Cost inputs'!$I$9)</f>
        <v>0.43043217599485872</v>
      </c>
      <c r="E23" s="181">
        <f>NPV($C$1,$D$7:D23)+D$6</f>
        <v>3.3933443047012375</v>
      </c>
      <c r="F23" s="189">
        <f t="shared" si="3"/>
        <v>6.8020489473845577E-2</v>
      </c>
      <c r="G23" s="190">
        <f t="shared" ref="G23:I35" si="4">NPV($C$1,G21)</f>
        <v>18.205576935724377</v>
      </c>
      <c r="H23" s="180">
        <f t="shared" si="4"/>
        <v>3.5105814005157311E-2</v>
      </c>
      <c r="I23" s="180">
        <f t="shared" si="4"/>
        <v>1.2925959624364302E-2</v>
      </c>
      <c r="J23" s="173">
        <f>+'Avoided Cost inputs'!M24/100</f>
        <v>0.10762470410671554</v>
      </c>
      <c r="K23" s="181">
        <f>NPV($C$1,$J$7:J23)+J$6</f>
        <v>0.82462477910908993</v>
      </c>
      <c r="L23" s="173">
        <f>'Avoided Cost inputs'!N24/100</f>
        <v>1.8728931971463059</v>
      </c>
      <c r="M23" s="181">
        <f>NPV($C$1,$L$7:L23)+L$6</f>
        <v>14.350182440086455</v>
      </c>
      <c r="N23" s="187"/>
      <c r="O23" s="173"/>
      <c r="P23" s="191"/>
    </row>
    <row r="24" spans="1:16" x14ac:dyDescent="0.2">
      <c r="A24" s="1" t="str">
        <f t="shared" si="0"/>
        <v>w19</v>
      </c>
      <c r="B24" s="1">
        <v>19</v>
      </c>
      <c r="C24" s="1">
        <f t="shared" si="1"/>
        <v>2027</v>
      </c>
      <c r="D24" s="173">
        <f>D23*(1+'Avoided Cost inputs'!$I$9)</f>
        <v>0.43904081951475593</v>
      </c>
      <c r="E24" s="181">
        <f>NPV($C$1,$D$7:D24)+D$6</f>
        <v>3.4842924423260433</v>
      </c>
      <c r="F24" s="189">
        <f t="shared" si="3"/>
        <v>6.2324069519741232E-2</v>
      </c>
      <c r="G24" s="190">
        <f t="shared" si="4"/>
        <v>18.205576935724377</v>
      </c>
      <c r="H24" s="180">
        <f t="shared" si="4"/>
        <v>3.5105814005157311E-2</v>
      </c>
      <c r="I24" s="180">
        <f t="shared" si="4"/>
        <v>1.2925959624364302E-2</v>
      </c>
      <c r="J24" s="173">
        <f>+'Avoided Cost inputs'!M25/100</f>
        <v>0.11011680506721307</v>
      </c>
      <c r="K24" s="181">
        <f>NPV($C$1,$J$7:J24)+J$6</f>
        <v>0.84743568392000412</v>
      </c>
      <c r="L24" s="173">
        <f>'Avoided Cost inputs'!N25/100</f>
        <v>1.9162609255341079</v>
      </c>
      <c r="M24" s="181">
        <f>NPV($C$1,$L$7:L24)+L$6</f>
        <v>14.747139521601417</v>
      </c>
      <c r="N24" s="187"/>
      <c r="O24" s="173"/>
      <c r="P24" s="191"/>
    </row>
    <row r="25" spans="1:16" x14ac:dyDescent="0.2">
      <c r="A25" s="1" t="str">
        <f t="shared" si="0"/>
        <v>w20</v>
      </c>
      <c r="B25" s="1">
        <v>20</v>
      </c>
      <c r="C25" s="1">
        <f t="shared" si="1"/>
        <v>2028</v>
      </c>
      <c r="D25" s="173">
        <f>D24*(1+'Avoided Cost inputs'!$I$9)</f>
        <v>0.44782163590505109</v>
      </c>
      <c r="E25" s="181">
        <f>NPV($C$1,$D$7:D25)+D$6</f>
        <v>3.5692907017884785</v>
      </c>
      <c r="F25" s="189">
        <f t="shared" si="3"/>
        <v>5.7104699944787646E-2</v>
      </c>
      <c r="G25" s="190">
        <f t="shared" si="4"/>
        <v>16.680939101818193</v>
      </c>
      <c r="H25" s="180">
        <f t="shared" si="4"/>
        <v>3.2165854870036023E-2</v>
      </c>
      <c r="I25" s="180">
        <f t="shared" si="4"/>
        <v>1.1843466762290913E-2</v>
      </c>
      <c r="J25" s="173">
        <f>+'Avoided Cost inputs'!M26/100</f>
        <v>0.11260879234067797</v>
      </c>
      <c r="K25" s="181">
        <f>NPV($C$1,$J$7:J25)+J$6</f>
        <v>0.86880926344744314</v>
      </c>
      <c r="L25" s="173">
        <f>'Avoided Cost inputs'!N26/100</f>
        <v>1.9596266755316158</v>
      </c>
      <c r="M25" s="181">
        <f>NPV($C$1,$L$7:L25)+L$6</f>
        <v>15.119084160407708</v>
      </c>
      <c r="N25" s="187"/>
      <c r="O25" s="173"/>
      <c r="P25" s="191"/>
    </row>
    <row r="26" spans="1:16" x14ac:dyDescent="0.2">
      <c r="A26" s="1" t="str">
        <f t="shared" si="0"/>
        <v>w21</v>
      </c>
      <c r="B26" s="1">
        <v>21</v>
      </c>
      <c r="C26" s="1">
        <f t="shared" si="1"/>
        <v>2029</v>
      </c>
      <c r="D26" s="173">
        <f>D25*(1+'Avoided Cost inputs'!$I$9)</f>
        <v>0.45677806862315212</v>
      </c>
      <c r="E26" s="181">
        <f>NPV($C$1,$D$7:D26)+D$6</f>
        <v>3.6487283274543065</v>
      </c>
      <c r="F26" s="189">
        <f t="shared" si="3"/>
        <v>5.2322429855953499E-2</v>
      </c>
      <c r="G26" s="190">
        <f t="shared" si="4"/>
        <v>16.680939101818193</v>
      </c>
      <c r="H26" s="180">
        <f t="shared" si="4"/>
        <v>3.2165854870036023E-2</v>
      </c>
      <c r="I26" s="180">
        <f t="shared" si="4"/>
        <v>1.1843466762290913E-2</v>
      </c>
      <c r="J26" s="173">
        <f>+'Avoided Cost inputs'!M27/100</f>
        <v>0.11521168943498575</v>
      </c>
      <c r="K26" s="181">
        <f>NPV($C$1,$J$7:J26)+J$6</f>
        <v>0.88884556485142907</v>
      </c>
      <c r="L26" s="173">
        <f>'Avoided Cost inputs'!N27/100</f>
        <v>2.0049224865748418</v>
      </c>
      <c r="M26" s="181">
        <f>NPV($C$1,$L$7:L26)+L$6</f>
        <v>15.467757384710273</v>
      </c>
      <c r="N26" s="187"/>
      <c r="O26" s="173"/>
      <c r="P26" s="191"/>
    </row>
    <row r="27" spans="1:16" x14ac:dyDescent="0.2">
      <c r="A27" s="1" t="str">
        <f t="shared" si="0"/>
        <v>w22</v>
      </c>
      <c r="B27" s="1">
        <v>22</v>
      </c>
      <c r="C27" s="1">
        <f t="shared" si="1"/>
        <v>2030</v>
      </c>
      <c r="D27" s="173">
        <f>D26*(1+'Avoided Cost inputs'!$I$9)</f>
        <v>0.4659136299956152</v>
      </c>
      <c r="E27" s="181">
        <f>NPV($C$1,$D$7:D27)+D$6</f>
        <v>3.7229690991046134</v>
      </c>
      <c r="F27" s="189">
        <f t="shared" si="3"/>
        <v>4.7940654073624245E-2</v>
      </c>
      <c r="G27" s="190">
        <f t="shared" si="4"/>
        <v>15.283983050960412</v>
      </c>
      <c r="H27" s="180">
        <f t="shared" si="4"/>
        <v>2.9472104517166964E-2</v>
      </c>
      <c r="I27" s="180">
        <f t="shared" si="4"/>
        <v>1.0851627966181889E-2</v>
      </c>
      <c r="J27" s="173">
        <f>+'Avoided Cost inputs'!M28/100</f>
        <v>0.11780794395838642</v>
      </c>
      <c r="K27" s="181">
        <f>NPV($C$1,$J$7:J27)+J$6</f>
        <v>0.90761761207848468</v>
      </c>
      <c r="L27" s="173">
        <f>'Avoided Cost inputs'!N28/100</f>
        <v>2.0501027030994425</v>
      </c>
      <c r="M27" s="181">
        <f>NPV($C$1,$L$7:L27)+L$6</f>
        <v>15.79442996271988</v>
      </c>
      <c r="N27" s="187"/>
      <c r="O27" s="173"/>
      <c r="P27" s="191"/>
    </row>
    <row r="28" spans="1:16" x14ac:dyDescent="0.2">
      <c r="A28" s="1" t="str">
        <f t="shared" si="0"/>
        <v>w23</v>
      </c>
      <c r="B28" s="1">
        <v>23</v>
      </c>
      <c r="C28" s="1">
        <f t="shared" si="1"/>
        <v>2031</v>
      </c>
      <c r="D28" s="173">
        <f>D27*(1+'Avoided Cost inputs'!$I$9)</f>
        <v>0.4752319025955275</v>
      </c>
      <c r="E28" s="181">
        <f>NPV($C$1,$D$7:D28)+D$6</f>
        <v>3.7923529978432171</v>
      </c>
      <c r="F28" s="189">
        <f t="shared" si="3"/>
        <v>4.3925832942664694E-2</v>
      </c>
      <c r="G28" s="190">
        <f t="shared" si="4"/>
        <v>15.283983050960412</v>
      </c>
      <c r="H28" s="180">
        <f t="shared" si="4"/>
        <v>2.9472104517166964E-2</v>
      </c>
      <c r="I28" s="180">
        <f t="shared" si="4"/>
        <v>1.0851627966181889E-2</v>
      </c>
      <c r="J28" s="173">
        <f>+'Avoided Cost inputs'!M29/100</f>
        <v>0.12016410283755415</v>
      </c>
      <c r="K28" s="181">
        <f>NPV($C$1,$J$7:J28)+J$6</f>
        <v>0.92516158144956484</v>
      </c>
      <c r="L28" s="173">
        <f>'Avoided Cost inputs'!N29/100</f>
        <v>2.0911047571614314</v>
      </c>
      <c r="M28" s="181">
        <f>NPV($C$1,$L$7:L28)+L$6</f>
        <v>16.099731437495212</v>
      </c>
      <c r="N28" s="187"/>
      <c r="O28" s="173"/>
      <c r="P28" s="191"/>
    </row>
    <row r="29" spans="1:16" x14ac:dyDescent="0.2">
      <c r="A29" s="1" t="str">
        <f t="shared" si="0"/>
        <v>w24</v>
      </c>
      <c r="B29" s="1">
        <v>24</v>
      </c>
      <c r="C29" s="1">
        <f t="shared" si="1"/>
        <v>2032</v>
      </c>
      <c r="D29" s="173">
        <f>D28*(1+'Avoided Cost inputs'!$I$9)</f>
        <v>0.48473654064743804</v>
      </c>
      <c r="E29" s="181">
        <f>NPV($C$1,$D$7:D29)+D$6</f>
        <v>3.8571977630194825</v>
      </c>
      <c r="F29" s="189">
        <f t="shared" si="3"/>
        <v>4.0247235608085664E-2</v>
      </c>
      <c r="G29" s="190">
        <f t="shared" si="4"/>
        <v>14.004015989518429</v>
      </c>
      <c r="H29" s="180">
        <f t="shared" si="4"/>
        <v>2.7003944032588389E-2</v>
      </c>
      <c r="I29" s="180">
        <f t="shared" si="4"/>
        <v>9.9428513525580808E-3</v>
      </c>
      <c r="J29" s="173">
        <f>+'Avoided Cost inputs'!M30/100</f>
        <v>0.12256738489430523</v>
      </c>
      <c r="K29" s="181">
        <f>NPV($C$1,$J$7:J29)+J$6</f>
        <v>0.94155781450664899</v>
      </c>
      <c r="L29" s="173">
        <f>'Avoided Cost inputs'!N30/100</f>
        <v>2.1329268523046601</v>
      </c>
      <c r="M29" s="181">
        <f>NPV($C$1,$L$7:L29)+L$6</f>
        <v>16.385059918593655</v>
      </c>
      <c r="N29" s="187"/>
      <c r="O29" s="173"/>
      <c r="P29" s="191"/>
    </row>
    <row r="30" spans="1:16" x14ac:dyDescent="0.2">
      <c r="A30" s="1" t="str">
        <f t="shared" si="0"/>
        <v>w25</v>
      </c>
      <c r="B30" s="1">
        <v>25</v>
      </c>
      <c r="C30" s="1">
        <f t="shared" si="1"/>
        <v>2033</v>
      </c>
      <c r="D30" s="173">
        <f>D29*(1+'Avoided Cost inputs'!$I$9)</f>
        <v>0.49443127146038679</v>
      </c>
      <c r="E30" s="181">
        <f>NPV($C$1,$D$7:D30)+D$6</f>
        <v>3.9178003472963665</v>
      </c>
      <c r="F30" s="189">
        <f t="shared" si="3"/>
        <v>3.6876704790256246E-2</v>
      </c>
      <c r="G30" s="190">
        <f t="shared" si="4"/>
        <v>14.004015989518429</v>
      </c>
      <c r="H30" s="180">
        <f t="shared" si="4"/>
        <v>2.7003944032588389E-2</v>
      </c>
      <c r="I30" s="180">
        <f t="shared" si="4"/>
        <v>9.9428513525580808E-3</v>
      </c>
      <c r="J30" s="173">
        <f>+'Avoided Cost inputs'!M31/100</f>
        <v>0.12501873259219132</v>
      </c>
      <c r="K30" s="181">
        <f>NPV($C$1,$J$7:J30)+J$6</f>
        <v>0.95688139680298945</v>
      </c>
      <c r="L30" s="173">
        <f>'Avoided Cost inputs'!N31/100</f>
        <v>2.1755853893507533</v>
      </c>
      <c r="M30" s="181">
        <f>NPV($C$1,$L$7:L30)+L$6</f>
        <v>16.651722050461355</v>
      </c>
      <c r="N30" s="187"/>
      <c r="O30" s="173"/>
      <c r="P30" s="191"/>
    </row>
    <row r="31" spans="1:16" x14ac:dyDescent="0.2">
      <c r="A31" s="1" t="str">
        <f t="shared" si="0"/>
        <v>w26</v>
      </c>
      <c r="B31" s="1">
        <v>26</v>
      </c>
      <c r="C31" s="1">
        <f t="shared" si="1"/>
        <v>2034</v>
      </c>
      <c r="D31" s="173">
        <f>D30*(1+'Avoided Cost inputs'!$I$9)</f>
        <v>0.50431989688959455</v>
      </c>
      <c r="E31" s="181">
        <f>NPV($C$1,$D$7:D31)+D$6</f>
        <v>3.9744382765270991</v>
      </c>
      <c r="F31" s="189">
        <f t="shared" si="3"/>
        <v>3.3788441259168266E-2</v>
      </c>
      <c r="G31" s="190">
        <f t="shared" si="4"/>
        <v>12.831240598789105</v>
      </c>
      <c r="H31" s="180">
        <f t="shared" si="4"/>
        <v>2.4742481246645034E-2</v>
      </c>
      <c r="I31" s="180">
        <f t="shared" si="4"/>
        <v>9.1101808251402624E-3</v>
      </c>
      <c r="J31" s="173">
        <f>+'Avoided Cost inputs'!M32/100</f>
        <v>0.12751910724403515</v>
      </c>
      <c r="K31" s="181">
        <f>NPV($C$1,$J$7:J31)+J$6</f>
        <v>0.97120250175284029</v>
      </c>
      <c r="L31" s="173">
        <f>'Avoided Cost inputs'!N32/100</f>
        <v>2.2190970971377681</v>
      </c>
      <c r="M31" s="181">
        <f>NPV($C$1,$L$7:L31)+L$6</f>
        <v>16.900938996132108</v>
      </c>
      <c r="N31" s="187"/>
      <c r="O31" s="184"/>
      <c r="P31" s="191"/>
    </row>
    <row r="32" spans="1:16" x14ac:dyDescent="0.2">
      <c r="A32" s="1" t="str">
        <f t="shared" si="0"/>
        <v>w27</v>
      </c>
      <c r="B32" s="1">
        <v>27</v>
      </c>
      <c r="C32" s="1">
        <f t="shared" si="1"/>
        <v>2035</v>
      </c>
      <c r="D32" s="173">
        <f>D31*(1+'Avoided Cost inputs'!$I$9)</f>
        <v>0.51440629482738642</v>
      </c>
      <c r="E32" s="181">
        <f>NPV($C$1,$D$7:D32)+D$6</f>
        <v>4.0273709206679698</v>
      </c>
      <c r="F32" s="189">
        <f t="shared" si="3"/>
        <v>3.0958806358043125E-2</v>
      </c>
      <c r="G32" s="190">
        <f t="shared" si="4"/>
        <v>12.831240598789105</v>
      </c>
      <c r="H32" s="180">
        <f t="shared" si="4"/>
        <v>2.4742481246645034E-2</v>
      </c>
      <c r="I32" s="180">
        <f t="shared" si="4"/>
        <v>9.1101808251402624E-3</v>
      </c>
      <c r="J32" s="173">
        <f>+'Avoided Cost inputs'!M33/100</f>
        <v>0.13006948938891585</v>
      </c>
      <c r="K32" s="181">
        <f>NPV($C$1,$J$7:J32)+J$6</f>
        <v>0.98458671198634562</v>
      </c>
      <c r="L32" s="173">
        <f>'Avoided Cost inputs'!N33/100</f>
        <v>2.2634790390805239</v>
      </c>
      <c r="M32" s="181">
        <f>NPV($C$1,$L$7:L32)+L$6</f>
        <v>17.133852029469256</v>
      </c>
      <c r="N32" s="187"/>
      <c r="O32" s="184"/>
      <c r="P32" s="191"/>
    </row>
    <row r="33" spans="1:16" x14ac:dyDescent="0.2">
      <c r="A33" s="1" t="str">
        <f t="shared" si="0"/>
        <v>w28</v>
      </c>
      <c r="B33" s="1">
        <v>28</v>
      </c>
      <c r="C33" s="1">
        <f t="shared" si="1"/>
        <v>2036</v>
      </c>
      <c r="D33" s="173">
        <f>D32*(1+'Avoided Cost inputs'!$I$9)</f>
        <v>0.52469442072393413</v>
      </c>
      <c r="E33" s="181">
        <f>NPV($C$1,$D$7:D33)+D$6</f>
        <v>4.0768406815472886</v>
      </c>
      <c r="F33" s="189">
        <f t="shared" si="3"/>
        <v>2.8366141064727072E-2</v>
      </c>
      <c r="G33" s="190">
        <f t="shared" si="4"/>
        <v>11.756680042870721</v>
      </c>
      <c r="H33" s="180">
        <f t="shared" si="4"/>
        <v>2.2670406126667614E-2</v>
      </c>
      <c r="I33" s="180">
        <f t="shared" si="4"/>
        <v>8.3472428304382108E-3</v>
      </c>
      <c r="J33" s="173">
        <f>+'Avoided Cost inputs'!M34/100</f>
        <v>0.13267087917669418</v>
      </c>
      <c r="K33" s="181">
        <f>NPV($C$1,$J$7:J33)+J$6</f>
        <v>0.99709531968121046</v>
      </c>
      <c r="L33" s="173">
        <f>'Avoided Cost inputs'!N34/100</f>
        <v>2.3087486198621345</v>
      </c>
      <c r="M33" s="181">
        <f>NPV($C$1,$L$7:L33)+L$6</f>
        <v>17.35152776156005</v>
      </c>
      <c r="N33" s="187"/>
      <c r="O33" s="184"/>
      <c r="P33" s="191"/>
    </row>
    <row r="34" spans="1:16" x14ac:dyDescent="0.2">
      <c r="A34" s="1" t="str">
        <f t="shared" si="0"/>
        <v>w29</v>
      </c>
      <c r="B34" s="1">
        <v>29</v>
      </c>
      <c r="C34" s="1">
        <f t="shared" si="1"/>
        <v>2037</v>
      </c>
      <c r="D34" s="173">
        <f>D33*(1+'Avoided Cost inputs'!$I$9)</f>
        <v>0.53518830913841287</v>
      </c>
      <c r="E34" s="181">
        <f>NPV($C$1,$D$7:D34)+D$6</f>
        <v>4.1230741029298299</v>
      </c>
      <c r="F34" s="189">
        <f t="shared" si="3"/>
        <v>2.5990600205907158E-2</v>
      </c>
      <c r="G34" s="190">
        <f t="shared" si="4"/>
        <v>11.756680042870721</v>
      </c>
      <c r="H34" s="180">
        <f t="shared" si="4"/>
        <v>2.2670406126667614E-2</v>
      </c>
      <c r="I34" s="180">
        <f t="shared" si="4"/>
        <v>8.3472428304382108E-3</v>
      </c>
      <c r="J34" s="173">
        <f>+'Avoided Cost inputs'!M35/100</f>
        <v>0.13532429676022806</v>
      </c>
      <c r="K34" s="181">
        <f>NPV($C$1,$J$7:J34)+J$6</f>
        <v>1.0087856072465049</v>
      </c>
      <c r="L34" s="173">
        <f>'Avoided Cost inputs'!N35/100</f>
        <v>2.354923592259377</v>
      </c>
      <c r="M34" s="181">
        <f>NPV($C$1,$L$7:L34)+L$6</f>
        <v>17.554963025196308</v>
      </c>
      <c r="N34" s="187"/>
      <c r="O34" s="192"/>
      <c r="P34" s="191"/>
    </row>
    <row r="35" spans="1:16" x14ac:dyDescent="0.2">
      <c r="A35" s="1" t="str">
        <f t="shared" si="0"/>
        <v>w30</v>
      </c>
      <c r="B35" s="1">
        <v>30</v>
      </c>
      <c r="C35" s="1">
        <f t="shared" si="1"/>
        <v>2038</v>
      </c>
      <c r="D35" s="173">
        <f>D34*(1+'Avoided Cost inputs'!$I$9)</f>
        <v>0.54589207532118111</v>
      </c>
      <c r="E35" s="181">
        <f>NPV($C$1,$D$7:D35)+D$6</f>
        <v>4.1662829079602419</v>
      </c>
      <c r="F35" s="189">
        <f t="shared" si="3"/>
        <v>2.3814000555165072E-2</v>
      </c>
      <c r="G35" s="190">
        <f t="shared" si="4"/>
        <v>10.772109256799268</v>
      </c>
      <c r="H35" s="180">
        <f t="shared" si="4"/>
        <v>2.0771858279886032E-2</v>
      </c>
      <c r="I35" s="180">
        <f t="shared" si="4"/>
        <v>7.6481975723274795E-3</v>
      </c>
      <c r="J35" s="173">
        <f>+'Avoided Cost inputs'!M36/100</f>
        <v>0.13803078269543265</v>
      </c>
      <c r="K35" s="181">
        <f>NPV($C$1,$J$7:J35)+J$6</f>
        <v>1.0197111096439762</v>
      </c>
      <c r="L35" s="173">
        <f>'Avoided Cost inputs'!N36/100</f>
        <v>2.4020220641045649</v>
      </c>
      <c r="M35" s="181">
        <f>NPV($C$1,$L$7:L35)+L$6</f>
        <v>17.745089439809629</v>
      </c>
      <c r="N35" s="187"/>
      <c r="O35" s="192"/>
      <c r="P35" s="191"/>
    </row>
    <row r="36" spans="1:16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93"/>
      <c r="M36" s="1"/>
      <c r="N36" s="187"/>
    </row>
    <row r="37" spans="1:16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6" x14ac:dyDescent="0.2">
      <c r="B38" s="1"/>
      <c r="C38" s="1"/>
      <c r="D38" s="1"/>
      <c r="E38" s="1">
        <v>4</v>
      </c>
      <c r="F38" s="1"/>
      <c r="G38" s="1"/>
      <c r="H38" s="1"/>
      <c r="I38" s="1"/>
      <c r="J38" s="1"/>
      <c r="K38" s="1">
        <v>10</v>
      </c>
      <c r="L38" s="1"/>
      <c r="M38" s="1">
        <v>12</v>
      </c>
    </row>
    <row r="39" spans="1:16" x14ac:dyDescent="0.2">
      <c r="B39" s="1" t="s">
        <v>220</v>
      </c>
      <c r="C39" s="175"/>
      <c r="D39" s="1" t="s">
        <v>216</v>
      </c>
      <c r="E39" s="1"/>
      <c r="F39" s="1"/>
      <c r="G39" s="1"/>
      <c r="H39" s="1"/>
      <c r="I39" s="1"/>
      <c r="J39" s="1"/>
      <c r="K39" s="1"/>
      <c r="L39" s="1"/>
      <c r="M39" s="1"/>
    </row>
    <row r="40" spans="1:16" x14ac:dyDescent="0.2">
      <c r="B40" s="1"/>
      <c r="C40" s="175"/>
      <c r="D40" s="1" t="s">
        <v>217</v>
      </c>
      <c r="E40" s="1"/>
      <c r="F40" s="1"/>
      <c r="G40" s="1"/>
      <c r="H40" s="1"/>
      <c r="I40" s="1"/>
      <c r="J40" s="1"/>
      <c r="K40" s="1"/>
      <c r="L40" s="1"/>
      <c r="M40" s="1"/>
    </row>
    <row r="41" spans="1:16" x14ac:dyDescent="0.2">
      <c r="B41" s="1" t="s">
        <v>218</v>
      </c>
      <c r="C41" s="175"/>
      <c r="D41" s="1"/>
      <c r="E41" s="3" t="s">
        <v>219</v>
      </c>
      <c r="F41" s="3"/>
      <c r="G41" s="3"/>
      <c r="H41" s="1"/>
      <c r="I41" s="3"/>
      <c r="J41" s="1"/>
      <c r="K41" s="3" t="s">
        <v>219</v>
      </c>
      <c r="L41" s="1"/>
      <c r="M41" s="3" t="s">
        <v>219</v>
      </c>
    </row>
    <row r="42" spans="1:16" hidden="1" x14ac:dyDescent="0.2">
      <c r="B42" s="1">
        <v>0</v>
      </c>
      <c r="C42" s="1">
        <v>2006</v>
      </c>
      <c r="D42" s="172">
        <v>0</v>
      </c>
      <c r="E42" s="181"/>
      <c r="F42" s="180"/>
      <c r="G42" s="180"/>
      <c r="H42" s="190"/>
      <c r="I42" s="181"/>
      <c r="J42" s="173">
        <f t="shared" ref="J42:J72" si="5">J5</f>
        <v>0</v>
      </c>
      <c r="K42" s="181"/>
      <c r="L42" s="173"/>
      <c r="M42" s="181"/>
    </row>
    <row r="43" spans="1:16" x14ac:dyDescent="0.2">
      <c r="A43" s="1" t="str">
        <f>+"s"&amp;B43</f>
        <v>s1</v>
      </c>
      <c r="B43" s="1">
        <v>1</v>
      </c>
      <c r="C43" s="1">
        <v>2009</v>
      </c>
      <c r="D43" s="172">
        <f>'Avoided Cost inputs'!D63/1000</f>
        <v>0.32672137023104675</v>
      </c>
      <c r="E43" s="181">
        <f>+D43</f>
        <v>0.32672137023104675</v>
      </c>
      <c r="F43" s="180">
        <f>E43</f>
        <v>0.32672137023104675</v>
      </c>
      <c r="G43" s="82"/>
      <c r="H43" s="190"/>
      <c r="I43" s="185"/>
      <c r="J43" s="173">
        <f t="shared" si="5"/>
        <v>7.7100000000000002E-2</v>
      </c>
      <c r="K43" s="194">
        <f>+J43</f>
        <v>7.7100000000000002E-2</v>
      </c>
      <c r="L43" s="173">
        <f t="shared" ref="L43:L72" si="6">+L6</f>
        <v>1.3416999999999999</v>
      </c>
      <c r="M43" s="185">
        <f>+L43</f>
        <v>1.3416999999999999</v>
      </c>
      <c r="O43" s="192"/>
    </row>
    <row r="44" spans="1:16" x14ac:dyDescent="0.2">
      <c r="A44" s="1" t="str">
        <f t="shared" ref="A44:A72" si="7">+"s"&amp;B44</f>
        <v>s2</v>
      </c>
      <c r="B44" s="1">
        <v>2</v>
      </c>
      <c r="C44" s="1">
        <f t="shared" ref="C44:C71" si="8">+C43+1</f>
        <v>2010</v>
      </c>
      <c r="D44" s="172">
        <f>'Avoided Cost inputs'!D64/1000</f>
        <v>0.34164831484943869</v>
      </c>
      <c r="E44" s="181">
        <f>NPV($C$1,$D$44:D44)+D$43</f>
        <v>0.63975812563643308</v>
      </c>
      <c r="F44" s="180">
        <f>NPV($C$1,D44)</f>
        <v>0.31303675540538639</v>
      </c>
      <c r="G44" s="82"/>
      <c r="H44" s="190"/>
      <c r="I44" s="185"/>
      <c r="J44" s="173">
        <f t="shared" si="5"/>
        <v>7.8435476582365063E-2</v>
      </c>
      <c r="K44" s="181">
        <f>NPV($C$1,J$44:J44)+J$43</f>
        <v>0.14896684678611422</v>
      </c>
      <c r="L44" s="173">
        <f t="shared" si="6"/>
        <v>1.3649400639501841</v>
      </c>
      <c r="M44" s="181">
        <f>NPV($C$1,L$44:L44)+L$43</f>
        <v>2.5923322740976582</v>
      </c>
      <c r="O44" s="192"/>
    </row>
    <row r="45" spans="1:16" x14ac:dyDescent="0.2">
      <c r="A45" s="1" t="str">
        <f t="shared" si="7"/>
        <v>s3</v>
      </c>
      <c r="B45" s="1">
        <v>3</v>
      </c>
      <c r="C45" s="1">
        <f t="shared" si="8"/>
        <v>2011</v>
      </c>
      <c r="D45" s="172">
        <f>'Avoided Cost inputs'!D65/1000</f>
        <v>0.37014704196328341</v>
      </c>
      <c r="E45" s="181">
        <f>NPV($C$1,$D$44:D45)+D$43</f>
        <v>0.95050472464306646</v>
      </c>
      <c r="F45" s="180">
        <f t="shared" ref="F45:F72" si="9">NPV($C$1,D45)</f>
        <v>0.33914883815583968</v>
      </c>
      <c r="G45" s="82"/>
      <c r="H45" s="190"/>
      <c r="I45" s="185"/>
      <c r="J45" s="173">
        <f t="shared" si="5"/>
        <v>7.9879813340984901E-2</v>
      </c>
      <c r="K45" s="181">
        <f>NPV($C$1,J$44:J45)+J$43</f>
        <v>0.21602771047243813</v>
      </c>
      <c r="L45" s="173">
        <f t="shared" si="6"/>
        <v>1.390074520876776</v>
      </c>
      <c r="M45" s="181">
        <f>NPV($C$1,L$44:L45)+L$43</f>
        <v>3.7593304687531801</v>
      </c>
      <c r="O45" s="192"/>
    </row>
    <row r="46" spans="1:16" x14ac:dyDescent="0.2">
      <c r="A46" s="1" t="str">
        <f t="shared" si="7"/>
        <v>s4</v>
      </c>
      <c r="B46" s="1">
        <v>4</v>
      </c>
      <c r="C46" s="1">
        <f t="shared" si="8"/>
        <v>2012</v>
      </c>
      <c r="D46" s="172">
        <f>'Avoided Cost inputs'!D66/1000</f>
        <v>0.36177449459058408</v>
      </c>
      <c r="E46" s="181">
        <f>NPV($C$1,$D$44:D46)+D$43</f>
        <v>1.2287873533525699</v>
      </c>
      <c r="F46" s="180">
        <f t="shared" si="9"/>
        <v>0.33147745518653482</v>
      </c>
      <c r="G46" s="82"/>
      <c r="H46" s="190"/>
      <c r="I46" s="185"/>
      <c r="J46" s="173">
        <f t="shared" si="5"/>
        <v>8.1390988411726109E-2</v>
      </c>
      <c r="K46" s="181">
        <f>NPV($C$1,J$44:J46)+J$43</f>
        <v>0.27863493830952568</v>
      </c>
      <c r="L46" s="173">
        <f t="shared" si="6"/>
        <v>1.416372103138948</v>
      </c>
      <c r="M46" s="181">
        <f>NPV($C$1,L$44:L46)+L$43</f>
        <v>4.8488261573267248</v>
      </c>
      <c r="O46" s="192"/>
    </row>
    <row r="47" spans="1:16" x14ac:dyDescent="0.2">
      <c r="A47" s="1" t="str">
        <f t="shared" si="7"/>
        <v>s5</v>
      </c>
      <c r="B47" s="1">
        <v>5</v>
      </c>
      <c r="C47" s="1">
        <f t="shared" si="8"/>
        <v>2013</v>
      </c>
      <c r="D47" s="172">
        <f>'Avoided Cost inputs'!D67/1000</f>
        <v>0.38704464225546459</v>
      </c>
      <c r="E47" s="181">
        <f>NPV($C$1,$D$44:D47)+D$43</f>
        <v>1.5015753536881673</v>
      </c>
      <c r="F47" s="180">
        <f t="shared" si="9"/>
        <v>0.35463133796542479</v>
      </c>
      <c r="G47" s="82"/>
      <c r="H47" s="190"/>
      <c r="I47" s="185"/>
      <c r="J47" s="173">
        <f t="shared" si="5"/>
        <v>8.2954859485231125E-2</v>
      </c>
      <c r="K47" s="181">
        <f>NPV($C$1,J$44:J47)+J$43</f>
        <v>0.33710129533032784</v>
      </c>
      <c r="L47" s="173">
        <f t="shared" si="6"/>
        <v>1.4435867052053768</v>
      </c>
      <c r="M47" s="181">
        <f>NPV($C$1,L$44:L47)+L$43</f>
        <v>5.8662621004500739</v>
      </c>
      <c r="O47" s="192"/>
    </row>
    <row r="48" spans="1:16" x14ac:dyDescent="0.2">
      <c r="A48" s="1" t="str">
        <f t="shared" si="7"/>
        <v>s6</v>
      </c>
      <c r="B48" s="1">
        <v>6</v>
      </c>
      <c r="C48" s="1">
        <f t="shared" si="8"/>
        <v>2014</v>
      </c>
      <c r="D48" s="172">
        <f>'Avoided Cost inputs'!D68/1000</f>
        <v>0.40844773596860889</v>
      </c>
      <c r="E48" s="181">
        <f>NPV($C$1,$D$44:D48)+D$43</f>
        <v>1.7653400980284051</v>
      </c>
      <c r="F48" s="180">
        <f t="shared" si="9"/>
        <v>0.37424201573081267</v>
      </c>
      <c r="G48" s="82"/>
      <c r="H48" s="190"/>
      <c r="I48" s="185"/>
      <c r="J48" s="173">
        <f t="shared" si="5"/>
        <v>8.4548837602100857E-2</v>
      </c>
      <c r="K48" s="181">
        <f>NPV($C$1,J$44:J48)+J$43</f>
        <v>0.3917006983151356</v>
      </c>
      <c r="L48" s="173">
        <f t="shared" si="6"/>
        <v>1.4713252323053008</v>
      </c>
      <c r="M48" s="181">
        <f>NPV($C$1,L$44:L48)+L$43</f>
        <v>6.8164050185397844</v>
      </c>
      <c r="O48" s="192"/>
    </row>
    <row r="49" spans="1:16" x14ac:dyDescent="0.2">
      <c r="A49" s="1" t="str">
        <f t="shared" si="7"/>
        <v>s7</v>
      </c>
      <c r="B49" s="1">
        <v>7</v>
      </c>
      <c r="C49" s="1">
        <f t="shared" si="8"/>
        <v>2015</v>
      </c>
      <c r="D49" s="172">
        <f>'Avoided Cost inputs'!D69/1000</f>
        <v>0.42208240435031336</v>
      </c>
      <c r="E49" s="181">
        <f>NPV($C$1,$D$44:D49)+D$43</f>
        <v>2.0150832284486331</v>
      </c>
      <c r="F49" s="180">
        <f t="shared" si="9"/>
        <v>0.38673483997646452</v>
      </c>
      <c r="G49" s="82"/>
      <c r="H49" s="190"/>
      <c r="I49" s="185"/>
      <c r="J49" s="173">
        <f t="shared" si="5"/>
        <v>8.615608700938239E-2</v>
      </c>
      <c r="K49" s="181">
        <f>NPV($C$1,J$44:J49)+J$43</f>
        <v>0.4426786368709974</v>
      </c>
      <c r="L49" s="173">
        <f t="shared" si="6"/>
        <v>1.4992947073993295</v>
      </c>
      <c r="M49" s="181">
        <f>NPV($C$1,L$44:L49)+L$43</f>
        <v>7.7035269402051494</v>
      </c>
      <c r="O49" s="192"/>
    </row>
    <row r="50" spans="1:16" x14ac:dyDescent="0.2">
      <c r="A50" s="1" t="str">
        <f t="shared" si="7"/>
        <v>s8</v>
      </c>
      <c r="B50" s="1">
        <v>8</v>
      </c>
      <c r="C50" s="1">
        <f t="shared" si="8"/>
        <v>2016</v>
      </c>
      <c r="D50" s="172">
        <f>'Avoided Cost inputs'!D70/1000</f>
        <v>0.42383291793178718</v>
      </c>
      <c r="E50" s="181">
        <f>NPV($C$1,$D$44:D50)+D$43</f>
        <v>2.2448604840353203</v>
      </c>
      <c r="F50" s="180">
        <f t="shared" si="9"/>
        <v>0.38833875566408943</v>
      </c>
      <c r="G50" s="82"/>
      <c r="H50" s="190"/>
      <c r="I50" s="185"/>
      <c r="J50" s="173">
        <f t="shared" si="5"/>
        <v>8.7702518580828476E-2</v>
      </c>
      <c r="K50" s="181">
        <f>NPV($C$1,J$44:J50)+J$43</f>
        <v>0.49022577909364695</v>
      </c>
      <c r="L50" s="173">
        <f t="shared" si="6"/>
        <v>1.5262058259390081</v>
      </c>
      <c r="M50" s="181">
        <f>NPV($C$1,L$44:L50)+L$43</f>
        <v>8.5309458859915175</v>
      </c>
      <c r="O50" s="192"/>
    </row>
    <row r="51" spans="1:16" x14ac:dyDescent="0.2">
      <c r="A51" s="1" t="str">
        <f t="shared" si="7"/>
        <v>s9</v>
      </c>
      <c r="B51" s="1">
        <v>9</v>
      </c>
      <c r="C51" s="1">
        <f t="shared" si="8"/>
        <v>2017</v>
      </c>
      <c r="D51" s="172">
        <f>'Avoided Cost inputs'!D71/1000</f>
        <v>0.3970530885100475</v>
      </c>
      <c r="E51" s="181">
        <f>NPV($C$1,$D$44:D51)+D$43</f>
        <v>2.4420923043539844</v>
      </c>
      <c r="F51" s="180">
        <f t="shared" si="9"/>
        <v>0.36380162040502795</v>
      </c>
      <c r="G51" s="195"/>
      <c r="H51" s="190"/>
      <c r="I51" s="185"/>
      <c r="J51" s="173">
        <f t="shared" si="5"/>
        <v>8.9357150464272478E-2</v>
      </c>
      <c r="K51" s="181">
        <f>NPV($C$1,J$44:J51)+J$43</f>
        <v>0.53461297555317344</v>
      </c>
      <c r="L51" s="173">
        <f t="shared" si="6"/>
        <v>1.5549998544476569</v>
      </c>
      <c r="M51" s="181">
        <f>NPV($C$1,L$44:L51)+L$43</f>
        <v>9.3033752178948461</v>
      </c>
      <c r="O51" s="192"/>
      <c r="P51" s="191"/>
    </row>
    <row r="52" spans="1:16" x14ac:dyDescent="0.2">
      <c r="A52" s="1" t="str">
        <f t="shared" si="7"/>
        <v>s10</v>
      </c>
      <c r="B52" s="1">
        <v>10</v>
      </c>
      <c r="C52" s="1">
        <f t="shared" si="8"/>
        <v>2018</v>
      </c>
      <c r="D52" s="173">
        <f>D51*(1+'Avoided Cost inputs'!$I$58)</f>
        <v>0.40499415028024843</v>
      </c>
      <c r="E52" s="181">
        <f>NPV($C$1,$D$44:D52)+D$43</f>
        <v>2.6264211083901188</v>
      </c>
      <c r="F52" s="180">
        <f t="shared" si="9"/>
        <v>0.37107765281312849</v>
      </c>
      <c r="G52" s="180"/>
      <c r="H52" s="190"/>
      <c r="I52" s="185"/>
      <c r="J52" s="173">
        <f t="shared" si="5"/>
        <v>9.1102400414455081E-2</v>
      </c>
      <c r="K52" s="181">
        <f>NPV($C$1,J$44:J52)+J$43</f>
        <v>0.57607726954753657</v>
      </c>
      <c r="L52" s="173">
        <f t="shared" si="6"/>
        <v>1.585370825370614</v>
      </c>
      <c r="M52" s="181">
        <f>NPV($C$1,L$44:L52)+L$43</f>
        <v>10.024939981218285</v>
      </c>
      <c r="O52" s="192"/>
      <c r="P52" s="191"/>
    </row>
    <row r="53" spans="1:16" x14ac:dyDescent="0.2">
      <c r="A53" s="1" t="str">
        <f t="shared" si="7"/>
        <v>s11</v>
      </c>
      <c r="B53" s="1">
        <v>11</v>
      </c>
      <c r="C53" s="1">
        <f t="shared" si="8"/>
        <v>2019</v>
      </c>
      <c r="D53" s="173">
        <f>D52*(1+'Avoided Cost inputs'!$I$58)</f>
        <v>0.41309403328585342</v>
      </c>
      <c r="E53" s="181">
        <f>NPV($C$1,$D$44:D53)+D$43</f>
        <v>2.7986910187042633</v>
      </c>
      <c r="F53" s="180">
        <f t="shared" si="9"/>
        <v>0.37849920586939112</v>
      </c>
      <c r="G53" s="180"/>
      <c r="H53" s="190"/>
      <c r="I53" s="185"/>
      <c r="J53" s="173">
        <f t="shared" si="5"/>
        <v>9.2920688485174013E-2</v>
      </c>
      <c r="K53" s="181">
        <f>NPV($C$1,J$44:J53)+J$43</f>
        <v>0.61482737819554178</v>
      </c>
      <c r="L53" s="173">
        <f t="shared" si="6"/>
        <v>1.6170128111615814</v>
      </c>
      <c r="M53" s="181">
        <f>NPV($C$1,L$44:L53)+L$43</f>
        <v>10.699272286964439</v>
      </c>
      <c r="O53" s="192"/>
      <c r="P53" s="191"/>
    </row>
    <row r="54" spans="1:16" x14ac:dyDescent="0.2">
      <c r="A54" s="1" t="str">
        <f t="shared" si="7"/>
        <v>s12</v>
      </c>
      <c r="B54" s="1">
        <v>12</v>
      </c>
      <c r="C54" s="1">
        <f t="shared" si="8"/>
        <v>2020</v>
      </c>
      <c r="D54" s="173">
        <f>D53*(1+'Avoided Cost inputs'!$I$58)</f>
        <v>0.42135591395157052</v>
      </c>
      <c r="E54" s="181">
        <f>NPV($C$1,$D$44:D54)+D$43</f>
        <v>2.9596909348857068</v>
      </c>
      <c r="F54" s="180">
        <f t="shared" si="9"/>
        <v>0.38606918998677897</v>
      </c>
      <c r="G54" s="180"/>
      <c r="H54" s="190"/>
      <c r="I54" s="185"/>
      <c r="J54" s="173">
        <f t="shared" si="5"/>
        <v>9.500304523802576E-2</v>
      </c>
      <c r="K54" s="181">
        <f>NPV($C$1,J$44:J54)+J$43</f>
        <v>0.65112800152573191</v>
      </c>
      <c r="L54" s="173">
        <f t="shared" si="6"/>
        <v>1.6532501400241131</v>
      </c>
      <c r="M54" s="181">
        <f>NPV($C$1,L$44:L54)+L$43</f>
        <v>11.3309784649426</v>
      </c>
      <c r="O54" s="192"/>
      <c r="P54" s="191"/>
    </row>
    <row r="55" spans="1:16" x14ac:dyDescent="0.2">
      <c r="A55" s="1" t="str">
        <f t="shared" si="7"/>
        <v>s13</v>
      </c>
      <c r="B55" s="1">
        <v>13</v>
      </c>
      <c r="C55" s="1">
        <f t="shared" si="8"/>
        <v>2021</v>
      </c>
      <c r="D55" s="173">
        <f>D54*(1+'Avoided Cost inputs'!$I$58)</f>
        <v>0.42978303223060194</v>
      </c>
      <c r="E55" s="181">
        <f>NPV($C$1,$D$44:D55)+D$43</f>
        <v>3.110158146270233</v>
      </c>
      <c r="F55" s="180">
        <f t="shared" si="9"/>
        <v>0.39379057378651455</v>
      </c>
      <c r="G55" s="180"/>
      <c r="H55" s="190"/>
      <c r="I55" s="185"/>
      <c r="J55" s="173">
        <f t="shared" si="5"/>
        <v>9.7007042580908281E-2</v>
      </c>
      <c r="K55" s="181">
        <f>NPV($C$1,J$44:J55)+J$43</f>
        <v>0.68509020591070535</v>
      </c>
      <c r="L55" s="173">
        <f t="shared" si="6"/>
        <v>1.6881238525396185</v>
      </c>
      <c r="M55" s="181">
        <f>NPV($C$1,L$44:L55)+L$43</f>
        <v>11.921991300523906</v>
      </c>
      <c r="O55" s="192"/>
      <c r="P55" s="191"/>
    </row>
    <row r="56" spans="1:16" x14ac:dyDescent="0.2">
      <c r="A56" s="1" t="str">
        <f t="shared" si="7"/>
        <v>s14</v>
      </c>
      <c r="B56" s="1">
        <v>14</v>
      </c>
      <c r="C56" s="1">
        <f t="shared" si="8"/>
        <v>2022</v>
      </c>
      <c r="D56" s="173">
        <f>D55*(1+'Avoided Cost inputs'!$I$58)</f>
        <v>0.43837869287521397</v>
      </c>
      <c r="E56" s="181">
        <f>NPV($C$1,$D$44:D56)+D$43</f>
        <v>3.2507817083118469</v>
      </c>
      <c r="F56" s="180">
        <f t="shared" si="9"/>
        <v>0.40166638526224485</v>
      </c>
      <c r="G56" s="180"/>
      <c r="H56" s="190"/>
      <c r="I56" s="185"/>
      <c r="J56" s="173">
        <f t="shared" si="5"/>
        <v>9.8983282627950864E-2</v>
      </c>
      <c r="K56" s="181">
        <f>NPV($C$1,J$44:J56)+J$43</f>
        <v>0.71684216377713494</v>
      </c>
      <c r="L56" s="173">
        <f t="shared" si="6"/>
        <v>1.72251453050482</v>
      </c>
      <c r="M56" s="181">
        <f>NPV($C$1,L$44:L56)+L$43</f>
        <v>12.474541259919347</v>
      </c>
      <c r="O56" s="192"/>
      <c r="P56" s="191"/>
    </row>
    <row r="57" spans="1:16" x14ac:dyDescent="0.2">
      <c r="A57" s="1" t="str">
        <f t="shared" si="7"/>
        <v>s15</v>
      </c>
      <c r="B57" s="1">
        <v>15</v>
      </c>
      <c r="C57" s="1">
        <f t="shared" si="8"/>
        <v>2023</v>
      </c>
      <c r="D57" s="173">
        <f>D56*(1+'Avoided Cost inputs'!$I$58)</f>
        <v>0.44714626673271823</v>
      </c>
      <c r="E57" s="181">
        <f>NPV($C$1,$D$44:D57)+D$43</f>
        <v>3.3822055980703642</v>
      </c>
      <c r="F57" s="180">
        <f t="shared" si="9"/>
        <v>0.40969971296748969</v>
      </c>
      <c r="G57" s="180"/>
      <c r="H57" s="190"/>
      <c r="I57" s="185"/>
      <c r="J57" s="173">
        <f t="shared" si="5"/>
        <v>0.10101495532033619</v>
      </c>
      <c r="K57" s="181">
        <f>NPV($C$1,J$44:J57)+J$43</f>
        <v>0.74653217650828663</v>
      </c>
      <c r="L57" s="173">
        <f t="shared" si="6"/>
        <v>1.7578698515343061</v>
      </c>
      <c r="M57" s="181">
        <f>NPV($C$1,L$44:L57)+L$43</f>
        <v>12.991209094956783</v>
      </c>
      <c r="O57" s="192"/>
      <c r="P57" s="191"/>
    </row>
    <row r="58" spans="1:16" x14ac:dyDescent="0.2">
      <c r="A58" s="1" t="str">
        <f t="shared" si="7"/>
        <v>s16</v>
      </c>
      <c r="B58" s="1">
        <v>16</v>
      </c>
      <c r="C58" s="1">
        <f t="shared" si="8"/>
        <v>2024</v>
      </c>
      <c r="D58" s="173">
        <f>D57*(1+'Avoided Cost inputs'!$I$58)</f>
        <v>0.45608919206737258</v>
      </c>
      <c r="E58" s="181">
        <f>NPV($C$1,$D$44:D58)+D$43</f>
        <v>3.5050316632652403</v>
      </c>
      <c r="F58" s="180">
        <f t="shared" si="9"/>
        <v>0.41789370722683949</v>
      </c>
      <c r="G58" s="180"/>
      <c r="H58" s="190"/>
      <c r="I58" s="185"/>
      <c r="J58" s="173">
        <f t="shared" si="5"/>
        <v>0.10312742869995967</v>
      </c>
      <c r="K58" s="181">
        <f>NPV($C$1,J$44:J58)+J$43</f>
        <v>0.77430467474150522</v>
      </c>
      <c r="L58" s="173">
        <f t="shared" si="6"/>
        <v>1.7946312722015023</v>
      </c>
      <c r="M58" s="181">
        <f>NPV($C$1,L$44:L58)+L$43</f>
        <v>13.474508198452364</v>
      </c>
      <c r="O58" s="192"/>
      <c r="P58" s="191"/>
    </row>
    <row r="59" spans="1:16" x14ac:dyDescent="0.2">
      <c r="A59" s="1" t="str">
        <f t="shared" si="7"/>
        <v>s17</v>
      </c>
      <c r="B59" s="1">
        <v>17</v>
      </c>
      <c r="C59" s="1">
        <f t="shared" si="8"/>
        <v>2025</v>
      </c>
      <c r="D59" s="173">
        <f>D58*(1+'Avoided Cost inputs'!$I$58)</f>
        <v>0.46521097590872007</v>
      </c>
      <c r="E59" s="181">
        <f>NPV($C$1,$D$44:D59)+D$43</f>
        <v>3.619822378400638</v>
      </c>
      <c r="F59" s="180">
        <f t="shared" si="9"/>
        <v>0.42625158137137631</v>
      </c>
      <c r="G59" s="180"/>
      <c r="H59" s="190"/>
      <c r="I59" s="185"/>
      <c r="J59" s="173">
        <f t="shared" si="5"/>
        <v>0.10532008930404643</v>
      </c>
      <c r="K59" s="181">
        <f>NPV($C$1,J$44:J59)+J$43</f>
        <v>0.80029238568430894</v>
      </c>
      <c r="L59" s="173">
        <f t="shared" si="6"/>
        <v>1.8327881169810509</v>
      </c>
      <c r="M59" s="181">
        <f>NPV($C$1,L$44:L59)+L$43</f>
        <v>13.926748299255994</v>
      </c>
      <c r="O59" s="192"/>
      <c r="P59" s="191"/>
    </row>
    <row r="60" spans="1:16" x14ac:dyDescent="0.2">
      <c r="A60" s="1" t="str">
        <f t="shared" si="7"/>
        <v>s18</v>
      </c>
      <c r="B60" s="1">
        <v>18</v>
      </c>
      <c r="C60" s="1">
        <f t="shared" si="8"/>
        <v>2026</v>
      </c>
      <c r="D60" s="173">
        <f>D59*(1+'Avoided Cost inputs'!$I$58)</f>
        <v>0.47451519542689446</v>
      </c>
      <c r="E60" s="181">
        <f>NPV($C$1,$D$44:D60)+D$43</f>
        <v>3.7271034205832536</v>
      </c>
      <c r="F60" s="180">
        <f t="shared" si="9"/>
        <v>0.43477661299880382</v>
      </c>
      <c r="G60" s="180"/>
      <c r="H60" s="190"/>
      <c r="I60" s="185"/>
      <c r="J60" s="173">
        <f t="shared" si="5"/>
        <v>0.10762470410671554</v>
      </c>
      <c r="K60" s="181">
        <f>NPV($C$1,J$44:J60)+J$43</f>
        <v>0.82462477910908993</v>
      </c>
      <c r="L60" s="173">
        <f t="shared" si="6"/>
        <v>1.8728931971463059</v>
      </c>
      <c r="M60" s="181">
        <f>NPV($C$1,L$44:L60)+L$43</f>
        <v>14.350182440086455</v>
      </c>
      <c r="O60" s="192"/>
      <c r="P60" s="191"/>
    </row>
    <row r="61" spans="1:16" x14ac:dyDescent="0.2">
      <c r="A61" s="1" t="str">
        <f t="shared" si="7"/>
        <v>s19</v>
      </c>
      <c r="B61" s="1">
        <v>19</v>
      </c>
      <c r="C61" s="1">
        <f t="shared" si="8"/>
        <v>2027</v>
      </c>
      <c r="D61" s="173">
        <f>D60*(1+'Avoided Cost inputs'!$I$58)</f>
        <v>0.48400549933543235</v>
      </c>
      <c r="E61" s="181">
        <f>NPV($C$1,$D$44:D61)+D$43</f>
        <v>3.8273660768286879</v>
      </c>
      <c r="F61" s="180">
        <f t="shared" si="9"/>
        <v>0.44347214525877993</v>
      </c>
      <c r="G61" s="180"/>
      <c r="H61" s="190"/>
      <c r="I61" s="185"/>
      <c r="J61" s="173">
        <f t="shared" si="5"/>
        <v>0.11011680506721307</v>
      </c>
      <c r="K61" s="181">
        <f>NPV($C$1,J$44:J61)+J$43</f>
        <v>0.84743568392000412</v>
      </c>
      <c r="L61" s="173">
        <f t="shared" si="6"/>
        <v>1.9162609255341079</v>
      </c>
      <c r="M61" s="181">
        <f>NPV($C$1,L$44:L61)+L$43</f>
        <v>14.747139521601417</v>
      </c>
      <c r="O61" s="192"/>
      <c r="P61" s="191"/>
    </row>
    <row r="62" spans="1:16" x14ac:dyDescent="0.2">
      <c r="A62" s="1" t="str">
        <f t="shared" si="7"/>
        <v>s20</v>
      </c>
      <c r="B62" s="1">
        <v>20</v>
      </c>
      <c r="C62" s="1">
        <f t="shared" si="8"/>
        <v>2028</v>
      </c>
      <c r="D62" s="173">
        <f>D61*(1+'Avoided Cost inputs'!$I$58)</f>
        <v>0.49368560932214101</v>
      </c>
      <c r="E62" s="181">
        <f>NPV($C$1,$D$44:D62)+D$43</f>
        <v>3.9210694938804962</v>
      </c>
      <c r="F62" s="180">
        <f t="shared" si="9"/>
        <v>0.45234158816395553</v>
      </c>
      <c r="G62" s="180"/>
      <c r="H62" s="190"/>
      <c r="I62" s="185"/>
      <c r="J62" s="173">
        <f t="shared" si="5"/>
        <v>0.11260879234067797</v>
      </c>
      <c r="K62" s="181">
        <f>NPV($C$1,J$44:J62)+J$43</f>
        <v>0.86880926344744314</v>
      </c>
      <c r="L62" s="173">
        <f t="shared" si="6"/>
        <v>1.9596266755316158</v>
      </c>
      <c r="M62" s="181">
        <f>NPV($C$1,L$44:L62)+L$43</f>
        <v>15.119084160407708</v>
      </c>
      <c r="O62" s="192"/>
      <c r="P62" s="191"/>
    </row>
    <row r="63" spans="1:16" x14ac:dyDescent="0.2">
      <c r="A63" s="1" t="str">
        <f t="shared" si="7"/>
        <v>s21</v>
      </c>
      <c r="B63" s="1">
        <v>21</v>
      </c>
      <c r="C63" s="1">
        <f t="shared" si="8"/>
        <v>2029</v>
      </c>
      <c r="D63" s="173">
        <f>D62*(1+'Avoided Cost inputs'!$I$58)</f>
        <v>0.50355932150858385</v>
      </c>
      <c r="E63" s="181">
        <f>NPV($C$1,$D$44:D63)+D$43</f>
        <v>4.0086427808448022</v>
      </c>
      <c r="F63" s="180">
        <f t="shared" si="9"/>
        <v>0.46138841992723462</v>
      </c>
      <c r="G63" s="180"/>
      <c r="H63" s="190"/>
      <c r="I63" s="185"/>
      <c r="J63" s="173">
        <f t="shared" si="5"/>
        <v>0.11521168943498575</v>
      </c>
      <c r="K63" s="181">
        <f>NPV($C$1,J$44:J63)+J$43</f>
        <v>0.88884556485142907</v>
      </c>
      <c r="L63" s="173">
        <f t="shared" si="6"/>
        <v>2.0049224865748418</v>
      </c>
      <c r="M63" s="181">
        <f>NPV($C$1,L$44:L63)+L$43</f>
        <v>15.467757384710273</v>
      </c>
      <c r="O63" s="192"/>
      <c r="P63" s="191"/>
    </row>
    <row r="64" spans="1:16" x14ac:dyDescent="0.2">
      <c r="A64" s="1" t="str">
        <f t="shared" si="7"/>
        <v>s22</v>
      </c>
      <c r="B64" s="1">
        <v>22</v>
      </c>
      <c r="C64" s="1">
        <f t="shared" si="8"/>
        <v>2030</v>
      </c>
      <c r="D64" s="173">
        <f>D63*(1+'Avoided Cost inputs'!$I$58)</f>
        <v>0.51363050793875553</v>
      </c>
      <c r="E64" s="181">
        <f>NPV($C$1,$D$44:D64)+D$43</f>
        <v>4.090486974269389</v>
      </c>
      <c r="F64" s="180">
        <f t="shared" si="9"/>
        <v>0.47061618832577934</v>
      </c>
      <c r="G64" s="180"/>
      <c r="H64" s="190"/>
      <c r="I64" s="185"/>
      <c r="J64" s="173">
        <f t="shared" si="5"/>
        <v>0.11780794395838642</v>
      </c>
      <c r="K64" s="181">
        <f>NPV($C$1,J$44:J64)+J$43</f>
        <v>0.90761761207848468</v>
      </c>
      <c r="L64" s="173">
        <f t="shared" si="6"/>
        <v>2.0501027030994425</v>
      </c>
      <c r="M64" s="181">
        <f>NPV($C$1,L$44:L64)+L$43</f>
        <v>15.79442996271988</v>
      </c>
      <c r="O64" s="192"/>
      <c r="P64" s="191"/>
    </row>
    <row r="65" spans="1:16" x14ac:dyDescent="0.2">
      <c r="A65" s="1" t="str">
        <f t="shared" si="7"/>
        <v>s23</v>
      </c>
      <c r="B65" s="1">
        <v>23</v>
      </c>
      <c r="C65" s="1">
        <f t="shared" si="8"/>
        <v>2031</v>
      </c>
      <c r="D65" s="173">
        <f>D64*(1+'Avoided Cost inputs'!$I$58)</f>
        <v>0.52390311809753065</v>
      </c>
      <c r="E65" s="181">
        <f>NPV($C$1,$D$44:D65)+D$43</f>
        <v>4.1669768746661981</v>
      </c>
      <c r="F65" s="180">
        <f t="shared" si="9"/>
        <v>0.48002851209229491</v>
      </c>
      <c r="G65" s="180"/>
      <c r="H65" s="190"/>
      <c r="I65" s="185"/>
      <c r="J65" s="173">
        <f t="shared" si="5"/>
        <v>0.12016410283755415</v>
      </c>
      <c r="K65" s="181">
        <f>NPV($C$1,J$44:J65)+J$43</f>
        <v>0.92516158144956484</v>
      </c>
      <c r="L65" s="173">
        <f t="shared" si="6"/>
        <v>2.0911047571614314</v>
      </c>
      <c r="M65" s="181">
        <f>NPV($C$1,L$44:L65)+L$43</f>
        <v>16.099731437495212</v>
      </c>
      <c r="O65" s="192"/>
      <c r="P65" s="191"/>
    </row>
    <row r="66" spans="1:16" x14ac:dyDescent="0.2">
      <c r="A66" s="1" t="str">
        <f t="shared" si="7"/>
        <v>s24</v>
      </c>
      <c r="B66" s="1">
        <v>24</v>
      </c>
      <c r="C66" s="1">
        <f t="shared" si="8"/>
        <v>2032</v>
      </c>
      <c r="D66" s="173">
        <f>D65*(1+'Avoided Cost inputs'!$I$58)</f>
        <v>0.53438118045948124</v>
      </c>
      <c r="E66" s="181">
        <f>NPV($C$1,$D$44:D66)+D$43</f>
        <v>4.2384627628875151</v>
      </c>
      <c r="F66" s="180">
        <f t="shared" si="9"/>
        <v>0.48962908233414082</v>
      </c>
      <c r="G66" s="180"/>
      <c r="H66" s="190"/>
      <c r="I66" s="185"/>
      <c r="J66" s="173">
        <f t="shared" si="5"/>
        <v>0.12256738489430523</v>
      </c>
      <c r="K66" s="181">
        <f>NPV($C$1,J$44:J66)+J$43</f>
        <v>0.94155781450664899</v>
      </c>
      <c r="L66" s="173">
        <f t="shared" si="6"/>
        <v>2.1329268523046601</v>
      </c>
      <c r="M66" s="181">
        <f>NPV($C$1,L$44:L66)+L$43</f>
        <v>16.385059918593655</v>
      </c>
      <c r="O66" s="192"/>
      <c r="P66" s="191"/>
    </row>
    <row r="67" spans="1:16" x14ac:dyDescent="0.2">
      <c r="A67" s="1" t="str">
        <f t="shared" si="7"/>
        <v>s25</v>
      </c>
      <c r="B67" s="1">
        <v>25</v>
      </c>
      <c r="C67" s="1">
        <f t="shared" si="8"/>
        <v>2033</v>
      </c>
      <c r="D67" s="173">
        <f>D66*(1+'Avoided Cost inputs'!$I$58)</f>
        <v>0.54506880406867086</v>
      </c>
      <c r="E67" s="181">
        <f>NPV($C$1,$D$44:D67)+D$43</f>
        <v>4.3052720042158485</v>
      </c>
      <c r="F67" s="180">
        <f t="shared" si="9"/>
        <v>0.4994216639808236</v>
      </c>
      <c r="G67" s="180"/>
      <c r="H67" s="190"/>
      <c r="I67" s="185"/>
      <c r="J67" s="173">
        <f t="shared" si="5"/>
        <v>0.12501873259219132</v>
      </c>
      <c r="K67" s="181">
        <f>NPV($C$1,J$44:J67)+J$43</f>
        <v>0.95688139680298945</v>
      </c>
      <c r="L67" s="173">
        <f t="shared" si="6"/>
        <v>2.1755853893507533</v>
      </c>
      <c r="M67" s="181">
        <f>NPV($C$1,L$44:L67)+L$43</f>
        <v>16.651722050461355</v>
      </c>
      <c r="O67" s="192"/>
      <c r="P67" s="191"/>
    </row>
    <row r="68" spans="1:16" x14ac:dyDescent="0.2">
      <c r="A68" s="1" t="str">
        <f t="shared" si="7"/>
        <v>s26</v>
      </c>
      <c r="B68" s="1">
        <v>26</v>
      </c>
      <c r="C68" s="1">
        <f t="shared" si="8"/>
        <v>2034</v>
      </c>
      <c r="D68" s="173">
        <f>D67*(1+'Avoided Cost inputs'!$I$58)</f>
        <v>0.55597018015004429</v>
      </c>
      <c r="E68" s="181">
        <f>NPV($C$1,$D$44:D68)+D$43</f>
        <v>4.3677105475133562</v>
      </c>
      <c r="F68" s="180">
        <f t="shared" si="9"/>
        <v>0.50941009726044006</v>
      </c>
      <c r="G68" s="180"/>
      <c r="H68" s="190"/>
      <c r="I68" s="185"/>
      <c r="J68" s="173">
        <f t="shared" si="5"/>
        <v>0.12751910724403515</v>
      </c>
      <c r="K68" s="181">
        <f>NPV($C$1,J$44:J68)+J$43</f>
        <v>0.97120250175284029</v>
      </c>
      <c r="L68" s="173">
        <f t="shared" si="6"/>
        <v>2.2190970971377681</v>
      </c>
      <c r="M68" s="181">
        <f>NPV($C$1,L$44:L68)+L$43</f>
        <v>16.900938996132108</v>
      </c>
      <c r="O68" s="192"/>
      <c r="P68" s="191"/>
    </row>
    <row r="69" spans="1:16" x14ac:dyDescent="0.2">
      <c r="A69" s="1" t="str">
        <f t="shared" si="7"/>
        <v>s27</v>
      </c>
      <c r="B69" s="1">
        <v>27</v>
      </c>
      <c r="C69" s="1">
        <f t="shared" si="8"/>
        <v>2035</v>
      </c>
      <c r="D69" s="173">
        <f>D68*(1+'Avoided Cost inputs'!$I$58)</f>
        <v>0.56708958375304519</v>
      </c>
      <c r="E69" s="181">
        <f>NPV($C$1,$D$44:D69)+D$43</f>
        <v>4.4260643262960739</v>
      </c>
      <c r="F69" s="180">
        <f t="shared" si="9"/>
        <v>0.51959829920564893</v>
      </c>
      <c r="G69" s="180"/>
      <c r="H69" s="190"/>
      <c r="I69" s="185"/>
      <c r="J69" s="173">
        <f t="shared" si="5"/>
        <v>0.13006948938891585</v>
      </c>
      <c r="K69" s="181">
        <f>NPV($C$1,J$44:J69)+J$43</f>
        <v>0.98458671198634562</v>
      </c>
      <c r="L69" s="173">
        <f t="shared" si="6"/>
        <v>2.2634790390805239</v>
      </c>
      <c r="M69" s="181">
        <f>NPV($C$1,L$44:L69)+L$43</f>
        <v>17.133852029469256</v>
      </c>
      <c r="O69" s="192"/>
      <c r="P69" s="191"/>
    </row>
    <row r="70" spans="1:16" x14ac:dyDescent="0.2">
      <c r="A70" s="1" t="str">
        <f t="shared" si="7"/>
        <v>s28</v>
      </c>
      <c r="B70" s="1">
        <v>28</v>
      </c>
      <c r="C70" s="1">
        <f t="shared" si="8"/>
        <v>2036</v>
      </c>
      <c r="D70" s="173">
        <f>D69*(1+'Avoided Cost inputs'!$I$58)</f>
        <v>0.57843137542810608</v>
      </c>
      <c r="E70" s="181">
        <f>NPV($C$1,$D$44:D70)+D$43</f>
        <v>4.4806005681490815</v>
      </c>
      <c r="F70" s="180">
        <f t="shared" si="9"/>
        <v>0.52999026518976189</v>
      </c>
      <c r="G70" s="180"/>
      <c r="H70" s="190"/>
      <c r="I70" s="185"/>
      <c r="J70" s="173">
        <f t="shared" si="5"/>
        <v>0.13267087917669418</v>
      </c>
      <c r="K70" s="181">
        <f>NPV($C$1,J$44:J70)+J$43</f>
        <v>0.99709531968121046</v>
      </c>
      <c r="L70" s="173">
        <f t="shared" si="6"/>
        <v>2.3087486198621345</v>
      </c>
      <c r="M70" s="181">
        <f>NPV($C$1,L$44:L70)+L$43</f>
        <v>17.35152776156005</v>
      </c>
      <c r="O70" s="192"/>
      <c r="P70" s="191"/>
    </row>
    <row r="71" spans="1:16" x14ac:dyDescent="0.2">
      <c r="A71" s="1" t="str">
        <f t="shared" si="7"/>
        <v>s29</v>
      </c>
      <c r="B71" s="1">
        <v>29</v>
      </c>
      <c r="C71" s="1">
        <f t="shared" si="8"/>
        <v>2037</v>
      </c>
      <c r="D71" s="173">
        <f>D70*(1+'Avoided Cost inputs'!$I$58)</f>
        <v>0.59000000293666821</v>
      </c>
      <c r="E71" s="181">
        <f>NPV($C$1,$D$44:D71)+D$43</f>
        <v>4.5315690184789945</v>
      </c>
      <c r="F71" s="180">
        <f t="shared" si="9"/>
        <v>0.54059007049355712</v>
      </c>
      <c r="G71" s="180"/>
      <c r="H71" s="190"/>
      <c r="I71" s="185"/>
      <c r="J71" s="173">
        <f t="shared" si="5"/>
        <v>0.13532429676022806</v>
      </c>
      <c r="K71" s="181">
        <f>NPV($C$1,J$44:J71)+J$43</f>
        <v>1.0087856072465049</v>
      </c>
      <c r="L71" s="173">
        <f t="shared" si="6"/>
        <v>2.354923592259377</v>
      </c>
      <c r="M71" s="181">
        <f>NPV($C$1,L$44:L71)+L$43</f>
        <v>17.554963025196308</v>
      </c>
      <c r="O71" s="192"/>
      <c r="P71" s="191"/>
    </row>
    <row r="72" spans="1:16" x14ac:dyDescent="0.2">
      <c r="A72" s="1" t="str">
        <f t="shared" si="7"/>
        <v>s30</v>
      </c>
      <c r="B72" s="1">
        <v>30</v>
      </c>
      <c r="C72" s="1">
        <f>+C71+1</f>
        <v>2038</v>
      </c>
      <c r="D72" s="173">
        <f>D71*(1+'Avoided Cost inputs'!$I$58)</f>
        <v>0.6018000029954016</v>
      </c>
      <c r="E72" s="181">
        <f>NPV($C$1,$D$44:D72)+D$43</f>
        <v>4.5792030842078866</v>
      </c>
      <c r="F72" s="180">
        <f t="shared" si="9"/>
        <v>0.55140187190342826</v>
      </c>
      <c r="G72" s="180"/>
      <c r="H72" s="190"/>
      <c r="I72" s="185"/>
      <c r="J72" s="173">
        <f t="shared" si="5"/>
        <v>0.13803078269543265</v>
      </c>
      <c r="K72" s="181">
        <f>NPV($C$1,J$44:J72)+J$43</f>
        <v>1.0197111096439762</v>
      </c>
      <c r="L72" s="173">
        <f t="shared" si="6"/>
        <v>2.4020220641045649</v>
      </c>
      <c r="M72" s="181">
        <f>NPV($C$1,L$44:L72)+L$43</f>
        <v>17.745089439809629</v>
      </c>
      <c r="O72" s="192"/>
      <c r="P72" s="191"/>
    </row>
    <row r="73" spans="1:16" x14ac:dyDescent="0.2">
      <c r="B73" s="1"/>
      <c r="C73" s="1"/>
      <c r="D73" s="173"/>
      <c r="E73" s="1"/>
      <c r="F73" s="1"/>
      <c r="G73" s="1"/>
      <c r="H73" s="1"/>
      <c r="I73" s="1"/>
      <c r="J73" s="1"/>
      <c r="K73" s="1"/>
      <c r="L73" s="1"/>
      <c r="M73" s="1"/>
    </row>
    <row r="74" spans="1:16" x14ac:dyDescent="0.2">
      <c r="B74" s="1"/>
      <c r="C74" s="1"/>
      <c r="D74" s="173"/>
      <c r="E74" s="1"/>
      <c r="F74" s="1"/>
      <c r="G74" s="1"/>
      <c r="H74" s="1"/>
      <c r="I74" s="1"/>
      <c r="J74" s="1"/>
      <c r="K74" s="1"/>
      <c r="L74" s="1"/>
      <c r="M74" s="1"/>
    </row>
    <row r="75" spans="1:16" x14ac:dyDescent="0.2">
      <c r="B75" s="1"/>
      <c r="C75" s="1"/>
      <c r="D75" s="1"/>
      <c r="E75" s="1">
        <v>4</v>
      </c>
      <c r="F75" s="1"/>
      <c r="G75" s="1"/>
      <c r="H75" s="1"/>
      <c r="I75" s="1"/>
      <c r="J75" s="1"/>
      <c r="K75" s="1">
        <v>10</v>
      </c>
      <c r="L75" s="1"/>
      <c r="M75" s="1">
        <v>12</v>
      </c>
    </row>
    <row r="76" spans="1:16" x14ac:dyDescent="0.2">
      <c r="B76" s="1" t="s">
        <v>221</v>
      </c>
      <c r="C76" s="175"/>
      <c r="D76" s="1" t="s">
        <v>216</v>
      </c>
      <c r="E76" s="1"/>
      <c r="F76" s="1"/>
      <c r="G76" s="1"/>
      <c r="H76" s="1"/>
      <c r="I76" s="1"/>
      <c r="J76" s="1"/>
      <c r="K76" s="1"/>
      <c r="L76" s="1"/>
      <c r="M76" s="1"/>
    </row>
    <row r="77" spans="1:16" x14ac:dyDescent="0.2">
      <c r="B77" s="1" t="s">
        <v>222</v>
      </c>
      <c r="C77" s="175"/>
      <c r="D77" s="1" t="s">
        <v>217</v>
      </c>
      <c r="E77" s="1"/>
      <c r="F77" s="1"/>
      <c r="G77" s="1"/>
      <c r="H77" s="1"/>
      <c r="I77" s="1"/>
      <c r="J77" s="1"/>
      <c r="K77" s="1"/>
      <c r="L77" s="1"/>
      <c r="M77" s="1"/>
    </row>
    <row r="78" spans="1:16" x14ac:dyDescent="0.2">
      <c r="B78" s="1" t="s">
        <v>218</v>
      </c>
      <c r="C78" s="175"/>
      <c r="D78" s="1"/>
      <c r="E78" s="3" t="s">
        <v>219</v>
      </c>
      <c r="F78" s="3"/>
      <c r="G78" s="3"/>
      <c r="H78" s="1"/>
      <c r="I78" s="3"/>
      <c r="J78" s="1"/>
      <c r="K78" s="3" t="s">
        <v>219</v>
      </c>
      <c r="L78" s="1"/>
      <c r="M78" s="3" t="s">
        <v>219</v>
      </c>
    </row>
    <row r="79" spans="1:16" hidden="1" x14ac:dyDescent="0.2">
      <c r="B79" s="1">
        <v>0</v>
      </c>
      <c r="C79" s="1">
        <v>2006</v>
      </c>
      <c r="D79" s="172">
        <v>0</v>
      </c>
      <c r="E79" s="181"/>
      <c r="F79" s="180"/>
      <c r="G79" s="180"/>
      <c r="H79" s="190"/>
      <c r="I79" s="181"/>
      <c r="J79" s="173">
        <f t="shared" ref="J79:J109" si="10">J5</f>
        <v>0</v>
      </c>
      <c r="K79" s="181"/>
      <c r="L79" s="173"/>
      <c r="M79" s="181"/>
    </row>
    <row r="80" spans="1:16" x14ac:dyDescent="0.2">
      <c r="A80" s="1" t="str">
        <f>+"c"&amp;B80</f>
        <v>c1</v>
      </c>
      <c r="B80" s="1">
        <v>1</v>
      </c>
      <c r="C80" s="1">
        <v>2009</v>
      </c>
      <c r="D80" s="172">
        <f>'Avoided Cost inputs'!D31/1000</f>
        <v>0.32205906818022395</v>
      </c>
      <c r="E80" s="181">
        <f>+D80</f>
        <v>0.32205906818022395</v>
      </c>
      <c r="F80" s="180">
        <f>E80</f>
        <v>0.32205906818022395</v>
      </c>
      <c r="G80" s="82"/>
      <c r="H80" s="190"/>
      <c r="I80" s="185"/>
      <c r="J80" s="173">
        <f t="shared" si="10"/>
        <v>7.7100000000000002E-2</v>
      </c>
      <c r="K80" s="181">
        <f>+J80</f>
        <v>7.7100000000000002E-2</v>
      </c>
      <c r="L80" s="173">
        <f>+L43</f>
        <v>1.3416999999999999</v>
      </c>
      <c r="M80" s="181">
        <f>+L80</f>
        <v>1.3416999999999999</v>
      </c>
      <c r="O80" s="192"/>
    </row>
    <row r="81" spans="1:16" x14ac:dyDescent="0.2">
      <c r="A81" s="1" t="str">
        <f t="shared" ref="A81:A109" si="11">+"c"&amp;B81</f>
        <v>c2</v>
      </c>
      <c r="B81" s="1">
        <v>2</v>
      </c>
      <c r="C81" s="1">
        <f t="shared" ref="C81:C108" si="12">+C80+1</f>
        <v>2010</v>
      </c>
      <c r="D81" s="172">
        <f>'Avoided Cost inputs'!D32/1000</f>
        <v>0.3361773015685362</v>
      </c>
      <c r="E81" s="181">
        <f>NPV($C$1,D$81:D81)+D$80</f>
        <v>0.6300829838559947</v>
      </c>
      <c r="F81" s="180">
        <f>NPV($C$1,D81)</f>
        <v>0.30802391567577075</v>
      </c>
      <c r="G81" s="82"/>
      <c r="H81" s="190"/>
      <c r="I81" s="185"/>
      <c r="J81" s="173">
        <f t="shared" si="10"/>
        <v>7.8435476582365063E-2</v>
      </c>
      <c r="K81" s="181">
        <f>NPV($C$1,$J$81:J81)+J$80</f>
        <v>0.14896684678611422</v>
      </c>
      <c r="L81" s="173">
        <f t="shared" ref="L81:L109" si="13">+L44</f>
        <v>1.3649400639501841</v>
      </c>
      <c r="M81" s="181">
        <f>NPV($C$1,L$81:L81)+L$80</f>
        <v>2.5923322740976582</v>
      </c>
      <c r="O81" s="192"/>
    </row>
    <row r="82" spans="1:16" x14ac:dyDescent="0.2">
      <c r="A82" s="1" t="str">
        <f t="shared" si="11"/>
        <v>c3</v>
      </c>
      <c r="B82" s="1">
        <v>3</v>
      </c>
      <c r="C82" s="1">
        <f t="shared" si="12"/>
        <v>2011</v>
      </c>
      <c r="D82" s="172">
        <f>'Avoided Cost inputs'!D33/1000</f>
        <v>0.3639063790088985</v>
      </c>
      <c r="E82" s="181">
        <f>NPV($C$1,D$81:D82)+D$80</f>
        <v>0.93559040878106359</v>
      </c>
      <c r="F82" s="180">
        <f t="shared" ref="F82:F109" si="14">NPV($C$1,D82)</f>
        <v>0.33343080356322019</v>
      </c>
      <c r="G82" s="82"/>
      <c r="H82" s="190"/>
      <c r="I82" s="185"/>
      <c r="J82" s="173">
        <f t="shared" si="10"/>
        <v>7.9879813340984901E-2</v>
      </c>
      <c r="K82" s="181">
        <f>NPV($C$1,$J$81:J82)+J$80</f>
        <v>0.21602771047243813</v>
      </c>
      <c r="L82" s="173">
        <f t="shared" si="13"/>
        <v>1.390074520876776</v>
      </c>
      <c r="M82" s="181">
        <f>NPV($C$1,L$81:L82)+L$80</f>
        <v>3.7593304687531801</v>
      </c>
      <c r="N82" s="196"/>
      <c r="O82" s="192"/>
    </row>
    <row r="83" spans="1:16" x14ac:dyDescent="0.2">
      <c r="A83" s="1" t="str">
        <f t="shared" si="11"/>
        <v>c4</v>
      </c>
      <c r="B83" s="1">
        <v>4</v>
      </c>
      <c r="C83" s="1">
        <f t="shared" si="12"/>
        <v>2012</v>
      </c>
      <c r="D83" s="172">
        <f>'Avoided Cost inputs'!D34/1000</f>
        <v>0.35600730931619767</v>
      </c>
      <c r="E83" s="181">
        <f>NPV($C$1,D$81:D83)+D$80</f>
        <v>1.2094368279113727</v>
      </c>
      <c r="F83" s="180">
        <f t="shared" si="14"/>
        <v>0.32619324657888737</v>
      </c>
      <c r="G83" s="82"/>
      <c r="H83" s="190"/>
      <c r="I83" s="185"/>
      <c r="J83" s="173">
        <f t="shared" si="10"/>
        <v>8.1390988411726109E-2</v>
      </c>
      <c r="K83" s="181">
        <f>NPV($C$1,$J$81:J83)+J$80</f>
        <v>0.27863493830952568</v>
      </c>
      <c r="L83" s="173">
        <f t="shared" si="13"/>
        <v>1.416372103138948</v>
      </c>
      <c r="M83" s="181">
        <f>NPV($C$1,L$81:L83)+L$80</f>
        <v>4.8488261573267248</v>
      </c>
      <c r="N83" s="196"/>
      <c r="O83" s="192"/>
    </row>
    <row r="84" spans="1:16" x14ac:dyDescent="0.2">
      <c r="A84" s="1" t="str">
        <f t="shared" si="11"/>
        <v>c5</v>
      </c>
      <c r="B84" s="1">
        <v>5</v>
      </c>
      <c r="C84" s="1">
        <f t="shared" si="12"/>
        <v>2013</v>
      </c>
      <c r="D84" s="172">
        <f>'Avoided Cost inputs'!D35/1000</f>
        <v>0.38111022005586553</v>
      </c>
      <c r="E84" s="181">
        <f>NPV($C$1,D$81:D84)+D$80</f>
        <v>1.4780422637873714</v>
      </c>
      <c r="F84" s="180">
        <f t="shared" si="14"/>
        <v>0.34919389779720134</v>
      </c>
      <c r="G84" s="82"/>
      <c r="H84" s="190"/>
      <c r="I84" s="185"/>
      <c r="J84" s="173">
        <f t="shared" si="10"/>
        <v>8.2954859485231125E-2</v>
      </c>
      <c r="K84" s="181">
        <f>NPV($C$1,$J$81:J84)+J$80</f>
        <v>0.33710129533032784</v>
      </c>
      <c r="L84" s="173">
        <f t="shared" si="13"/>
        <v>1.4435867052053768</v>
      </c>
      <c r="M84" s="181">
        <f>NPV($C$1,L$81:L84)+L$80</f>
        <v>5.8662621004500739</v>
      </c>
      <c r="N84" s="196"/>
      <c r="O84" s="192"/>
    </row>
    <row r="85" spans="1:16" x14ac:dyDescent="0.2">
      <c r="A85" s="1" t="str">
        <f t="shared" si="11"/>
        <v>c6</v>
      </c>
      <c r="B85" s="1">
        <v>6</v>
      </c>
      <c r="C85" s="1">
        <f t="shared" si="12"/>
        <v>2014</v>
      </c>
      <c r="D85" s="172">
        <f>'Avoided Cost inputs'!D36/1000</f>
        <v>0.40175406141561754</v>
      </c>
      <c r="E85" s="181">
        <f>NPV($C$1,D$81:D85)+D$80</f>
        <v>1.7374844101507114</v>
      </c>
      <c r="F85" s="180">
        <f t="shared" si="14"/>
        <v>0.36810890728936924</v>
      </c>
      <c r="G85" s="82"/>
      <c r="H85" s="190"/>
      <c r="I85" s="185"/>
      <c r="J85" s="173">
        <f t="shared" si="10"/>
        <v>8.4548837602100857E-2</v>
      </c>
      <c r="K85" s="181">
        <f>NPV($C$1,$J$81:J85)+J$80</f>
        <v>0.3917006983151356</v>
      </c>
      <c r="L85" s="173">
        <f t="shared" si="13"/>
        <v>1.4713252323053008</v>
      </c>
      <c r="M85" s="181">
        <f>NPV($C$1,L$81:L85)+L$80</f>
        <v>6.8164050185397844</v>
      </c>
      <c r="N85" s="196"/>
      <c r="O85" s="192"/>
    </row>
    <row r="86" spans="1:16" x14ac:dyDescent="0.2">
      <c r="A86" s="1" t="str">
        <f t="shared" si="11"/>
        <v>c7</v>
      </c>
      <c r="B86" s="1">
        <v>7</v>
      </c>
      <c r="C86" s="1">
        <f t="shared" si="12"/>
        <v>2015</v>
      </c>
      <c r="D86" s="172">
        <f>'Avoided Cost inputs'!D37/1000</f>
        <v>0.41504719706653487</v>
      </c>
      <c r="E86" s="181">
        <f>NPV($C$1,D$81:D86)+D$80</f>
        <v>1.9830648588952826</v>
      </c>
      <c r="F86" s="180">
        <f t="shared" si="14"/>
        <v>0.38028880068401583</v>
      </c>
      <c r="G86" s="82"/>
      <c r="H86" s="190"/>
      <c r="I86" s="185"/>
      <c r="J86" s="173">
        <f t="shared" si="10"/>
        <v>8.615608700938239E-2</v>
      </c>
      <c r="K86" s="181">
        <f>NPV($C$1,$J$81:J86)+J$80</f>
        <v>0.4426786368709974</v>
      </c>
      <c r="L86" s="173">
        <f t="shared" si="13"/>
        <v>1.4992947073993295</v>
      </c>
      <c r="M86" s="181">
        <f>NPV($C$1,L$81:L86)+L$80</f>
        <v>7.7035269402051494</v>
      </c>
      <c r="N86" s="196"/>
      <c r="O86" s="192"/>
    </row>
    <row r="87" spans="1:16" x14ac:dyDescent="0.2">
      <c r="A87" s="1" t="str">
        <f t="shared" si="11"/>
        <v>c8</v>
      </c>
      <c r="B87" s="1">
        <v>8</v>
      </c>
      <c r="C87" s="1">
        <f t="shared" si="12"/>
        <v>2016</v>
      </c>
      <c r="D87" s="172">
        <f>'Avoided Cost inputs'!D38/1000</f>
        <v>0.41676853334572883</v>
      </c>
      <c r="E87" s="181">
        <f>NPV($C$1,D$81:D87)+D$80</f>
        <v>2.209012221064266</v>
      </c>
      <c r="F87" s="180">
        <f t="shared" si="14"/>
        <v>0.38186598254144116</v>
      </c>
      <c r="G87" s="82"/>
      <c r="H87" s="190"/>
      <c r="I87" s="185"/>
      <c r="J87" s="173">
        <f t="shared" si="10"/>
        <v>8.7702518580828476E-2</v>
      </c>
      <c r="K87" s="181">
        <f>NPV($C$1,$J$81:J87)+J$80</f>
        <v>0.49022577909364695</v>
      </c>
      <c r="L87" s="173">
        <f t="shared" si="13"/>
        <v>1.5262058259390081</v>
      </c>
      <c r="M87" s="181">
        <f>NPV($C$1,L$81:L87)+L$80</f>
        <v>8.5309458859915175</v>
      </c>
      <c r="N87" s="196"/>
      <c r="O87" s="192"/>
    </row>
    <row r="88" spans="1:16" x14ac:dyDescent="0.2">
      <c r="A88" s="1" t="str">
        <f t="shared" si="11"/>
        <v>c9</v>
      </c>
      <c r="B88" s="1">
        <v>9</v>
      </c>
      <c r="C88" s="1">
        <f t="shared" si="12"/>
        <v>2017</v>
      </c>
      <c r="D88" s="172">
        <f>'Avoided Cost inputs'!D39/1000</f>
        <v>0.39043506617236617</v>
      </c>
      <c r="E88" s="181">
        <f>NPV($C$1,D$81:D88)+D$80</f>
        <v>2.4029566104817661</v>
      </c>
      <c r="F88" s="180">
        <f t="shared" si="14"/>
        <v>0.35773782863511655</v>
      </c>
      <c r="G88" s="82"/>
      <c r="H88" s="190"/>
      <c r="I88" s="185"/>
      <c r="J88" s="173">
        <f t="shared" si="10"/>
        <v>8.9357150464272478E-2</v>
      </c>
      <c r="K88" s="181">
        <f>NPV($C$1,$J$81:J88)+J$80</f>
        <v>0.53461297555317344</v>
      </c>
      <c r="L88" s="173">
        <f t="shared" si="13"/>
        <v>1.5549998544476569</v>
      </c>
      <c r="M88" s="181">
        <f>NPV($C$1,L$81:L88)+L$80</f>
        <v>9.3033752178948461</v>
      </c>
      <c r="N88" s="196"/>
      <c r="O88" s="192"/>
      <c r="P88" s="191"/>
    </row>
    <row r="89" spans="1:16" x14ac:dyDescent="0.2">
      <c r="A89" s="1" t="str">
        <f t="shared" si="11"/>
        <v>c10</v>
      </c>
      <c r="B89" s="1">
        <v>10</v>
      </c>
      <c r="C89" s="1">
        <f t="shared" si="12"/>
        <v>2018</v>
      </c>
      <c r="D89" s="173">
        <f>D88*(1+'Avoided Cost inputs'!$I$26)</f>
        <v>0.39824376749581353</v>
      </c>
      <c r="E89" s="181">
        <f>NPV($C$1,D$81:D89)+D$80</f>
        <v>2.5842130491897102</v>
      </c>
      <c r="F89" s="180">
        <f t="shared" si="14"/>
        <v>0.36489258520781892</v>
      </c>
      <c r="G89" s="180"/>
      <c r="H89" s="190"/>
      <c r="I89" s="185"/>
      <c r="J89" s="173">
        <f t="shared" si="10"/>
        <v>9.1102400414455081E-2</v>
      </c>
      <c r="K89" s="181">
        <f>NPV($C$1,$J$81:J89)+J$80</f>
        <v>0.57607726954753657</v>
      </c>
      <c r="L89" s="173">
        <f t="shared" si="13"/>
        <v>1.585370825370614</v>
      </c>
      <c r="M89" s="181">
        <f>NPV($C$1,L$81:L89)+L$80</f>
        <v>10.024939981218285</v>
      </c>
      <c r="N89" s="196"/>
      <c r="O89" s="192"/>
      <c r="P89" s="191"/>
    </row>
    <row r="90" spans="1:16" x14ac:dyDescent="0.2">
      <c r="A90" s="1" t="str">
        <f t="shared" si="11"/>
        <v>c11</v>
      </c>
      <c r="B90" s="1">
        <v>11</v>
      </c>
      <c r="C90" s="1">
        <f t="shared" si="12"/>
        <v>2019</v>
      </c>
      <c r="D90" s="173">
        <f>D89*(1+'Avoided Cost inputs'!$I$26)</f>
        <v>0.40620864284572983</v>
      </c>
      <c r="E90" s="181">
        <f>NPV($C$1,D$81:D90)+D$80</f>
        <v>2.7536115900382558</v>
      </c>
      <c r="F90" s="180">
        <f t="shared" si="14"/>
        <v>0.37219043691197529</v>
      </c>
      <c r="G90" s="180"/>
      <c r="H90" s="190"/>
      <c r="I90" s="185"/>
      <c r="J90" s="173">
        <f t="shared" si="10"/>
        <v>9.2920688485174013E-2</v>
      </c>
      <c r="K90" s="181">
        <f>NPV($C$1,$J$81:J90)+J$80</f>
        <v>0.61482737819554178</v>
      </c>
      <c r="L90" s="173">
        <f t="shared" si="13"/>
        <v>1.6170128111615814</v>
      </c>
      <c r="M90" s="181">
        <f>NPV($C$1,L$81:L90)+L$80</f>
        <v>10.699272286964439</v>
      </c>
      <c r="N90" s="196"/>
      <c r="O90" s="192"/>
      <c r="P90" s="191"/>
    </row>
    <row r="91" spans="1:16" x14ac:dyDescent="0.2">
      <c r="A91" s="1" t="str">
        <f t="shared" si="11"/>
        <v>c12</v>
      </c>
      <c r="B91" s="1">
        <v>12</v>
      </c>
      <c r="C91" s="1">
        <f t="shared" si="12"/>
        <v>2020</v>
      </c>
      <c r="D91" s="173">
        <f>D90*(1+'Avoided Cost inputs'!$I$26)</f>
        <v>0.41433281570264441</v>
      </c>
      <c r="E91" s="181">
        <f>NPV($C$1,D$81:D91)+D$80</f>
        <v>2.9119279833546536</v>
      </c>
      <c r="F91" s="180">
        <f t="shared" si="14"/>
        <v>0.37963424565021481</v>
      </c>
      <c r="G91" s="180"/>
      <c r="H91" s="190"/>
      <c r="I91" s="185"/>
      <c r="J91" s="173">
        <f t="shared" si="10"/>
        <v>9.500304523802576E-2</v>
      </c>
      <c r="K91" s="181">
        <f>NPV($C$1,$J$81:J91)+J$80</f>
        <v>0.65112800152573191</v>
      </c>
      <c r="L91" s="173">
        <f t="shared" si="13"/>
        <v>1.6532501400241131</v>
      </c>
      <c r="M91" s="181">
        <f>NPV($C$1,L$81:L91)+L$80</f>
        <v>11.3309784649426</v>
      </c>
      <c r="N91" s="196"/>
      <c r="O91" s="192"/>
      <c r="P91" s="191"/>
    </row>
    <row r="92" spans="1:16" x14ac:dyDescent="0.2">
      <c r="A92" s="1" t="str">
        <f t="shared" si="11"/>
        <v>c13</v>
      </c>
      <c r="B92" s="1">
        <v>13</v>
      </c>
      <c r="C92" s="1">
        <f t="shared" si="12"/>
        <v>2021</v>
      </c>
      <c r="D92" s="173">
        <f>D91*(1+'Avoided Cost inputs'!$I$26)</f>
        <v>0.42261947201669731</v>
      </c>
      <c r="E92" s="181">
        <f>NPV($C$1,D$81:D92)+D$80</f>
        <v>3.0598872294447452</v>
      </c>
      <c r="F92" s="180">
        <f t="shared" si="14"/>
        <v>0.38722693056321911</v>
      </c>
      <c r="G92" s="180"/>
      <c r="H92" s="190"/>
      <c r="I92" s="185"/>
      <c r="J92" s="173">
        <f t="shared" si="10"/>
        <v>9.7007042580908281E-2</v>
      </c>
      <c r="K92" s="181">
        <f>NPV($C$1,$J$81:J92)+J$80</f>
        <v>0.68509020591070535</v>
      </c>
      <c r="L92" s="173">
        <f t="shared" si="13"/>
        <v>1.6881238525396185</v>
      </c>
      <c r="M92" s="181">
        <f>NPV($C$1,L$81:L92)+L$80</f>
        <v>11.921991300523906</v>
      </c>
      <c r="N92" s="196"/>
      <c r="O92" s="192"/>
      <c r="P92" s="191"/>
    </row>
    <row r="93" spans="1:16" x14ac:dyDescent="0.2">
      <c r="A93" s="1" t="str">
        <f t="shared" si="11"/>
        <v>c14</v>
      </c>
      <c r="B93" s="1">
        <v>14</v>
      </c>
      <c r="C93" s="1">
        <f t="shared" si="12"/>
        <v>2022</v>
      </c>
      <c r="D93" s="173">
        <f>D92*(1+'Avoided Cost inputs'!$I$26)</f>
        <v>0.43107186145703125</v>
      </c>
      <c r="E93" s="181">
        <f>NPV($C$1,D$81:D93)+D$80</f>
        <v>3.1981668986878211</v>
      </c>
      <c r="F93" s="180">
        <f t="shared" si="14"/>
        <v>0.3949714691744835</v>
      </c>
      <c r="G93" s="180"/>
      <c r="H93" s="190"/>
      <c r="I93" s="185"/>
      <c r="J93" s="173">
        <f t="shared" si="10"/>
        <v>9.8983282627950864E-2</v>
      </c>
      <c r="K93" s="181">
        <f>NPV($C$1,$J$81:J93)+J$80</f>
        <v>0.71684216377713494</v>
      </c>
      <c r="L93" s="173">
        <f t="shared" si="13"/>
        <v>1.72251453050482</v>
      </c>
      <c r="M93" s="181">
        <f>NPV($C$1,L$81:L93)+L$80</f>
        <v>12.474541259919347</v>
      </c>
      <c r="N93" s="196"/>
      <c r="O93" s="192"/>
      <c r="P93" s="191"/>
    </row>
    <row r="94" spans="1:16" x14ac:dyDescent="0.2">
      <c r="A94" s="1" t="str">
        <f t="shared" si="11"/>
        <v>c15</v>
      </c>
      <c r="B94" s="1">
        <v>15</v>
      </c>
      <c r="C94" s="1">
        <f t="shared" si="12"/>
        <v>2023</v>
      </c>
      <c r="D94" s="173">
        <f>D93*(1+'Avoided Cost inputs'!$I$26)</f>
        <v>0.43969329868617185</v>
      </c>
      <c r="E94" s="181">
        <f>NPV($C$1,D$81:D94)+D$80</f>
        <v>3.3274002344290139</v>
      </c>
      <c r="F94" s="180">
        <f t="shared" si="14"/>
        <v>0.40287089855797314</v>
      </c>
      <c r="G94" s="180"/>
      <c r="H94" s="190"/>
      <c r="I94" s="185"/>
      <c r="J94" s="173">
        <f t="shared" si="10"/>
        <v>0.10101495532033619</v>
      </c>
      <c r="K94" s="181">
        <f>NPV($C$1,$J$81:J94)+J$80</f>
        <v>0.74653217650828663</v>
      </c>
      <c r="L94" s="173">
        <f t="shared" si="13"/>
        <v>1.7578698515343061</v>
      </c>
      <c r="M94" s="181">
        <f>NPV($C$1,L$81:L94)+L$80</f>
        <v>12.991209094956783</v>
      </c>
      <c r="N94" s="196"/>
      <c r="O94" s="192"/>
      <c r="P94" s="191"/>
    </row>
    <row r="95" spans="1:16" x14ac:dyDescent="0.2">
      <c r="A95" s="1" t="str">
        <f t="shared" si="11"/>
        <v>c16</v>
      </c>
      <c r="B95" s="1">
        <v>16</v>
      </c>
      <c r="C95" s="1">
        <f t="shared" si="12"/>
        <v>2024</v>
      </c>
      <c r="D95" s="173">
        <f>D94*(1+'Avoided Cost inputs'!$I$26)</f>
        <v>0.4484871646598953</v>
      </c>
      <c r="E95" s="181">
        <f>NPV($C$1,D$81:D95)+D$80</f>
        <v>3.4481790528787268</v>
      </c>
      <c r="F95" s="180">
        <f t="shared" si="14"/>
        <v>0.41092831652913259</v>
      </c>
      <c r="G95" s="180"/>
      <c r="H95" s="190"/>
      <c r="I95" s="185"/>
      <c r="J95" s="173">
        <f t="shared" si="10"/>
        <v>0.10312742869995967</v>
      </c>
      <c r="K95" s="181">
        <f>NPV($C$1,$J$81:J95)+J$80</f>
        <v>0.77430467474150522</v>
      </c>
      <c r="L95" s="173">
        <f t="shared" si="13"/>
        <v>1.7946312722015023</v>
      </c>
      <c r="M95" s="181">
        <f>NPV($C$1,L$81:L95)+L$80</f>
        <v>13.474508198452364</v>
      </c>
      <c r="N95" s="196"/>
      <c r="O95" s="192"/>
      <c r="P95" s="191"/>
    </row>
    <row r="96" spans="1:16" x14ac:dyDescent="0.2">
      <c r="A96" s="1" t="str">
        <f t="shared" si="11"/>
        <v>c17</v>
      </c>
      <c r="B96" s="1">
        <v>17</v>
      </c>
      <c r="C96" s="1">
        <f t="shared" si="12"/>
        <v>2025</v>
      </c>
      <c r="D96" s="173">
        <f>D95*(1+'Avoided Cost inputs'!$I$26)</f>
        <v>0.45745690795309324</v>
      </c>
      <c r="E96" s="181">
        <f>NPV($C$1,D$81:D96)+D$80</f>
        <v>3.5610564532990194</v>
      </c>
      <c r="F96" s="180">
        <f t="shared" si="14"/>
        <v>0.4191468828597153</v>
      </c>
      <c r="G96" s="180"/>
      <c r="H96" s="190"/>
      <c r="I96" s="185"/>
      <c r="J96" s="173">
        <f t="shared" si="10"/>
        <v>0.10532008930404643</v>
      </c>
      <c r="K96" s="181">
        <f>NPV($C$1,$J$81:J96)+J$80</f>
        <v>0.80029238568430894</v>
      </c>
      <c r="L96" s="173">
        <f t="shared" si="13"/>
        <v>1.8327881169810509</v>
      </c>
      <c r="M96" s="181">
        <f>NPV($C$1,L$81:L96)+L$80</f>
        <v>13.926748299255994</v>
      </c>
      <c r="N96" s="196"/>
      <c r="O96" s="192"/>
      <c r="P96" s="191"/>
    </row>
    <row r="97" spans="1:16" x14ac:dyDescent="0.2">
      <c r="A97" s="1" t="str">
        <f t="shared" si="11"/>
        <v>c18</v>
      </c>
      <c r="B97" s="1">
        <v>18</v>
      </c>
      <c r="C97" s="1">
        <f t="shared" si="12"/>
        <v>2026</v>
      </c>
      <c r="D97" s="173">
        <f>D96*(1+'Avoided Cost inputs'!$I$26)</f>
        <v>0.46660604611215512</v>
      </c>
      <c r="E97" s="181">
        <f>NPV($C$1,D$81:D97)+D$80</f>
        <v>3.6665493508880775</v>
      </c>
      <c r="F97" s="180">
        <f t="shared" si="14"/>
        <v>0.42752982051690963</v>
      </c>
      <c r="G97" s="180"/>
      <c r="H97" s="190"/>
      <c r="I97" s="185"/>
      <c r="J97" s="173">
        <f t="shared" si="10"/>
        <v>0.10762470410671554</v>
      </c>
      <c r="K97" s="181">
        <f>NPV($C$1,$J$81:J97)+J$80</f>
        <v>0.82462477910908993</v>
      </c>
      <c r="L97" s="173">
        <f t="shared" si="13"/>
        <v>1.8728931971463059</v>
      </c>
      <c r="M97" s="181">
        <f>NPV($C$1,L$81:L97)+L$80</f>
        <v>14.350182440086455</v>
      </c>
      <c r="N97" s="196"/>
      <c r="O97" s="192"/>
      <c r="P97" s="191"/>
    </row>
    <row r="98" spans="1:16" x14ac:dyDescent="0.2">
      <c r="A98" s="1" t="str">
        <f t="shared" si="11"/>
        <v>c19</v>
      </c>
      <c r="B98" s="1">
        <v>19</v>
      </c>
      <c r="C98" s="1">
        <f t="shared" si="12"/>
        <v>2027</v>
      </c>
      <c r="D98" s="173">
        <f>D97*(1+'Avoided Cost inputs'!$I$26)</f>
        <v>0.47593816703439823</v>
      </c>
      <c r="E98" s="181">
        <f>NPV($C$1,D$81:D98)+D$80</f>
        <v>3.765140843961964</v>
      </c>
      <c r="F98" s="180">
        <f t="shared" si="14"/>
        <v>0.4360804169272478</v>
      </c>
      <c r="G98" s="180"/>
      <c r="H98" s="190"/>
      <c r="I98" s="185"/>
      <c r="J98" s="173">
        <f t="shared" si="10"/>
        <v>0.11011680506721307</v>
      </c>
      <c r="K98" s="181">
        <f>NPV($C$1,$J$81:J98)+J$80</f>
        <v>0.84743568392000412</v>
      </c>
      <c r="L98" s="173">
        <f t="shared" si="13"/>
        <v>1.9162609255341079</v>
      </c>
      <c r="M98" s="181">
        <f>NPV($C$1,L$81:L98)+L$80</f>
        <v>14.747139521601417</v>
      </c>
      <c r="N98" s="196"/>
      <c r="O98" s="192"/>
      <c r="P98" s="191"/>
    </row>
    <row r="99" spans="1:16" x14ac:dyDescent="0.2">
      <c r="A99" s="1" t="str">
        <f t="shared" si="11"/>
        <v>c20</v>
      </c>
      <c r="B99" s="1">
        <v>20</v>
      </c>
      <c r="C99" s="1">
        <f t="shared" si="12"/>
        <v>2028</v>
      </c>
      <c r="D99" s="173">
        <f>D98*(1+'Avoided Cost inputs'!$I$26)</f>
        <v>0.48545693037508619</v>
      </c>
      <c r="E99" s="181">
        <f>NPV($C$1,D$81:D99)+D$80</f>
        <v>3.8572824262740073</v>
      </c>
      <c r="F99" s="180">
        <f t="shared" si="14"/>
        <v>0.44480202526579277</v>
      </c>
      <c r="G99" s="180"/>
      <c r="H99" s="190"/>
      <c r="I99" s="185"/>
      <c r="J99" s="173">
        <f t="shared" si="10"/>
        <v>0.11260879234067797</v>
      </c>
      <c r="K99" s="181">
        <f>NPV($C$1,$J$81:J99)+J$80</f>
        <v>0.86880926344744314</v>
      </c>
      <c r="L99" s="173">
        <f t="shared" si="13"/>
        <v>1.9596266755316158</v>
      </c>
      <c r="M99" s="181">
        <f>NPV($C$1,L$81:L99)+L$80</f>
        <v>15.119084160407708</v>
      </c>
      <c r="N99" s="196"/>
      <c r="O99" s="192"/>
      <c r="P99" s="191"/>
    </row>
    <row r="100" spans="1:16" x14ac:dyDescent="0.2">
      <c r="A100" s="1" t="str">
        <f t="shared" si="11"/>
        <v>c21</v>
      </c>
      <c r="B100" s="1">
        <v>21</v>
      </c>
      <c r="C100" s="1">
        <f t="shared" si="12"/>
        <v>2029</v>
      </c>
      <c r="D100" s="173">
        <f>D99*(1+'Avoided Cost inputs'!$I$26)</f>
        <v>0.49516606898258791</v>
      </c>
      <c r="E100" s="181">
        <f>NPV($C$1,D$81:D100)+D$80</f>
        <v>3.9433960546030198</v>
      </c>
      <c r="F100" s="180">
        <f t="shared" si="14"/>
        <v>0.45369806577110861</v>
      </c>
      <c r="G100" s="180"/>
      <c r="H100" s="190"/>
      <c r="I100" s="185"/>
      <c r="J100" s="173">
        <f t="shared" si="10"/>
        <v>0.11521168943498575</v>
      </c>
      <c r="K100" s="181">
        <f>NPV($C$1,$J$81:J100)+J$80</f>
        <v>0.88884556485142907</v>
      </c>
      <c r="L100" s="173">
        <f t="shared" si="13"/>
        <v>2.0049224865748418</v>
      </c>
      <c r="M100" s="181">
        <f>NPV($C$1,L$81:L100)+L$80</f>
        <v>15.467757384710273</v>
      </c>
      <c r="N100" s="196"/>
      <c r="O100" s="192"/>
      <c r="P100" s="191"/>
    </row>
    <row r="101" spans="1:16" x14ac:dyDescent="0.2">
      <c r="A101" s="1" t="str">
        <f t="shared" si="11"/>
        <v>c22</v>
      </c>
      <c r="B101" s="1">
        <v>22</v>
      </c>
      <c r="C101" s="1">
        <f t="shared" si="12"/>
        <v>2030</v>
      </c>
      <c r="D101" s="173">
        <f>D100*(1+'Avoided Cost inputs'!$I$26)</f>
        <v>0.50506939036223963</v>
      </c>
      <c r="E101" s="181">
        <f>NPV($C$1,D$81:D101)+D$80</f>
        <v>4.0238760810787317</v>
      </c>
      <c r="F101" s="180">
        <f t="shared" si="14"/>
        <v>0.46277202708653076</v>
      </c>
      <c r="G101" s="180"/>
      <c r="H101" s="190"/>
      <c r="I101" s="185"/>
      <c r="J101" s="173">
        <f t="shared" si="10"/>
        <v>0.11780794395838642</v>
      </c>
      <c r="K101" s="181">
        <f>NPV($C$1,$J$81:J101)+J$80</f>
        <v>0.90761761207848468</v>
      </c>
      <c r="L101" s="173">
        <f t="shared" si="13"/>
        <v>2.0501027030994425</v>
      </c>
      <c r="M101" s="181">
        <f>NPV($C$1,L$81:L101)+L$80</f>
        <v>15.79442996271988</v>
      </c>
      <c r="N101" s="196"/>
      <c r="O101" s="192"/>
      <c r="P101" s="191"/>
    </row>
    <row r="102" spans="1:16" x14ac:dyDescent="0.2">
      <c r="A102" s="1" t="str">
        <f t="shared" si="11"/>
        <v>c23</v>
      </c>
      <c r="B102" s="1">
        <v>23</v>
      </c>
      <c r="C102" s="1">
        <f t="shared" si="12"/>
        <v>2031</v>
      </c>
      <c r="D102" s="173">
        <f>D101*(1+'Avoided Cost inputs'!$I$26)</f>
        <v>0.51517077816948442</v>
      </c>
      <c r="E102" s="181">
        <f>NPV($C$1,D$81:D102)+D$80</f>
        <v>4.0990910590934169</v>
      </c>
      <c r="F102" s="180">
        <f t="shared" si="14"/>
        <v>0.47202746762826137</v>
      </c>
      <c r="G102" s="180"/>
      <c r="H102" s="190"/>
      <c r="I102" s="185"/>
      <c r="J102" s="173">
        <f t="shared" si="10"/>
        <v>0.12016410283755415</v>
      </c>
      <c r="K102" s="181">
        <f>NPV($C$1,$J$81:J102)+J$80</f>
        <v>0.92516158144956484</v>
      </c>
      <c r="L102" s="173">
        <f t="shared" si="13"/>
        <v>2.0911047571614314</v>
      </c>
      <c r="M102" s="181">
        <f>NPV($C$1,L$81:L102)+L$80</f>
        <v>16.099731437495212</v>
      </c>
      <c r="N102" s="196"/>
      <c r="O102" s="192"/>
      <c r="P102" s="191"/>
    </row>
    <row r="103" spans="1:16" x14ac:dyDescent="0.2">
      <c r="A103" s="1" t="str">
        <f t="shared" si="11"/>
        <v>c24</v>
      </c>
      <c r="B103" s="1">
        <v>24</v>
      </c>
      <c r="C103" s="1">
        <f t="shared" si="12"/>
        <v>2032</v>
      </c>
      <c r="D103" s="173">
        <f>D102*(1+'Avoided Cost inputs'!$I$26)</f>
        <v>0.52547419373287407</v>
      </c>
      <c r="E103" s="181">
        <f>NPV($C$1,D$81:D103)+D$80</f>
        <v>4.1693854310697569</v>
      </c>
      <c r="F103" s="180">
        <f t="shared" si="14"/>
        <v>0.48146801698082659</v>
      </c>
      <c r="G103" s="180"/>
      <c r="H103" s="190"/>
      <c r="I103" s="185"/>
      <c r="J103" s="173">
        <f t="shared" si="10"/>
        <v>0.12256738489430523</v>
      </c>
      <c r="K103" s="181">
        <f>NPV($C$1,$J$81:J103)+J$80</f>
        <v>0.94155781450664899</v>
      </c>
      <c r="L103" s="173">
        <f t="shared" si="13"/>
        <v>2.1329268523046601</v>
      </c>
      <c r="M103" s="181">
        <f>NPV($C$1,L$81:L103)+L$80</f>
        <v>16.385059918593655</v>
      </c>
      <c r="N103" s="196"/>
      <c r="O103" s="192"/>
      <c r="P103" s="191"/>
    </row>
    <row r="104" spans="1:16" x14ac:dyDescent="0.2">
      <c r="A104" s="1" t="str">
        <f t="shared" si="11"/>
        <v>c25</v>
      </c>
      <c r="B104" s="1">
        <v>25</v>
      </c>
      <c r="C104" s="1">
        <f t="shared" si="12"/>
        <v>2033</v>
      </c>
      <c r="D104" s="173">
        <f>D103*(1+'Avoided Cost inputs'!$I$26)</f>
        <v>0.53598367760753152</v>
      </c>
      <c r="E104" s="181">
        <f>NPV($C$1,D$81:D104)+D$80</f>
        <v>4.2350811058140003</v>
      </c>
      <c r="F104" s="180">
        <f t="shared" si="14"/>
        <v>0.49109737732044306</v>
      </c>
      <c r="G104" s="180"/>
      <c r="H104" s="190"/>
      <c r="I104" s="185"/>
      <c r="J104" s="173">
        <f t="shared" si="10"/>
        <v>0.12501873259219132</v>
      </c>
      <c r="K104" s="181">
        <f>NPV($C$1,$J$81:J104)+J$80</f>
        <v>0.95688139680298945</v>
      </c>
      <c r="L104" s="173">
        <f t="shared" si="13"/>
        <v>2.1755853893507533</v>
      </c>
      <c r="M104" s="181">
        <f>NPV($C$1,L$81:L104)+L$80</f>
        <v>16.651722050461355</v>
      </c>
      <c r="N104" s="196"/>
      <c r="O104" s="192"/>
      <c r="P104" s="191"/>
    </row>
    <row r="105" spans="1:16" x14ac:dyDescent="0.2">
      <c r="A105" s="1" t="str">
        <f t="shared" si="11"/>
        <v>c26</v>
      </c>
      <c r="B105" s="1">
        <v>26</v>
      </c>
      <c r="C105" s="1">
        <f t="shared" si="12"/>
        <v>2034</v>
      </c>
      <c r="D105" s="173">
        <f>D104*(1+'Avoided Cost inputs'!$I$26)</f>
        <v>0.54670335115968216</v>
      </c>
      <c r="E105" s="181">
        <f>NPV($C$1,D$81:D105)+D$80</f>
        <v>4.296478932677779</v>
      </c>
      <c r="F105" s="180">
        <f t="shared" si="14"/>
        <v>0.50091932486685198</v>
      </c>
      <c r="G105" s="180"/>
      <c r="H105" s="190"/>
      <c r="I105" s="185"/>
      <c r="J105" s="173">
        <f t="shared" si="10"/>
        <v>0.12751910724403515</v>
      </c>
      <c r="K105" s="181">
        <f>NPV($C$1,$J$81:J105)+J$80</f>
        <v>0.97120250175284029</v>
      </c>
      <c r="L105" s="173">
        <f t="shared" si="13"/>
        <v>2.2190970971377681</v>
      </c>
      <c r="M105" s="181">
        <f>NPV($C$1,L$81:L105)+L$80</f>
        <v>16.900938996132108</v>
      </c>
      <c r="N105" s="196"/>
      <c r="O105" s="192"/>
      <c r="P105" s="191"/>
    </row>
    <row r="106" spans="1:16" x14ac:dyDescent="0.2">
      <c r="A106" s="1" t="str">
        <f t="shared" si="11"/>
        <v>c27</v>
      </c>
      <c r="B106" s="1">
        <v>27</v>
      </c>
      <c r="C106" s="1">
        <f t="shared" si="12"/>
        <v>2035</v>
      </c>
      <c r="D106" s="173">
        <f>D105*(1+'Avoided Cost inputs'!$I$26)</f>
        <v>0.55763741818287582</v>
      </c>
      <c r="E106" s="181">
        <f>NPV($C$1,D$81:D106)+D$80</f>
        <v>4.3538600792794417</v>
      </c>
      <c r="F106" s="180">
        <f t="shared" si="14"/>
        <v>0.51093771136418897</v>
      </c>
      <c r="G106" s="180"/>
      <c r="H106" s="190"/>
      <c r="I106" s="185"/>
      <c r="J106" s="173">
        <f t="shared" si="10"/>
        <v>0.13006948938891585</v>
      </c>
      <c r="K106" s="181">
        <f>NPV($C$1,$J$81:J106)+J$80</f>
        <v>0.98458671198634562</v>
      </c>
      <c r="L106" s="173">
        <f t="shared" si="13"/>
        <v>2.2634790390805239</v>
      </c>
      <c r="M106" s="181">
        <f>NPV($C$1,L$81:L106)+L$80</f>
        <v>17.133852029469256</v>
      </c>
      <c r="N106" s="196"/>
      <c r="O106" s="192"/>
      <c r="P106" s="191"/>
    </row>
    <row r="107" spans="1:16" x14ac:dyDescent="0.2">
      <c r="A107" s="1" t="str">
        <f t="shared" si="11"/>
        <v>c28</v>
      </c>
      <c r="B107" s="1">
        <v>28</v>
      </c>
      <c r="C107" s="1">
        <f t="shared" si="12"/>
        <v>2036</v>
      </c>
      <c r="D107" s="173">
        <f>D106*(1+'Avoided Cost inputs'!$I$26)</f>
        <v>0.56879016654653336</v>
      </c>
      <c r="E107" s="181">
        <f>NPV($C$1,D$81:D107)+D$80</f>
        <v>4.4074873190940806</v>
      </c>
      <c r="F107" s="180">
        <f t="shared" si="14"/>
        <v>0.52115646559147277</v>
      </c>
      <c r="G107" s="180"/>
      <c r="H107" s="190"/>
      <c r="I107" s="185"/>
      <c r="J107" s="173">
        <f t="shared" si="10"/>
        <v>0.13267087917669418</v>
      </c>
      <c r="K107" s="181">
        <f>NPV($C$1,$J$81:J107)+J$80</f>
        <v>0.99709531968121046</v>
      </c>
      <c r="L107" s="173">
        <f t="shared" si="13"/>
        <v>2.3087486198621345</v>
      </c>
      <c r="M107" s="181">
        <f>NPV($C$1,L$81:L107)+L$80</f>
        <v>17.35152776156005</v>
      </c>
      <c r="N107" s="196"/>
      <c r="O107" s="192"/>
      <c r="P107" s="191"/>
    </row>
    <row r="108" spans="1:16" x14ac:dyDescent="0.2">
      <c r="A108" s="1" t="str">
        <f t="shared" si="11"/>
        <v>c29</v>
      </c>
      <c r="B108" s="1">
        <v>29</v>
      </c>
      <c r="C108" s="1">
        <f t="shared" si="12"/>
        <v>2037</v>
      </c>
      <c r="D108" s="173">
        <f>D107*(1+'Avoided Cost inputs'!$I$26)</f>
        <v>0.58016596987746405</v>
      </c>
      <c r="E108" s="181">
        <f>NPV($C$1,D$81:D108)+D$80</f>
        <v>4.4576062348086953</v>
      </c>
      <c r="F108" s="180">
        <f t="shared" si="14"/>
        <v>0.53157959490330231</v>
      </c>
      <c r="G108" s="180"/>
      <c r="H108" s="190"/>
      <c r="I108" s="185"/>
      <c r="J108" s="173">
        <f t="shared" si="10"/>
        <v>0.13532429676022806</v>
      </c>
      <c r="K108" s="181">
        <f>NPV($C$1,$J$81:J108)+J$80</f>
        <v>1.0087856072465049</v>
      </c>
      <c r="L108" s="173">
        <f t="shared" si="13"/>
        <v>2.354923592259377</v>
      </c>
      <c r="M108" s="181">
        <f>NPV($C$1,L$81:L108)+L$80</f>
        <v>17.554963025196308</v>
      </c>
      <c r="N108" s="196"/>
      <c r="O108" s="192"/>
      <c r="P108" s="191"/>
    </row>
    <row r="109" spans="1:16" x14ac:dyDescent="0.2">
      <c r="A109" s="1" t="str">
        <f t="shared" si="11"/>
        <v>c30</v>
      </c>
      <c r="B109" s="1">
        <v>30</v>
      </c>
      <c r="C109" s="1">
        <f>+C108+1</f>
        <v>2038</v>
      </c>
      <c r="D109" s="173">
        <f>D108*(1+'Avoided Cost inputs'!$I$26)</f>
        <v>0.59176928927501338</v>
      </c>
      <c r="E109" s="181">
        <f>NPV($C$1,D$81:D109)+D$80</f>
        <v>4.5044463429531953</v>
      </c>
      <c r="F109" s="180">
        <f t="shared" si="14"/>
        <v>0.54221118680136837</v>
      </c>
      <c r="G109" s="180"/>
      <c r="H109" s="190"/>
      <c r="I109" s="185"/>
      <c r="J109" s="173">
        <f t="shared" si="10"/>
        <v>0.13803078269543265</v>
      </c>
      <c r="K109" s="181">
        <f>NPV($C$1,$J$81:J109)+J$80</f>
        <v>1.0197111096439762</v>
      </c>
      <c r="L109" s="173">
        <f t="shared" si="13"/>
        <v>2.4020220641045649</v>
      </c>
      <c r="M109" s="181">
        <f>NPV($C$1,L$81:L109)+L$80</f>
        <v>17.745089439809629</v>
      </c>
      <c r="N109" s="196"/>
      <c r="O109" s="192"/>
      <c r="P109" s="191"/>
    </row>
    <row r="110" spans="1:16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84"/>
      <c r="M110" s="1"/>
    </row>
    <row r="111" spans="1:16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6" x14ac:dyDescent="0.2">
      <c r="B112" s="1"/>
      <c r="C112" s="1"/>
      <c r="D112" s="1"/>
      <c r="E112" s="1">
        <v>4</v>
      </c>
      <c r="F112" s="1"/>
      <c r="G112" s="1"/>
      <c r="H112" s="1"/>
      <c r="I112" s="1"/>
      <c r="J112" s="1"/>
      <c r="K112" s="1">
        <v>10</v>
      </c>
      <c r="L112" s="1"/>
      <c r="M112" s="1">
        <v>12</v>
      </c>
    </row>
    <row r="113" spans="1:16" x14ac:dyDescent="0.2">
      <c r="B113" s="1"/>
      <c r="C113" s="175"/>
      <c r="D113" s="1" t="s">
        <v>216</v>
      </c>
      <c r="E113" s="1"/>
      <c r="F113" s="1"/>
      <c r="G113" s="1"/>
      <c r="H113" s="1"/>
      <c r="I113" s="1"/>
      <c r="J113" s="1"/>
      <c r="K113" s="1"/>
      <c r="L113" s="1"/>
      <c r="M113" s="1"/>
    </row>
    <row r="114" spans="1:16" x14ac:dyDescent="0.2">
      <c r="B114" s="1" t="s">
        <v>223</v>
      </c>
      <c r="C114" s="175"/>
      <c r="D114" s="1" t="s">
        <v>217</v>
      </c>
      <c r="E114" s="1"/>
      <c r="F114" s="1"/>
      <c r="G114" s="1"/>
      <c r="H114" s="1"/>
      <c r="I114" s="1"/>
      <c r="J114" s="1"/>
      <c r="K114" s="1"/>
      <c r="L114" s="1"/>
      <c r="M114" s="1"/>
    </row>
    <row r="115" spans="1:16" x14ac:dyDescent="0.2">
      <c r="B115" s="1" t="s">
        <v>218</v>
      </c>
      <c r="C115" s="175"/>
      <c r="D115" s="1"/>
      <c r="E115" s="3" t="s">
        <v>219</v>
      </c>
      <c r="F115" s="3"/>
      <c r="G115" s="3"/>
      <c r="H115" s="1"/>
      <c r="I115" s="3"/>
      <c r="J115" s="1"/>
      <c r="K115" s="3" t="s">
        <v>219</v>
      </c>
      <c r="L115" s="1"/>
      <c r="M115" s="3" t="s">
        <v>219</v>
      </c>
    </row>
    <row r="116" spans="1:16" hidden="1" x14ac:dyDescent="0.2">
      <c r="B116" s="1">
        <v>0</v>
      </c>
      <c r="C116" s="1">
        <v>2006</v>
      </c>
      <c r="D116" s="174">
        <v>0</v>
      </c>
      <c r="E116" s="181"/>
      <c r="F116" s="180"/>
      <c r="G116" s="180"/>
      <c r="H116" s="190"/>
      <c r="I116" s="181"/>
      <c r="J116" s="173">
        <f t="shared" ref="J116:J146" si="15">J5</f>
        <v>0</v>
      </c>
      <c r="K116" s="181"/>
      <c r="L116" s="173"/>
      <c r="M116" s="181"/>
    </row>
    <row r="117" spans="1:16" x14ac:dyDescent="0.2">
      <c r="A117" s="1" t="str">
        <f>+"I"&amp;B117</f>
        <v>I1</v>
      </c>
      <c r="B117" s="1">
        <v>1</v>
      </c>
      <c r="C117" s="1">
        <v>2009</v>
      </c>
      <c r="D117" s="197">
        <f>'Avoided Cost inputs'!D47/1000</f>
        <v>0.30375404512044646</v>
      </c>
      <c r="E117" s="181">
        <f>+D117</f>
        <v>0.30375404512044646</v>
      </c>
      <c r="F117" s="180">
        <f>E117</f>
        <v>0.30375404512044646</v>
      </c>
      <c r="G117" s="180"/>
      <c r="H117" s="190"/>
      <c r="I117" s="181"/>
      <c r="J117" s="173">
        <f t="shared" si="15"/>
        <v>7.7100000000000002E-2</v>
      </c>
      <c r="K117" s="194">
        <f>+J117</f>
        <v>7.7100000000000002E-2</v>
      </c>
      <c r="L117" s="173">
        <f>+L80</f>
        <v>1.3416999999999999</v>
      </c>
      <c r="M117" s="181">
        <f>+L117</f>
        <v>1.3416999999999999</v>
      </c>
      <c r="O117" s="192"/>
    </row>
    <row r="118" spans="1:16" x14ac:dyDescent="0.2">
      <c r="A118" s="1" t="str">
        <f t="shared" ref="A118:A146" si="16">+"I"&amp;B118</f>
        <v>I2</v>
      </c>
      <c r="B118" s="1">
        <v>2</v>
      </c>
      <c r="C118" s="1">
        <f t="shared" ref="C118:C145" si="17">+C117+1</f>
        <v>2010</v>
      </c>
      <c r="D118" s="197">
        <f>'Avoided Cost inputs'!D48/1000</f>
        <v>0.31776499607267211</v>
      </c>
      <c r="E118" s="181">
        <f>NPV($C$1,D$118:D118)+D$117</f>
        <v>0.5949076057514453</v>
      </c>
      <c r="F118" s="180">
        <f>NPV($C$1,D118)</f>
        <v>0.29115356063099884</v>
      </c>
      <c r="G118" s="180"/>
      <c r="H118" s="190"/>
      <c r="I118" s="180"/>
      <c r="J118" s="173">
        <f t="shared" si="15"/>
        <v>7.8435476582365063E-2</v>
      </c>
      <c r="K118" s="181">
        <f>NPV($C$1,J$118:J118)+J$117</f>
        <v>0.14896684678611422</v>
      </c>
      <c r="L118" s="173">
        <f t="shared" ref="L118:L146" si="18">+L81</f>
        <v>1.3649400639501841</v>
      </c>
      <c r="M118" s="181">
        <f>NPV($C$1,L$118:L118)+L$117</f>
        <v>2.5923322740976582</v>
      </c>
      <c r="O118" s="192"/>
    </row>
    <row r="119" spans="1:16" x14ac:dyDescent="0.2">
      <c r="A119" s="1" t="str">
        <f t="shared" si="16"/>
        <v>I3</v>
      </c>
      <c r="B119" s="1">
        <v>3</v>
      </c>
      <c r="C119" s="1">
        <f t="shared" si="17"/>
        <v>2011</v>
      </c>
      <c r="D119" s="197">
        <f>'Avoided Cost inputs'!D49/1000</f>
        <v>0.33964418098350158</v>
      </c>
      <c r="E119" s="181">
        <f>NPV($C$1,D$118:D119)+D$117</f>
        <v>0.88004638074531893</v>
      </c>
      <c r="F119" s="180">
        <f t="shared" ref="F119:F146" si="19">NPV($C$1,D119)</f>
        <v>0.31120045902831373</v>
      </c>
      <c r="G119" s="180"/>
      <c r="H119" s="190"/>
      <c r="I119" s="180"/>
      <c r="J119" s="173">
        <f t="shared" si="15"/>
        <v>7.9879813340984901E-2</v>
      </c>
      <c r="K119" s="181">
        <f>NPV($C$1,J$118:J119)+J$117</f>
        <v>0.21602771047243813</v>
      </c>
      <c r="L119" s="173">
        <f t="shared" si="18"/>
        <v>1.390074520876776</v>
      </c>
      <c r="M119" s="181">
        <f>NPV($C$1,L$118:L119)+L$117</f>
        <v>3.7593304687531801</v>
      </c>
      <c r="O119" s="192"/>
    </row>
    <row r="120" spans="1:16" x14ac:dyDescent="0.2">
      <c r="A120" s="1" t="str">
        <f t="shared" si="16"/>
        <v>I4</v>
      </c>
      <c r="B120" s="1">
        <v>4</v>
      </c>
      <c r="C120" s="1">
        <f t="shared" si="17"/>
        <v>2012</v>
      </c>
      <c r="D120" s="197">
        <f>'Avoided Cost inputs'!D50/1000</f>
        <v>0.3351034624026637</v>
      </c>
      <c r="E120" s="181">
        <f>NPV($C$1,D$118:D120)+D$117</f>
        <v>1.1378132321995746</v>
      </c>
      <c r="F120" s="180">
        <f t="shared" si="19"/>
        <v>0.30704000586646851</v>
      </c>
      <c r="G120" s="180"/>
      <c r="H120" s="190"/>
      <c r="I120" s="180"/>
      <c r="J120" s="173">
        <f t="shared" si="15"/>
        <v>8.1390988411726109E-2</v>
      </c>
      <c r="K120" s="181">
        <f>NPV($C$1,J$118:J120)+J$117</f>
        <v>0.27863493830952568</v>
      </c>
      <c r="L120" s="173">
        <f t="shared" si="18"/>
        <v>1.416372103138948</v>
      </c>
      <c r="M120" s="181">
        <f>NPV($C$1,L$118:L120)+L$117</f>
        <v>4.8488261573267248</v>
      </c>
      <c r="O120" s="192"/>
    </row>
    <row r="121" spans="1:16" x14ac:dyDescent="0.2">
      <c r="A121" s="1" t="str">
        <f t="shared" si="16"/>
        <v>I5</v>
      </c>
      <c r="B121" s="1">
        <v>5</v>
      </c>
      <c r="C121" s="1">
        <f t="shared" si="17"/>
        <v>2013</v>
      </c>
      <c r="D121" s="197">
        <f>'Avoided Cost inputs'!D51/1000</f>
        <v>0.35914810835094263</v>
      </c>
      <c r="E121" s="181">
        <f>NPV($C$1,D$118:D121)+D$117</f>
        <v>1.3909398320937059</v>
      </c>
      <c r="F121" s="180">
        <f t="shared" si="19"/>
        <v>0.32907101736388367</v>
      </c>
      <c r="G121" s="180"/>
      <c r="H121" s="190"/>
      <c r="I121" s="180"/>
      <c r="J121" s="173">
        <f t="shared" si="15"/>
        <v>8.2954859485231125E-2</v>
      </c>
      <c r="K121" s="181">
        <f>NPV($C$1,J$118:J121)+J$117</f>
        <v>0.33710129533032784</v>
      </c>
      <c r="L121" s="173">
        <f t="shared" si="18"/>
        <v>1.4435867052053768</v>
      </c>
      <c r="M121" s="181">
        <f>NPV($C$1,L$118:L121)+L$117</f>
        <v>5.8662621004500739</v>
      </c>
      <c r="O121" s="192"/>
    </row>
    <row r="122" spans="1:16" x14ac:dyDescent="0.2">
      <c r="A122" s="1" t="str">
        <f t="shared" si="16"/>
        <v>I6</v>
      </c>
      <c r="B122" s="1">
        <v>6</v>
      </c>
      <c r="C122" s="1">
        <f t="shared" si="17"/>
        <v>2014</v>
      </c>
      <c r="D122" s="197">
        <f>'Avoided Cost inputs'!D52/1000</f>
        <v>0.37453990051529074</v>
      </c>
      <c r="E122" s="181">
        <f>NPV($C$1,D$118:D122)+D$117</f>
        <v>1.6328077931692113</v>
      </c>
      <c r="F122" s="180">
        <f t="shared" si="19"/>
        <v>0.34317381392275131</v>
      </c>
      <c r="G122" s="180"/>
      <c r="H122" s="190"/>
      <c r="I122" s="180"/>
      <c r="J122" s="173">
        <f t="shared" si="15"/>
        <v>8.4548837602100857E-2</v>
      </c>
      <c r="K122" s="181">
        <f>NPV($C$1,J$118:J122)+J$117</f>
        <v>0.3917006983151356</v>
      </c>
      <c r="L122" s="173">
        <f t="shared" si="18"/>
        <v>1.4713252323053008</v>
      </c>
      <c r="M122" s="181">
        <f>NPV($C$1,L$118:L122)+L$117</f>
        <v>6.8164050185397844</v>
      </c>
      <c r="O122" s="192"/>
    </row>
    <row r="123" spans="1:16" x14ac:dyDescent="0.2">
      <c r="A123" s="1" t="str">
        <f t="shared" si="16"/>
        <v>I7</v>
      </c>
      <c r="B123" s="1">
        <v>7</v>
      </c>
      <c r="C123" s="1">
        <f t="shared" si="17"/>
        <v>2015</v>
      </c>
      <c r="D123" s="197">
        <f>'Avoided Cost inputs'!D53/1000</f>
        <v>0.38712198815636861</v>
      </c>
      <c r="E123" s="181">
        <f>NPV($C$1,D$118:D123)+D$117</f>
        <v>1.8618650961512899</v>
      </c>
      <c r="F123" s="180">
        <f t="shared" si="19"/>
        <v>0.35470220648375356</v>
      </c>
      <c r="G123" s="180"/>
      <c r="H123" s="190"/>
      <c r="I123" s="180"/>
      <c r="J123" s="173">
        <f t="shared" si="15"/>
        <v>8.615608700938239E-2</v>
      </c>
      <c r="K123" s="181">
        <f>NPV($C$1,J$118:J123)+J$117</f>
        <v>0.4426786368709974</v>
      </c>
      <c r="L123" s="173">
        <f t="shared" si="18"/>
        <v>1.4992947073993295</v>
      </c>
      <c r="M123" s="181">
        <f>NPV($C$1,L$118:L123)+L$117</f>
        <v>7.7035269402051494</v>
      </c>
      <c r="O123" s="192"/>
    </row>
    <row r="124" spans="1:16" x14ac:dyDescent="0.2">
      <c r="A124" s="1" t="str">
        <f t="shared" si="16"/>
        <v>I8</v>
      </c>
      <c r="B124" s="1">
        <v>8</v>
      </c>
      <c r="C124" s="1">
        <f t="shared" si="17"/>
        <v>2016</v>
      </c>
      <c r="D124" s="197">
        <f>'Avoided Cost inputs'!D54/1000</f>
        <v>0.38872750947393669</v>
      </c>
      <c r="E124" s="181">
        <f>NPV($C$1,D$118:D124)+D$117</f>
        <v>2.0726102660494545</v>
      </c>
      <c r="F124" s="180">
        <f t="shared" si="19"/>
        <v>0.3561732723785383</v>
      </c>
      <c r="G124" s="180"/>
      <c r="H124" s="190"/>
      <c r="I124" s="180"/>
      <c r="J124" s="173">
        <f t="shared" si="15"/>
        <v>8.7702518580828476E-2</v>
      </c>
      <c r="K124" s="181">
        <f>NPV($C$1,J$118:J124)+J$117</f>
        <v>0.49022577909364695</v>
      </c>
      <c r="L124" s="173">
        <f t="shared" si="18"/>
        <v>1.5262058259390081</v>
      </c>
      <c r="M124" s="181">
        <f>NPV($C$1,L$118:L124)+L$117</f>
        <v>8.5309458859915175</v>
      </c>
      <c r="O124" s="192"/>
    </row>
    <row r="125" spans="1:16" x14ac:dyDescent="0.2">
      <c r="A125" s="1" t="str">
        <f t="shared" si="16"/>
        <v>I9</v>
      </c>
      <c r="B125" s="1">
        <v>9</v>
      </c>
      <c r="C125" s="1">
        <f t="shared" si="17"/>
        <v>2017</v>
      </c>
      <c r="D125" s="197">
        <f>'Avoided Cost inputs'!D55/1000</f>
        <v>0.36416581085447008</v>
      </c>
      <c r="E125" s="181">
        <f>NPV($C$1,D$118:D125)+D$117</f>
        <v>2.2535056874707435</v>
      </c>
      <c r="F125" s="180">
        <f t="shared" si="19"/>
        <v>0.33366850912082657</v>
      </c>
      <c r="G125" s="180"/>
      <c r="H125" s="190"/>
      <c r="I125" s="180"/>
      <c r="J125" s="173">
        <f t="shared" si="15"/>
        <v>8.9357150464272478E-2</v>
      </c>
      <c r="K125" s="181">
        <f>NPV($C$1,J$118:J125)+J$117</f>
        <v>0.53461297555317344</v>
      </c>
      <c r="L125" s="173">
        <f t="shared" si="18"/>
        <v>1.5549998544476569</v>
      </c>
      <c r="M125" s="181">
        <f>NPV($C$1,L$118:L125)+L$117</f>
        <v>9.3033752178948461</v>
      </c>
      <c r="O125" s="192"/>
      <c r="P125" s="191"/>
    </row>
    <row r="126" spans="1:16" x14ac:dyDescent="0.2">
      <c r="A126" s="1" t="str">
        <f t="shared" si="16"/>
        <v>I10</v>
      </c>
      <c r="B126" s="1">
        <v>10</v>
      </c>
      <c r="C126" s="1">
        <f t="shared" si="17"/>
        <v>2018</v>
      </c>
      <c r="D126" s="173">
        <f>D125*(1+'Avoided Cost inputs'!$I$42)</f>
        <v>0.37144912707155947</v>
      </c>
      <c r="E126" s="181">
        <f>NPV($C$1,D$118:D126)+D$117</f>
        <v>2.4225668289859668</v>
      </c>
      <c r="F126" s="180">
        <f t="shared" si="19"/>
        <v>0.34034187930324306</v>
      </c>
      <c r="G126" s="180"/>
      <c r="H126" s="190"/>
      <c r="I126" s="180"/>
      <c r="J126" s="173">
        <f t="shared" si="15"/>
        <v>9.1102400414455081E-2</v>
      </c>
      <c r="K126" s="181">
        <f>NPV($C$1,J$118:J126)+J$117</f>
        <v>0.57607726954753657</v>
      </c>
      <c r="L126" s="173">
        <f t="shared" si="18"/>
        <v>1.585370825370614</v>
      </c>
      <c r="M126" s="181">
        <f>NPV($C$1,L$118:L126)+L$117</f>
        <v>10.024939981218285</v>
      </c>
      <c r="O126" s="192"/>
      <c r="P126" s="191"/>
    </row>
    <row r="127" spans="1:16" x14ac:dyDescent="0.2">
      <c r="A127" s="1" t="str">
        <f t="shared" si="16"/>
        <v>I11</v>
      </c>
      <c r="B127" s="1">
        <v>11</v>
      </c>
      <c r="C127" s="1">
        <f t="shared" si="17"/>
        <v>2019</v>
      </c>
      <c r="D127" s="173">
        <f>D126*(1+'Avoided Cost inputs'!$I$42)</f>
        <v>0.37887810961299068</v>
      </c>
      <c r="E127" s="181">
        <f>NPV($C$1,D$118:D127)+D$117</f>
        <v>2.5805678958226239</v>
      </c>
      <c r="F127" s="180">
        <f t="shared" si="19"/>
        <v>0.34714871688930793</v>
      </c>
      <c r="G127" s="180"/>
      <c r="H127" s="190"/>
      <c r="I127" s="180"/>
      <c r="J127" s="173">
        <f t="shared" si="15"/>
        <v>9.2920688485174013E-2</v>
      </c>
      <c r="K127" s="181">
        <f>NPV($C$1,J$118:J127)+J$117</f>
        <v>0.61482737819554178</v>
      </c>
      <c r="L127" s="173">
        <f t="shared" si="18"/>
        <v>1.6170128111615814</v>
      </c>
      <c r="M127" s="181">
        <f>NPV($C$1,L$118:L127)+L$117</f>
        <v>10.699272286964439</v>
      </c>
      <c r="O127" s="192"/>
      <c r="P127" s="191"/>
    </row>
    <row r="128" spans="1:16" x14ac:dyDescent="0.2">
      <c r="A128" s="1" t="str">
        <f t="shared" si="16"/>
        <v>I12</v>
      </c>
      <c r="B128" s="1">
        <v>12</v>
      </c>
      <c r="C128" s="1">
        <f t="shared" si="17"/>
        <v>2020</v>
      </c>
      <c r="D128" s="173">
        <f>D127*(1+'Avoided Cost inputs'!$I$42)</f>
        <v>0.38645567180525048</v>
      </c>
      <c r="E128" s="181">
        <f>NPV($C$1,D$118:D128)+D$117</f>
        <v>2.7282324442680981</v>
      </c>
      <c r="F128" s="180">
        <f t="shared" si="19"/>
        <v>0.35409169122709411</v>
      </c>
      <c r="G128" s="180"/>
      <c r="H128" s="190"/>
      <c r="I128" s="180"/>
      <c r="J128" s="173">
        <f t="shared" si="15"/>
        <v>9.500304523802576E-2</v>
      </c>
      <c r="K128" s="181">
        <f>NPV($C$1,J$118:J128)+J$117</f>
        <v>0.65112800152573191</v>
      </c>
      <c r="L128" s="173">
        <f t="shared" si="18"/>
        <v>1.6532501400241131</v>
      </c>
      <c r="M128" s="181">
        <f>NPV($C$1,L$118:L128)+L$117</f>
        <v>11.3309784649426</v>
      </c>
      <c r="O128" s="192"/>
      <c r="P128" s="191"/>
    </row>
    <row r="129" spans="1:16" x14ac:dyDescent="0.2">
      <c r="A129" s="1" t="str">
        <f t="shared" si="16"/>
        <v>I13</v>
      </c>
      <c r="B129" s="1">
        <v>13</v>
      </c>
      <c r="C129" s="1">
        <f t="shared" si="17"/>
        <v>2021</v>
      </c>
      <c r="D129" s="173">
        <f>D128*(1+'Avoided Cost inputs'!$I$42)</f>
        <v>0.39418478524135547</v>
      </c>
      <c r="E129" s="181">
        <f>NPV($C$1,D$118:D129)+D$117</f>
        <v>2.8662366951517191</v>
      </c>
      <c r="F129" s="180">
        <f t="shared" si="19"/>
        <v>0.36117352505163597</v>
      </c>
      <c r="G129" s="180"/>
      <c r="H129" s="190"/>
      <c r="I129" s="180"/>
      <c r="J129" s="173">
        <f t="shared" si="15"/>
        <v>9.7007042580908281E-2</v>
      </c>
      <c r="K129" s="181">
        <f>NPV($C$1,J$118:J129)+J$117</f>
        <v>0.68509020591070535</v>
      </c>
      <c r="L129" s="173">
        <f t="shared" si="18"/>
        <v>1.6881238525396185</v>
      </c>
      <c r="M129" s="181">
        <f>NPV($C$1,L$118:L129)+L$117</f>
        <v>11.921991300523906</v>
      </c>
      <c r="O129" s="192"/>
      <c r="P129" s="191"/>
    </row>
    <row r="130" spans="1:16" x14ac:dyDescent="0.2">
      <c r="A130" s="1" t="str">
        <f t="shared" si="16"/>
        <v>I14</v>
      </c>
      <c r="B130" s="1">
        <v>14</v>
      </c>
      <c r="C130" s="1">
        <f t="shared" si="17"/>
        <v>2022</v>
      </c>
      <c r="D130" s="173">
        <f>D129*(1+'Avoided Cost inputs'!$I$42)</f>
        <v>0.40206848094618258</v>
      </c>
      <c r="E130" s="181">
        <f>NPV($C$1,D$118:D130)+D$117</f>
        <v>2.9952126305569715</v>
      </c>
      <c r="F130" s="180">
        <f t="shared" si="19"/>
        <v>0.36839699555266869</v>
      </c>
      <c r="G130" s="180"/>
      <c r="H130" s="190"/>
      <c r="I130" s="180"/>
      <c r="J130" s="173">
        <f t="shared" si="15"/>
        <v>9.8983282627950864E-2</v>
      </c>
      <c r="K130" s="181">
        <f>NPV($C$1,J$118:J130)+J$117</f>
        <v>0.71684216377713494</v>
      </c>
      <c r="L130" s="173">
        <f t="shared" si="18"/>
        <v>1.72251453050482</v>
      </c>
      <c r="M130" s="181">
        <f>NPV($C$1,L$118:L130)+L$117</f>
        <v>12.474541259919347</v>
      </c>
      <c r="O130" s="192"/>
      <c r="P130" s="191"/>
    </row>
    <row r="131" spans="1:16" x14ac:dyDescent="0.2">
      <c r="A131" s="1" t="str">
        <f t="shared" si="16"/>
        <v>I15</v>
      </c>
      <c r="B131" s="1">
        <v>15</v>
      </c>
      <c r="C131" s="1">
        <f t="shared" si="17"/>
        <v>2023</v>
      </c>
      <c r="D131" s="173">
        <f>D130*(1+'Avoided Cost inputs'!$I$42)</f>
        <v>0.41010985056510624</v>
      </c>
      <c r="E131" s="181">
        <f>NPV($C$1,D$118:D131)+D$117</f>
        <v>3.1157508879450586</v>
      </c>
      <c r="F131" s="180">
        <f t="shared" si="19"/>
        <v>0.37576493546372208</v>
      </c>
      <c r="G131" s="180"/>
      <c r="H131" s="190"/>
      <c r="I131" s="180"/>
      <c r="J131" s="173">
        <f t="shared" si="15"/>
        <v>0.10101495532033619</v>
      </c>
      <c r="K131" s="181">
        <f>NPV($C$1,J$118:J131)+J$117</f>
        <v>0.74653217650828663</v>
      </c>
      <c r="L131" s="173">
        <f t="shared" si="18"/>
        <v>1.7578698515343061</v>
      </c>
      <c r="M131" s="181">
        <f>NPV($C$1,L$118:L131)+L$117</f>
        <v>12.991209094956783</v>
      </c>
      <c r="O131" s="192"/>
      <c r="P131" s="191"/>
    </row>
    <row r="132" spans="1:16" x14ac:dyDescent="0.2">
      <c r="A132" s="1" t="str">
        <f t="shared" si="16"/>
        <v>I16</v>
      </c>
      <c r="B132" s="1">
        <v>16</v>
      </c>
      <c r="C132" s="1">
        <f t="shared" si="17"/>
        <v>2024</v>
      </c>
      <c r="D132" s="173">
        <f>D131*(1+'Avoided Cost inputs'!$I$42)</f>
        <v>0.41831204757640839</v>
      </c>
      <c r="E132" s="181">
        <f>NPV($C$1,D$118:D132)+D$117</f>
        <v>3.2284034649432707</v>
      </c>
      <c r="F132" s="180">
        <f t="shared" si="19"/>
        <v>0.3832802341729965</v>
      </c>
      <c r="G132" s="180"/>
      <c r="H132" s="190"/>
      <c r="I132" s="180"/>
      <c r="J132" s="173">
        <f t="shared" si="15"/>
        <v>0.10312742869995967</v>
      </c>
      <c r="K132" s="181">
        <f>NPV($C$1,J$118:J132)+J$117</f>
        <v>0.77430467474150522</v>
      </c>
      <c r="L132" s="173">
        <f t="shared" si="18"/>
        <v>1.7946312722015023</v>
      </c>
      <c r="M132" s="181">
        <f>NPV($C$1,L$118:L132)+L$117</f>
        <v>13.474508198452364</v>
      </c>
      <c r="O132" s="192"/>
      <c r="P132" s="191"/>
    </row>
    <row r="133" spans="1:16" x14ac:dyDescent="0.2">
      <c r="A133" s="1" t="str">
        <f t="shared" si="16"/>
        <v>I17</v>
      </c>
      <c r="B133" s="1">
        <v>17</v>
      </c>
      <c r="C133" s="1">
        <f t="shared" si="17"/>
        <v>2025</v>
      </c>
      <c r="D133" s="173">
        <f>D132*(1+'Avoided Cost inputs'!$I$42)</f>
        <v>0.42667828852793654</v>
      </c>
      <c r="E133" s="181">
        <f>NPV($C$1,D$118:D133)+D$117</f>
        <v>3.3336862471845903</v>
      </c>
      <c r="F133" s="180">
        <f t="shared" si="19"/>
        <v>0.39094583885645645</v>
      </c>
      <c r="G133" s="180"/>
      <c r="H133" s="190"/>
      <c r="I133" s="180"/>
      <c r="J133" s="173">
        <f t="shared" si="15"/>
        <v>0.10532008930404643</v>
      </c>
      <c r="K133" s="181">
        <f>NPV($C$1,J$118:J133)+J$117</f>
        <v>0.80029238568430894</v>
      </c>
      <c r="L133" s="173">
        <f t="shared" si="18"/>
        <v>1.8327881169810509</v>
      </c>
      <c r="M133" s="181">
        <f>NPV($C$1,L$118:L133)+L$117</f>
        <v>13.926748299255994</v>
      </c>
      <c r="O133" s="192"/>
      <c r="P133" s="191"/>
    </row>
    <row r="134" spans="1:16" x14ac:dyDescent="0.2">
      <c r="A134" s="1" t="str">
        <f t="shared" si="16"/>
        <v>I18</v>
      </c>
      <c r="B134" s="1">
        <v>18</v>
      </c>
      <c r="C134" s="1">
        <f t="shared" si="17"/>
        <v>2026</v>
      </c>
      <c r="D134" s="173">
        <f>D133*(1+'Avoided Cost inputs'!$I$42)</f>
        <v>0.43521185429849529</v>
      </c>
      <c r="E134" s="181">
        <f>NPV($C$1,D$118:D134)+D$117</f>
        <v>3.432081370774609</v>
      </c>
      <c r="F134" s="180">
        <f t="shared" si="19"/>
        <v>0.3987647556335856</v>
      </c>
      <c r="G134" s="180"/>
      <c r="H134" s="190"/>
      <c r="I134" s="180"/>
      <c r="J134" s="173">
        <f t="shared" si="15"/>
        <v>0.10762470410671554</v>
      </c>
      <c r="K134" s="181">
        <f>NPV($C$1,J$118:J134)+J$117</f>
        <v>0.82462477910908993</v>
      </c>
      <c r="L134" s="173">
        <f t="shared" si="18"/>
        <v>1.8728931971463059</v>
      </c>
      <c r="M134" s="181">
        <f>NPV($C$1,L$118:L134)+L$117</f>
        <v>14.350182440086455</v>
      </c>
      <c r="O134" s="192"/>
      <c r="P134" s="191"/>
    </row>
    <row r="135" spans="1:16" x14ac:dyDescent="0.2">
      <c r="A135" s="1" t="str">
        <f t="shared" si="16"/>
        <v>I19</v>
      </c>
      <c r="B135" s="1">
        <v>19</v>
      </c>
      <c r="C135" s="1">
        <f t="shared" si="17"/>
        <v>2027</v>
      </c>
      <c r="D135" s="173">
        <f>D134*(1+'Avoided Cost inputs'!$I$42)</f>
        <v>0.44391609138446519</v>
      </c>
      <c r="E135" s="181">
        <f>NPV($C$1,D$118:D135)+D$117</f>
        <v>3.5240394302045326</v>
      </c>
      <c r="F135" s="180">
        <f t="shared" si="19"/>
        <v>0.4067400507462573</v>
      </c>
      <c r="G135" s="180"/>
      <c r="H135" s="190"/>
      <c r="I135" s="180"/>
      <c r="J135" s="173">
        <f t="shared" si="15"/>
        <v>0.11011680506721307</v>
      </c>
      <c r="K135" s="181">
        <f>NPV($C$1,J$118:J135)+J$117</f>
        <v>0.84743568392000412</v>
      </c>
      <c r="L135" s="173">
        <f t="shared" si="18"/>
        <v>1.9162609255341079</v>
      </c>
      <c r="M135" s="181">
        <f>NPV($C$1,L$118:L135)+L$117</f>
        <v>14.747139521601417</v>
      </c>
      <c r="O135" s="192"/>
      <c r="P135" s="191"/>
    </row>
    <row r="136" spans="1:16" x14ac:dyDescent="0.2">
      <c r="A136" s="1" t="str">
        <f t="shared" si="16"/>
        <v>I20</v>
      </c>
      <c r="B136" s="1">
        <v>20</v>
      </c>
      <c r="C136" s="1">
        <f t="shared" si="17"/>
        <v>2028</v>
      </c>
      <c r="D136" s="173">
        <f>D135*(1+'Avoided Cost inputs'!$I$42)</f>
        <v>0.45279441321215452</v>
      </c>
      <c r="E136" s="181">
        <f>NPV($C$1,D$118:D136)+D$117</f>
        <v>3.6099815418212837</v>
      </c>
      <c r="F136" s="180">
        <f t="shared" si="19"/>
        <v>0.41487485176118249</v>
      </c>
      <c r="G136" s="180"/>
      <c r="H136" s="190"/>
      <c r="I136" s="180"/>
      <c r="J136" s="173">
        <f t="shared" si="15"/>
        <v>0.11260879234067797</v>
      </c>
      <c r="K136" s="181">
        <f>NPV($C$1,J$118:J136)+J$117</f>
        <v>0.86880926344744314</v>
      </c>
      <c r="L136" s="173">
        <f t="shared" si="18"/>
        <v>1.9596266755316158</v>
      </c>
      <c r="M136" s="181">
        <f>NPV($C$1,L$118:L136)+L$117</f>
        <v>15.119084160407708</v>
      </c>
      <c r="O136" s="192"/>
      <c r="P136" s="191"/>
    </row>
    <row r="137" spans="1:16" x14ac:dyDescent="0.2">
      <c r="A137" s="1" t="str">
        <f t="shared" si="16"/>
        <v>I21</v>
      </c>
      <c r="B137" s="1">
        <v>21</v>
      </c>
      <c r="C137" s="1">
        <f t="shared" si="17"/>
        <v>2029</v>
      </c>
      <c r="D137" s="173">
        <f>D136*(1+'Avoided Cost inputs'!$I$42)</f>
        <v>0.46185030147639761</v>
      </c>
      <c r="E137" s="181">
        <f>NPV($C$1,D$118:D137)+D$117</f>
        <v>3.6903012723042283</v>
      </c>
      <c r="F137" s="180">
        <f t="shared" si="19"/>
        <v>0.42317234879640614</v>
      </c>
      <c r="G137" s="180"/>
      <c r="H137" s="190"/>
      <c r="I137" s="180"/>
      <c r="J137" s="173">
        <f t="shared" si="15"/>
        <v>0.11521168943498575</v>
      </c>
      <c r="K137" s="181">
        <f>NPV($C$1,J$118:J137)+J$117</f>
        <v>0.88884556485142907</v>
      </c>
      <c r="L137" s="173">
        <f t="shared" si="18"/>
        <v>2.0049224865748418</v>
      </c>
      <c r="M137" s="181">
        <f>NPV($C$1,L$118:L137)+L$117</f>
        <v>15.467757384710273</v>
      </c>
      <c r="O137" s="192"/>
      <c r="P137" s="191"/>
    </row>
    <row r="138" spans="1:16" x14ac:dyDescent="0.2">
      <c r="A138" s="1" t="str">
        <f t="shared" si="16"/>
        <v>I22</v>
      </c>
      <c r="B138" s="1">
        <v>22</v>
      </c>
      <c r="C138" s="1">
        <f t="shared" si="17"/>
        <v>2030</v>
      </c>
      <c r="D138" s="173">
        <f>D137*(1+'Avoided Cost inputs'!$I$42)</f>
        <v>0.47108730750592559</v>
      </c>
      <c r="E138" s="181">
        <f>NPV($C$1,D$118:D138)+D$117</f>
        <v>3.7653664409798782</v>
      </c>
      <c r="F138" s="180">
        <f t="shared" si="19"/>
        <v>0.4316357957723343</v>
      </c>
      <c r="G138" s="180"/>
      <c r="H138" s="190"/>
      <c r="I138" s="180"/>
      <c r="J138" s="173">
        <f t="shared" si="15"/>
        <v>0.11780794395838642</v>
      </c>
      <c r="K138" s="181">
        <f>NPV($C$1,J$118:J138)+J$117</f>
        <v>0.90761761207848468</v>
      </c>
      <c r="L138" s="173">
        <f t="shared" si="18"/>
        <v>2.0501027030994425</v>
      </c>
      <c r="M138" s="181">
        <f>NPV($C$1,L$118:L138)+L$117</f>
        <v>15.79442996271988</v>
      </c>
      <c r="O138" s="192"/>
      <c r="P138" s="191"/>
    </row>
    <row r="139" spans="1:16" x14ac:dyDescent="0.2">
      <c r="A139" s="1" t="str">
        <f t="shared" si="16"/>
        <v>I23</v>
      </c>
      <c r="B139" s="1">
        <v>23</v>
      </c>
      <c r="C139" s="1">
        <f t="shared" si="17"/>
        <v>2031</v>
      </c>
      <c r="D139" s="173">
        <f>D138*(1+'Avoided Cost inputs'!$I$42)</f>
        <v>0.48050905365604413</v>
      </c>
      <c r="E139" s="181">
        <f>NPV($C$1,D$118:D139)+D$117</f>
        <v>3.8355208042281488</v>
      </c>
      <c r="F139" s="180">
        <f t="shared" si="19"/>
        <v>0.44026851168778097</v>
      </c>
      <c r="G139" s="180"/>
      <c r="H139" s="190"/>
      <c r="I139" s="180"/>
      <c r="J139" s="173">
        <f t="shared" si="15"/>
        <v>0.12016410283755415</v>
      </c>
      <c r="K139" s="181">
        <f>NPV($C$1,J$118:J139)+J$117</f>
        <v>0.92516158144956484</v>
      </c>
      <c r="L139" s="173">
        <f t="shared" si="18"/>
        <v>2.0911047571614314</v>
      </c>
      <c r="M139" s="181">
        <f>NPV($C$1,L$118:L139)+L$117</f>
        <v>16.099731437495212</v>
      </c>
      <c r="O139" s="192"/>
      <c r="P139" s="191"/>
    </row>
    <row r="140" spans="1:16" x14ac:dyDescent="0.2">
      <c r="A140" s="1" t="str">
        <f t="shared" si="16"/>
        <v>I24</v>
      </c>
      <c r="B140" s="1">
        <v>24</v>
      </c>
      <c r="C140" s="1">
        <f t="shared" si="17"/>
        <v>2032</v>
      </c>
      <c r="D140" s="173">
        <f>D139*(1+'Avoided Cost inputs'!$I$42)</f>
        <v>0.49011923472916502</v>
      </c>
      <c r="E140" s="181">
        <f>NPV($C$1,D$118:D140)+D$117</f>
        <v>3.9010856296938221</v>
      </c>
      <c r="F140" s="180">
        <f t="shared" si="19"/>
        <v>0.44907388192153663</v>
      </c>
      <c r="G140" s="180"/>
      <c r="H140" s="190"/>
      <c r="I140" s="180"/>
      <c r="J140" s="173">
        <f t="shared" si="15"/>
        <v>0.12256738489430523</v>
      </c>
      <c r="K140" s="181">
        <f>NPV($C$1,J$118:J140)+J$117</f>
        <v>0.94155781450664899</v>
      </c>
      <c r="L140" s="173">
        <f t="shared" si="18"/>
        <v>2.1329268523046601</v>
      </c>
      <c r="M140" s="181">
        <f>NPV($C$1,L$118:L140)+L$117</f>
        <v>16.385059918593655</v>
      </c>
      <c r="O140" s="192"/>
      <c r="P140" s="191"/>
    </row>
    <row r="141" spans="1:16" x14ac:dyDescent="0.2">
      <c r="A141" s="1" t="str">
        <f t="shared" si="16"/>
        <v>I25</v>
      </c>
      <c r="B141" s="1">
        <v>25</v>
      </c>
      <c r="C141" s="1">
        <f t="shared" si="17"/>
        <v>2033</v>
      </c>
      <c r="D141" s="173">
        <f>D140*(1+'Avoided Cost inputs'!$I$42)</f>
        <v>0.49992161942374835</v>
      </c>
      <c r="E141" s="181">
        <f>NPV($C$1,D$118:D141)+D$117</f>
        <v>3.9623611675122086</v>
      </c>
      <c r="F141" s="180">
        <f t="shared" si="19"/>
        <v>0.45805535955996735</v>
      </c>
      <c r="G141" s="180"/>
      <c r="H141" s="190"/>
      <c r="I141" s="180"/>
      <c r="J141" s="173">
        <f t="shared" si="15"/>
        <v>0.12501873259219132</v>
      </c>
      <c r="K141" s="181">
        <f>NPV($C$1,J$118:J141)+J$117</f>
        <v>0.95688139680298945</v>
      </c>
      <c r="L141" s="173">
        <f t="shared" si="18"/>
        <v>2.1755853893507533</v>
      </c>
      <c r="M141" s="181">
        <f>NPV($C$1,L$118:L141)+L$117</f>
        <v>16.651722050461355</v>
      </c>
      <c r="O141" s="192"/>
      <c r="P141" s="191"/>
    </row>
    <row r="142" spans="1:16" x14ac:dyDescent="0.2">
      <c r="A142" s="1" t="str">
        <f t="shared" si="16"/>
        <v>I26</v>
      </c>
      <c r="B142" s="1">
        <v>26</v>
      </c>
      <c r="C142" s="1">
        <f t="shared" si="17"/>
        <v>2034</v>
      </c>
      <c r="D142" s="173">
        <f>D141*(1+'Avoided Cost inputs'!$I$42)</f>
        <v>0.50992005181222333</v>
      </c>
      <c r="E142" s="181">
        <f>NPV($C$1,D$118:D142)+D$117</f>
        <v>4.0196280252864014</v>
      </c>
      <c r="F142" s="180">
        <f t="shared" si="19"/>
        <v>0.46721646675116674</v>
      </c>
      <c r="G142" s="180"/>
      <c r="H142" s="190"/>
      <c r="I142" s="180"/>
      <c r="J142" s="173">
        <f t="shared" si="15"/>
        <v>0.12751910724403515</v>
      </c>
      <c r="K142" s="181">
        <f>NPV($C$1,J$118:J142)+J$117</f>
        <v>0.97120250175284029</v>
      </c>
      <c r="L142" s="173">
        <f t="shared" si="18"/>
        <v>2.2190970971377681</v>
      </c>
      <c r="M142" s="181">
        <f>NPV($C$1,L$118:L142)+L$117</f>
        <v>16.900938996132108</v>
      </c>
      <c r="O142" s="192"/>
      <c r="P142" s="191"/>
    </row>
    <row r="143" spans="1:16" x14ac:dyDescent="0.2">
      <c r="A143" s="1" t="str">
        <f t="shared" si="16"/>
        <v>I27</v>
      </c>
      <c r="B143" s="1">
        <v>27</v>
      </c>
      <c r="C143" s="1">
        <f t="shared" si="17"/>
        <v>2035</v>
      </c>
      <c r="D143" s="173">
        <f>D142*(1+'Avoided Cost inputs'!$I$42)</f>
        <v>0.5201184528484678</v>
      </c>
      <c r="E143" s="181">
        <f>NPV($C$1,D$118:D143)+D$117</f>
        <v>4.0731484531127498</v>
      </c>
      <c r="F143" s="180">
        <f t="shared" si="19"/>
        <v>0.47656079608619006</v>
      </c>
      <c r="G143" s="180"/>
      <c r="H143" s="190"/>
      <c r="I143" s="180"/>
      <c r="J143" s="173">
        <f t="shared" si="15"/>
        <v>0.13006948938891585</v>
      </c>
      <c r="K143" s="181">
        <f>NPV($C$1,J$118:J143)+J$117</f>
        <v>0.98458671198634562</v>
      </c>
      <c r="L143" s="173">
        <f t="shared" si="18"/>
        <v>2.2634790390805239</v>
      </c>
      <c r="M143" s="181">
        <f>NPV($C$1,L$118:L143)+L$117</f>
        <v>17.133852029469256</v>
      </c>
      <c r="O143" s="192"/>
      <c r="P143" s="191"/>
    </row>
    <row r="144" spans="1:16" x14ac:dyDescent="0.2">
      <c r="A144" s="1" t="str">
        <f t="shared" si="16"/>
        <v>I28</v>
      </c>
      <c r="B144" s="1">
        <v>28</v>
      </c>
      <c r="C144" s="1">
        <f t="shared" si="17"/>
        <v>2036</v>
      </c>
      <c r="D144" s="173">
        <f>D143*(1+'Avoided Cost inputs'!$I$42)</f>
        <v>0.53052082190543715</v>
      </c>
      <c r="E144" s="181">
        <f>NPV($C$1,D$118:D144)+D$117</f>
        <v>4.1231675445392435</v>
      </c>
      <c r="F144" s="180">
        <f t="shared" si="19"/>
        <v>0.48609201200791385</v>
      </c>
      <c r="G144" s="180"/>
      <c r="H144" s="190"/>
      <c r="I144" s="180"/>
      <c r="J144" s="173">
        <f t="shared" si="15"/>
        <v>0.13267087917669418</v>
      </c>
      <c r="K144" s="181">
        <f>NPV($C$1,J$118:J144)+J$117</f>
        <v>0.99709531968121046</v>
      </c>
      <c r="L144" s="173">
        <f t="shared" si="18"/>
        <v>2.3087486198621345</v>
      </c>
      <c r="M144" s="181">
        <f>NPV($C$1,L$118:L144)+L$117</f>
        <v>17.35152776156005</v>
      </c>
      <c r="O144" s="192"/>
      <c r="P144" s="191"/>
    </row>
    <row r="145" spans="1:16" x14ac:dyDescent="0.2">
      <c r="A145" s="1" t="str">
        <f t="shared" si="16"/>
        <v>I29</v>
      </c>
      <c r="B145" s="1">
        <v>29</v>
      </c>
      <c r="C145" s="1">
        <f t="shared" si="17"/>
        <v>2037</v>
      </c>
      <c r="D145" s="173">
        <f>D144*(1+'Avoided Cost inputs'!$I$42)</f>
        <v>0.54113123834354593</v>
      </c>
      <c r="E145" s="181">
        <f>NPV($C$1,D$118:D145)+D$117</f>
        <v>4.1699143589565271</v>
      </c>
      <c r="F145" s="180">
        <f t="shared" si="19"/>
        <v>0.49581385224807217</v>
      </c>
      <c r="G145" s="180"/>
      <c r="H145" s="190"/>
      <c r="I145" s="180"/>
      <c r="J145" s="173">
        <f t="shared" si="15"/>
        <v>0.13532429676022806</v>
      </c>
      <c r="K145" s="181">
        <f>NPV($C$1,J$118:J145)+J$117</f>
        <v>1.0087856072465049</v>
      </c>
      <c r="L145" s="173">
        <f t="shared" si="18"/>
        <v>2.354923592259377</v>
      </c>
      <c r="M145" s="181">
        <f>NPV($C$1,L$118:L145)+L$117</f>
        <v>17.554963025196308</v>
      </c>
      <c r="O145" s="192"/>
      <c r="P145" s="191"/>
    </row>
    <row r="146" spans="1:16" x14ac:dyDescent="0.2">
      <c r="A146" s="1" t="str">
        <f t="shared" si="16"/>
        <v>I30</v>
      </c>
      <c r="B146" s="1">
        <v>30</v>
      </c>
      <c r="C146" s="1">
        <f>+C145+1</f>
        <v>2038</v>
      </c>
      <c r="D146" s="173">
        <f>D145*(1+'Avoided Cost inputs'!$I$42)</f>
        <v>0.55195386311041683</v>
      </c>
      <c r="E146" s="181">
        <f>NPV($C$1,D$118:D146)+D$117</f>
        <v>4.2136029705614657</v>
      </c>
      <c r="F146" s="180">
        <f t="shared" si="19"/>
        <v>0.50573012929303363</v>
      </c>
      <c r="G146" s="180"/>
      <c r="H146" s="190"/>
      <c r="I146" s="180"/>
      <c r="J146" s="173">
        <f t="shared" si="15"/>
        <v>0.13803078269543265</v>
      </c>
      <c r="K146" s="181">
        <f>NPV($C$1,J$118:J146)+J$117</f>
        <v>1.0197111096439762</v>
      </c>
      <c r="L146" s="173">
        <f t="shared" si="18"/>
        <v>2.4020220641045649</v>
      </c>
      <c r="M146" s="181">
        <f>NPV($C$1,L$118:L146)+L$117</f>
        <v>17.745089439809629</v>
      </c>
      <c r="O146" s="192"/>
      <c r="P146" s="191"/>
    </row>
    <row r="147" spans="1:16" x14ac:dyDescent="0.2">
      <c r="I147" s="198"/>
    </row>
    <row r="148" spans="1:16" x14ac:dyDescent="0.2">
      <c r="I148" s="198"/>
    </row>
    <row r="149" spans="1:16" x14ac:dyDescent="0.2">
      <c r="I149" s="198"/>
    </row>
    <row r="150" spans="1:16" x14ac:dyDescent="0.2">
      <c r="I150" s="198"/>
    </row>
    <row r="151" spans="1:16" x14ac:dyDescent="0.2">
      <c r="I151" s="198"/>
    </row>
    <row r="152" spans="1:16" x14ac:dyDescent="0.2">
      <c r="I152" s="198"/>
    </row>
    <row r="153" spans="1:16" x14ac:dyDescent="0.2">
      <c r="I153" s="198"/>
    </row>
    <row r="154" spans="1:16" x14ac:dyDescent="0.2">
      <c r="I154" s="198"/>
    </row>
    <row r="155" spans="1:16" x14ac:dyDescent="0.2">
      <c r="I155" s="198"/>
    </row>
    <row r="156" spans="1:16" x14ac:dyDescent="0.2">
      <c r="I156" s="198"/>
    </row>
    <row r="157" spans="1:16" x14ac:dyDescent="0.2">
      <c r="I157" s="198"/>
    </row>
    <row r="158" spans="1:16" x14ac:dyDescent="0.2">
      <c r="I158" s="198"/>
    </row>
    <row r="159" spans="1:16" x14ac:dyDescent="0.2">
      <c r="I159" s="198"/>
    </row>
    <row r="160" spans="1:16" x14ac:dyDescent="0.2">
      <c r="I160" s="198"/>
    </row>
    <row r="161" spans="9:9" x14ac:dyDescent="0.2">
      <c r="I161" s="198"/>
    </row>
    <row r="162" spans="9:9" x14ac:dyDescent="0.2">
      <c r="I162" s="198"/>
    </row>
    <row r="163" spans="9:9" x14ac:dyDescent="0.2">
      <c r="I163" s="198"/>
    </row>
    <row r="164" spans="9:9" x14ac:dyDescent="0.2">
      <c r="I164" s="198"/>
    </row>
    <row r="165" spans="9:9" x14ac:dyDescent="0.2">
      <c r="I165" s="198"/>
    </row>
    <row r="166" spans="9:9" x14ac:dyDescent="0.2">
      <c r="I166" s="198"/>
    </row>
    <row r="167" spans="9:9" x14ac:dyDescent="0.2">
      <c r="I167" s="198"/>
    </row>
    <row r="168" spans="9:9" x14ac:dyDescent="0.2">
      <c r="I168" s="198"/>
    </row>
    <row r="169" spans="9:9" x14ac:dyDescent="0.2">
      <c r="I169" s="198"/>
    </row>
    <row r="170" spans="9:9" x14ac:dyDescent="0.2">
      <c r="I170" s="198"/>
    </row>
    <row r="171" spans="9:9" x14ac:dyDescent="0.2">
      <c r="I171" s="198"/>
    </row>
    <row r="172" spans="9:9" x14ac:dyDescent="0.2">
      <c r="I172" s="198"/>
    </row>
    <row r="173" spans="9:9" x14ac:dyDescent="0.2">
      <c r="I173" s="198"/>
    </row>
    <row r="174" spans="9:9" x14ac:dyDescent="0.2">
      <c r="I174" s="198"/>
    </row>
    <row r="175" spans="9:9" x14ac:dyDescent="0.2">
      <c r="I175" s="198"/>
    </row>
    <row r="176" spans="9:9" x14ac:dyDescent="0.2">
      <c r="I176" s="198"/>
    </row>
    <row r="177" spans="9:9" x14ac:dyDescent="0.2">
      <c r="I177" s="198"/>
    </row>
    <row r="178" spans="9:9" x14ac:dyDescent="0.2">
      <c r="I178" s="198"/>
    </row>
    <row r="179" spans="9:9" x14ac:dyDescent="0.2">
      <c r="I179" s="198"/>
    </row>
    <row r="180" spans="9:9" x14ac:dyDescent="0.2">
      <c r="I180" s="198"/>
    </row>
    <row r="181" spans="9:9" x14ac:dyDescent="0.2">
      <c r="I181" s="198"/>
    </row>
    <row r="182" spans="9:9" x14ac:dyDescent="0.2">
      <c r="I182" s="198"/>
    </row>
    <row r="183" spans="9:9" x14ac:dyDescent="0.2">
      <c r="I183" s="198"/>
    </row>
    <row r="184" spans="9:9" x14ac:dyDescent="0.2">
      <c r="I184" s="198"/>
    </row>
    <row r="185" spans="9:9" x14ac:dyDescent="0.2">
      <c r="I185" s="198"/>
    </row>
    <row r="186" spans="9:9" x14ac:dyDescent="0.2">
      <c r="I186" s="198"/>
    </row>
    <row r="187" spans="9:9" x14ac:dyDescent="0.2">
      <c r="I187" s="198"/>
    </row>
    <row r="188" spans="9:9" x14ac:dyDescent="0.2">
      <c r="I188" s="198"/>
    </row>
    <row r="189" spans="9:9" x14ac:dyDescent="0.2">
      <c r="I189" s="198"/>
    </row>
    <row r="190" spans="9:9" x14ac:dyDescent="0.2">
      <c r="I190" s="198"/>
    </row>
    <row r="191" spans="9:9" x14ac:dyDescent="0.2">
      <c r="I191" s="198"/>
    </row>
    <row r="192" spans="9:9" x14ac:dyDescent="0.2">
      <c r="I192" s="198"/>
    </row>
    <row r="193" spans="9:9" x14ac:dyDescent="0.2">
      <c r="I193" s="198"/>
    </row>
    <row r="194" spans="9:9" x14ac:dyDescent="0.2">
      <c r="I194" s="198"/>
    </row>
    <row r="195" spans="9:9" x14ac:dyDescent="0.2">
      <c r="I195" s="198"/>
    </row>
    <row r="196" spans="9:9" x14ac:dyDescent="0.2">
      <c r="I196" s="198"/>
    </row>
    <row r="197" spans="9:9" x14ac:dyDescent="0.2">
      <c r="I197" s="198"/>
    </row>
    <row r="198" spans="9:9" x14ac:dyDescent="0.2">
      <c r="I198" s="198"/>
    </row>
    <row r="199" spans="9:9" x14ac:dyDescent="0.2">
      <c r="I199" s="198"/>
    </row>
    <row r="200" spans="9:9" x14ac:dyDescent="0.2">
      <c r="I200" s="198"/>
    </row>
    <row r="201" spans="9:9" x14ac:dyDescent="0.2">
      <c r="I201" s="198"/>
    </row>
    <row r="202" spans="9:9" x14ac:dyDescent="0.2">
      <c r="I202" s="198"/>
    </row>
    <row r="203" spans="9:9" x14ac:dyDescent="0.2">
      <c r="I203" s="198"/>
    </row>
    <row r="204" spans="9:9" x14ac:dyDescent="0.2">
      <c r="I204" s="198"/>
    </row>
    <row r="205" spans="9:9" x14ac:dyDescent="0.2">
      <c r="I205" s="198"/>
    </row>
    <row r="206" spans="9:9" x14ac:dyDescent="0.2">
      <c r="I206" s="198"/>
    </row>
    <row r="207" spans="9:9" x14ac:dyDescent="0.2">
      <c r="I207" s="198"/>
    </row>
    <row r="208" spans="9:9" x14ac:dyDescent="0.2">
      <c r="I208" s="198"/>
    </row>
    <row r="209" spans="9:9" x14ac:dyDescent="0.2">
      <c r="I209" s="198"/>
    </row>
    <row r="210" spans="9:9" x14ac:dyDescent="0.2">
      <c r="I210" s="198"/>
    </row>
    <row r="211" spans="9:9" x14ac:dyDescent="0.2">
      <c r="I211" s="198"/>
    </row>
    <row r="212" spans="9:9" x14ac:dyDescent="0.2">
      <c r="I212" s="198"/>
    </row>
    <row r="213" spans="9:9" x14ac:dyDescent="0.2">
      <c r="I213" s="198"/>
    </row>
    <row r="214" spans="9:9" x14ac:dyDescent="0.2">
      <c r="I214" s="198"/>
    </row>
    <row r="215" spans="9:9" x14ac:dyDescent="0.2">
      <c r="I215" s="198"/>
    </row>
    <row r="216" spans="9:9" x14ac:dyDescent="0.2">
      <c r="I216" s="198"/>
    </row>
    <row r="217" spans="9:9" x14ac:dyDescent="0.2">
      <c r="I217" s="198"/>
    </row>
    <row r="218" spans="9:9" x14ac:dyDescent="0.2">
      <c r="I218" s="198"/>
    </row>
    <row r="219" spans="9:9" x14ac:dyDescent="0.2">
      <c r="I219" s="198"/>
    </row>
    <row r="220" spans="9:9" x14ac:dyDescent="0.2">
      <c r="I220" s="198"/>
    </row>
    <row r="221" spans="9:9" x14ac:dyDescent="0.2">
      <c r="I221" s="198"/>
    </row>
    <row r="222" spans="9:9" x14ac:dyDescent="0.2">
      <c r="I222" s="198"/>
    </row>
    <row r="223" spans="9:9" x14ac:dyDescent="0.2">
      <c r="I223" s="198"/>
    </row>
    <row r="224" spans="9:9" x14ac:dyDescent="0.2">
      <c r="I224" s="198"/>
    </row>
    <row r="225" spans="9:9" x14ac:dyDescent="0.2">
      <c r="I225" s="198"/>
    </row>
    <row r="226" spans="9:9" x14ac:dyDescent="0.2">
      <c r="I226" s="198"/>
    </row>
    <row r="227" spans="9:9" x14ac:dyDescent="0.2">
      <c r="I227" s="198"/>
    </row>
    <row r="228" spans="9:9" x14ac:dyDescent="0.2">
      <c r="I228" s="198"/>
    </row>
    <row r="229" spans="9:9" x14ac:dyDescent="0.2">
      <c r="I229" s="198"/>
    </row>
    <row r="230" spans="9:9" x14ac:dyDescent="0.2">
      <c r="I230" s="198"/>
    </row>
    <row r="231" spans="9:9" x14ac:dyDescent="0.2">
      <c r="I231" s="198"/>
    </row>
    <row r="232" spans="9:9" x14ac:dyDescent="0.2">
      <c r="I232" s="198"/>
    </row>
    <row r="233" spans="9:9" x14ac:dyDescent="0.2">
      <c r="I233" s="198"/>
    </row>
    <row r="234" spans="9:9" x14ac:dyDescent="0.2">
      <c r="I234" s="198"/>
    </row>
    <row r="235" spans="9:9" x14ac:dyDescent="0.2">
      <c r="I235" s="198"/>
    </row>
    <row r="236" spans="9:9" x14ac:dyDescent="0.2">
      <c r="I236" s="198"/>
    </row>
    <row r="237" spans="9:9" x14ac:dyDescent="0.2">
      <c r="I237" s="198"/>
    </row>
    <row r="238" spans="9:9" x14ac:dyDescent="0.2">
      <c r="I238" s="198"/>
    </row>
    <row r="239" spans="9:9" x14ac:dyDescent="0.2">
      <c r="I239" s="198"/>
    </row>
    <row r="240" spans="9:9" x14ac:dyDescent="0.2">
      <c r="I240" s="198"/>
    </row>
    <row r="241" spans="9:9" x14ac:dyDescent="0.2">
      <c r="I241" s="198"/>
    </row>
    <row r="242" spans="9:9" x14ac:dyDescent="0.2">
      <c r="I242" s="198"/>
    </row>
    <row r="243" spans="9:9" x14ac:dyDescent="0.2">
      <c r="I243" s="198"/>
    </row>
    <row r="244" spans="9:9" x14ac:dyDescent="0.2">
      <c r="I244" s="198"/>
    </row>
    <row r="245" spans="9:9" x14ac:dyDescent="0.2">
      <c r="I245" s="198"/>
    </row>
    <row r="246" spans="9:9" x14ac:dyDescent="0.2">
      <c r="I246" s="198"/>
    </row>
    <row r="247" spans="9:9" x14ac:dyDescent="0.2">
      <c r="I247" s="198"/>
    </row>
    <row r="248" spans="9:9" x14ac:dyDescent="0.2">
      <c r="I248" s="198"/>
    </row>
    <row r="249" spans="9:9" x14ac:dyDescent="0.2">
      <c r="I249" s="198"/>
    </row>
    <row r="250" spans="9:9" x14ac:dyDescent="0.2">
      <c r="I250" s="198"/>
    </row>
    <row r="251" spans="9:9" x14ac:dyDescent="0.2">
      <c r="I251" s="198"/>
    </row>
    <row r="252" spans="9:9" x14ac:dyDescent="0.2">
      <c r="I252" s="198"/>
    </row>
    <row r="253" spans="9:9" x14ac:dyDescent="0.2">
      <c r="I253" s="198"/>
    </row>
    <row r="254" spans="9:9" x14ac:dyDescent="0.2">
      <c r="I254" s="198"/>
    </row>
    <row r="255" spans="9:9" x14ac:dyDescent="0.2">
      <c r="I255" s="198"/>
    </row>
    <row r="256" spans="9:9" x14ac:dyDescent="0.2">
      <c r="I256" s="198"/>
    </row>
    <row r="257" spans="9:9" x14ac:dyDescent="0.2">
      <c r="I257" s="198"/>
    </row>
    <row r="258" spans="9:9" x14ac:dyDescent="0.2">
      <c r="I258" s="198"/>
    </row>
    <row r="259" spans="9:9" x14ac:dyDescent="0.2">
      <c r="I259" s="198"/>
    </row>
    <row r="260" spans="9:9" x14ac:dyDescent="0.2">
      <c r="I260" s="198"/>
    </row>
    <row r="261" spans="9:9" x14ac:dyDescent="0.2">
      <c r="I261" s="198"/>
    </row>
    <row r="262" spans="9:9" x14ac:dyDescent="0.2">
      <c r="I262" s="198"/>
    </row>
    <row r="263" spans="9:9" x14ac:dyDescent="0.2">
      <c r="I263" s="198"/>
    </row>
    <row r="264" spans="9:9" x14ac:dyDescent="0.2">
      <c r="I264" s="198"/>
    </row>
    <row r="265" spans="9:9" x14ac:dyDescent="0.2">
      <c r="I265" s="198"/>
    </row>
    <row r="266" spans="9:9" x14ac:dyDescent="0.2">
      <c r="I266" s="198"/>
    </row>
    <row r="267" spans="9:9" x14ac:dyDescent="0.2">
      <c r="I267" s="198"/>
    </row>
    <row r="268" spans="9:9" x14ac:dyDescent="0.2">
      <c r="I268" s="198"/>
    </row>
    <row r="269" spans="9:9" x14ac:dyDescent="0.2">
      <c r="I269" s="198"/>
    </row>
    <row r="270" spans="9:9" x14ac:dyDescent="0.2">
      <c r="I270" s="198"/>
    </row>
    <row r="271" spans="9:9" x14ac:dyDescent="0.2">
      <c r="I271" s="198"/>
    </row>
    <row r="272" spans="9:9" x14ac:dyDescent="0.2">
      <c r="I272" s="198"/>
    </row>
    <row r="273" spans="9:9" x14ac:dyDescent="0.2">
      <c r="I273" s="198"/>
    </row>
    <row r="274" spans="9:9" x14ac:dyDescent="0.2">
      <c r="I274" s="198"/>
    </row>
    <row r="275" spans="9:9" x14ac:dyDescent="0.2">
      <c r="I275" s="198"/>
    </row>
    <row r="276" spans="9:9" x14ac:dyDescent="0.2">
      <c r="I276" s="198"/>
    </row>
    <row r="277" spans="9:9" x14ac:dyDescent="0.2">
      <c r="I277" s="198"/>
    </row>
    <row r="278" spans="9:9" x14ac:dyDescent="0.2">
      <c r="I278" s="198"/>
    </row>
    <row r="279" spans="9:9" x14ac:dyDescent="0.2">
      <c r="I279" s="198"/>
    </row>
    <row r="280" spans="9:9" x14ac:dyDescent="0.2">
      <c r="I280" s="198"/>
    </row>
    <row r="281" spans="9:9" x14ac:dyDescent="0.2">
      <c r="I281" s="198"/>
    </row>
    <row r="282" spans="9:9" x14ac:dyDescent="0.2">
      <c r="I282" s="198"/>
    </row>
    <row r="283" spans="9:9" x14ac:dyDescent="0.2">
      <c r="I283" s="198"/>
    </row>
    <row r="284" spans="9:9" x14ac:dyDescent="0.2">
      <c r="I284" s="198"/>
    </row>
    <row r="285" spans="9:9" x14ac:dyDescent="0.2">
      <c r="I285" s="198"/>
    </row>
    <row r="286" spans="9:9" x14ac:dyDescent="0.2">
      <c r="I286" s="198"/>
    </row>
    <row r="287" spans="9:9" x14ac:dyDescent="0.2">
      <c r="I287" s="198"/>
    </row>
    <row r="288" spans="9:9" x14ac:dyDescent="0.2">
      <c r="I288" s="198"/>
    </row>
    <row r="289" spans="9:9" x14ac:dyDescent="0.2">
      <c r="I289" s="198"/>
    </row>
    <row r="290" spans="9:9" x14ac:dyDescent="0.2">
      <c r="I290" s="198"/>
    </row>
    <row r="291" spans="9:9" x14ac:dyDescent="0.2">
      <c r="I291" s="198"/>
    </row>
    <row r="292" spans="9:9" x14ac:dyDescent="0.2">
      <c r="I292" s="198"/>
    </row>
    <row r="293" spans="9:9" x14ac:dyDescent="0.2">
      <c r="I293" s="198"/>
    </row>
    <row r="294" spans="9:9" x14ac:dyDescent="0.2">
      <c r="I294" s="198"/>
    </row>
    <row r="295" spans="9:9" x14ac:dyDescent="0.2">
      <c r="I295" s="198"/>
    </row>
    <row r="296" spans="9:9" x14ac:dyDescent="0.2">
      <c r="I296" s="198"/>
    </row>
    <row r="297" spans="9:9" x14ac:dyDescent="0.2">
      <c r="I297" s="198"/>
    </row>
    <row r="298" spans="9:9" x14ac:dyDescent="0.2">
      <c r="I298" s="198"/>
    </row>
    <row r="299" spans="9:9" x14ac:dyDescent="0.2">
      <c r="I299" s="198"/>
    </row>
    <row r="300" spans="9:9" x14ac:dyDescent="0.2">
      <c r="I300" s="198"/>
    </row>
    <row r="301" spans="9:9" x14ac:dyDescent="0.2">
      <c r="I301" s="198"/>
    </row>
    <row r="302" spans="9:9" x14ac:dyDescent="0.2">
      <c r="I302" s="198"/>
    </row>
    <row r="303" spans="9:9" x14ac:dyDescent="0.2">
      <c r="I303" s="198"/>
    </row>
    <row r="304" spans="9:9" x14ac:dyDescent="0.2">
      <c r="I304" s="198"/>
    </row>
    <row r="305" spans="9:9" x14ac:dyDescent="0.2">
      <c r="I305" s="198"/>
    </row>
    <row r="306" spans="9:9" x14ac:dyDescent="0.2">
      <c r="I306" s="198"/>
    </row>
    <row r="307" spans="9:9" x14ac:dyDescent="0.2">
      <c r="I307" s="198"/>
    </row>
    <row r="308" spans="9:9" x14ac:dyDescent="0.2">
      <c r="I308" s="198"/>
    </row>
    <row r="309" spans="9:9" x14ac:dyDescent="0.2">
      <c r="I309" s="198"/>
    </row>
    <row r="310" spans="9:9" x14ac:dyDescent="0.2">
      <c r="I310" s="198"/>
    </row>
    <row r="311" spans="9:9" x14ac:dyDescent="0.2">
      <c r="I311" s="198"/>
    </row>
    <row r="312" spans="9:9" x14ac:dyDescent="0.2">
      <c r="I312" s="198"/>
    </row>
    <row r="313" spans="9:9" x14ac:dyDescent="0.2">
      <c r="I313" s="198"/>
    </row>
    <row r="314" spans="9:9" x14ac:dyDescent="0.2">
      <c r="I314" s="198"/>
    </row>
    <row r="315" spans="9:9" x14ac:dyDescent="0.2">
      <c r="I315" s="198"/>
    </row>
    <row r="316" spans="9:9" x14ac:dyDescent="0.2">
      <c r="I316" s="198"/>
    </row>
    <row r="317" spans="9:9" x14ac:dyDescent="0.2">
      <c r="I317" s="198"/>
    </row>
    <row r="318" spans="9:9" x14ac:dyDescent="0.2">
      <c r="I318" s="198"/>
    </row>
    <row r="319" spans="9:9" x14ac:dyDescent="0.2">
      <c r="I319" s="198"/>
    </row>
    <row r="320" spans="9:9" x14ac:dyDescent="0.2">
      <c r="I320" s="198"/>
    </row>
    <row r="321" spans="9:9" x14ac:dyDescent="0.2">
      <c r="I321" s="198"/>
    </row>
    <row r="322" spans="9:9" x14ac:dyDescent="0.2">
      <c r="I322" s="198"/>
    </row>
    <row r="323" spans="9:9" x14ac:dyDescent="0.2">
      <c r="I323" s="198"/>
    </row>
    <row r="324" spans="9:9" x14ac:dyDescent="0.2">
      <c r="I324" s="198"/>
    </row>
    <row r="325" spans="9:9" x14ac:dyDescent="0.2">
      <c r="I325" s="198"/>
    </row>
    <row r="326" spans="9:9" x14ac:dyDescent="0.2">
      <c r="I326" s="198"/>
    </row>
    <row r="327" spans="9:9" x14ac:dyDescent="0.2">
      <c r="I327" s="198"/>
    </row>
    <row r="328" spans="9:9" x14ac:dyDescent="0.2">
      <c r="I328" s="198"/>
    </row>
    <row r="329" spans="9:9" x14ac:dyDescent="0.2">
      <c r="I329" s="198"/>
    </row>
    <row r="330" spans="9:9" x14ac:dyDescent="0.2">
      <c r="I330" s="198"/>
    </row>
    <row r="331" spans="9:9" x14ac:dyDescent="0.2">
      <c r="I331" s="198"/>
    </row>
    <row r="332" spans="9:9" x14ac:dyDescent="0.2">
      <c r="I332" s="198"/>
    </row>
    <row r="333" spans="9:9" x14ac:dyDescent="0.2">
      <c r="I333" s="198"/>
    </row>
    <row r="334" spans="9:9" x14ac:dyDescent="0.2">
      <c r="I334" s="198"/>
    </row>
    <row r="335" spans="9:9" x14ac:dyDescent="0.2">
      <c r="I335" s="198"/>
    </row>
    <row r="336" spans="9:9" x14ac:dyDescent="0.2">
      <c r="I336" s="198"/>
    </row>
    <row r="337" spans="9:9" x14ac:dyDescent="0.2">
      <c r="I337" s="198"/>
    </row>
    <row r="338" spans="9:9" x14ac:dyDescent="0.2">
      <c r="I338" s="198"/>
    </row>
    <row r="339" spans="9:9" x14ac:dyDescent="0.2">
      <c r="I339" s="198"/>
    </row>
    <row r="340" spans="9:9" x14ac:dyDescent="0.2">
      <c r="I340" s="198"/>
    </row>
    <row r="341" spans="9:9" x14ac:dyDescent="0.2">
      <c r="I341" s="198"/>
    </row>
    <row r="342" spans="9:9" x14ac:dyDescent="0.2">
      <c r="I342" s="198"/>
    </row>
    <row r="343" spans="9:9" x14ac:dyDescent="0.2">
      <c r="I343" s="198"/>
    </row>
    <row r="344" spans="9:9" x14ac:dyDescent="0.2">
      <c r="I344" s="198"/>
    </row>
    <row r="345" spans="9:9" x14ac:dyDescent="0.2">
      <c r="I345" s="198"/>
    </row>
    <row r="346" spans="9:9" x14ac:dyDescent="0.2">
      <c r="I346" s="198"/>
    </row>
    <row r="347" spans="9:9" x14ac:dyDescent="0.2">
      <c r="I347" s="198"/>
    </row>
    <row r="348" spans="9:9" x14ac:dyDescent="0.2">
      <c r="I348" s="198"/>
    </row>
    <row r="349" spans="9:9" x14ac:dyDescent="0.2">
      <c r="I349" s="198"/>
    </row>
    <row r="350" spans="9:9" x14ac:dyDescent="0.2">
      <c r="I350" s="198"/>
    </row>
    <row r="351" spans="9:9" x14ac:dyDescent="0.2">
      <c r="I351" s="198"/>
    </row>
    <row r="352" spans="9:9" x14ac:dyDescent="0.2">
      <c r="I352" s="198"/>
    </row>
    <row r="353" spans="9:9" x14ac:dyDescent="0.2">
      <c r="I353" s="198"/>
    </row>
    <row r="354" spans="9:9" x14ac:dyDescent="0.2">
      <c r="I354" s="198"/>
    </row>
    <row r="355" spans="9:9" x14ac:dyDescent="0.2">
      <c r="I355" s="198"/>
    </row>
    <row r="356" spans="9:9" x14ac:dyDescent="0.2">
      <c r="I356" s="198"/>
    </row>
    <row r="357" spans="9:9" x14ac:dyDescent="0.2">
      <c r="I357" s="198"/>
    </row>
    <row r="358" spans="9:9" x14ac:dyDescent="0.2">
      <c r="I358" s="198"/>
    </row>
    <row r="359" spans="9:9" x14ac:dyDescent="0.2">
      <c r="I359" s="198"/>
    </row>
    <row r="360" spans="9:9" x14ac:dyDescent="0.2">
      <c r="I360" s="198"/>
    </row>
    <row r="361" spans="9:9" x14ac:dyDescent="0.2">
      <c r="I361" s="198"/>
    </row>
    <row r="362" spans="9:9" x14ac:dyDescent="0.2">
      <c r="I362" s="198"/>
    </row>
    <row r="363" spans="9:9" x14ac:dyDescent="0.2">
      <c r="I363" s="198"/>
    </row>
    <row r="364" spans="9:9" x14ac:dyDescent="0.2">
      <c r="I364" s="198"/>
    </row>
    <row r="365" spans="9:9" x14ac:dyDescent="0.2">
      <c r="I365" s="198"/>
    </row>
    <row r="366" spans="9:9" x14ac:dyDescent="0.2">
      <c r="I366" s="198"/>
    </row>
    <row r="367" spans="9:9" x14ac:dyDescent="0.2">
      <c r="I367" s="198"/>
    </row>
    <row r="368" spans="9:9" x14ac:dyDescent="0.2">
      <c r="I368" s="198"/>
    </row>
    <row r="369" spans="9:9" x14ac:dyDescent="0.2">
      <c r="I369" s="198"/>
    </row>
    <row r="370" spans="9:9" x14ac:dyDescent="0.2">
      <c r="I370" s="198"/>
    </row>
    <row r="371" spans="9:9" x14ac:dyDescent="0.2">
      <c r="I371" s="198"/>
    </row>
    <row r="372" spans="9:9" x14ac:dyDescent="0.2">
      <c r="I372" s="198"/>
    </row>
    <row r="373" spans="9:9" x14ac:dyDescent="0.2">
      <c r="I373" s="198"/>
    </row>
    <row r="374" spans="9:9" x14ac:dyDescent="0.2">
      <c r="I374" s="198"/>
    </row>
    <row r="375" spans="9:9" x14ac:dyDescent="0.2">
      <c r="I375" s="198"/>
    </row>
    <row r="376" spans="9:9" x14ac:dyDescent="0.2">
      <c r="I376" s="198"/>
    </row>
    <row r="377" spans="9:9" x14ac:dyDescent="0.2">
      <c r="I377" s="198"/>
    </row>
    <row r="378" spans="9:9" x14ac:dyDescent="0.2">
      <c r="I378" s="198"/>
    </row>
    <row r="379" spans="9:9" x14ac:dyDescent="0.2">
      <c r="I379" s="198"/>
    </row>
    <row r="380" spans="9:9" x14ac:dyDescent="0.2">
      <c r="I380" s="198"/>
    </row>
    <row r="381" spans="9:9" x14ac:dyDescent="0.2">
      <c r="I381" s="198"/>
    </row>
    <row r="382" spans="9:9" x14ac:dyDescent="0.2">
      <c r="I382" s="198"/>
    </row>
    <row r="383" spans="9:9" x14ac:dyDescent="0.2">
      <c r="I383" s="198"/>
    </row>
    <row r="384" spans="9:9" x14ac:dyDescent="0.2">
      <c r="I384" s="198"/>
    </row>
    <row r="385" spans="9:9" x14ac:dyDescent="0.2">
      <c r="I385" s="198"/>
    </row>
    <row r="386" spans="9:9" x14ac:dyDescent="0.2">
      <c r="I386" s="198"/>
    </row>
    <row r="387" spans="9:9" x14ac:dyDescent="0.2">
      <c r="I387" s="198"/>
    </row>
    <row r="388" spans="9:9" x14ac:dyDescent="0.2">
      <c r="I388" s="198"/>
    </row>
    <row r="389" spans="9:9" x14ac:dyDescent="0.2">
      <c r="I389" s="198"/>
    </row>
    <row r="390" spans="9:9" x14ac:dyDescent="0.2">
      <c r="I390" s="198"/>
    </row>
    <row r="391" spans="9:9" x14ac:dyDescent="0.2">
      <c r="I391" s="198"/>
    </row>
    <row r="392" spans="9:9" x14ac:dyDescent="0.2">
      <c r="I392" s="198"/>
    </row>
    <row r="393" spans="9:9" x14ac:dyDescent="0.2">
      <c r="I393" s="198"/>
    </row>
    <row r="394" spans="9:9" x14ac:dyDescent="0.2">
      <c r="I394" s="198"/>
    </row>
    <row r="395" spans="9:9" x14ac:dyDescent="0.2">
      <c r="I395" s="198"/>
    </row>
    <row r="396" spans="9:9" x14ac:dyDescent="0.2">
      <c r="I396" s="198"/>
    </row>
    <row r="397" spans="9:9" x14ac:dyDescent="0.2">
      <c r="I397" s="198"/>
    </row>
    <row r="398" spans="9:9" x14ac:dyDescent="0.2">
      <c r="I398" s="198"/>
    </row>
    <row r="399" spans="9:9" x14ac:dyDescent="0.2">
      <c r="I399" s="198"/>
    </row>
    <row r="400" spans="9:9" x14ac:dyDescent="0.2">
      <c r="I400" s="198"/>
    </row>
    <row r="401" spans="9:9" x14ac:dyDescent="0.2">
      <c r="I401" s="198"/>
    </row>
    <row r="402" spans="9:9" x14ac:dyDescent="0.2">
      <c r="I402" s="198"/>
    </row>
    <row r="403" spans="9:9" x14ac:dyDescent="0.2">
      <c r="I403" s="198"/>
    </row>
    <row r="404" spans="9:9" x14ac:dyDescent="0.2">
      <c r="I404" s="198"/>
    </row>
    <row r="405" spans="9:9" x14ac:dyDescent="0.2">
      <c r="I405" s="198"/>
    </row>
    <row r="406" spans="9:9" x14ac:dyDescent="0.2">
      <c r="I406" s="198"/>
    </row>
    <row r="407" spans="9:9" x14ac:dyDescent="0.2">
      <c r="I407" s="198"/>
    </row>
    <row r="408" spans="9:9" x14ac:dyDescent="0.2">
      <c r="I408" s="198"/>
    </row>
    <row r="409" spans="9:9" x14ac:dyDescent="0.2">
      <c r="I409" s="198"/>
    </row>
    <row r="410" spans="9:9" x14ac:dyDescent="0.2">
      <c r="I410" s="198"/>
    </row>
    <row r="411" spans="9:9" x14ac:dyDescent="0.2">
      <c r="I411" s="198"/>
    </row>
    <row r="412" spans="9:9" x14ac:dyDescent="0.2">
      <c r="I412" s="198"/>
    </row>
    <row r="413" spans="9:9" x14ac:dyDescent="0.2">
      <c r="I413" s="198"/>
    </row>
    <row r="414" spans="9:9" x14ac:dyDescent="0.2">
      <c r="I414" s="198"/>
    </row>
    <row r="415" spans="9:9" x14ac:dyDescent="0.2">
      <c r="I415" s="198"/>
    </row>
    <row r="416" spans="9:9" x14ac:dyDescent="0.2">
      <c r="I416" s="198"/>
    </row>
    <row r="417" spans="9:9" x14ac:dyDescent="0.2">
      <c r="I417" s="198"/>
    </row>
    <row r="418" spans="9:9" x14ac:dyDescent="0.2">
      <c r="I418" s="198"/>
    </row>
    <row r="419" spans="9:9" x14ac:dyDescent="0.2">
      <c r="I419" s="198"/>
    </row>
    <row r="420" spans="9:9" x14ac:dyDescent="0.2">
      <c r="I420" s="198"/>
    </row>
    <row r="421" spans="9:9" x14ac:dyDescent="0.2">
      <c r="I421" s="198"/>
    </row>
    <row r="422" spans="9:9" x14ac:dyDescent="0.2">
      <c r="I422" s="198"/>
    </row>
    <row r="423" spans="9:9" x14ac:dyDescent="0.2">
      <c r="I423" s="198"/>
    </row>
    <row r="424" spans="9:9" x14ac:dyDescent="0.2">
      <c r="I424" s="198"/>
    </row>
    <row r="425" spans="9:9" x14ac:dyDescent="0.2">
      <c r="I425" s="198"/>
    </row>
    <row r="426" spans="9:9" x14ac:dyDescent="0.2">
      <c r="I426" s="198"/>
    </row>
    <row r="427" spans="9:9" x14ac:dyDescent="0.2">
      <c r="I427" s="198"/>
    </row>
    <row r="428" spans="9:9" x14ac:dyDescent="0.2">
      <c r="I428" s="198"/>
    </row>
    <row r="429" spans="9:9" x14ac:dyDescent="0.2">
      <c r="I429" s="198"/>
    </row>
    <row r="430" spans="9:9" x14ac:dyDescent="0.2">
      <c r="I430" s="198"/>
    </row>
    <row r="431" spans="9:9" x14ac:dyDescent="0.2">
      <c r="I431" s="198"/>
    </row>
    <row r="432" spans="9:9" x14ac:dyDescent="0.2">
      <c r="I432" s="198"/>
    </row>
    <row r="433" spans="9:9" x14ac:dyDescent="0.2">
      <c r="I433" s="198"/>
    </row>
    <row r="434" spans="9:9" x14ac:dyDescent="0.2">
      <c r="I434" s="198"/>
    </row>
    <row r="435" spans="9:9" x14ac:dyDescent="0.2">
      <c r="I435" s="198"/>
    </row>
    <row r="436" spans="9:9" x14ac:dyDescent="0.2">
      <c r="I436" s="198"/>
    </row>
    <row r="437" spans="9:9" x14ac:dyDescent="0.2">
      <c r="I437" s="198"/>
    </row>
    <row r="438" spans="9:9" x14ac:dyDescent="0.2">
      <c r="I438" s="198"/>
    </row>
    <row r="439" spans="9:9" x14ac:dyDescent="0.2">
      <c r="I439" s="198"/>
    </row>
    <row r="440" spans="9:9" x14ac:dyDescent="0.2">
      <c r="I440" s="198"/>
    </row>
    <row r="441" spans="9:9" x14ac:dyDescent="0.2">
      <c r="I441" s="198"/>
    </row>
    <row r="442" spans="9:9" x14ac:dyDescent="0.2">
      <c r="I442" s="198"/>
    </row>
    <row r="443" spans="9:9" x14ac:dyDescent="0.2">
      <c r="I443" s="198"/>
    </row>
    <row r="444" spans="9:9" x14ac:dyDescent="0.2">
      <c r="I444" s="198"/>
    </row>
    <row r="445" spans="9:9" x14ac:dyDescent="0.2">
      <c r="I445" s="198"/>
    </row>
    <row r="446" spans="9:9" x14ac:dyDescent="0.2">
      <c r="I446" s="198"/>
    </row>
    <row r="447" spans="9:9" x14ac:dyDescent="0.2">
      <c r="I447" s="198"/>
    </row>
    <row r="448" spans="9:9" x14ac:dyDescent="0.2">
      <c r="I448" s="198"/>
    </row>
    <row r="449" spans="9:9" x14ac:dyDescent="0.2">
      <c r="I449" s="198"/>
    </row>
    <row r="450" spans="9:9" x14ac:dyDescent="0.2">
      <c r="I450" s="198"/>
    </row>
    <row r="451" spans="9:9" x14ac:dyDescent="0.2">
      <c r="I451" s="198"/>
    </row>
    <row r="452" spans="9:9" x14ac:dyDescent="0.2">
      <c r="I452" s="198"/>
    </row>
    <row r="453" spans="9:9" x14ac:dyDescent="0.2">
      <c r="I453" s="198"/>
    </row>
    <row r="454" spans="9:9" x14ac:dyDescent="0.2">
      <c r="I454" s="198"/>
    </row>
    <row r="455" spans="9:9" x14ac:dyDescent="0.2">
      <c r="I455" s="198"/>
    </row>
    <row r="456" spans="9:9" x14ac:dyDescent="0.2">
      <c r="I456" s="198"/>
    </row>
    <row r="457" spans="9:9" x14ac:dyDescent="0.2">
      <c r="I457" s="198"/>
    </row>
    <row r="458" spans="9:9" x14ac:dyDescent="0.2">
      <c r="I458" s="198"/>
    </row>
    <row r="459" spans="9:9" x14ac:dyDescent="0.2">
      <c r="I459" s="198"/>
    </row>
    <row r="460" spans="9:9" x14ac:dyDescent="0.2">
      <c r="I460" s="198"/>
    </row>
    <row r="461" spans="9:9" x14ac:dyDescent="0.2">
      <c r="I461" s="198"/>
    </row>
    <row r="462" spans="9:9" x14ac:dyDescent="0.2">
      <c r="I462" s="198"/>
    </row>
    <row r="463" spans="9:9" x14ac:dyDescent="0.2">
      <c r="I463" s="198"/>
    </row>
    <row r="464" spans="9:9" x14ac:dyDescent="0.2">
      <c r="I464" s="198"/>
    </row>
    <row r="465" spans="9:9" x14ac:dyDescent="0.2">
      <c r="I465" s="198"/>
    </row>
    <row r="466" spans="9:9" x14ac:dyDescent="0.2">
      <c r="I466" s="198"/>
    </row>
    <row r="467" spans="9:9" x14ac:dyDescent="0.2">
      <c r="I467" s="198"/>
    </row>
    <row r="468" spans="9:9" x14ac:dyDescent="0.2">
      <c r="I468" s="198"/>
    </row>
    <row r="469" spans="9:9" x14ac:dyDescent="0.2">
      <c r="I469" s="198"/>
    </row>
    <row r="470" spans="9:9" x14ac:dyDescent="0.2">
      <c r="I470" s="198"/>
    </row>
    <row r="471" spans="9:9" x14ac:dyDescent="0.2">
      <c r="I471" s="198"/>
    </row>
    <row r="472" spans="9:9" x14ac:dyDescent="0.2">
      <c r="I472" s="198"/>
    </row>
    <row r="473" spans="9:9" x14ac:dyDescent="0.2">
      <c r="I473" s="198"/>
    </row>
    <row r="474" spans="9:9" x14ac:dyDescent="0.2">
      <c r="I474" s="198"/>
    </row>
    <row r="475" spans="9:9" x14ac:dyDescent="0.2">
      <c r="I475" s="198"/>
    </row>
    <row r="476" spans="9:9" x14ac:dyDescent="0.2">
      <c r="I476" s="198"/>
    </row>
    <row r="477" spans="9:9" x14ac:dyDescent="0.2">
      <c r="I477" s="198"/>
    </row>
    <row r="478" spans="9:9" x14ac:dyDescent="0.2">
      <c r="I478" s="198"/>
    </row>
    <row r="479" spans="9:9" x14ac:dyDescent="0.2">
      <c r="I479" s="198"/>
    </row>
    <row r="480" spans="9:9" x14ac:dyDescent="0.2">
      <c r="I480" s="198"/>
    </row>
    <row r="481" spans="9:9" x14ac:dyDescent="0.2">
      <c r="I481" s="198"/>
    </row>
    <row r="482" spans="9:9" x14ac:dyDescent="0.2">
      <c r="I482" s="198"/>
    </row>
    <row r="483" spans="9:9" x14ac:dyDescent="0.2">
      <c r="I483" s="198"/>
    </row>
    <row r="484" spans="9:9" x14ac:dyDescent="0.2">
      <c r="I484" s="198"/>
    </row>
    <row r="485" spans="9:9" x14ac:dyDescent="0.2">
      <c r="I485" s="198"/>
    </row>
    <row r="486" spans="9:9" x14ac:dyDescent="0.2">
      <c r="I486" s="198"/>
    </row>
    <row r="487" spans="9:9" x14ac:dyDescent="0.2">
      <c r="I487" s="198"/>
    </row>
    <row r="488" spans="9:9" x14ac:dyDescent="0.2">
      <c r="I488" s="198"/>
    </row>
    <row r="489" spans="9:9" x14ac:dyDescent="0.2">
      <c r="I489" s="198"/>
    </row>
    <row r="490" spans="9:9" x14ac:dyDescent="0.2">
      <c r="I490" s="198"/>
    </row>
    <row r="491" spans="9:9" x14ac:dyDescent="0.2">
      <c r="I491" s="198"/>
    </row>
    <row r="492" spans="9:9" x14ac:dyDescent="0.2">
      <c r="I492" s="198"/>
    </row>
    <row r="493" spans="9:9" x14ac:dyDescent="0.2">
      <c r="I493" s="198"/>
    </row>
    <row r="494" spans="9:9" x14ac:dyDescent="0.2">
      <c r="I494" s="198"/>
    </row>
    <row r="495" spans="9:9" x14ac:dyDescent="0.2">
      <c r="I495" s="198"/>
    </row>
    <row r="496" spans="9:9" x14ac:dyDescent="0.2">
      <c r="I496" s="198"/>
    </row>
    <row r="497" spans="9:9" x14ac:dyDescent="0.2">
      <c r="I497" s="198"/>
    </row>
    <row r="498" spans="9:9" x14ac:dyDescent="0.2">
      <c r="I498" s="198"/>
    </row>
    <row r="499" spans="9:9" x14ac:dyDescent="0.2">
      <c r="I499" s="198"/>
    </row>
    <row r="500" spans="9:9" x14ac:dyDescent="0.2">
      <c r="I500" s="198"/>
    </row>
    <row r="501" spans="9:9" x14ac:dyDescent="0.2">
      <c r="I501" s="198"/>
    </row>
    <row r="502" spans="9:9" x14ac:dyDescent="0.2">
      <c r="I502" s="198"/>
    </row>
    <row r="503" spans="9:9" x14ac:dyDescent="0.2">
      <c r="I503" s="198"/>
    </row>
    <row r="504" spans="9:9" x14ac:dyDescent="0.2">
      <c r="I504" s="198"/>
    </row>
  </sheetData>
  <customSheetViews>
    <customSheetView guid="{D3618886-EC92-4244-941D-CAF99D049731}" showRuler="0">
      <selection activeCell="B1" sqref="B1"/>
      <pageMargins left="0.33" right="0.28000000000000003" top="0.52" bottom="0.39" header="0.34" footer="0.16"/>
      <pageSetup scale="80" orientation="portrait" horizontalDpi="300" verticalDpi="300" r:id="rId1"/>
      <headerFooter alignWithMargins="0"/>
    </customSheetView>
  </customSheetViews>
  <phoneticPr fontId="5" type="noConversion"/>
  <pageMargins left="0.33" right="0.28000000000000003" top="0.52" bottom="0.39" header="0.34" footer="0.16"/>
  <pageSetup scale="8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P130"/>
  <sheetViews>
    <sheetView workbookViewId="0">
      <selection activeCell="F45" sqref="F45"/>
    </sheetView>
  </sheetViews>
  <sheetFormatPr defaultColWidth="9.140625" defaultRowHeight="11.25" x14ac:dyDescent="0.2"/>
  <cols>
    <col min="1" max="10" width="9.140625" style="1"/>
    <col min="11" max="11" width="9.140625" style="29"/>
    <col min="12" max="12" width="9.140625" style="200"/>
    <col min="13" max="16384" width="9.140625" style="1"/>
  </cols>
  <sheetData>
    <row r="1" spans="1:16" ht="12.75" customHeight="1" x14ac:dyDescent="0.2">
      <c r="A1" s="199"/>
      <c r="B1" s="199"/>
      <c r="C1" s="199"/>
      <c r="D1" s="199"/>
      <c r="E1" s="199"/>
      <c r="F1" s="199"/>
      <c r="G1" s="199"/>
      <c r="H1" s="199"/>
      <c r="I1" s="199"/>
      <c r="K1" s="199"/>
      <c r="L1" s="29"/>
      <c r="M1" s="200"/>
    </row>
    <row r="2" spans="1:16" ht="12.75" customHeight="1" x14ac:dyDescent="0.25">
      <c r="A2" s="215" t="s">
        <v>1250</v>
      </c>
      <c r="B2" s="199"/>
      <c r="C2" s="199"/>
      <c r="D2" s="199"/>
      <c r="E2" s="199"/>
      <c r="F2" s="216" t="s">
        <v>1251</v>
      </c>
      <c r="G2" s="199"/>
      <c r="H2" s="199"/>
      <c r="I2" s="199"/>
      <c r="K2" s="199"/>
      <c r="L2" s="29"/>
      <c r="M2" s="200"/>
    </row>
    <row r="3" spans="1:16" ht="12.75" customHeight="1" x14ac:dyDescent="0.2">
      <c r="A3" s="199"/>
      <c r="B3" s="199"/>
      <c r="C3" s="199"/>
      <c r="D3" s="199"/>
      <c r="E3" s="199"/>
      <c r="F3" s="199"/>
      <c r="G3" s="199"/>
      <c r="H3" s="199"/>
      <c r="I3" s="199"/>
      <c r="K3" s="1"/>
      <c r="L3" s="29"/>
      <c r="M3" s="200"/>
      <c r="N3" s="297"/>
      <c r="O3" s="297"/>
      <c r="P3" s="297"/>
    </row>
    <row r="4" spans="1:16" x14ac:dyDescent="0.2">
      <c r="A4" s="199" t="s">
        <v>1224</v>
      </c>
      <c r="B4" s="199"/>
      <c r="C4" s="199"/>
      <c r="D4" s="199"/>
      <c r="E4" s="199"/>
      <c r="F4" s="199"/>
      <c r="G4" s="199"/>
      <c r="H4" s="199"/>
      <c r="I4" s="199"/>
      <c r="K4" s="1"/>
      <c r="L4" s="29"/>
      <c r="M4" s="200"/>
    </row>
    <row r="5" spans="1:16" ht="56.25" x14ac:dyDescent="0.2">
      <c r="A5" s="199" t="s">
        <v>1225</v>
      </c>
      <c r="B5" s="199"/>
      <c r="C5" s="199"/>
      <c r="D5" s="199"/>
      <c r="E5" s="199"/>
      <c r="F5" s="199"/>
      <c r="G5" s="199"/>
      <c r="H5" s="199"/>
      <c r="I5" s="199"/>
      <c r="K5" s="201" t="s">
        <v>232</v>
      </c>
      <c r="L5" s="202" t="s">
        <v>1252</v>
      </c>
      <c r="M5" s="203" t="s">
        <v>1253</v>
      </c>
      <c r="N5" s="201" t="s">
        <v>1254</v>
      </c>
      <c r="O5" s="204"/>
      <c r="P5" s="205"/>
    </row>
    <row r="6" spans="1:16" x14ac:dyDescent="0.2">
      <c r="K6" s="1"/>
      <c r="L6" s="29"/>
      <c r="M6" s="200"/>
      <c r="O6" s="218"/>
      <c r="P6" s="206"/>
    </row>
    <row r="7" spans="1:16" x14ac:dyDescent="0.2">
      <c r="B7" s="1" t="s">
        <v>1255</v>
      </c>
      <c r="K7" s="1">
        <v>2009</v>
      </c>
      <c r="L7" s="189">
        <v>1.0457248659360225</v>
      </c>
      <c r="M7" s="219">
        <v>7.71</v>
      </c>
      <c r="N7" s="220">
        <v>134.16999999999999</v>
      </c>
      <c r="O7" s="218"/>
      <c r="P7" s="206"/>
    </row>
    <row r="8" spans="1:16" x14ac:dyDescent="0.2">
      <c r="K8" s="1">
        <f t="shared" ref="K8:K36" si="0">+K7+1</f>
        <v>2010</v>
      </c>
      <c r="L8" s="189">
        <v>1.7321356450908765</v>
      </c>
      <c r="M8" s="29">
        <f t="shared" ref="M8:M36" si="1">M7*(1+(L8/100))</f>
        <v>7.8435476582365062</v>
      </c>
      <c r="N8" s="207">
        <f t="shared" ref="N8:N36" si="2">N7*(1+(L8/100))</f>
        <v>136.4940063950184</v>
      </c>
      <c r="O8" s="218"/>
      <c r="P8" s="206"/>
    </row>
    <row r="9" spans="1:16" x14ac:dyDescent="0.2">
      <c r="B9" s="1" t="s">
        <v>1226</v>
      </c>
      <c r="F9" s="1" t="s">
        <v>1324</v>
      </c>
      <c r="I9" s="175">
        <v>0.02</v>
      </c>
      <c r="K9" s="1">
        <f t="shared" si="0"/>
        <v>2011</v>
      </c>
      <c r="L9" s="189">
        <v>1.8414330116336375</v>
      </c>
      <c r="M9" s="29">
        <f t="shared" si="1"/>
        <v>7.9879813340984906</v>
      </c>
      <c r="N9" s="207">
        <f t="shared" si="2"/>
        <v>139.00745208767759</v>
      </c>
      <c r="O9" s="218"/>
      <c r="P9" s="206"/>
    </row>
    <row r="10" spans="1:16" x14ac:dyDescent="0.2">
      <c r="K10" s="1">
        <f t="shared" si="0"/>
        <v>2012</v>
      </c>
      <c r="L10" s="189">
        <v>1.8918109689245521</v>
      </c>
      <c r="M10" s="29">
        <f t="shared" si="1"/>
        <v>8.1390988411726113</v>
      </c>
      <c r="N10" s="207">
        <f t="shared" si="2"/>
        <v>141.6372103138948</v>
      </c>
      <c r="O10" s="218"/>
      <c r="P10" s="206"/>
    </row>
    <row r="11" spans="1:16" x14ac:dyDescent="0.2">
      <c r="C11" s="208" t="s">
        <v>1227</v>
      </c>
      <c r="D11" s="209">
        <v>39881</v>
      </c>
      <c r="E11" s="209"/>
      <c r="F11" s="210">
        <v>38324</v>
      </c>
      <c r="G11" s="210">
        <v>37744</v>
      </c>
      <c r="H11" s="211" t="s">
        <v>1228</v>
      </c>
      <c r="I11" s="211" t="s">
        <v>1229</v>
      </c>
      <c r="K11" s="1">
        <f t="shared" si="0"/>
        <v>2013</v>
      </c>
      <c r="L11" s="189">
        <v>1.9214302517054791</v>
      </c>
      <c r="M11" s="29">
        <f t="shared" si="1"/>
        <v>8.2954859485231118</v>
      </c>
      <c r="N11" s="207">
        <f t="shared" si="2"/>
        <v>144.35867052053769</v>
      </c>
      <c r="O11" s="218"/>
      <c r="P11" s="206"/>
    </row>
    <row r="12" spans="1:16" x14ac:dyDescent="0.2">
      <c r="C12" s="3">
        <v>2006</v>
      </c>
      <c r="D12" s="3" t="s">
        <v>1235</v>
      </c>
      <c r="E12" s="3"/>
      <c r="F12" s="3">
        <v>261.26</v>
      </c>
      <c r="G12" s="82">
        <v>276.6237873316187</v>
      </c>
      <c r="H12" s="82">
        <v>248.33063061788908</v>
      </c>
      <c r="I12" s="82">
        <v>270.76291501857753</v>
      </c>
      <c r="J12" s="82" t="s">
        <v>1189</v>
      </c>
      <c r="K12" s="1">
        <f t="shared" si="0"/>
        <v>2014</v>
      </c>
      <c r="L12" s="189">
        <v>1.9215005929261175</v>
      </c>
      <c r="M12" s="29">
        <f t="shared" si="1"/>
        <v>8.4548837602100857</v>
      </c>
      <c r="N12" s="207">
        <f t="shared" si="2"/>
        <v>147.13252323053007</v>
      </c>
      <c r="O12" s="218"/>
      <c r="P12" s="206"/>
    </row>
    <row r="13" spans="1:16" x14ac:dyDescent="0.2">
      <c r="C13" s="221">
        <v>2008</v>
      </c>
      <c r="D13" s="3" t="s">
        <v>1235</v>
      </c>
      <c r="E13" s="82">
        <v>274.68854391704133</v>
      </c>
      <c r="F13" s="3">
        <v>252.58</v>
      </c>
      <c r="G13" s="82">
        <v>340.04890519862914</v>
      </c>
      <c r="H13" s="82">
        <v>235.76881412780105</v>
      </c>
      <c r="I13" s="82">
        <v>243.74611444980548</v>
      </c>
      <c r="K13" s="1">
        <f t="shared" si="0"/>
        <v>2015</v>
      </c>
      <c r="L13" s="189">
        <v>1.9009716193207571</v>
      </c>
      <c r="M13" s="29">
        <f t="shared" si="1"/>
        <v>8.6156087009382389</v>
      </c>
      <c r="N13" s="207">
        <f t="shared" si="2"/>
        <v>149.92947073993295</v>
      </c>
      <c r="O13" s="218"/>
      <c r="P13" s="206"/>
    </row>
    <row r="14" spans="1:16" x14ac:dyDescent="0.2">
      <c r="C14" s="221">
        <f t="shared" ref="C14:C22" si="3">C13+1</f>
        <v>2009</v>
      </c>
      <c r="D14" s="222">
        <v>300.86169186139091</v>
      </c>
      <c r="E14" s="82">
        <v>296.55217241379307</v>
      </c>
      <c r="F14" s="3">
        <v>248.83</v>
      </c>
      <c r="G14" s="82">
        <v>281.57668220370408</v>
      </c>
      <c r="H14" s="82">
        <v>225.17888010802187</v>
      </c>
      <c r="I14" s="82">
        <v>215.14203881225052</v>
      </c>
      <c r="K14" s="1">
        <f t="shared" si="0"/>
        <v>2016</v>
      </c>
      <c r="L14" s="189">
        <v>1.7949185311511129</v>
      </c>
      <c r="M14" s="29">
        <f t="shared" si="1"/>
        <v>8.7702518580828475</v>
      </c>
      <c r="N14" s="207">
        <f t="shared" si="2"/>
        <v>152.62058259390082</v>
      </c>
      <c r="O14" s="218"/>
      <c r="P14" s="206"/>
    </row>
    <row r="15" spans="1:16" x14ac:dyDescent="0.2">
      <c r="C15" s="221">
        <f t="shared" si="3"/>
        <v>2010</v>
      </c>
      <c r="D15" s="222">
        <v>313.5955840925692</v>
      </c>
      <c r="E15" s="82">
        <v>290.70809327846428</v>
      </c>
      <c r="F15" s="3">
        <v>252.06</v>
      </c>
      <c r="G15" s="82">
        <v>260.77608827360484</v>
      </c>
      <c r="H15" s="82">
        <v>220.10421240977786</v>
      </c>
      <c r="I15" s="82">
        <v>229.7065449714047</v>
      </c>
      <c r="K15" s="1">
        <f t="shared" si="0"/>
        <v>2017</v>
      </c>
      <c r="L15" s="189">
        <v>1.8866412392924081</v>
      </c>
      <c r="M15" s="29">
        <f t="shared" si="1"/>
        <v>8.9357150464272479</v>
      </c>
      <c r="N15" s="207">
        <f t="shared" si="2"/>
        <v>155.49998544476568</v>
      </c>
      <c r="O15" s="218"/>
      <c r="P15" s="206"/>
    </row>
    <row r="16" spans="1:16" x14ac:dyDescent="0.2">
      <c r="C16" s="221">
        <f t="shared" si="3"/>
        <v>2011</v>
      </c>
      <c r="D16" s="222">
        <v>335.3594241535842</v>
      </c>
      <c r="E16" s="82">
        <v>294.47593657101328</v>
      </c>
      <c r="F16" s="3">
        <v>255.03</v>
      </c>
      <c r="G16" s="82">
        <v>280.59535823844413</v>
      </c>
      <c r="H16" s="82">
        <v>210.51679350885061</v>
      </c>
      <c r="I16" s="82">
        <v>232.63347330533912</v>
      </c>
      <c r="K16" s="1">
        <f t="shared" si="0"/>
        <v>2018</v>
      </c>
      <c r="L16" s="189">
        <v>1.9531172839720279</v>
      </c>
      <c r="M16" s="29">
        <f t="shared" si="1"/>
        <v>9.1102400414455076</v>
      </c>
      <c r="N16" s="207">
        <f t="shared" si="2"/>
        <v>158.53708253706139</v>
      </c>
      <c r="O16" s="218"/>
      <c r="P16" s="206"/>
    </row>
    <row r="17" spans="2:16" x14ac:dyDescent="0.2">
      <c r="C17" s="221">
        <f t="shared" si="3"/>
        <v>2012</v>
      </c>
      <c r="D17" s="222">
        <v>331.03151056471683</v>
      </c>
      <c r="E17" s="82">
        <v>280.6310402307476</v>
      </c>
      <c r="F17" s="3">
        <v>260.02999999999997</v>
      </c>
      <c r="G17" s="82">
        <v>270.52001577003898</v>
      </c>
      <c r="K17" s="1">
        <f t="shared" si="0"/>
        <v>2019</v>
      </c>
      <c r="L17" s="189">
        <v>1.9958728446747065</v>
      </c>
      <c r="M17" s="29">
        <f t="shared" si="1"/>
        <v>9.2920688485174008</v>
      </c>
      <c r="N17" s="207">
        <f t="shared" si="2"/>
        <v>161.70128111615813</v>
      </c>
      <c r="O17" s="218"/>
      <c r="P17" s="206"/>
    </row>
    <row r="18" spans="2:16" x14ac:dyDescent="0.2">
      <c r="C18" s="221">
        <f t="shared" si="3"/>
        <v>2013</v>
      </c>
      <c r="D18" s="222">
        <v>355.19484838642973</v>
      </c>
      <c r="E18" s="82">
        <v>301.70432439510898</v>
      </c>
      <c r="F18" s="3">
        <v>259.74</v>
      </c>
      <c r="G18" s="82">
        <v>272.70516547428787</v>
      </c>
      <c r="H18" s="82"/>
      <c r="I18" s="82"/>
      <c r="K18" s="1">
        <f t="shared" si="0"/>
        <v>2020</v>
      </c>
      <c r="L18" s="189">
        <v>2.2410044380848593</v>
      </c>
      <c r="M18" s="29">
        <f t="shared" si="1"/>
        <v>9.5003045238025763</v>
      </c>
      <c r="N18" s="207">
        <f t="shared" si="2"/>
        <v>165.32501400241131</v>
      </c>
      <c r="O18" s="218"/>
      <c r="P18" s="206"/>
    </row>
    <row r="19" spans="2:16" x14ac:dyDescent="0.2">
      <c r="C19" s="221">
        <f t="shared" si="3"/>
        <v>2014</v>
      </c>
      <c r="D19" s="222">
        <v>370.28377493735331</v>
      </c>
      <c r="E19" s="82">
        <v>314.95467700106121</v>
      </c>
      <c r="F19" s="3">
        <v>261.60000000000002</v>
      </c>
      <c r="G19" s="82">
        <v>292.15410874306605</v>
      </c>
      <c r="H19" s="3"/>
      <c r="I19" s="3"/>
      <c r="K19" s="1">
        <f t="shared" si="0"/>
        <v>2021</v>
      </c>
      <c r="L19" s="189">
        <v>2.1094032700337051</v>
      </c>
      <c r="M19" s="29">
        <f t="shared" si="1"/>
        <v>9.7007042580908287</v>
      </c>
      <c r="N19" s="207">
        <f t="shared" si="2"/>
        <v>168.81238525396185</v>
      </c>
      <c r="O19" s="218"/>
      <c r="P19" s="206"/>
    </row>
    <row r="20" spans="2:16" x14ac:dyDescent="0.2">
      <c r="C20" s="221">
        <f t="shared" si="3"/>
        <v>2015</v>
      </c>
      <c r="D20" s="222">
        <v>382.87045284229907</v>
      </c>
      <c r="E20" s="82">
        <v>320.71209201541006</v>
      </c>
      <c r="F20" s="3">
        <v>266.43</v>
      </c>
      <c r="H20" s="3"/>
      <c r="I20" s="3"/>
      <c r="K20" s="1">
        <f t="shared" si="0"/>
        <v>2022</v>
      </c>
      <c r="L20" s="189">
        <v>2.037212963578694</v>
      </c>
      <c r="M20" s="29">
        <f t="shared" si="1"/>
        <v>9.8983282627950864</v>
      </c>
      <c r="N20" s="207">
        <f t="shared" si="2"/>
        <v>172.25145305048198</v>
      </c>
      <c r="O20" s="218"/>
      <c r="P20" s="206"/>
    </row>
    <row r="21" spans="2:16" x14ac:dyDescent="0.2">
      <c r="C21" s="221">
        <f t="shared" si="3"/>
        <v>2016</v>
      </c>
      <c r="D21" s="222">
        <v>384.45834165438328</v>
      </c>
      <c r="E21" s="82">
        <v>306.63865000291952</v>
      </c>
      <c r="G21" s="3"/>
      <c r="H21" s="3"/>
      <c r="I21" s="3"/>
      <c r="K21" s="1">
        <f t="shared" si="0"/>
        <v>2023</v>
      </c>
      <c r="L21" s="189">
        <v>2.0525412356971362</v>
      </c>
      <c r="M21" s="29">
        <f t="shared" si="1"/>
        <v>10.101495532033619</v>
      </c>
      <c r="N21" s="207">
        <f t="shared" si="2"/>
        <v>175.78698515343061</v>
      </c>
      <c r="O21" s="218"/>
      <c r="P21" s="206"/>
    </row>
    <row r="22" spans="2:16" x14ac:dyDescent="0.2">
      <c r="C22" s="221">
        <f t="shared" si="3"/>
        <v>2017</v>
      </c>
      <c r="D22" s="222">
        <v>360.16638986472481</v>
      </c>
      <c r="E22" s="82"/>
      <c r="G22" s="3"/>
      <c r="H22" s="3"/>
      <c r="I22" s="3"/>
      <c r="K22" s="1">
        <f t="shared" si="0"/>
        <v>2024</v>
      </c>
      <c r="L22" s="189">
        <v>2.0912481453112086</v>
      </c>
      <c r="M22" s="29">
        <f t="shared" si="1"/>
        <v>10.312742869995967</v>
      </c>
      <c r="N22" s="207">
        <f t="shared" si="2"/>
        <v>179.46312722015023</v>
      </c>
      <c r="O22" s="218"/>
      <c r="P22" s="206"/>
    </row>
    <row r="23" spans="2:16" x14ac:dyDescent="0.2">
      <c r="C23" s="208"/>
      <c r="D23" s="212">
        <f>AVERAGE(D14:D22)</f>
        <v>348.20244648416127</v>
      </c>
      <c r="E23" s="212"/>
      <c r="F23" s="212"/>
      <c r="G23" s="213" t="s">
        <v>1189</v>
      </c>
      <c r="H23" s="213" t="s">
        <v>1189</v>
      </c>
      <c r="I23" s="212" t="s">
        <v>1189</v>
      </c>
      <c r="J23" s="214"/>
      <c r="K23" s="1">
        <f t="shared" si="0"/>
        <v>2025</v>
      </c>
      <c r="L23" s="189">
        <v>2.1261662699514461</v>
      </c>
      <c r="M23" s="29">
        <f t="shared" si="1"/>
        <v>10.532008930404643</v>
      </c>
      <c r="N23" s="207">
        <f t="shared" si="2"/>
        <v>183.2788116981051</v>
      </c>
      <c r="O23" s="218"/>
      <c r="P23" s="206"/>
    </row>
    <row r="24" spans="2:16" x14ac:dyDescent="0.2">
      <c r="J24" s="214"/>
      <c r="K24" s="1">
        <f t="shared" si="0"/>
        <v>2026</v>
      </c>
      <c r="L24" s="189">
        <v>2.1882005777795754</v>
      </c>
      <c r="M24" s="29">
        <f t="shared" si="1"/>
        <v>10.762470410671554</v>
      </c>
      <c r="N24" s="207">
        <f t="shared" si="2"/>
        <v>187.28931971463058</v>
      </c>
      <c r="O24" s="218"/>
      <c r="P24" s="206"/>
    </row>
    <row r="25" spans="2:16" x14ac:dyDescent="0.2">
      <c r="J25" s="214"/>
      <c r="K25" s="1">
        <f t="shared" si="0"/>
        <v>2027</v>
      </c>
      <c r="L25" s="189">
        <v>2.3155473282662653</v>
      </c>
      <c r="M25" s="29">
        <f t="shared" si="1"/>
        <v>11.011680506721307</v>
      </c>
      <c r="N25" s="207">
        <f t="shared" si="2"/>
        <v>191.62609255341079</v>
      </c>
      <c r="O25" s="218"/>
      <c r="P25" s="206"/>
    </row>
    <row r="26" spans="2:16" x14ac:dyDescent="0.2">
      <c r="B26" s="1" t="s">
        <v>230</v>
      </c>
      <c r="F26" s="1" t="s">
        <v>1324</v>
      </c>
      <c r="I26" s="175">
        <v>0.02</v>
      </c>
      <c r="J26" s="214"/>
      <c r="K26" s="1">
        <f t="shared" si="0"/>
        <v>2028</v>
      </c>
      <c r="L26" s="189">
        <v>2.2630399346801333</v>
      </c>
      <c r="M26" s="29">
        <f t="shared" si="1"/>
        <v>11.260879234067797</v>
      </c>
      <c r="N26" s="207">
        <f t="shared" si="2"/>
        <v>195.96266755316159</v>
      </c>
      <c r="O26" s="218"/>
      <c r="P26" s="206"/>
    </row>
    <row r="27" spans="2:16" x14ac:dyDescent="0.2">
      <c r="J27" s="214"/>
      <c r="K27" s="1">
        <f t="shared" si="0"/>
        <v>2029</v>
      </c>
      <c r="L27" s="189">
        <v>2.3114510334443228</v>
      </c>
      <c r="M27" s="29">
        <f t="shared" si="1"/>
        <v>11.521168943498575</v>
      </c>
      <c r="N27" s="207">
        <f t="shared" si="2"/>
        <v>200.4922486574842</v>
      </c>
      <c r="O27" s="218"/>
      <c r="P27" s="206"/>
    </row>
    <row r="28" spans="2:16" x14ac:dyDescent="0.2">
      <c r="C28" s="208" t="s">
        <v>1227</v>
      </c>
      <c r="D28" s="209">
        <v>39881</v>
      </c>
      <c r="E28" s="209"/>
      <c r="F28" s="210">
        <v>38324</v>
      </c>
      <c r="G28" s="210">
        <v>37744</v>
      </c>
      <c r="H28" s="211" t="s">
        <v>1228</v>
      </c>
      <c r="I28" s="211" t="s">
        <v>1229</v>
      </c>
      <c r="J28" s="214"/>
      <c r="K28" s="1">
        <f t="shared" si="0"/>
        <v>2030</v>
      </c>
      <c r="L28" s="189">
        <v>2.2534645018513988</v>
      </c>
      <c r="M28" s="29">
        <f t="shared" si="1"/>
        <v>11.780794395838642</v>
      </c>
      <c r="N28" s="207">
        <f t="shared" si="2"/>
        <v>205.01027030994425</v>
      </c>
      <c r="O28" s="218"/>
      <c r="P28" s="206"/>
    </row>
    <row r="29" spans="2:16" x14ac:dyDescent="0.2">
      <c r="C29" s="3">
        <v>2006</v>
      </c>
      <c r="D29" s="3" t="s">
        <v>1235</v>
      </c>
      <c r="E29" s="3"/>
      <c r="F29" s="3">
        <v>283.72000000000003</v>
      </c>
      <c r="G29" s="82">
        <v>152.49200920225201</v>
      </c>
      <c r="H29" s="82">
        <v>263.43075629937579</v>
      </c>
      <c r="I29" s="82">
        <v>741.70553640234641</v>
      </c>
      <c r="J29" s="214"/>
      <c r="K29" s="1">
        <f t="shared" si="0"/>
        <v>2031</v>
      </c>
      <c r="L29" s="189">
        <v>2</v>
      </c>
      <c r="M29" s="29">
        <f t="shared" si="1"/>
        <v>12.016410283755414</v>
      </c>
      <c r="N29" s="207">
        <f t="shared" si="2"/>
        <v>209.11047571614313</v>
      </c>
      <c r="O29" s="223"/>
      <c r="P29" s="206"/>
    </row>
    <row r="30" spans="2:16" x14ac:dyDescent="0.2">
      <c r="C30" s="221">
        <v>2008</v>
      </c>
      <c r="D30" s="3" t="s">
        <v>1235</v>
      </c>
      <c r="E30" s="82">
        <v>291.45907618651444</v>
      </c>
      <c r="F30" s="3">
        <v>333.63</v>
      </c>
      <c r="G30" s="82">
        <v>643.14409719825017</v>
      </c>
      <c r="H30" s="82">
        <v>259.18982499724592</v>
      </c>
      <c r="I30" s="82">
        <v>134.14145461831336</v>
      </c>
      <c r="K30" s="1">
        <f t="shared" si="0"/>
        <v>2032</v>
      </c>
      <c r="L30" s="189">
        <v>2</v>
      </c>
      <c r="M30" s="29">
        <f t="shared" si="1"/>
        <v>12.256738489430523</v>
      </c>
      <c r="N30" s="207">
        <f t="shared" si="2"/>
        <v>213.29268523046599</v>
      </c>
      <c r="O30" s="223"/>
      <c r="P30" s="206"/>
    </row>
    <row r="31" spans="2:16" x14ac:dyDescent="0.2">
      <c r="C31" s="221">
        <f t="shared" ref="C31:C39" si="4">+C30+1</f>
        <v>2009</v>
      </c>
      <c r="D31" s="222">
        <v>322.05906818022396</v>
      </c>
      <c r="E31" s="82">
        <v>317.44591916477094</v>
      </c>
      <c r="F31" s="3">
        <v>313.74</v>
      </c>
      <c r="G31" s="82">
        <v>160.64529725959079</v>
      </c>
      <c r="H31" s="82">
        <v>152.8746329281656</v>
      </c>
      <c r="I31" s="82">
        <v>125.13104539610254</v>
      </c>
      <c r="K31" s="1">
        <f t="shared" si="0"/>
        <v>2033</v>
      </c>
      <c r="L31" s="189">
        <v>2</v>
      </c>
      <c r="M31" s="29">
        <f t="shared" si="1"/>
        <v>12.501873259219133</v>
      </c>
      <c r="N31" s="207">
        <f t="shared" si="2"/>
        <v>217.55853893507532</v>
      </c>
      <c r="O31" s="223"/>
      <c r="P31" s="206"/>
    </row>
    <row r="32" spans="2:16" x14ac:dyDescent="0.2">
      <c r="C32" s="221">
        <f t="shared" si="4"/>
        <v>2010</v>
      </c>
      <c r="D32" s="222">
        <v>336.17730156853622</v>
      </c>
      <c r="E32" s="82">
        <v>311.64170447514982</v>
      </c>
      <c r="F32" s="3">
        <v>209.24</v>
      </c>
      <c r="G32" s="82">
        <v>308.03351221236534</v>
      </c>
      <c r="H32" s="82">
        <v>243.78051523621596</v>
      </c>
      <c r="I32" s="82">
        <v>253.20105561528814</v>
      </c>
      <c r="K32" s="1">
        <f t="shared" si="0"/>
        <v>2034</v>
      </c>
      <c r="L32" s="189">
        <v>2</v>
      </c>
      <c r="M32" s="29">
        <f t="shared" si="1"/>
        <v>12.751910724403515</v>
      </c>
      <c r="N32" s="207">
        <f t="shared" si="2"/>
        <v>221.90970971377683</v>
      </c>
      <c r="O32" s="223"/>
      <c r="P32" s="206"/>
    </row>
    <row r="33" spans="2:16" x14ac:dyDescent="0.2">
      <c r="C33" s="221">
        <f t="shared" si="4"/>
        <v>2011</v>
      </c>
      <c r="D33" s="222">
        <v>363.90637900889851</v>
      </c>
      <c r="E33" s="82">
        <v>319.54274746647582</v>
      </c>
      <c r="F33" s="3">
        <v>370.59</v>
      </c>
      <c r="G33" s="82">
        <v>284.1619460911582</v>
      </c>
      <c r="H33" s="82">
        <v>234.47651417469044</v>
      </c>
      <c r="I33" s="82">
        <v>253.61800792193938</v>
      </c>
      <c r="K33" s="1">
        <f t="shared" si="0"/>
        <v>2035</v>
      </c>
      <c r="L33" s="189">
        <v>2</v>
      </c>
      <c r="M33" s="29">
        <f t="shared" si="1"/>
        <v>13.006948938891586</v>
      </c>
      <c r="N33" s="207">
        <f t="shared" si="2"/>
        <v>226.34790390805239</v>
      </c>
      <c r="O33" s="223"/>
      <c r="P33" s="206"/>
    </row>
    <row r="34" spans="2:16" x14ac:dyDescent="0.2">
      <c r="C34" s="221">
        <f t="shared" si="4"/>
        <v>2012</v>
      </c>
      <c r="D34" s="222">
        <v>356.00730931619768</v>
      </c>
      <c r="E34" s="82">
        <v>301.8042039947199</v>
      </c>
      <c r="F34" s="3">
        <v>238.72</v>
      </c>
      <c r="G34" s="82">
        <v>288.50230711244399</v>
      </c>
      <c r="H34" s="82"/>
      <c r="I34" s="82"/>
      <c r="K34" s="1">
        <f t="shared" si="0"/>
        <v>2036</v>
      </c>
      <c r="L34" s="189">
        <v>2</v>
      </c>
      <c r="M34" s="29">
        <f t="shared" si="1"/>
        <v>13.267087917669418</v>
      </c>
      <c r="N34" s="207">
        <f t="shared" si="2"/>
        <v>230.87486198621343</v>
      </c>
      <c r="O34" s="223"/>
      <c r="P34" s="206"/>
    </row>
    <row r="35" spans="2:16" x14ac:dyDescent="0.2">
      <c r="C35" s="221">
        <f t="shared" si="4"/>
        <v>2013</v>
      </c>
      <c r="D35" s="222">
        <v>381.11022005586551</v>
      </c>
      <c r="E35" s="82">
        <v>323.71697389296691</v>
      </c>
      <c r="F35" s="3">
        <v>285.27</v>
      </c>
      <c r="G35" s="82">
        <v>288.70337466591286</v>
      </c>
      <c r="H35" s="3"/>
      <c r="I35" s="3"/>
      <c r="K35" s="1">
        <f t="shared" si="0"/>
        <v>2037</v>
      </c>
      <c r="L35" s="189">
        <v>2</v>
      </c>
      <c r="M35" s="29">
        <f t="shared" si="1"/>
        <v>13.532429676022806</v>
      </c>
      <c r="N35" s="207">
        <f t="shared" si="2"/>
        <v>235.49235922593772</v>
      </c>
      <c r="O35" s="223"/>
      <c r="P35" s="206"/>
    </row>
    <row r="36" spans="2:16" x14ac:dyDescent="0.2">
      <c r="C36" s="221">
        <f t="shared" si="4"/>
        <v>2014</v>
      </c>
      <c r="D36" s="222">
        <v>401.75406141561751</v>
      </c>
      <c r="E36" s="82">
        <v>341.72256310292858</v>
      </c>
      <c r="F36" s="3">
        <v>288.8</v>
      </c>
      <c r="G36" s="82">
        <v>367.95095820607014</v>
      </c>
      <c r="H36" s="3"/>
      <c r="I36" s="3"/>
      <c r="K36" s="1">
        <f t="shared" si="0"/>
        <v>2038</v>
      </c>
      <c r="L36" s="189">
        <v>2</v>
      </c>
      <c r="M36" s="29">
        <f t="shared" si="1"/>
        <v>13.803078269543263</v>
      </c>
      <c r="N36" s="207">
        <f t="shared" si="2"/>
        <v>240.20220641045648</v>
      </c>
      <c r="O36" s="223"/>
      <c r="P36" s="206"/>
    </row>
    <row r="37" spans="2:16" x14ac:dyDescent="0.2">
      <c r="C37" s="221">
        <f t="shared" si="4"/>
        <v>2015</v>
      </c>
      <c r="D37" s="222">
        <v>415.04719706653486</v>
      </c>
      <c r="E37" s="82">
        <v>347.66499704579621</v>
      </c>
      <c r="F37" s="3">
        <v>294.72000000000003</v>
      </c>
      <c r="K37" s="1"/>
      <c r="L37" s="1"/>
    </row>
    <row r="38" spans="2:16" x14ac:dyDescent="0.2">
      <c r="C38" s="221">
        <f t="shared" si="4"/>
        <v>2016</v>
      </c>
      <c r="D38" s="222">
        <v>416.76853334572883</v>
      </c>
      <c r="E38" s="82">
        <v>332.40881152142373</v>
      </c>
      <c r="K38" s="1"/>
      <c r="L38" s="29"/>
      <c r="M38" s="29"/>
      <c r="N38" s="207"/>
    </row>
    <row r="39" spans="2:16" x14ac:dyDescent="0.2">
      <c r="C39" s="221">
        <f t="shared" si="4"/>
        <v>2017</v>
      </c>
      <c r="D39" s="222">
        <v>390.43506617236619</v>
      </c>
      <c r="E39" s="82"/>
      <c r="K39" s="1"/>
      <c r="L39" s="29"/>
      <c r="M39" s="29"/>
      <c r="N39" s="207"/>
    </row>
    <row r="40" spans="2:16" x14ac:dyDescent="0.2">
      <c r="C40" s="208"/>
      <c r="D40" s="212">
        <f>AVERAGE(D31:D39)</f>
        <v>375.91834845888548</v>
      </c>
      <c r="E40" s="212"/>
      <c r="F40" s="212"/>
      <c r="G40" s="213" t="s">
        <v>1189</v>
      </c>
      <c r="H40" s="213" t="s">
        <v>1189</v>
      </c>
      <c r="I40" s="212" t="s">
        <v>1189</v>
      </c>
      <c r="J40" s="214"/>
      <c r="K40" s="1"/>
      <c r="L40" s="29"/>
      <c r="M40" s="29"/>
      <c r="N40" s="207"/>
    </row>
    <row r="41" spans="2:16" x14ac:dyDescent="0.2">
      <c r="J41" s="214"/>
      <c r="K41" s="1"/>
      <c r="L41" s="29"/>
      <c r="M41" s="200"/>
    </row>
    <row r="42" spans="2:16" x14ac:dyDescent="0.2">
      <c r="B42" s="1" t="s">
        <v>1230</v>
      </c>
      <c r="F42" s="1" t="s">
        <v>1324</v>
      </c>
      <c r="I42" s="175">
        <v>0.02</v>
      </c>
      <c r="J42" s="214"/>
      <c r="K42" s="1"/>
      <c r="L42" s="29"/>
      <c r="M42" s="200"/>
    </row>
    <row r="43" spans="2:16" x14ac:dyDescent="0.2">
      <c r="J43" s="214"/>
      <c r="K43" s="1"/>
      <c r="L43" s="29"/>
      <c r="M43" s="200"/>
    </row>
    <row r="44" spans="2:16" x14ac:dyDescent="0.2">
      <c r="C44" s="208" t="s">
        <v>1227</v>
      </c>
      <c r="D44" s="209">
        <v>39881</v>
      </c>
      <c r="E44" s="209"/>
      <c r="F44" s="210">
        <v>38324</v>
      </c>
      <c r="G44" s="210">
        <v>37744</v>
      </c>
      <c r="H44" s="211" t="s">
        <v>1228</v>
      </c>
      <c r="I44" s="211" t="s">
        <v>1229</v>
      </c>
      <c r="J44" s="214"/>
      <c r="K44" s="1"/>
      <c r="L44" s="29"/>
      <c r="M44" s="200"/>
    </row>
    <row r="45" spans="2:16" x14ac:dyDescent="0.2">
      <c r="C45" s="221">
        <v>2006</v>
      </c>
      <c r="D45" s="3" t="s">
        <v>1235</v>
      </c>
      <c r="E45" s="3"/>
      <c r="F45" s="82">
        <v>262.60000000000002</v>
      </c>
      <c r="G45" s="82">
        <v>259.19562317383873</v>
      </c>
      <c r="H45" s="82">
        <v>257.57254637770336</v>
      </c>
      <c r="I45" s="82">
        <v>286.1541373544909</v>
      </c>
      <c r="J45" s="214"/>
      <c r="K45" s="1"/>
      <c r="L45" s="29"/>
      <c r="M45" s="200"/>
    </row>
    <row r="46" spans="2:16" x14ac:dyDescent="0.2">
      <c r="C46" s="221">
        <v>2008</v>
      </c>
      <c r="D46" s="3" t="s">
        <v>1235</v>
      </c>
      <c r="E46" s="82">
        <v>277.06118777803164</v>
      </c>
      <c r="F46" s="82">
        <v>275.87</v>
      </c>
      <c r="G46" s="82">
        <v>360.05390966621212</v>
      </c>
      <c r="H46" s="82">
        <v>237.91519785456464</v>
      </c>
      <c r="I46" s="82">
        <v>245.42309490416054</v>
      </c>
      <c r="K46" s="1"/>
      <c r="L46" s="29"/>
      <c r="M46" s="200"/>
    </row>
    <row r="47" spans="2:16" x14ac:dyDescent="0.2">
      <c r="C47" s="221">
        <f t="shared" ref="C47:C55" si="5">C46+1</f>
        <v>2009</v>
      </c>
      <c r="D47" s="222">
        <v>303.75404512044645</v>
      </c>
      <c r="E47" s="82">
        <v>299.40309582997929</v>
      </c>
      <c r="F47" s="82">
        <v>232.49</v>
      </c>
      <c r="G47" s="82">
        <v>285.37893702539594</v>
      </c>
      <c r="H47" s="82">
        <v>228.98929772091677</v>
      </c>
      <c r="I47" s="82">
        <v>213.68880957508986</v>
      </c>
      <c r="K47" s="1"/>
      <c r="L47" s="29"/>
      <c r="M47" s="200"/>
    </row>
    <row r="48" spans="2:16" x14ac:dyDescent="0.2">
      <c r="C48" s="221">
        <f t="shared" si="5"/>
        <v>2010</v>
      </c>
      <c r="D48" s="222">
        <v>317.76499607267209</v>
      </c>
      <c r="E48" s="82">
        <v>294.57320448637694</v>
      </c>
      <c r="F48" s="82">
        <v>254.97</v>
      </c>
      <c r="G48" s="82">
        <v>259.96847109573702</v>
      </c>
      <c r="H48" s="82">
        <v>222.3766588520071</v>
      </c>
      <c r="I48" s="82">
        <v>231.59095055646739</v>
      </c>
      <c r="K48" s="1"/>
      <c r="L48" s="29"/>
      <c r="M48" s="200"/>
    </row>
    <row r="49" spans="2:13" x14ac:dyDescent="0.2">
      <c r="C49" s="221">
        <f t="shared" si="5"/>
        <v>2011</v>
      </c>
      <c r="D49" s="222">
        <v>339.6441809835016</v>
      </c>
      <c r="E49" s="82">
        <v>298.23834099323437</v>
      </c>
      <c r="F49" s="82">
        <v>253.69</v>
      </c>
      <c r="G49" s="82">
        <v>276.60650461013682</v>
      </c>
      <c r="H49" s="82">
        <v>206.81984115525611</v>
      </c>
      <c r="I49" s="82">
        <v>234.56634187417268</v>
      </c>
      <c r="K49" s="1"/>
      <c r="L49" s="29"/>
      <c r="M49" s="200"/>
    </row>
    <row r="50" spans="2:13" x14ac:dyDescent="0.2">
      <c r="C50" s="221">
        <f t="shared" si="5"/>
        <v>2012</v>
      </c>
      <c r="D50" s="222">
        <v>335.10346240266369</v>
      </c>
      <c r="E50" s="82">
        <v>284.0830260495693</v>
      </c>
      <c r="F50" s="82">
        <v>265.5</v>
      </c>
      <c r="G50" s="82">
        <v>273.38743331922319</v>
      </c>
      <c r="H50" s="82"/>
      <c r="I50" s="82"/>
      <c r="K50" s="1"/>
      <c r="L50" s="29"/>
      <c r="M50" s="200"/>
    </row>
    <row r="51" spans="2:13" x14ac:dyDescent="0.2">
      <c r="C51" s="221">
        <f t="shared" si="5"/>
        <v>2013</v>
      </c>
      <c r="D51" s="222">
        <v>359.14810835094261</v>
      </c>
      <c r="E51" s="82">
        <v>305.06224366722068</v>
      </c>
      <c r="F51" s="82">
        <v>264.89999999999998</v>
      </c>
      <c r="G51" s="82">
        <v>275.79374016554095</v>
      </c>
      <c r="H51" s="82"/>
      <c r="I51" s="82"/>
      <c r="K51" s="1"/>
      <c r="L51" s="29"/>
      <c r="M51" s="200"/>
    </row>
    <row r="52" spans="2:13" x14ac:dyDescent="0.2">
      <c r="C52" s="221">
        <f t="shared" si="5"/>
        <v>2014</v>
      </c>
      <c r="D52" s="222">
        <v>374.53990051529075</v>
      </c>
      <c r="E52" s="82">
        <v>318.57483739534808</v>
      </c>
      <c r="F52" s="82">
        <v>267.10000000000002</v>
      </c>
      <c r="G52" s="1">
        <v>296.73129174685249</v>
      </c>
      <c r="K52" s="1"/>
      <c r="L52" s="29"/>
      <c r="M52" s="200"/>
    </row>
    <row r="53" spans="2:13" x14ac:dyDescent="0.2">
      <c r="C53" s="221">
        <f t="shared" si="5"/>
        <v>2015</v>
      </c>
      <c r="D53" s="222">
        <v>387.12198815636862</v>
      </c>
      <c r="E53" s="82">
        <v>324.27339786894441</v>
      </c>
      <c r="F53" s="82">
        <v>272.45999999999998</v>
      </c>
      <c r="K53" s="1"/>
      <c r="L53" s="29"/>
      <c r="M53" s="200"/>
    </row>
    <row r="54" spans="2:13" x14ac:dyDescent="0.2">
      <c r="C54" s="221">
        <f t="shared" si="5"/>
        <v>2016</v>
      </c>
      <c r="D54" s="222">
        <v>388.72750947393672</v>
      </c>
      <c r="E54" s="82">
        <v>310.04367914389366</v>
      </c>
      <c r="K54" s="1"/>
      <c r="L54" s="29"/>
      <c r="M54" s="200"/>
    </row>
    <row r="55" spans="2:13" x14ac:dyDescent="0.2">
      <c r="C55" s="221">
        <f t="shared" si="5"/>
        <v>2017</v>
      </c>
      <c r="D55" s="222">
        <v>364.16581085447007</v>
      </c>
      <c r="E55" s="82"/>
      <c r="K55" s="1"/>
      <c r="L55" s="29"/>
      <c r="M55" s="200"/>
    </row>
    <row r="56" spans="2:13" x14ac:dyDescent="0.2">
      <c r="C56" s="208"/>
      <c r="D56" s="212">
        <f>AVERAGE(D47:D55)</f>
        <v>352.21888910336588</v>
      </c>
      <c r="E56" s="212"/>
      <c r="F56" s="212"/>
      <c r="G56" s="213"/>
      <c r="H56" s="213"/>
      <c r="I56" s="212"/>
      <c r="J56" s="214"/>
      <c r="K56" s="1"/>
      <c r="L56" s="29"/>
      <c r="M56" s="200"/>
    </row>
    <row r="57" spans="2:13" x14ac:dyDescent="0.2">
      <c r="J57" s="214"/>
      <c r="K57" s="1"/>
      <c r="L57" s="29"/>
      <c r="M57" s="200"/>
    </row>
    <row r="58" spans="2:13" x14ac:dyDescent="0.2">
      <c r="B58" s="1" t="s">
        <v>1231</v>
      </c>
      <c r="F58" s="1" t="s">
        <v>1324</v>
      </c>
      <c r="I58" s="175">
        <v>0.02</v>
      </c>
      <c r="J58" s="214"/>
      <c r="K58" s="1"/>
      <c r="L58" s="29"/>
      <c r="M58" s="200"/>
    </row>
    <row r="59" spans="2:13" x14ac:dyDescent="0.2">
      <c r="J59" s="214"/>
      <c r="K59" s="1"/>
      <c r="L59" s="29"/>
      <c r="M59" s="200"/>
    </row>
    <row r="60" spans="2:13" x14ac:dyDescent="0.2">
      <c r="C60" s="208" t="s">
        <v>1227</v>
      </c>
      <c r="D60" s="209">
        <v>39881</v>
      </c>
      <c r="E60" s="209"/>
      <c r="F60" s="210">
        <v>38324</v>
      </c>
      <c r="G60" s="210">
        <v>37744</v>
      </c>
      <c r="H60" s="211" t="s">
        <v>1228</v>
      </c>
      <c r="I60" s="211" t="s">
        <v>1229</v>
      </c>
      <c r="J60" s="214"/>
      <c r="K60" s="1"/>
      <c r="L60" s="29"/>
      <c r="M60" s="200"/>
    </row>
    <row r="61" spans="2:13" x14ac:dyDescent="0.2">
      <c r="C61" s="221">
        <v>2006</v>
      </c>
      <c r="D61" s="3" t="s">
        <v>1235</v>
      </c>
      <c r="E61" s="3"/>
      <c r="F61" s="3">
        <v>287.42</v>
      </c>
      <c r="G61" s="82">
        <v>133.69577551950238</v>
      </c>
      <c r="H61" s="82">
        <v>286.42402338375513</v>
      </c>
      <c r="I61" s="82">
        <v>787.73980154354388</v>
      </c>
      <c r="J61" s="214"/>
      <c r="K61" s="1"/>
      <c r="L61" s="29"/>
      <c r="M61" s="200"/>
    </row>
    <row r="62" spans="2:13" x14ac:dyDescent="0.2">
      <c r="C62" s="221">
        <v>2008</v>
      </c>
      <c r="D62" s="3" t="s">
        <v>1235</v>
      </c>
      <c r="E62" s="82">
        <v>294.77911261872549</v>
      </c>
      <c r="F62" s="3">
        <v>360.39</v>
      </c>
      <c r="G62" s="82">
        <v>698.44678333666377</v>
      </c>
      <c r="H62" s="82">
        <v>281.78894435913213</v>
      </c>
      <c r="I62" s="82">
        <v>126.70733035616854</v>
      </c>
      <c r="K62" s="1"/>
      <c r="L62" s="29"/>
      <c r="M62" s="200"/>
    </row>
    <row r="63" spans="2:13" x14ac:dyDescent="0.2">
      <c r="C63" s="221">
        <f t="shared" ref="C63:C71" si="6">C62+1</f>
        <v>2009</v>
      </c>
      <c r="D63" s="82">
        <v>326.72137023104676</v>
      </c>
      <c r="E63" s="82">
        <v>322.04143876404834</v>
      </c>
      <c r="F63" s="3">
        <v>312.14999999999998</v>
      </c>
      <c r="G63" s="82">
        <v>152.87971301035543</v>
      </c>
      <c r="H63" s="82">
        <v>166.21653863110967</v>
      </c>
      <c r="I63" s="82">
        <v>118.86224325196054</v>
      </c>
      <c r="K63" s="1"/>
      <c r="L63" s="29"/>
      <c r="M63" s="200"/>
    </row>
    <row r="64" spans="2:13" x14ac:dyDescent="0.2">
      <c r="C64" s="221">
        <f t="shared" si="6"/>
        <v>2010</v>
      </c>
      <c r="D64" s="82">
        <v>341.64831484943869</v>
      </c>
      <c r="E64" s="82">
        <v>316.71342078708244</v>
      </c>
      <c r="F64" s="3">
        <v>224.31</v>
      </c>
      <c r="G64" s="82">
        <v>312.49563663774444</v>
      </c>
      <c r="H64" s="82">
        <v>265.05551945085489</v>
      </c>
      <c r="I64" s="82">
        <v>257.44952178533373</v>
      </c>
      <c r="K64" s="1"/>
      <c r="L64" s="29"/>
      <c r="M64" s="200"/>
    </row>
    <row r="65" spans="3:13" x14ac:dyDescent="0.2">
      <c r="C65" s="221">
        <f t="shared" si="6"/>
        <v>2011</v>
      </c>
      <c r="D65" s="82">
        <v>370.14704196328341</v>
      </c>
      <c r="E65" s="82">
        <v>325.02261454626574</v>
      </c>
      <c r="F65" s="3">
        <v>361.18</v>
      </c>
      <c r="G65" s="82">
        <v>287.96700814148528</v>
      </c>
      <c r="H65" s="82">
        <v>255.00852190184014</v>
      </c>
      <c r="I65" s="82">
        <v>257.69351958827599</v>
      </c>
      <c r="K65" s="1"/>
      <c r="L65" s="29"/>
      <c r="M65" s="200"/>
    </row>
    <row r="66" spans="3:13" x14ac:dyDescent="0.2">
      <c r="C66" s="221">
        <f t="shared" si="6"/>
        <v>2012</v>
      </c>
      <c r="D66" s="82">
        <v>361.77449459058408</v>
      </c>
      <c r="E66" s="82">
        <v>306.69331923330714</v>
      </c>
      <c r="F66" s="3">
        <v>252.07</v>
      </c>
      <c r="G66" s="82">
        <v>288.38145535922575</v>
      </c>
      <c r="H66" s="82"/>
      <c r="I66" s="82"/>
      <c r="K66" s="1"/>
      <c r="L66" s="29"/>
      <c r="M66" s="200"/>
    </row>
    <row r="67" spans="3:13" x14ac:dyDescent="0.2">
      <c r="C67" s="221">
        <f t="shared" si="6"/>
        <v>2013</v>
      </c>
      <c r="D67" s="82">
        <v>387.04464225546457</v>
      </c>
      <c r="E67" s="82">
        <v>328.75770251991332</v>
      </c>
      <c r="F67" s="3">
        <v>289.01</v>
      </c>
      <c r="G67" s="82">
        <v>288.2119543102213</v>
      </c>
      <c r="K67" s="1"/>
      <c r="L67" s="29"/>
      <c r="M67" s="200"/>
    </row>
    <row r="68" spans="3:13" x14ac:dyDescent="0.2">
      <c r="C68" s="221">
        <f t="shared" si="6"/>
        <v>2014</v>
      </c>
      <c r="D68" s="82">
        <v>408.44773596860887</v>
      </c>
      <c r="E68" s="82">
        <v>347.41604537107361</v>
      </c>
      <c r="F68" s="3">
        <v>293.86</v>
      </c>
      <c r="G68" s="82">
        <v>376.27291137721738</v>
      </c>
      <c r="K68" s="1"/>
      <c r="L68" s="29"/>
      <c r="M68" s="200"/>
    </row>
    <row r="69" spans="3:13" x14ac:dyDescent="0.2">
      <c r="C69" s="221">
        <f t="shared" si="6"/>
        <v>2015</v>
      </c>
      <c r="D69" s="82">
        <v>422.08240435031337</v>
      </c>
      <c r="E69" s="82">
        <v>353.55805050289331</v>
      </c>
      <c r="F69" s="3">
        <v>299.68</v>
      </c>
      <c r="K69" s="1"/>
      <c r="L69" s="29"/>
      <c r="M69" s="200"/>
    </row>
    <row r="70" spans="3:13" x14ac:dyDescent="0.2">
      <c r="C70" s="221">
        <f t="shared" si="6"/>
        <v>2016</v>
      </c>
      <c r="D70" s="82">
        <v>423.83291793178716</v>
      </c>
      <c r="E70" s="82">
        <v>338.04326685213346</v>
      </c>
      <c r="K70" s="1"/>
      <c r="L70" s="29"/>
      <c r="M70" s="200"/>
    </row>
    <row r="71" spans="3:13" x14ac:dyDescent="0.2">
      <c r="C71" s="221">
        <f t="shared" si="6"/>
        <v>2017</v>
      </c>
      <c r="D71" s="82">
        <v>397.05308851004753</v>
      </c>
      <c r="E71" s="82"/>
      <c r="K71" s="1"/>
      <c r="L71" s="29"/>
      <c r="M71" s="200"/>
    </row>
    <row r="72" spans="3:13" x14ac:dyDescent="0.2">
      <c r="C72" s="208"/>
      <c r="D72" s="212">
        <f>AVERAGE(D63:D71)</f>
        <v>382.08355673895267</v>
      </c>
      <c r="E72" s="212"/>
      <c r="F72" s="212"/>
      <c r="G72" s="212"/>
      <c r="H72" s="212"/>
      <c r="I72" s="212"/>
      <c r="K72" s="1"/>
      <c r="L72" s="29"/>
      <c r="M72" s="200"/>
    </row>
    <row r="73" spans="3:13" x14ac:dyDescent="0.2">
      <c r="K73" s="1"/>
      <c r="L73" s="29"/>
      <c r="M73" s="200"/>
    </row>
    <row r="74" spans="3:13" x14ac:dyDescent="0.2">
      <c r="K74" s="1"/>
      <c r="L74" s="29"/>
      <c r="M74" s="200"/>
    </row>
    <row r="75" spans="3:13" x14ac:dyDescent="0.2">
      <c r="K75" s="1"/>
      <c r="L75" s="29"/>
      <c r="M75" s="200"/>
    </row>
    <row r="76" spans="3:13" x14ac:dyDescent="0.2">
      <c r="K76" s="1"/>
      <c r="L76" s="29"/>
      <c r="M76" s="200"/>
    </row>
    <row r="77" spans="3:13" x14ac:dyDescent="0.2">
      <c r="K77" s="1"/>
      <c r="L77" s="29"/>
      <c r="M77" s="200"/>
    </row>
    <row r="78" spans="3:13" x14ac:dyDescent="0.2">
      <c r="K78" s="1"/>
      <c r="L78" s="29"/>
      <c r="M78" s="200"/>
    </row>
    <row r="79" spans="3:13" x14ac:dyDescent="0.2">
      <c r="K79" s="1"/>
      <c r="L79" s="29"/>
      <c r="M79" s="200"/>
    </row>
    <row r="80" spans="3:13" x14ac:dyDescent="0.2">
      <c r="K80" s="1"/>
      <c r="L80" s="29"/>
      <c r="M80" s="200"/>
    </row>
    <row r="81" spans="11:13" x14ac:dyDescent="0.2">
      <c r="K81" s="1"/>
      <c r="L81" s="29"/>
      <c r="M81" s="200"/>
    </row>
    <row r="82" spans="11:13" x14ac:dyDescent="0.2">
      <c r="K82" s="1"/>
      <c r="L82" s="29"/>
      <c r="M82" s="200"/>
    </row>
    <row r="83" spans="11:13" x14ac:dyDescent="0.2">
      <c r="K83" s="1"/>
      <c r="L83" s="29"/>
      <c r="M83" s="200"/>
    </row>
    <row r="84" spans="11:13" x14ac:dyDescent="0.2">
      <c r="K84" s="1"/>
      <c r="L84" s="29"/>
      <c r="M84" s="200"/>
    </row>
    <row r="85" spans="11:13" x14ac:dyDescent="0.2">
      <c r="K85" s="1"/>
      <c r="L85" s="29"/>
      <c r="M85" s="200"/>
    </row>
    <row r="86" spans="11:13" x14ac:dyDescent="0.2">
      <c r="K86" s="1"/>
      <c r="L86" s="29"/>
      <c r="M86" s="200"/>
    </row>
    <row r="87" spans="11:13" x14ac:dyDescent="0.2">
      <c r="K87" s="1"/>
      <c r="L87" s="29"/>
      <c r="M87" s="200"/>
    </row>
    <row r="88" spans="11:13" x14ac:dyDescent="0.2">
      <c r="K88" s="1"/>
      <c r="L88" s="29"/>
      <c r="M88" s="200"/>
    </row>
    <row r="89" spans="11:13" x14ac:dyDescent="0.2">
      <c r="K89" s="1"/>
      <c r="L89" s="29"/>
      <c r="M89" s="200"/>
    </row>
    <row r="90" spans="11:13" x14ac:dyDescent="0.2">
      <c r="K90" s="1"/>
      <c r="L90" s="29"/>
      <c r="M90" s="200"/>
    </row>
    <row r="91" spans="11:13" x14ac:dyDescent="0.2">
      <c r="K91" s="1"/>
      <c r="L91" s="29"/>
      <c r="M91" s="200"/>
    </row>
    <row r="92" spans="11:13" x14ac:dyDescent="0.2">
      <c r="K92" s="1"/>
      <c r="L92" s="29"/>
      <c r="M92" s="200"/>
    </row>
    <row r="93" spans="11:13" x14ac:dyDescent="0.2">
      <c r="K93" s="1"/>
      <c r="L93" s="29"/>
      <c r="M93" s="200"/>
    </row>
    <row r="94" spans="11:13" x14ac:dyDescent="0.2">
      <c r="K94" s="1"/>
      <c r="L94" s="29"/>
      <c r="M94" s="200"/>
    </row>
    <row r="95" spans="11:13" x14ac:dyDescent="0.2">
      <c r="K95" s="1"/>
      <c r="L95" s="29"/>
      <c r="M95" s="200"/>
    </row>
    <row r="96" spans="11:13" x14ac:dyDescent="0.2">
      <c r="K96" s="1"/>
      <c r="L96" s="29"/>
      <c r="M96" s="200"/>
    </row>
    <row r="97" spans="11:13" x14ac:dyDescent="0.2">
      <c r="K97" s="1"/>
      <c r="L97" s="29"/>
      <c r="M97" s="200"/>
    </row>
    <row r="98" spans="11:13" x14ac:dyDescent="0.2">
      <c r="K98" s="1"/>
      <c r="L98" s="29"/>
      <c r="M98" s="200"/>
    </row>
    <row r="99" spans="11:13" x14ac:dyDescent="0.2">
      <c r="K99" s="1"/>
      <c r="L99" s="29"/>
      <c r="M99" s="200"/>
    </row>
    <row r="100" spans="11:13" x14ac:dyDescent="0.2">
      <c r="K100" s="1"/>
      <c r="L100" s="29"/>
      <c r="M100" s="200"/>
    </row>
    <row r="101" spans="11:13" x14ac:dyDescent="0.2">
      <c r="K101" s="1"/>
      <c r="L101" s="29"/>
      <c r="M101" s="200"/>
    </row>
    <row r="102" spans="11:13" x14ac:dyDescent="0.2">
      <c r="K102" s="1"/>
      <c r="L102" s="29"/>
      <c r="M102" s="200"/>
    </row>
    <row r="103" spans="11:13" x14ac:dyDescent="0.2">
      <c r="K103" s="1"/>
      <c r="L103" s="29"/>
      <c r="M103" s="200"/>
    </row>
    <row r="104" spans="11:13" x14ac:dyDescent="0.2">
      <c r="K104" s="1"/>
      <c r="L104" s="29"/>
      <c r="M104" s="200"/>
    </row>
    <row r="105" spans="11:13" x14ac:dyDescent="0.2">
      <c r="K105" s="1"/>
      <c r="L105" s="29"/>
      <c r="M105" s="200"/>
    </row>
    <row r="106" spans="11:13" x14ac:dyDescent="0.2">
      <c r="K106" s="1"/>
      <c r="L106" s="29"/>
      <c r="M106" s="200"/>
    </row>
    <row r="107" spans="11:13" x14ac:dyDescent="0.2">
      <c r="K107" s="1"/>
      <c r="L107" s="29"/>
      <c r="M107" s="200"/>
    </row>
    <row r="108" spans="11:13" x14ac:dyDescent="0.2">
      <c r="K108" s="1"/>
      <c r="L108" s="29"/>
      <c r="M108" s="200"/>
    </row>
    <row r="109" spans="11:13" x14ac:dyDescent="0.2">
      <c r="K109" s="1"/>
      <c r="L109" s="29"/>
      <c r="M109" s="200"/>
    </row>
    <row r="110" spans="11:13" x14ac:dyDescent="0.2">
      <c r="K110" s="1"/>
      <c r="L110" s="29"/>
      <c r="M110" s="200"/>
    </row>
    <row r="111" spans="11:13" x14ac:dyDescent="0.2">
      <c r="K111" s="1"/>
      <c r="L111" s="29"/>
      <c r="M111" s="200"/>
    </row>
    <row r="112" spans="11:13" x14ac:dyDescent="0.2">
      <c r="K112" s="1"/>
      <c r="L112" s="29"/>
      <c r="M112" s="200"/>
    </row>
    <row r="113" spans="11:13" x14ac:dyDescent="0.2">
      <c r="K113" s="1"/>
      <c r="L113" s="29"/>
      <c r="M113" s="200"/>
    </row>
    <row r="114" spans="11:13" x14ac:dyDescent="0.2">
      <c r="K114" s="1"/>
      <c r="L114" s="29"/>
      <c r="M114" s="200"/>
    </row>
    <row r="115" spans="11:13" x14ac:dyDescent="0.2">
      <c r="K115" s="1"/>
      <c r="L115" s="29"/>
      <c r="M115" s="200"/>
    </row>
    <row r="116" spans="11:13" x14ac:dyDescent="0.2">
      <c r="K116" s="1"/>
      <c r="L116" s="29"/>
      <c r="M116" s="200"/>
    </row>
    <row r="117" spans="11:13" x14ac:dyDescent="0.2">
      <c r="K117" s="1"/>
      <c r="L117" s="29"/>
      <c r="M117" s="200"/>
    </row>
    <row r="118" spans="11:13" x14ac:dyDescent="0.2">
      <c r="K118" s="1"/>
      <c r="L118" s="29"/>
      <c r="M118" s="200"/>
    </row>
    <row r="119" spans="11:13" x14ac:dyDescent="0.2">
      <c r="K119" s="1"/>
      <c r="L119" s="29"/>
      <c r="M119" s="200"/>
    </row>
    <row r="120" spans="11:13" x14ac:dyDescent="0.2">
      <c r="K120" s="1"/>
      <c r="L120" s="29"/>
      <c r="M120" s="200"/>
    </row>
    <row r="121" spans="11:13" x14ac:dyDescent="0.2">
      <c r="K121" s="1"/>
      <c r="L121" s="29"/>
      <c r="M121" s="200"/>
    </row>
    <row r="122" spans="11:13" x14ac:dyDescent="0.2">
      <c r="K122" s="1"/>
      <c r="L122" s="29"/>
      <c r="M122" s="200"/>
    </row>
    <row r="123" spans="11:13" x14ac:dyDescent="0.2">
      <c r="K123" s="1"/>
      <c r="L123" s="29"/>
      <c r="M123" s="200"/>
    </row>
    <row r="124" spans="11:13" x14ac:dyDescent="0.2">
      <c r="K124" s="1"/>
      <c r="L124" s="29"/>
      <c r="M124" s="200"/>
    </row>
    <row r="125" spans="11:13" x14ac:dyDescent="0.2">
      <c r="K125" s="1"/>
      <c r="L125" s="29"/>
      <c r="M125" s="200"/>
    </row>
    <row r="126" spans="11:13" x14ac:dyDescent="0.2">
      <c r="K126" s="1"/>
      <c r="L126" s="29"/>
      <c r="M126" s="200"/>
    </row>
    <row r="127" spans="11:13" x14ac:dyDescent="0.2">
      <c r="K127" s="1"/>
      <c r="L127" s="29"/>
      <c r="M127" s="200"/>
    </row>
    <row r="128" spans="11:13" x14ac:dyDescent="0.2">
      <c r="K128" s="1"/>
      <c r="L128" s="29"/>
      <c r="M128" s="200"/>
    </row>
    <row r="129" spans="11:13" x14ac:dyDescent="0.2">
      <c r="K129" s="1"/>
      <c r="L129" s="29"/>
      <c r="M129" s="200"/>
    </row>
    <row r="130" spans="11:13" x14ac:dyDescent="0.2">
      <c r="K130" s="1"/>
      <c r="L130" s="29"/>
      <c r="M130" s="200"/>
    </row>
  </sheetData>
  <customSheetViews>
    <customSheetView guid="{D3618886-EC92-4244-941D-CAF99D049731}" showRuler="0">
      <selection activeCell="G29" sqref="G29"/>
      <pageMargins left="0.26" right="0.22" top="0.5" bottom="0.48" header="0.32" footer="0.28999999999999998"/>
      <pageSetup scale="65" orientation="landscape" r:id="rId1"/>
      <headerFooter alignWithMargins="0">
        <oddFooter>&amp;R&amp;Z&amp;F&amp;A</oddFooter>
      </headerFooter>
    </customSheetView>
  </customSheetViews>
  <mergeCells count="1">
    <mergeCell ref="N3:P3"/>
  </mergeCells>
  <phoneticPr fontId="5" type="noConversion"/>
  <pageMargins left="0.26" right="0.22" top="0.5" bottom="0.48" header="0.32" footer="0.28999999999999998"/>
  <pageSetup scale="6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Actuals</vt:lpstr>
      <vt:lpstr>Avoided Costs 2009-2017</vt:lpstr>
      <vt:lpstr>Avoided Cost inputs</vt:lpstr>
      <vt:lpstr>'Avoided Costs 2009-2017'!combo_space_water_heat</vt:lpstr>
      <vt:lpstr>hampton_j_1</vt:lpstr>
      <vt:lpstr>hampton_j_2</vt:lpstr>
      <vt:lpstr>hampton_j_3</vt:lpstr>
      <vt:lpstr>hampton_j_4</vt:lpstr>
      <vt:lpstr>hampton_t_1</vt:lpstr>
      <vt:lpstr>hampton_t_2</vt:lpstr>
      <vt:lpstr>hampton_t_3</vt:lpstr>
      <vt:lpstr>hampton_t_4</vt:lpstr>
      <vt:lpstr>'Avoided Costs 2009-2017'!industrial</vt:lpstr>
      <vt:lpstr>Actuals!Print_Area</vt:lpstr>
      <vt:lpstr>Actuals!Print_Titles</vt:lpstr>
      <vt:lpstr>'Avoided Costs 2009-2017'!res_comm_space_heat</vt:lpstr>
      <vt:lpstr>'Avoided Costs 2009-2017'!res_comm_water_heat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</dc:creator>
  <cp:lastModifiedBy>Susi Vogt</cp:lastModifiedBy>
  <cp:lastPrinted>2009-03-05T16:36:02Z</cp:lastPrinted>
  <dcterms:created xsi:type="dcterms:W3CDTF">2000-05-01T16:45:00Z</dcterms:created>
  <dcterms:modified xsi:type="dcterms:W3CDTF">2015-06-25T19:40:55Z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1885080509</vt:i4>
  </property>
  <property fmtid="{D5CDD505-2E9C-101B-9397-08002B2CF9AE}" pid="3" name="_EmailEntryID">
    <vt:lpwstr>000000006DD7A52FFA7DBB43ABFD27AC2423882FC40D2300</vt:lpwstr>
  </property>
  <property fmtid="{D5CDD505-2E9C-101B-9397-08002B2CF9AE}" pid="4" name="_AdHocReviewCycleID">
    <vt:i4>1443844668</vt:i4>
  </property>
  <property fmtid="{D5CDD505-2E9C-101B-9397-08002B2CF9AE}" pid="5" name="_NewReviewCycle">
    <vt:lpwstr/>
  </property>
  <property fmtid="{D5CDD505-2E9C-101B-9397-08002B2CF9AE}" pid="6" name="_EmailSubject">
    <vt:lpwstr>GEC 34 ** Final s/s 2008 to 2014</vt:lpwstr>
  </property>
  <property fmtid="{D5CDD505-2E9C-101B-9397-08002B2CF9AE}" pid="7" name="_AuthorEmail">
    <vt:lpwstr>Sharon.Moffat@enbridge.com</vt:lpwstr>
  </property>
  <property fmtid="{D5CDD505-2E9C-101B-9397-08002B2CF9AE}" pid="8" name="_AuthorEmailDisplayName">
    <vt:lpwstr>Sharon Moffat</vt:lpwstr>
  </property>
  <property fmtid="{D5CDD505-2E9C-101B-9397-08002B2CF9AE}" pid="9" name="_PreviousAdHocReviewCycleID">
    <vt:i4>174399365</vt:i4>
  </property>
  <property fmtid="{D5CDD505-2E9C-101B-9397-08002B2CF9AE}" pid="10" name="_ReviewingToolsShownOnce">
    <vt:lpwstr/>
  </property>
</Properties>
</file>