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27795" windowHeight="12525"/>
  </bookViews>
  <sheets>
    <sheet name="Res (100)" sheetId="11" r:id="rId1"/>
    <sheet name="Res (250)" sheetId="12" r:id="rId2"/>
    <sheet name="Res (500)" sheetId="13" r:id="rId3"/>
    <sheet name="Res (800)" sheetId="1" r:id="rId4"/>
    <sheet name="Res (1000)" sheetId="14" r:id="rId5"/>
    <sheet name="Res (1500)" sheetId="15" r:id="rId6"/>
    <sheet name="Res (2000)" sheetId="16" r:id="rId7"/>
  </sheets>
  <externalReferences>
    <externalReference r:id="rId8"/>
    <externalReference r:id="rId9"/>
    <externalReference r:id="rId10"/>
    <externalReference r:id="rId11"/>
    <externalReference r:id="rId12"/>
    <externalReference r:id="rId13"/>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'Res (100)'!$A$1:$O$75</definedName>
    <definedName name="_xlnm.Print_Area" localSheetId="4">'Res (1000)'!$A$1:$O$75</definedName>
    <definedName name="_xlnm.Print_Area" localSheetId="5">'Res (1500)'!$A$1:$P$75</definedName>
    <definedName name="_xlnm.Print_Area" localSheetId="6">'Res (2000)'!$A$1:$O$75</definedName>
    <definedName name="_xlnm.Print_Area" localSheetId="1">'Res (250)'!$A$1:$P$75</definedName>
    <definedName name="_xlnm.Print_Area" localSheetId="2">'Res (500)'!$A$1:$O$75</definedName>
    <definedName name="_xlnm.Print_Area" localSheetId="3">'Res (800)'!$A$1:$O$75</definedName>
    <definedName name="_xlnm.Print_Titles" localSheetId="0">'Res (100)'!$A:$H</definedName>
    <definedName name="_xlnm.Print_Titles" localSheetId="4">'Res (1000)'!$A:$H</definedName>
    <definedName name="_xlnm.Print_Titles" localSheetId="5">'Res (1500)'!$A:$H</definedName>
    <definedName name="_xlnm.Print_Titles" localSheetId="6">'Res (2000)'!$A:$H</definedName>
    <definedName name="_xlnm.Print_Titles" localSheetId="1">'Res (250)'!$A:$H</definedName>
    <definedName name="_xlnm.Print_Titles" localSheetId="2">'Res (500)'!$A:$H</definedName>
    <definedName name="_xlnm.Print_Titles" localSheetId="3">'Res (800)'!$A:$H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J29" i="16" l="1"/>
  <c r="J29" i="15"/>
  <c r="J29" i="14"/>
  <c r="J29" i="1"/>
  <c r="J29" i="13"/>
  <c r="J29" i="12"/>
  <c r="J23" i="16" l="1"/>
  <c r="J23" i="15"/>
  <c r="J23" i="14"/>
  <c r="J23" i="1"/>
  <c r="J23" i="13"/>
  <c r="J23" i="12"/>
  <c r="G58" i="11"/>
  <c r="G58" i="12"/>
  <c r="H58" i="12" s="1"/>
  <c r="G59" i="16" l="1"/>
  <c r="G58" i="16"/>
  <c r="G57" i="16"/>
  <c r="G56" i="16"/>
  <c r="G55" i="16"/>
  <c r="K54" i="16"/>
  <c r="J54" i="16"/>
  <c r="G54" i="16"/>
  <c r="H54" i="16" s="1"/>
  <c r="L53" i="16"/>
  <c r="H53" i="16"/>
  <c r="K48" i="16"/>
  <c r="K49" i="16" s="1"/>
  <c r="G48" i="16"/>
  <c r="H48" i="16" s="1"/>
  <c r="L46" i="16"/>
  <c r="H46" i="16"/>
  <c r="K45" i="16"/>
  <c r="J45" i="16"/>
  <c r="G45" i="16"/>
  <c r="F45" i="16"/>
  <c r="K44" i="16"/>
  <c r="L44" i="16" s="1"/>
  <c r="G44" i="16"/>
  <c r="H44" i="16" s="1"/>
  <c r="K43" i="16"/>
  <c r="L43" i="16" s="1"/>
  <c r="G43" i="16"/>
  <c r="H43" i="16" s="1"/>
  <c r="O43" i="16" s="1"/>
  <c r="K42" i="16"/>
  <c r="L42" i="16" s="1"/>
  <c r="G42" i="16"/>
  <c r="H42" i="16" s="1"/>
  <c r="K41" i="16"/>
  <c r="L41" i="16" s="1"/>
  <c r="G41" i="16"/>
  <c r="H41" i="16" s="1"/>
  <c r="O41" i="16" s="1"/>
  <c r="K40" i="16"/>
  <c r="L40" i="16" s="1"/>
  <c r="G40" i="16"/>
  <c r="H40" i="16" s="1"/>
  <c r="K38" i="16"/>
  <c r="L38" i="16" s="1"/>
  <c r="G38" i="16"/>
  <c r="H38" i="16" s="1"/>
  <c r="O38" i="16" s="1"/>
  <c r="K37" i="16"/>
  <c r="L37" i="16" s="1"/>
  <c r="G37" i="16"/>
  <c r="H37" i="16" s="1"/>
  <c r="K36" i="16"/>
  <c r="L36" i="16" s="1"/>
  <c r="G36" i="16"/>
  <c r="H36" i="16" s="1"/>
  <c r="O36" i="16" s="1"/>
  <c r="K35" i="16"/>
  <c r="L35" i="16" s="1"/>
  <c r="G35" i="16"/>
  <c r="H35" i="16" s="1"/>
  <c r="O35" i="16" s="1"/>
  <c r="K34" i="16"/>
  <c r="L34" i="16" s="1"/>
  <c r="G34" i="16"/>
  <c r="H34" i="16" s="1"/>
  <c r="O34" i="16" s="1"/>
  <c r="K33" i="16"/>
  <c r="L33" i="16" s="1"/>
  <c r="G33" i="16"/>
  <c r="H33" i="16" s="1"/>
  <c r="K32" i="16"/>
  <c r="L32" i="16" s="1"/>
  <c r="G32" i="16"/>
  <c r="H32" i="16" s="1"/>
  <c r="O32" i="16" s="1"/>
  <c r="K31" i="16"/>
  <c r="L31" i="16" s="1"/>
  <c r="G31" i="16"/>
  <c r="H31" i="16" s="1"/>
  <c r="O31" i="16" s="1"/>
  <c r="K30" i="16"/>
  <c r="L30" i="16" s="1"/>
  <c r="G30" i="16"/>
  <c r="H30" i="16" s="1"/>
  <c r="O30" i="16" s="1"/>
  <c r="K29" i="16"/>
  <c r="L29" i="16" s="1"/>
  <c r="G29" i="16"/>
  <c r="H29" i="16" s="1"/>
  <c r="L28" i="16"/>
  <c r="H28" i="16"/>
  <c r="O28" i="16" s="1"/>
  <c r="L27" i="16"/>
  <c r="H27" i="16"/>
  <c r="O27" i="16" s="1"/>
  <c r="L26" i="16"/>
  <c r="H26" i="16"/>
  <c r="O26" i="16" s="1"/>
  <c r="L25" i="16"/>
  <c r="H25" i="16"/>
  <c r="O25" i="16" s="1"/>
  <c r="L24" i="16"/>
  <c r="H24" i="16"/>
  <c r="O24" i="16" s="1"/>
  <c r="L23" i="16"/>
  <c r="H23" i="16"/>
  <c r="G59" i="15"/>
  <c r="G58" i="15"/>
  <c r="K57" i="15"/>
  <c r="L57" i="15" s="1"/>
  <c r="G57" i="15"/>
  <c r="G56" i="15"/>
  <c r="G55" i="15"/>
  <c r="K54" i="15"/>
  <c r="J54" i="15"/>
  <c r="G54" i="15"/>
  <c r="H54" i="15" s="1"/>
  <c r="L53" i="15"/>
  <c r="N53" i="15" s="1"/>
  <c r="H53" i="15"/>
  <c r="K48" i="15"/>
  <c r="G48" i="15"/>
  <c r="H48" i="15" s="1"/>
  <c r="L46" i="15"/>
  <c r="H46" i="15"/>
  <c r="K45" i="15"/>
  <c r="J45" i="15"/>
  <c r="G45" i="15"/>
  <c r="F45" i="15"/>
  <c r="K44" i="15"/>
  <c r="L44" i="15" s="1"/>
  <c r="G44" i="15"/>
  <c r="H44" i="15" s="1"/>
  <c r="K43" i="15"/>
  <c r="L43" i="15" s="1"/>
  <c r="G43" i="15"/>
  <c r="H43" i="15" s="1"/>
  <c r="O43" i="15" s="1"/>
  <c r="K42" i="15"/>
  <c r="L42" i="15" s="1"/>
  <c r="G42" i="15"/>
  <c r="H42" i="15" s="1"/>
  <c r="O42" i="15" s="1"/>
  <c r="K41" i="15"/>
  <c r="L41" i="15" s="1"/>
  <c r="G41" i="15"/>
  <c r="H41" i="15" s="1"/>
  <c r="O41" i="15" s="1"/>
  <c r="K40" i="15"/>
  <c r="L40" i="15" s="1"/>
  <c r="G40" i="15"/>
  <c r="H40" i="15" s="1"/>
  <c r="O40" i="15" s="1"/>
  <c r="K38" i="15"/>
  <c r="L38" i="15" s="1"/>
  <c r="G38" i="15"/>
  <c r="H38" i="15" s="1"/>
  <c r="O38" i="15" s="1"/>
  <c r="K37" i="15"/>
  <c r="L37" i="15" s="1"/>
  <c r="G37" i="15"/>
  <c r="H37" i="15" s="1"/>
  <c r="O37" i="15" s="1"/>
  <c r="K36" i="15"/>
  <c r="L36" i="15" s="1"/>
  <c r="G36" i="15"/>
  <c r="H36" i="15" s="1"/>
  <c r="O36" i="15" s="1"/>
  <c r="K35" i="15"/>
  <c r="L35" i="15" s="1"/>
  <c r="G35" i="15"/>
  <c r="H35" i="15" s="1"/>
  <c r="O35" i="15" s="1"/>
  <c r="K34" i="15"/>
  <c r="L34" i="15" s="1"/>
  <c r="G34" i="15"/>
  <c r="H34" i="15" s="1"/>
  <c r="O34" i="15" s="1"/>
  <c r="K33" i="15"/>
  <c r="L33" i="15" s="1"/>
  <c r="G33" i="15"/>
  <c r="H33" i="15" s="1"/>
  <c r="O33" i="15" s="1"/>
  <c r="K32" i="15"/>
  <c r="L32" i="15" s="1"/>
  <c r="G32" i="15"/>
  <c r="H32" i="15" s="1"/>
  <c r="O32" i="15" s="1"/>
  <c r="K31" i="15"/>
  <c r="L31" i="15" s="1"/>
  <c r="G31" i="15"/>
  <c r="H31" i="15" s="1"/>
  <c r="O31" i="15" s="1"/>
  <c r="K30" i="15"/>
  <c r="L30" i="15" s="1"/>
  <c r="G30" i="15"/>
  <c r="H30" i="15" s="1"/>
  <c r="K29" i="15"/>
  <c r="L29" i="15" s="1"/>
  <c r="G29" i="15"/>
  <c r="H29" i="15" s="1"/>
  <c r="L28" i="15"/>
  <c r="H28" i="15"/>
  <c r="O28" i="15" s="1"/>
  <c r="L27" i="15"/>
  <c r="H27" i="15"/>
  <c r="O27" i="15" s="1"/>
  <c r="L26" i="15"/>
  <c r="H26" i="15"/>
  <c r="O26" i="15" s="1"/>
  <c r="L25" i="15"/>
  <c r="H25" i="15"/>
  <c r="O25" i="15" s="1"/>
  <c r="L24" i="15"/>
  <c r="H24" i="15"/>
  <c r="O24" i="15" s="1"/>
  <c r="L23" i="15"/>
  <c r="H23" i="15"/>
  <c r="G59" i="14"/>
  <c r="G58" i="14"/>
  <c r="K57" i="14"/>
  <c r="L57" i="14" s="1"/>
  <c r="G57" i="14"/>
  <c r="H57" i="14" s="1"/>
  <c r="G56" i="14"/>
  <c r="K55" i="14"/>
  <c r="L55" i="14" s="1"/>
  <c r="G55" i="14"/>
  <c r="H55" i="14" s="1"/>
  <c r="K54" i="14"/>
  <c r="J54" i="14"/>
  <c r="G54" i="14"/>
  <c r="H54" i="14" s="1"/>
  <c r="L53" i="14"/>
  <c r="H53" i="14"/>
  <c r="K49" i="14"/>
  <c r="L49" i="14" s="1"/>
  <c r="K48" i="14"/>
  <c r="L48" i="14" s="1"/>
  <c r="G48" i="14"/>
  <c r="L46" i="14"/>
  <c r="H46" i="14"/>
  <c r="K45" i="14"/>
  <c r="J45" i="14"/>
  <c r="G45" i="14"/>
  <c r="F45" i="14"/>
  <c r="K44" i="14"/>
  <c r="L44" i="14" s="1"/>
  <c r="G44" i="14"/>
  <c r="H44" i="14" s="1"/>
  <c r="K43" i="14"/>
  <c r="L43" i="14" s="1"/>
  <c r="G43" i="14"/>
  <c r="H43" i="14" s="1"/>
  <c r="K42" i="14"/>
  <c r="L42" i="14" s="1"/>
  <c r="G42" i="14"/>
  <c r="H42" i="14" s="1"/>
  <c r="O42" i="14" s="1"/>
  <c r="L41" i="14"/>
  <c r="K41" i="14"/>
  <c r="G41" i="14"/>
  <c r="H41" i="14" s="1"/>
  <c r="O41" i="14" s="1"/>
  <c r="K40" i="14"/>
  <c r="L40" i="14" s="1"/>
  <c r="G40" i="14"/>
  <c r="H40" i="14" s="1"/>
  <c r="K38" i="14"/>
  <c r="L38" i="14" s="1"/>
  <c r="G38" i="14"/>
  <c r="H38" i="14" s="1"/>
  <c r="O38" i="14" s="1"/>
  <c r="K37" i="14"/>
  <c r="L37" i="14" s="1"/>
  <c r="G37" i="14"/>
  <c r="H37" i="14" s="1"/>
  <c r="O37" i="14" s="1"/>
  <c r="K36" i="14"/>
  <c r="L36" i="14" s="1"/>
  <c r="G36" i="14"/>
  <c r="H36" i="14" s="1"/>
  <c r="O36" i="14" s="1"/>
  <c r="K35" i="14"/>
  <c r="L35" i="14" s="1"/>
  <c r="G35" i="14"/>
  <c r="H35" i="14" s="1"/>
  <c r="K34" i="14"/>
  <c r="L34" i="14" s="1"/>
  <c r="G34" i="14"/>
  <c r="H34" i="14" s="1"/>
  <c r="O34" i="14" s="1"/>
  <c r="K33" i="14"/>
  <c r="L33" i="14" s="1"/>
  <c r="G33" i="14"/>
  <c r="H33" i="14" s="1"/>
  <c r="O33" i="14" s="1"/>
  <c r="K32" i="14"/>
  <c r="L32" i="14" s="1"/>
  <c r="G32" i="14"/>
  <c r="H32" i="14" s="1"/>
  <c r="O32" i="14" s="1"/>
  <c r="K31" i="14"/>
  <c r="L31" i="14" s="1"/>
  <c r="G31" i="14"/>
  <c r="H31" i="14" s="1"/>
  <c r="K30" i="14"/>
  <c r="L30" i="14" s="1"/>
  <c r="G30" i="14"/>
  <c r="H30" i="14" s="1"/>
  <c r="O30" i="14" s="1"/>
  <c r="K29" i="14"/>
  <c r="L29" i="14" s="1"/>
  <c r="G29" i="14"/>
  <c r="H29" i="14" s="1"/>
  <c r="L28" i="14"/>
  <c r="H28" i="14"/>
  <c r="O28" i="14" s="1"/>
  <c r="L27" i="14"/>
  <c r="H27" i="14"/>
  <c r="O27" i="14" s="1"/>
  <c r="L26" i="14"/>
  <c r="H26" i="14"/>
  <c r="O26" i="14" s="1"/>
  <c r="L25" i="14"/>
  <c r="H25" i="14"/>
  <c r="O25" i="14" s="1"/>
  <c r="L24" i="14"/>
  <c r="H24" i="14"/>
  <c r="O24" i="14" s="1"/>
  <c r="L23" i="14"/>
  <c r="H23" i="14"/>
  <c r="G59" i="13"/>
  <c r="G58" i="13"/>
  <c r="G57" i="13"/>
  <c r="G56" i="13"/>
  <c r="G55" i="13"/>
  <c r="K54" i="13"/>
  <c r="J54" i="13"/>
  <c r="G54" i="13"/>
  <c r="H54" i="13" s="1"/>
  <c r="L53" i="13"/>
  <c r="H53" i="13"/>
  <c r="K48" i="13"/>
  <c r="K49" i="13" s="1"/>
  <c r="G48" i="13"/>
  <c r="G49" i="13" s="1"/>
  <c r="H49" i="13" s="1"/>
  <c r="L46" i="13"/>
  <c r="H46" i="13"/>
  <c r="K45" i="13"/>
  <c r="J45" i="13"/>
  <c r="G45" i="13"/>
  <c r="F45" i="13"/>
  <c r="K44" i="13"/>
  <c r="L44" i="13" s="1"/>
  <c r="G44" i="13"/>
  <c r="H44" i="13" s="1"/>
  <c r="K43" i="13"/>
  <c r="L43" i="13" s="1"/>
  <c r="G43" i="13"/>
  <c r="H43" i="13" s="1"/>
  <c r="O43" i="13" s="1"/>
  <c r="K42" i="13"/>
  <c r="L42" i="13" s="1"/>
  <c r="G42" i="13"/>
  <c r="H42" i="13" s="1"/>
  <c r="O42" i="13" s="1"/>
  <c r="K41" i="13"/>
  <c r="L41" i="13" s="1"/>
  <c r="G41" i="13"/>
  <c r="H41" i="13" s="1"/>
  <c r="K40" i="13"/>
  <c r="L40" i="13" s="1"/>
  <c r="G40" i="13"/>
  <c r="H40" i="13" s="1"/>
  <c r="O40" i="13" s="1"/>
  <c r="K38" i="13"/>
  <c r="L38" i="13" s="1"/>
  <c r="G38" i="13"/>
  <c r="H38" i="13" s="1"/>
  <c r="K37" i="13"/>
  <c r="L37" i="13" s="1"/>
  <c r="G37" i="13"/>
  <c r="H37" i="13" s="1"/>
  <c r="O37" i="13" s="1"/>
  <c r="K36" i="13"/>
  <c r="L36" i="13" s="1"/>
  <c r="G36" i="13"/>
  <c r="H36" i="13" s="1"/>
  <c r="O36" i="13" s="1"/>
  <c r="K35" i="13"/>
  <c r="L35" i="13" s="1"/>
  <c r="G35" i="13"/>
  <c r="H35" i="13" s="1"/>
  <c r="O35" i="13" s="1"/>
  <c r="K34" i="13"/>
  <c r="L34" i="13" s="1"/>
  <c r="G34" i="13"/>
  <c r="H34" i="13" s="1"/>
  <c r="O34" i="13" s="1"/>
  <c r="K33" i="13"/>
  <c r="L33" i="13" s="1"/>
  <c r="G33" i="13"/>
  <c r="H33" i="13" s="1"/>
  <c r="O33" i="13" s="1"/>
  <c r="K32" i="13"/>
  <c r="L32" i="13" s="1"/>
  <c r="G32" i="13"/>
  <c r="H32" i="13" s="1"/>
  <c r="O32" i="13" s="1"/>
  <c r="K31" i="13"/>
  <c r="L31" i="13" s="1"/>
  <c r="G31" i="13"/>
  <c r="H31" i="13" s="1"/>
  <c r="O31" i="13" s="1"/>
  <c r="K30" i="13"/>
  <c r="L30" i="13" s="1"/>
  <c r="G30" i="13"/>
  <c r="H30" i="13" s="1"/>
  <c r="K29" i="13"/>
  <c r="L29" i="13" s="1"/>
  <c r="G29" i="13"/>
  <c r="H29" i="13" s="1"/>
  <c r="L28" i="13"/>
  <c r="H28" i="13"/>
  <c r="O28" i="13" s="1"/>
  <c r="L27" i="13"/>
  <c r="H27" i="13"/>
  <c r="O27" i="13" s="1"/>
  <c r="L26" i="13"/>
  <c r="H26" i="13"/>
  <c r="O26" i="13" s="1"/>
  <c r="L25" i="13"/>
  <c r="H25" i="13"/>
  <c r="O25" i="13" s="1"/>
  <c r="L24" i="13"/>
  <c r="H24" i="13"/>
  <c r="O24" i="13" s="1"/>
  <c r="L23" i="13"/>
  <c r="H23" i="13"/>
  <c r="G59" i="12"/>
  <c r="G57" i="12"/>
  <c r="G56" i="12"/>
  <c r="G55" i="12"/>
  <c r="K54" i="12"/>
  <c r="J54" i="12"/>
  <c r="G54" i="12"/>
  <c r="H54" i="12" s="1"/>
  <c r="L53" i="12"/>
  <c r="H53" i="12"/>
  <c r="K48" i="12"/>
  <c r="G48" i="12"/>
  <c r="G49" i="12" s="1"/>
  <c r="G51" i="12" s="1"/>
  <c r="H51" i="12" s="1"/>
  <c r="L46" i="12"/>
  <c r="H46" i="12"/>
  <c r="K45" i="12"/>
  <c r="J45" i="12"/>
  <c r="G45" i="12"/>
  <c r="F45" i="12"/>
  <c r="K44" i="12"/>
  <c r="L44" i="12" s="1"/>
  <c r="G44" i="12"/>
  <c r="H44" i="12" s="1"/>
  <c r="K43" i="12"/>
  <c r="L43" i="12" s="1"/>
  <c r="G43" i="12"/>
  <c r="H43" i="12" s="1"/>
  <c r="O43" i="12" s="1"/>
  <c r="K42" i="12"/>
  <c r="L42" i="12" s="1"/>
  <c r="G42" i="12"/>
  <c r="H42" i="12" s="1"/>
  <c r="O42" i="12" s="1"/>
  <c r="K41" i="12"/>
  <c r="L41" i="12" s="1"/>
  <c r="G41" i="12"/>
  <c r="H41" i="12" s="1"/>
  <c r="O41" i="12" s="1"/>
  <c r="K40" i="12"/>
  <c r="L40" i="12" s="1"/>
  <c r="G40" i="12"/>
  <c r="H40" i="12" s="1"/>
  <c r="O40" i="12" s="1"/>
  <c r="K38" i="12"/>
  <c r="L38" i="12" s="1"/>
  <c r="G38" i="12"/>
  <c r="H38" i="12" s="1"/>
  <c r="O38" i="12" s="1"/>
  <c r="K37" i="12"/>
  <c r="L37" i="12" s="1"/>
  <c r="G37" i="12"/>
  <c r="H37" i="12" s="1"/>
  <c r="O37" i="12" s="1"/>
  <c r="K36" i="12"/>
  <c r="L36" i="12" s="1"/>
  <c r="G36" i="12"/>
  <c r="H36" i="12" s="1"/>
  <c r="O36" i="12" s="1"/>
  <c r="K35" i="12"/>
  <c r="L35" i="12" s="1"/>
  <c r="G35" i="12"/>
  <c r="H35" i="12" s="1"/>
  <c r="O35" i="12" s="1"/>
  <c r="K34" i="12"/>
  <c r="L34" i="12" s="1"/>
  <c r="G34" i="12"/>
  <c r="H34" i="12" s="1"/>
  <c r="O34" i="12" s="1"/>
  <c r="K33" i="12"/>
  <c r="L33" i="12" s="1"/>
  <c r="G33" i="12"/>
  <c r="H33" i="12" s="1"/>
  <c r="O33" i="12" s="1"/>
  <c r="K32" i="12"/>
  <c r="L32" i="12" s="1"/>
  <c r="G32" i="12"/>
  <c r="H32" i="12" s="1"/>
  <c r="O32" i="12" s="1"/>
  <c r="K31" i="12"/>
  <c r="L31" i="12" s="1"/>
  <c r="G31" i="12"/>
  <c r="H31" i="12" s="1"/>
  <c r="O31" i="12" s="1"/>
  <c r="K30" i="12"/>
  <c r="L30" i="12" s="1"/>
  <c r="G30" i="12"/>
  <c r="H30" i="12" s="1"/>
  <c r="O30" i="12" s="1"/>
  <c r="K29" i="12"/>
  <c r="L29" i="12" s="1"/>
  <c r="G29" i="12"/>
  <c r="H29" i="12" s="1"/>
  <c r="L28" i="12"/>
  <c r="H28" i="12"/>
  <c r="O28" i="12" s="1"/>
  <c r="L27" i="12"/>
  <c r="H27" i="12"/>
  <c r="O27" i="12" s="1"/>
  <c r="L26" i="12"/>
  <c r="H26" i="12"/>
  <c r="O26" i="12" s="1"/>
  <c r="L25" i="12"/>
  <c r="H25" i="12"/>
  <c r="O25" i="12" s="1"/>
  <c r="L24" i="12"/>
  <c r="H24" i="12"/>
  <c r="O24" i="12" s="1"/>
  <c r="L23" i="12"/>
  <c r="H23" i="12"/>
  <c r="G59" i="11"/>
  <c r="G57" i="11"/>
  <c r="G56" i="11"/>
  <c r="G55" i="11"/>
  <c r="K54" i="11"/>
  <c r="J54" i="11"/>
  <c r="G54" i="11"/>
  <c r="H54" i="11" s="1"/>
  <c r="L53" i="11"/>
  <c r="H53" i="11"/>
  <c r="K48" i="11"/>
  <c r="G48" i="11"/>
  <c r="G49" i="11" s="1"/>
  <c r="L46" i="11"/>
  <c r="H46" i="11"/>
  <c r="K45" i="11"/>
  <c r="J45" i="11"/>
  <c r="G45" i="11"/>
  <c r="F45" i="11"/>
  <c r="K44" i="11"/>
  <c r="L44" i="11" s="1"/>
  <c r="G44" i="11"/>
  <c r="H44" i="11" s="1"/>
  <c r="K43" i="11"/>
  <c r="L43" i="11" s="1"/>
  <c r="G43" i="11"/>
  <c r="H43" i="11" s="1"/>
  <c r="O43" i="11" s="1"/>
  <c r="K42" i="11"/>
  <c r="L42" i="11" s="1"/>
  <c r="G42" i="11"/>
  <c r="H42" i="11" s="1"/>
  <c r="O42" i="11" s="1"/>
  <c r="K41" i="11"/>
  <c r="L41" i="11" s="1"/>
  <c r="G41" i="11"/>
  <c r="H41" i="11" s="1"/>
  <c r="O41" i="11" s="1"/>
  <c r="K40" i="11"/>
  <c r="L40" i="11" s="1"/>
  <c r="G40" i="11"/>
  <c r="H40" i="11" s="1"/>
  <c r="O40" i="11" s="1"/>
  <c r="K38" i="11"/>
  <c r="L38" i="11" s="1"/>
  <c r="G38" i="11"/>
  <c r="H38" i="11" s="1"/>
  <c r="O38" i="11" s="1"/>
  <c r="K37" i="11"/>
  <c r="L37" i="11" s="1"/>
  <c r="G37" i="11"/>
  <c r="H37" i="11" s="1"/>
  <c r="O37" i="11" s="1"/>
  <c r="K36" i="11"/>
  <c r="L36" i="11" s="1"/>
  <c r="G36" i="11"/>
  <c r="H36" i="11" s="1"/>
  <c r="O36" i="11" s="1"/>
  <c r="K35" i="11"/>
  <c r="L35" i="11" s="1"/>
  <c r="G35" i="11"/>
  <c r="H35" i="11" s="1"/>
  <c r="O35" i="11" s="1"/>
  <c r="K34" i="11"/>
  <c r="L34" i="11" s="1"/>
  <c r="G34" i="11"/>
  <c r="H34" i="11" s="1"/>
  <c r="O34" i="11" s="1"/>
  <c r="K33" i="11"/>
  <c r="L33" i="11" s="1"/>
  <c r="G33" i="11"/>
  <c r="H33" i="11" s="1"/>
  <c r="K32" i="11"/>
  <c r="L32" i="11" s="1"/>
  <c r="G32" i="11"/>
  <c r="H32" i="11" s="1"/>
  <c r="O32" i="11" s="1"/>
  <c r="K31" i="11"/>
  <c r="L31" i="11" s="1"/>
  <c r="G31" i="11"/>
  <c r="H31" i="11" s="1"/>
  <c r="O31" i="11" s="1"/>
  <c r="K30" i="11"/>
  <c r="L30" i="11" s="1"/>
  <c r="G30" i="11"/>
  <c r="H30" i="11" s="1"/>
  <c r="O30" i="11" s="1"/>
  <c r="K29" i="11"/>
  <c r="L29" i="11" s="1"/>
  <c r="G29" i="11"/>
  <c r="H29" i="11" s="1"/>
  <c r="L28" i="11"/>
  <c r="H28" i="11"/>
  <c r="O28" i="11" s="1"/>
  <c r="L27" i="11"/>
  <c r="H27" i="11"/>
  <c r="O27" i="11" s="1"/>
  <c r="L26" i="11"/>
  <c r="H26" i="11"/>
  <c r="O26" i="11" s="1"/>
  <c r="L25" i="11"/>
  <c r="H25" i="11"/>
  <c r="O25" i="11" s="1"/>
  <c r="L24" i="11"/>
  <c r="H24" i="11"/>
  <c r="O24" i="11" s="1"/>
  <c r="L23" i="11"/>
  <c r="H23" i="11"/>
  <c r="H56" i="16" l="1"/>
  <c r="N23" i="12"/>
  <c r="O23" i="12" s="1"/>
  <c r="N53" i="16"/>
  <c r="O53" i="16" s="1"/>
  <c r="N53" i="12"/>
  <c r="O53" i="12" s="1"/>
  <c r="L45" i="11"/>
  <c r="N46" i="11"/>
  <c r="O46" i="11" s="1"/>
  <c r="N53" i="11"/>
  <c r="K59" i="11"/>
  <c r="L59" i="11" s="1"/>
  <c r="H56" i="11"/>
  <c r="N31" i="11"/>
  <c r="N26" i="12"/>
  <c r="N25" i="12"/>
  <c r="N44" i="12"/>
  <c r="O44" i="12" s="1"/>
  <c r="L45" i="12"/>
  <c r="H48" i="12"/>
  <c r="H57" i="12"/>
  <c r="N24" i="12"/>
  <c r="N28" i="12"/>
  <c r="N27" i="12"/>
  <c r="H55" i="12"/>
  <c r="H56" i="13"/>
  <c r="H59" i="13"/>
  <c r="O59" i="13" s="1"/>
  <c r="G52" i="13"/>
  <c r="H52" i="13" s="1"/>
  <c r="H57" i="13"/>
  <c r="H55" i="13"/>
  <c r="H58" i="13"/>
  <c r="H58" i="14"/>
  <c r="K59" i="14"/>
  <c r="L59" i="14" s="1"/>
  <c r="H56" i="14"/>
  <c r="N27" i="15"/>
  <c r="H55" i="15"/>
  <c r="H56" i="15"/>
  <c r="H58" i="15"/>
  <c r="N26" i="15"/>
  <c r="H59" i="15"/>
  <c r="N59" i="15" s="1"/>
  <c r="O59" i="15" s="1"/>
  <c r="N23" i="15"/>
  <c r="O23" i="15" s="1"/>
  <c r="N28" i="15"/>
  <c r="N46" i="15"/>
  <c r="L54" i="15"/>
  <c r="H57" i="15"/>
  <c r="N57" i="15" s="1"/>
  <c r="L45" i="16"/>
  <c r="H58" i="16"/>
  <c r="H59" i="16"/>
  <c r="H55" i="16"/>
  <c r="H57" i="16"/>
  <c r="H45" i="16"/>
  <c r="L48" i="16"/>
  <c r="N24" i="15"/>
  <c r="O46" i="15"/>
  <c r="L45" i="15"/>
  <c r="N25" i="15"/>
  <c r="N31" i="15"/>
  <c r="L45" i="14"/>
  <c r="N29" i="14"/>
  <c r="O29" i="14" s="1"/>
  <c r="N25" i="13"/>
  <c r="K57" i="13"/>
  <c r="L57" i="13" s="1"/>
  <c r="L45" i="13"/>
  <c r="N41" i="13"/>
  <c r="K58" i="12"/>
  <c r="L58" i="12" s="1"/>
  <c r="G52" i="12"/>
  <c r="H52" i="12" s="1"/>
  <c r="H59" i="11"/>
  <c r="N40" i="11"/>
  <c r="H45" i="11"/>
  <c r="H39" i="16"/>
  <c r="G49" i="16"/>
  <c r="H49" i="16" s="1"/>
  <c r="K56" i="16"/>
  <c r="L56" i="16" s="1"/>
  <c r="K58" i="16"/>
  <c r="L58" i="16" s="1"/>
  <c r="N29" i="16"/>
  <c r="O29" i="16" s="1"/>
  <c r="N35" i="16"/>
  <c r="N36" i="16"/>
  <c r="N44" i="16"/>
  <c r="O44" i="16" s="1"/>
  <c r="N30" i="16"/>
  <c r="N32" i="16"/>
  <c r="N38" i="16"/>
  <c r="N40" i="16"/>
  <c r="O40" i="16"/>
  <c r="N41" i="16"/>
  <c r="O33" i="16"/>
  <c r="N33" i="16"/>
  <c r="O42" i="16"/>
  <c r="N42" i="16"/>
  <c r="N34" i="16"/>
  <c r="O37" i="16"/>
  <c r="N37" i="16"/>
  <c r="N43" i="16"/>
  <c r="N23" i="16"/>
  <c r="O23" i="16" s="1"/>
  <c r="N25" i="16"/>
  <c r="L39" i="16"/>
  <c r="N46" i="16"/>
  <c r="O46" i="16" s="1"/>
  <c r="N26" i="16"/>
  <c r="L49" i="16"/>
  <c r="K52" i="16"/>
  <c r="L52" i="16" s="1"/>
  <c r="K51" i="16"/>
  <c r="L51" i="16" s="1"/>
  <c r="N27" i="16"/>
  <c r="N31" i="16"/>
  <c r="N24" i="16"/>
  <c r="N28" i="16"/>
  <c r="K55" i="16"/>
  <c r="L55" i="16" s="1"/>
  <c r="L54" i="16"/>
  <c r="K59" i="16"/>
  <c r="L59" i="16" s="1"/>
  <c r="K57" i="16"/>
  <c r="L57" i="16" s="1"/>
  <c r="G49" i="15"/>
  <c r="G51" i="15" s="1"/>
  <c r="H51" i="15" s="1"/>
  <c r="K55" i="15"/>
  <c r="L55" i="15" s="1"/>
  <c r="K59" i="15"/>
  <c r="L59" i="15" s="1"/>
  <c r="H45" i="15"/>
  <c r="N45" i="15" s="1"/>
  <c r="O45" i="15" s="1"/>
  <c r="N29" i="15"/>
  <c r="O29" i="15" s="1"/>
  <c r="O30" i="15"/>
  <c r="H39" i="15"/>
  <c r="N37" i="15"/>
  <c r="N40" i="15"/>
  <c r="N54" i="15"/>
  <c r="O54" i="15" s="1"/>
  <c r="N35" i="15"/>
  <c r="N43" i="15"/>
  <c r="K49" i="15"/>
  <c r="L48" i="15"/>
  <c r="N30" i="15"/>
  <c r="N32" i="15"/>
  <c r="N34" i="15"/>
  <c r="N41" i="15"/>
  <c r="N44" i="15"/>
  <c r="O44" i="15" s="1"/>
  <c r="L39" i="15"/>
  <c r="N33" i="15"/>
  <c r="N38" i="15"/>
  <c r="N36" i="15"/>
  <c r="N42" i="15"/>
  <c r="K56" i="15"/>
  <c r="L56" i="15" s="1"/>
  <c r="K58" i="15"/>
  <c r="L58" i="15" s="1"/>
  <c r="O53" i="15"/>
  <c r="H45" i="14"/>
  <c r="N45" i="14" s="1"/>
  <c r="O45" i="14" s="1"/>
  <c r="H59" i="14"/>
  <c r="O40" i="14"/>
  <c r="N40" i="14"/>
  <c r="O31" i="14"/>
  <c r="N31" i="14"/>
  <c r="N32" i="14"/>
  <c r="N43" i="14"/>
  <c r="O43" i="14"/>
  <c r="H39" i="14"/>
  <c r="O35" i="14"/>
  <c r="N35" i="14"/>
  <c r="N44" i="14"/>
  <c r="O44" i="14" s="1"/>
  <c r="N36" i="14"/>
  <c r="N38" i="14"/>
  <c r="N42" i="14"/>
  <c r="G49" i="14"/>
  <c r="H48" i="14"/>
  <c r="N48" i="14" s="1"/>
  <c r="N26" i="14"/>
  <c r="N41" i="14"/>
  <c r="N24" i="14"/>
  <c r="N28" i="14"/>
  <c r="N33" i="14"/>
  <c r="N37" i="14"/>
  <c r="K58" i="14"/>
  <c r="L58" i="14" s="1"/>
  <c r="N25" i="14"/>
  <c r="N30" i="14"/>
  <c r="N34" i="14"/>
  <c r="N55" i="14"/>
  <c r="O55" i="14" s="1"/>
  <c r="N23" i="14"/>
  <c r="O23" i="14" s="1"/>
  <c r="N27" i="14"/>
  <c r="L39" i="14"/>
  <c r="N46" i="14"/>
  <c r="O46" i="14" s="1"/>
  <c r="K52" i="14"/>
  <c r="L52" i="14" s="1"/>
  <c r="K51" i="14"/>
  <c r="L51" i="14" s="1"/>
  <c r="L54" i="14"/>
  <c r="N53" i="14"/>
  <c r="O53" i="14" s="1"/>
  <c r="K56" i="14"/>
  <c r="L56" i="14" s="1"/>
  <c r="N57" i="14"/>
  <c r="O57" i="14" s="1"/>
  <c r="N36" i="13"/>
  <c r="N43" i="13"/>
  <c r="G51" i="13"/>
  <c r="H51" i="13" s="1"/>
  <c r="K55" i="13"/>
  <c r="L55" i="13" s="1"/>
  <c r="K59" i="13"/>
  <c r="L59" i="13" s="1"/>
  <c r="N33" i="13"/>
  <c r="N44" i="13"/>
  <c r="L48" i="13"/>
  <c r="N31" i="13"/>
  <c r="N38" i="13"/>
  <c r="O38" i="13"/>
  <c r="O30" i="13"/>
  <c r="N30" i="13"/>
  <c r="N40" i="13"/>
  <c r="L39" i="13"/>
  <c r="N24" i="13"/>
  <c r="N46" i="13"/>
  <c r="O46" i="13" s="1"/>
  <c r="K52" i="13"/>
  <c r="L52" i="13" s="1"/>
  <c r="K51" i="13"/>
  <c r="L51" i="13" s="1"/>
  <c r="L49" i="13"/>
  <c r="N59" i="13"/>
  <c r="N23" i="13"/>
  <c r="O23" i="13" s="1"/>
  <c r="N27" i="13"/>
  <c r="N29" i="13"/>
  <c r="O29" i="13" s="1"/>
  <c r="N34" i="13"/>
  <c r="N32" i="13"/>
  <c r="N35" i="13"/>
  <c r="N37" i="13"/>
  <c r="O41" i="13"/>
  <c r="N42" i="13"/>
  <c r="O44" i="13"/>
  <c r="H39" i="13"/>
  <c r="N26" i="13"/>
  <c r="N28" i="13"/>
  <c r="H45" i="13"/>
  <c r="H48" i="13"/>
  <c r="N53" i="13"/>
  <c r="O53" i="13" s="1"/>
  <c r="L54" i="13"/>
  <c r="K56" i="13"/>
  <c r="L56" i="13" s="1"/>
  <c r="K58" i="13"/>
  <c r="L58" i="13" s="1"/>
  <c r="N30" i="12"/>
  <c r="N34" i="12"/>
  <c r="K57" i="12"/>
  <c r="L57" i="12" s="1"/>
  <c r="H39" i="12"/>
  <c r="N38" i="12"/>
  <c r="N32" i="12"/>
  <c r="N36" i="12"/>
  <c r="N41" i="12"/>
  <c r="H49" i="12"/>
  <c r="K56" i="12"/>
  <c r="L56" i="12" s="1"/>
  <c r="N29" i="12"/>
  <c r="O29" i="12" s="1"/>
  <c r="N37" i="12"/>
  <c r="N42" i="12"/>
  <c r="N31" i="12"/>
  <c r="N35" i="12"/>
  <c r="N40" i="12"/>
  <c r="N33" i="12"/>
  <c r="N46" i="12"/>
  <c r="O46" i="12" s="1"/>
  <c r="L39" i="12"/>
  <c r="N43" i="12"/>
  <c r="K49" i="12"/>
  <c r="L48" i="12"/>
  <c r="H45" i="12"/>
  <c r="H59" i="12"/>
  <c r="K59" i="12"/>
  <c r="L59" i="12" s="1"/>
  <c r="L54" i="12"/>
  <c r="K55" i="12"/>
  <c r="L55" i="12" s="1"/>
  <c r="H56" i="12"/>
  <c r="N33" i="11"/>
  <c r="O33" i="11"/>
  <c r="N34" i="11"/>
  <c r="K55" i="11"/>
  <c r="L55" i="11" s="1"/>
  <c r="K57" i="11"/>
  <c r="L57" i="11" s="1"/>
  <c r="H48" i="11"/>
  <c r="H55" i="11"/>
  <c r="H57" i="11"/>
  <c r="N27" i="11"/>
  <c r="N38" i="11"/>
  <c r="H39" i="11"/>
  <c r="N41" i="11"/>
  <c r="N29" i="11"/>
  <c r="O29" i="11" s="1"/>
  <c r="N32" i="11"/>
  <c r="N43" i="11"/>
  <c r="N42" i="11"/>
  <c r="K49" i="11"/>
  <c r="L48" i="11"/>
  <c r="N23" i="11"/>
  <c r="O23" i="11" s="1"/>
  <c r="L39" i="11"/>
  <c r="N30" i="11"/>
  <c r="N37" i="11"/>
  <c r="N28" i="11"/>
  <c r="G52" i="11"/>
  <c r="H52" i="11" s="1"/>
  <c r="G51" i="11"/>
  <c r="H51" i="11" s="1"/>
  <c r="L54" i="11"/>
  <c r="K58" i="11"/>
  <c r="L58" i="11" s="1"/>
  <c r="H58" i="11"/>
  <c r="N25" i="11"/>
  <c r="N35" i="11"/>
  <c r="N44" i="11"/>
  <c r="O44" i="11" s="1"/>
  <c r="H49" i="11"/>
  <c r="N24" i="11"/>
  <c r="N26" i="11"/>
  <c r="N36" i="11"/>
  <c r="O53" i="11"/>
  <c r="K56" i="11"/>
  <c r="L56" i="11" s="1"/>
  <c r="N45" i="16" l="1"/>
  <c r="O45" i="16" s="1"/>
  <c r="O57" i="15"/>
  <c r="N59" i="14"/>
  <c r="N57" i="12"/>
  <c r="O57" i="12" s="1"/>
  <c r="N45" i="11"/>
  <c r="O45" i="11" s="1"/>
  <c r="N55" i="11"/>
  <c r="O55" i="11" s="1"/>
  <c r="N59" i="11"/>
  <c r="O59" i="11" s="1"/>
  <c r="N57" i="11"/>
  <c r="O57" i="11" s="1"/>
  <c r="N58" i="12"/>
  <c r="O58" i="12" s="1"/>
  <c r="N55" i="13"/>
  <c r="O55" i="13" s="1"/>
  <c r="N57" i="13"/>
  <c r="O57" i="13" s="1"/>
  <c r="O59" i="14"/>
  <c r="N55" i="15"/>
  <c r="O55" i="15" s="1"/>
  <c r="N58" i="16"/>
  <c r="O58" i="16" s="1"/>
  <c r="G52" i="16"/>
  <c r="H52" i="16" s="1"/>
  <c r="N52" i="16" s="1"/>
  <c r="O52" i="16" s="1"/>
  <c r="H47" i="16"/>
  <c r="N56" i="16"/>
  <c r="O56" i="16" s="1"/>
  <c r="N48" i="16"/>
  <c r="O48" i="16" s="1"/>
  <c r="H49" i="15"/>
  <c r="G51" i="16"/>
  <c r="H51" i="16" s="1"/>
  <c r="N51" i="16" s="1"/>
  <c r="O51" i="16" s="1"/>
  <c r="N55" i="16"/>
  <c r="O55" i="16" s="1"/>
  <c r="N54" i="16"/>
  <c r="O54" i="16" s="1"/>
  <c r="L47" i="16"/>
  <c r="N39" i="16"/>
  <c r="O39" i="16" s="1"/>
  <c r="N57" i="16"/>
  <c r="O57" i="16" s="1"/>
  <c r="N59" i="16"/>
  <c r="O59" i="16" s="1"/>
  <c r="N49" i="16"/>
  <c r="O49" i="16" s="1"/>
  <c r="H50" i="16"/>
  <c r="G52" i="15"/>
  <c r="H52" i="15" s="1"/>
  <c r="N39" i="15"/>
  <c r="O39" i="15" s="1"/>
  <c r="L47" i="15"/>
  <c r="K51" i="15"/>
  <c r="L51" i="15" s="1"/>
  <c r="K52" i="15"/>
  <c r="L52" i="15" s="1"/>
  <c r="L49" i="15"/>
  <c r="N56" i="15"/>
  <c r="O56" i="15" s="1"/>
  <c r="N58" i="15"/>
  <c r="O58" i="15" s="1"/>
  <c r="N48" i="15"/>
  <c r="O48" i="15" s="1"/>
  <c r="H47" i="15"/>
  <c r="N58" i="14"/>
  <c r="O58" i="14" s="1"/>
  <c r="L47" i="14"/>
  <c r="N39" i="14"/>
  <c r="O39" i="14" s="1"/>
  <c r="H47" i="14"/>
  <c r="G52" i="14"/>
  <c r="H52" i="14" s="1"/>
  <c r="H49" i="14"/>
  <c r="G51" i="14"/>
  <c r="H51" i="14" s="1"/>
  <c r="N51" i="14" s="1"/>
  <c r="N56" i="14"/>
  <c r="O56" i="14" s="1"/>
  <c r="N54" i="14"/>
  <c r="O54" i="14" s="1"/>
  <c r="O48" i="14"/>
  <c r="N54" i="13"/>
  <c r="O54" i="13" s="1"/>
  <c r="N49" i="13"/>
  <c r="O49" i="13" s="1"/>
  <c r="N58" i="13"/>
  <c r="O58" i="13" s="1"/>
  <c r="N48" i="13"/>
  <c r="O48" i="13" s="1"/>
  <c r="N51" i="13"/>
  <c r="O51" i="13" s="1"/>
  <c r="L47" i="13"/>
  <c r="N39" i="13"/>
  <c r="O39" i="13" s="1"/>
  <c r="N56" i="13"/>
  <c r="O56" i="13" s="1"/>
  <c r="H47" i="13"/>
  <c r="N45" i="13"/>
  <c r="O45" i="13" s="1"/>
  <c r="N52" i="13"/>
  <c r="O52" i="13" s="1"/>
  <c r="N54" i="12"/>
  <c r="O54" i="12" s="1"/>
  <c r="O59" i="12"/>
  <c r="N55" i="12"/>
  <c r="O55" i="12" s="1"/>
  <c r="N59" i="12"/>
  <c r="N48" i="12"/>
  <c r="O48" i="12" s="1"/>
  <c r="L47" i="12"/>
  <c r="N39" i="12"/>
  <c r="O39" i="12" s="1"/>
  <c r="N56" i="12"/>
  <c r="O56" i="12" s="1"/>
  <c r="H47" i="12"/>
  <c r="K52" i="12"/>
  <c r="L52" i="12" s="1"/>
  <c r="K51" i="12"/>
  <c r="L51" i="12" s="1"/>
  <c r="L49" i="12"/>
  <c r="N45" i="12"/>
  <c r="O45" i="12" s="1"/>
  <c r="N58" i="11"/>
  <c r="O58" i="11" s="1"/>
  <c r="N48" i="11"/>
  <c r="O48" i="11" s="1"/>
  <c r="H47" i="11"/>
  <c r="N54" i="11"/>
  <c r="O54" i="11" s="1"/>
  <c r="L47" i="11"/>
  <c r="N39" i="11"/>
  <c r="O39" i="11" s="1"/>
  <c r="L49" i="11"/>
  <c r="K52" i="11"/>
  <c r="L52" i="11" s="1"/>
  <c r="K51" i="11"/>
  <c r="L51" i="11" s="1"/>
  <c r="N56" i="11"/>
  <c r="O56" i="11" s="1"/>
  <c r="H67" i="16" l="1"/>
  <c r="H61" i="16"/>
  <c r="L50" i="16"/>
  <c r="N47" i="16"/>
  <c r="O47" i="16" s="1"/>
  <c r="N47" i="15"/>
  <c r="O47" i="15" s="1"/>
  <c r="L50" i="15"/>
  <c r="N52" i="15"/>
  <c r="O52" i="15" s="1"/>
  <c r="H50" i="15"/>
  <c r="N49" i="15"/>
  <c r="O49" i="15" s="1"/>
  <c r="L61" i="15"/>
  <c r="N51" i="15"/>
  <c r="O51" i="15" s="1"/>
  <c r="H50" i="14"/>
  <c r="H61" i="14" s="1"/>
  <c r="N52" i="14"/>
  <c r="O52" i="14" s="1"/>
  <c r="O51" i="14"/>
  <c r="N47" i="14"/>
  <c r="O47" i="14" s="1"/>
  <c r="L50" i="14"/>
  <c r="N49" i="14"/>
  <c r="O49" i="14" s="1"/>
  <c r="H50" i="13"/>
  <c r="N47" i="13"/>
  <c r="O47" i="13" s="1"/>
  <c r="L50" i="13"/>
  <c r="N52" i="12"/>
  <c r="O52" i="12" s="1"/>
  <c r="H50" i="12"/>
  <c r="N51" i="12"/>
  <c r="O51" i="12" s="1"/>
  <c r="L50" i="12"/>
  <c r="N47" i="12"/>
  <c r="O47" i="12" s="1"/>
  <c r="N49" i="12"/>
  <c r="O49" i="12" s="1"/>
  <c r="N49" i="11"/>
  <c r="O49" i="11" s="1"/>
  <c r="H50" i="11"/>
  <c r="N51" i="11"/>
  <c r="O51" i="11" s="1"/>
  <c r="N52" i="11"/>
  <c r="O52" i="11" s="1"/>
  <c r="L50" i="11"/>
  <c r="N47" i="11"/>
  <c r="O47" i="11" s="1"/>
  <c r="H62" i="16" l="1"/>
  <c r="N50" i="16"/>
  <c r="O50" i="16" s="1"/>
  <c r="L67" i="16"/>
  <c r="L61" i="16"/>
  <c r="H68" i="16"/>
  <c r="L62" i="15"/>
  <c r="H67" i="15"/>
  <c r="H61" i="15"/>
  <c r="N61" i="15" s="1"/>
  <c r="N50" i="15"/>
  <c r="O50" i="15" s="1"/>
  <c r="L67" i="15"/>
  <c r="H62" i="14"/>
  <c r="H63" i="14" s="1"/>
  <c r="N50" i="14"/>
  <c r="O50" i="14" s="1"/>
  <c r="L61" i="14"/>
  <c r="L67" i="14"/>
  <c r="H67" i="14"/>
  <c r="H67" i="13"/>
  <c r="H61" i="13"/>
  <c r="N50" i="13"/>
  <c r="O50" i="13" s="1"/>
  <c r="L67" i="13"/>
  <c r="L61" i="13"/>
  <c r="N50" i="12"/>
  <c r="O50" i="12" s="1"/>
  <c r="L67" i="12"/>
  <c r="H67" i="12"/>
  <c r="H61" i="12"/>
  <c r="L61" i="12"/>
  <c r="N50" i="11"/>
  <c r="O50" i="11" s="1"/>
  <c r="L67" i="11"/>
  <c r="L61" i="11"/>
  <c r="H61" i="11"/>
  <c r="H67" i="11"/>
  <c r="L63" i="15" l="1"/>
  <c r="L64" i="15" s="1"/>
  <c r="N61" i="16"/>
  <c r="O61" i="16" s="1"/>
  <c r="L62" i="16"/>
  <c r="N67" i="16"/>
  <c r="O67" i="16" s="1"/>
  <c r="L68" i="16"/>
  <c r="H69" i="16"/>
  <c r="H63" i="16"/>
  <c r="N67" i="15"/>
  <c r="O67" i="15" s="1"/>
  <c r="L68" i="15"/>
  <c r="H68" i="15"/>
  <c r="H69" i="15" s="1"/>
  <c r="O61" i="15"/>
  <c r="H62" i="15"/>
  <c r="N62" i="15" s="1"/>
  <c r="N61" i="14"/>
  <c r="O61" i="14" s="1"/>
  <c r="L62" i="14"/>
  <c r="H64" i="14"/>
  <c r="H65" i="14" s="1"/>
  <c r="H68" i="14"/>
  <c r="N67" i="14"/>
  <c r="O67" i="14" s="1"/>
  <c r="L68" i="14"/>
  <c r="N67" i="13"/>
  <c r="O67" i="13" s="1"/>
  <c r="L68" i="13"/>
  <c r="H62" i="13"/>
  <c r="N61" i="13"/>
  <c r="O61" i="13" s="1"/>
  <c r="L62" i="13"/>
  <c r="H68" i="13"/>
  <c r="N67" i="12"/>
  <c r="O67" i="12" s="1"/>
  <c r="L68" i="12"/>
  <c r="H62" i="12"/>
  <c r="H63" i="12"/>
  <c r="H68" i="12"/>
  <c r="N61" i="12"/>
  <c r="O61" i="12" s="1"/>
  <c r="L62" i="12"/>
  <c r="H68" i="11"/>
  <c r="H69" i="11" s="1"/>
  <c r="H62" i="11"/>
  <c r="H63" i="11" s="1"/>
  <c r="N61" i="11"/>
  <c r="O61" i="11" s="1"/>
  <c r="L62" i="11"/>
  <c r="N67" i="11"/>
  <c r="O67" i="11" s="1"/>
  <c r="L68" i="11"/>
  <c r="L63" i="11" l="1"/>
  <c r="L63" i="12"/>
  <c r="N63" i="12" s="1"/>
  <c r="O63" i="12" s="1"/>
  <c r="L69" i="14"/>
  <c r="L63" i="14"/>
  <c r="N63" i="14" s="1"/>
  <c r="O63" i="14" s="1"/>
  <c r="L69" i="15"/>
  <c r="N69" i="15" s="1"/>
  <c r="O69" i="15" s="1"/>
  <c r="L65" i="15"/>
  <c r="L63" i="16"/>
  <c r="L64" i="16" s="1"/>
  <c r="N63" i="16"/>
  <c r="O63" i="16" s="1"/>
  <c r="N68" i="16"/>
  <c r="O68" i="16" s="1"/>
  <c r="L69" i="16"/>
  <c r="H64" i="16"/>
  <c r="H65" i="16" s="1"/>
  <c r="N62" i="16"/>
  <c r="O62" i="16" s="1"/>
  <c r="H70" i="16"/>
  <c r="H71" i="16" s="1"/>
  <c r="H70" i="15"/>
  <c r="N68" i="15"/>
  <c r="O68" i="15" s="1"/>
  <c r="O62" i="15"/>
  <c r="H63" i="15"/>
  <c r="L70" i="14"/>
  <c r="H69" i="14"/>
  <c r="N62" i="14"/>
  <c r="O62" i="14" s="1"/>
  <c r="N68" i="14"/>
  <c r="O68" i="14" s="1"/>
  <c r="L64" i="14"/>
  <c r="N62" i="13"/>
  <c r="O62" i="13" s="1"/>
  <c r="N68" i="13"/>
  <c r="O68" i="13" s="1"/>
  <c r="L63" i="13"/>
  <c r="L69" i="13"/>
  <c r="H69" i="13"/>
  <c r="H63" i="13"/>
  <c r="N68" i="12"/>
  <c r="O68" i="12" s="1"/>
  <c r="H69" i="12"/>
  <c r="H64" i="12"/>
  <c r="H65" i="12" s="1"/>
  <c r="L69" i="12"/>
  <c r="N62" i="12"/>
  <c r="O62" i="12" s="1"/>
  <c r="H70" i="11"/>
  <c r="N68" i="11"/>
  <c r="O68" i="11" s="1"/>
  <c r="L69" i="11"/>
  <c r="N62" i="11"/>
  <c r="O62" i="11" s="1"/>
  <c r="H64" i="11"/>
  <c r="L70" i="15" l="1"/>
  <c r="N70" i="15" s="1"/>
  <c r="O70" i="15" s="1"/>
  <c r="L64" i="12"/>
  <c r="N64" i="12" s="1"/>
  <c r="O64" i="12" s="1"/>
  <c r="N63" i="11"/>
  <c r="O63" i="11" s="1"/>
  <c r="L64" i="11"/>
  <c r="N64" i="11" s="1"/>
  <c r="O64" i="11" s="1"/>
  <c r="L71" i="14"/>
  <c r="L65" i="16"/>
  <c r="N69" i="16"/>
  <c r="O69" i="16" s="1"/>
  <c r="L70" i="16"/>
  <c r="N64" i="16"/>
  <c r="O64" i="16" s="1"/>
  <c r="H64" i="15"/>
  <c r="N63" i="15"/>
  <c r="O63" i="15" s="1"/>
  <c r="H71" i="15"/>
  <c r="N64" i="14"/>
  <c r="O64" i="14" s="1"/>
  <c r="H70" i="14"/>
  <c r="N70" i="14" s="1"/>
  <c r="N69" i="14"/>
  <c r="O69" i="14" s="1"/>
  <c r="L65" i="14"/>
  <c r="N69" i="13"/>
  <c r="O69" i="13" s="1"/>
  <c r="L70" i="13"/>
  <c r="N63" i="13"/>
  <c r="O63" i="13" s="1"/>
  <c r="L64" i="13"/>
  <c r="H64" i="13"/>
  <c r="H65" i="13" s="1"/>
  <c r="H70" i="13"/>
  <c r="N69" i="12"/>
  <c r="O69" i="12" s="1"/>
  <c r="L70" i="12"/>
  <c r="L71" i="12" s="1"/>
  <c r="H70" i="12"/>
  <c r="N69" i="11"/>
  <c r="O69" i="11" s="1"/>
  <c r="L70" i="11"/>
  <c r="H65" i="11"/>
  <c r="H71" i="11"/>
  <c r="L65" i="12" l="1"/>
  <c r="L71" i="15"/>
  <c r="N71" i="15" s="1"/>
  <c r="O71" i="15" s="1"/>
  <c r="L65" i="11"/>
  <c r="L65" i="13"/>
  <c r="N65" i="13" s="1"/>
  <c r="O65" i="13" s="1"/>
  <c r="L71" i="13"/>
  <c r="N65" i="16"/>
  <c r="O65" i="16" s="1"/>
  <c r="L71" i="16"/>
  <c r="N70" i="16"/>
  <c r="O70" i="16" s="1"/>
  <c r="N64" i="15"/>
  <c r="O64" i="15" s="1"/>
  <c r="H65" i="15"/>
  <c r="O70" i="14"/>
  <c r="N65" i="14"/>
  <c r="O65" i="14" s="1"/>
  <c r="H71" i="14"/>
  <c r="H71" i="13"/>
  <c r="N64" i="13"/>
  <c r="O64" i="13" s="1"/>
  <c r="N70" i="13"/>
  <c r="O70" i="13" s="1"/>
  <c r="N65" i="12"/>
  <c r="O65" i="12" s="1"/>
  <c r="H71" i="12"/>
  <c r="N71" i="12" s="1"/>
  <c r="N70" i="12"/>
  <c r="O70" i="12" s="1"/>
  <c r="L71" i="11"/>
  <c r="N70" i="11"/>
  <c r="O70" i="11" s="1"/>
  <c r="N71" i="16" l="1"/>
  <c r="O71" i="16" s="1"/>
  <c r="N71" i="13"/>
  <c r="O71" i="13" s="1"/>
  <c r="N65" i="11"/>
  <c r="O65" i="11" s="1"/>
  <c r="N65" i="15"/>
  <c r="O65" i="15" s="1"/>
  <c r="N71" i="14"/>
  <c r="O71" i="14" s="1"/>
  <c r="O71" i="12"/>
  <c r="N71" i="11"/>
  <c r="O71" i="11" s="1"/>
  <c r="G59" i="1" l="1"/>
  <c r="G58" i="1"/>
  <c r="H58" i="1" s="1"/>
  <c r="G57" i="1"/>
  <c r="H57" i="1" s="1"/>
  <c r="G56" i="1"/>
  <c r="G55" i="1"/>
  <c r="K54" i="1"/>
  <c r="J54" i="1"/>
  <c r="G54" i="1"/>
  <c r="H54" i="1" s="1"/>
  <c r="L53" i="1"/>
  <c r="H53" i="1"/>
  <c r="K48" i="1"/>
  <c r="K49" i="1" s="1"/>
  <c r="G48" i="1"/>
  <c r="G49" i="1" s="1"/>
  <c r="L46" i="1"/>
  <c r="H46" i="1"/>
  <c r="K45" i="1"/>
  <c r="J45" i="1"/>
  <c r="G45" i="1"/>
  <c r="F45" i="1"/>
  <c r="K44" i="1"/>
  <c r="L44" i="1" s="1"/>
  <c r="G44" i="1"/>
  <c r="H44" i="1" s="1"/>
  <c r="K43" i="1"/>
  <c r="L43" i="1" s="1"/>
  <c r="G43" i="1"/>
  <c r="H43" i="1" s="1"/>
  <c r="O43" i="1" s="1"/>
  <c r="K42" i="1"/>
  <c r="L42" i="1" s="1"/>
  <c r="G42" i="1"/>
  <c r="H42" i="1" s="1"/>
  <c r="O42" i="1" s="1"/>
  <c r="K41" i="1"/>
  <c r="L41" i="1" s="1"/>
  <c r="G41" i="1"/>
  <c r="H41" i="1" s="1"/>
  <c r="O41" i="1" s="1"/>
  <c r="K40" i="1"/>
  <c r="L40" i="1" s="1"/>
  <c r="G40" i="1"/>
  <c r="H40" i="1" s="1"/>
  <c r="O40" i="1" s="1"/>
  <c r="K38" i="1"/>
  <c r="L38" i="1" s="1"/>
  <c r="G38" i="1"/>
  <c r="H38" i="1" s="1"/>
  <c r="O38" i="1" s="1"/>
  <c r="K37" i="1"/>
  <c r="L37" i="1" s="1"/>
  <c r="G37" i="1"/>
  <c r="H37" i="1" s="1"/>
  <c r="O37" i="1" s="1"/>
  <c r="K36" i="1"/>
  <c r="L36" i="1" s="1"/>
  <c r="G36" i="1"/>
  <c r="H36" i="1" s="1"/>
  <c r="O36" i="1" s="1"/>
  <c r="K35" i="1"/>
  <c r="L35" i="1" s="1"/>
  <c r="G35" i="1"/>
  <c r="H35" i="1" s="1"/>
  <c r="O35" i="1" s="1"/>
  <c r="K34" i="1"/>
  <c r="L34" i="1" s="1"/>
  <c r="G34" i="1"/>
  <c r="H34" i="1" s="1"/>
  <c r="O34" i="1" s="1"/>
  <c r="K33" i="1"/>
  <c r="L33" i="1" s="1"/>
  <c r="G33" i="1"/>
  <c r="H33" i="1" s="1"/>
  <c r="O33" i="1" s="1"/>
  <c r="K32" i="1"/>
  <c r="L32" i="1" s="1"/>
  <c r="G32" i="1"/>
  <c r="H32" i="1" s="1"/>
  <c r="O32" i="1" s="1"/>
  <c r="K31" i="1"/>
  <c r="L31" i="1" s="1"/>
  <c r="G31" i="1"/>
  <c r="H31" i="1" s="1"/>
  <c r="O31" i="1" s="1"/>
  <c r="K30" i="1"/>
  <c r="L30" i="1" s="1"/>
  <c r="G30" i="1"/>
  <c r="H30" i="1" s="1"/>
  <c r="O30" i="1" s="1"/>
  <c r="K29" i="1"/>
  <c r="L29" i="1" s="1"/>
  <c r="G29" i="1"/>
  <c r="H29" i="1" s="1"/>
  <c r="L28" i="1"/>
  <c r="H28" i="1"/>
  <c r="O28" i="1" s="1"/>
  <c r="L27" i="1"/>
  <c r="H27" i="1"/>
  <c r="O27" i="1" s="1"/>
  <c r="L26" i="1"/>
  <c r="H26" i="1"/>
  <c r="O26" i="1" s="1"/>
  <c r="O25" i="1"/>
  <c r="L25" i="1"/>
  <c r="H25" i="1"/>
  <c r="L24" i="1"/>
  <c r="H24" i="1"/>
  <c r="O24" i="1" s="1"/>
  <c r="L23" i="1"/>
  <c r="H23" i="1"/>
  <c r="H45" i="1" l="1"/>
  <c r="N41" i="1"/>
  <c r="N26" i="1"/>
  <c r="N25" i="1"/>
  <c r="H48" i="1"/>
  <c r="N53" i="1"/>
  <c r="O53" i="1" s="1"/>
  <c r="K58" i="1"/>
  <c r="L58" i="1" s="1"/>
  <c r="N24" i="1"/>
  <c r="H56" i="1"/>
  <c r="N23" i="1"/>
  <c r="O23" i="1" s="1"/>
  <c r="N46" i="1"/>
  <c r="O46" i="1" s="1"/>
  <c r="K56" i="1"/>
  <c r="L56" i="1" s="1"/>
  <c r="L45" i="1"/>
  <c r="L39" i="1"/>
  <c r="N28" i="1"/>
  <c r="L54" i="1"/>
  <c r="N32" i="1"/>
  <c r="N34" i="1"/>
  <c r="N36" i="1"/>
  <c r="N30" i="1"/>
  <c r="N38" i="1"/>
  <c r="L49" i="1"/>
  <c r="K51" i="1"/>
  <c r="L51" i="1" s="1"/>
  <c r="N29" i="1"/>
  <c r="O29" i="1" s="1"/>
  <c r="N31" i="1"/>
  <c r="N33" i="1"/>
  <c r="N35" i="1"/>
  <c r="N37" i="1"/>
  <c r="N40" i="1"/>
  <c r="N42" i="1"/>
  <c r="K52" i="1"/>
  <c r="L52" i="1" s="1"/>
  <c r="N27" i="1"/>
  <c r="N44" i="1"/>
  <c r="O44" i="1" s="1"/>
  <c r="L48" i="1"/>
  <c r="H39" i="1"/>
  <c r="N43" i="1"/>
  <c r="N45" i="1"/>
  <c r="O45" i="1" s="1"/>
  <c r="G52" i="1"/>
  <c r="H52" i="1" s="1"/>
  <c r="G51" i="1"/>
  <c r="H51" i="1" s="1"/>
  <c r="K55" i="1"/>
  <c r="L55" i="1" s="1"/>
  <c r="H55" i="1"/>
  <c r="K59" i="1"/>
  <c r="L59" i="1" s="1"/>
  <c r="H59" i="1"/>
  <c r="H49" i="1"/>
  <c r="K57" i="1"/>
  <c r="L57" i="1" s="1"/>
  <c r="N58" i="1" l="1"/>
  <c r="O58" i="1" s="1"/>
  <c r="L47" i="1"/>
  <c r="N54" i="1"/>
  <c r="O54" i="1" s="1"/>
  <c r="N56" i="1"/>
  <c r="O56" i="1" s="1"/>
  <c r="N48" i="1"/>
  <c r="O48" i="1" s="1"/>
  <c r="N55" i="1"/>
  <c r="O55" i="1" s="1"/>
  <c r="H47" i="1"/>
  <c r="N52" i="1"/>
  <c r="O52" i="1" s="1"/>
  <c r="N59" i="1"/>
  <c r="O59" i="1" s="1"/>
  <c r="L50" i="1"/>
  <c r="N51" i="1"/>
  <c r="O51" i="1" s="1"/>
  <c r="N57" i="1"/>
  <c r="O57" i="1" s="1"/>
  <c r="N49" i="1"/>
  <c r="O49" i="1" s="1"/>
  <c r="N39" i="1"/>
  <c r="O39" i="1" s="1"/>
  <c r="N47" i="1" l="1"/>
  <c r="L61" i="1"/>
  <c r="L62" i="1" s="1"/>
  <c r="L67" i="1"/>
  <c r="H50" i="1"/>
  <c r="O47" i="1"/>
  <c r="L63" i="1" l="1"/>
  <c r="H67" i="1"/>
  <c r="N67" i="1" s="1"/>
  <c r="H61" i="1"/>
  <c r="L68" i="1"/>
  <c r="N50" i="1"/>
  <c r="O50" i="1" s="1"/>
  <c r="L69" i="1" l="1"/>
  <c r="L70" i="1" s="1"/>
  <c r="L64" i="1"/>
  <c r="L65" i="1" s="1"/>
  <c r="H62" i="1"/>
  <c r="H63" i="1" s="1"/>
  <c r="N61" i="1"/>
  <c r="O61" i="1" s="1"/>
  <c r="H68" i="1"/>
  <c r="N68" i="1" s="1"/>
  <c r="O67" i="1"/>
  <c r="H64" i="1" l="1"/>
  <c r="N63" i="1"/>
  <c r="O63" i="1" s="1"/>
  <c r="H69" i="1"/>
  <c r="L71" i="1"/>
  <c r="N62" i="1"/>
  <c r="O62" i="1" s="1"/>
  <c r="O68" i="1"/>
  <c r="N64" i="1" l="1"/>
  <c r="O64" i="1" s="1"/>
  <c r="H70" i="1"/>
  <c r="N69" i="1"/>
  <c r="O69" i="1" s="1"/>
  <c r="H65" i="1"/>
  <c r="N65" i="1" l="1"/>
  <c r="O65" i="1" s="1"/>
  <c r="N70" i="1"/>
  <c r="O70" i="1" s="1"/>
  <c r="H71" i="1"/>
  <c r="N71" i="1" l="1"/>
  <c r="O71" i="1"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<sst xmlns="http://schemas.openxmlformats.org/spreadsheetml/2006/main" count="560" uniqueCount="63">
  <si>
    <t>Appendix 2-W</t>
  </si>
  <si>
    <t>Bill Impacts</t>
  </si>
  <si>
    <t>Customer Class:</t>
  </si>
  <si>
    <t>Residential</t>
  </si>
  <si>
    <t>TOU / non-TOU:</t>
  </si>
  <si>
    <t>TOU</t>
  </si>
  <si>
    <t>Consumption</t>
  </si>
  <si>
    <t xml:space="preserve"> kWh</t>
  </si>
  <si>
    <t>Current Board-Approved</t>
  </si>
  <si>
    <t>2016 Proposed</t>
  </si>
  <si>
    <t>Impact 2016 vs 2015</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</si>
  <si>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</si>
  <si>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</si>
  <si>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</si>
  <si>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</si>
  <si>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</si>
  <si>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</si>
  <si>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</si>
  <si>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</si>
  <si>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</si>
  <si>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</si>
  <si>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</si>
  <si>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</si>
  <si>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</si>
  <si>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</si>
  <si>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</si>
  <si>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</si>
  <si>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</si>
  <si>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</si>
  <si>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</si>
  <si>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</si>
  <si>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</si>
  <si>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</si>
  <si>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</si>
  <si>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</si>
  <si>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</si>
  <si>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</si>
  <si>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</si>
  <si>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</si>
  <si>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</si>
  <si>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</si>
  <si>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</si>
  <si>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</si>
  <si>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</si>
  <si>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</si>
  <si>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</si>
  <si>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</si>
  <si>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</si>
  <si>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Total Bill on RPP (before Taxes)</t>
  </si>
  <si>
    <t>Total Bill on RPP (including OCEB)</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</si>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</sst>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s>
  <fonts count="72"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b/>
      <i/>
      <vertAlign val="superscript"/>
      <sz val="10"/>
      <name val="Arial"/>
      <family val="2"/>
    </font>
    <font>
      <sz val="10"/>
      <color rgb="FFFF0000"/>
      <name val="Arial"/>
      <family val="2"/>
    </font>
    <font>
      <vertAlign val="superscript"/>
      <sz val="10"/>
      <name val="Arial"/>
      <family val="2"/>
    </font>
    <font>
      <i/>
      <sz val="1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168" fontId="19" fillId="0" borderId="0"/>
    <xf numFmtId="168" fontId="19" fillId="0" borderId="0"/>
    <xf numFmtId="168" fontId="19" fillId="0" borderId="0"/>
    <xf numFmtId="168" fontId="19" fillId="0" borderId="0"/>
    <xf numFmtId="169" fontId="19" fillId="0" borderId="0"/>
    <xf numFmtId="169" fontId="19" fillId="0" borderId="0"/>
    <xf numFmtId="169" fontId="19" fillId="0" borderId="0"/>
    <xf numFmtId="169" fontId="19" fillId="0" borderId="0"/>
    <xf numFmtId="168" fontId="19" fillId="0" borderId="0"/>
    <xf numFmtId="168" fontId="19" fillId="0" borderId="0"/>
    <xf numFmtId="168" fontId="19" fillId="0" borderId="0"/>
    <xf numFmtId="168" fontId="19" fillId="0" borderId="0"/>
    <xf numFmtId="170" fontId="19" fillId="0" borderId="0"/>
    <xf numFmtId="170" fontId="19" fillId="0" borderId="0"/>
    <xf numFmtId="170" fontId="19" fillId="0" borderId="0"/>
    <xf numFmtId="170" fontId="19" fillId="0" borderId="0"/>
    <xf numFmtId="171" fontId="19" fillId="0" borderId="0"/>
    <xf numFmtId="171" fontId="19" fillId="0" borderId="0"/>
    <xf numFmtId="171" fontId="19" fillId="0" borderId="0"/>
    <xf numFmtId="171" fontId="19" fillId="0" borderId="0"/>
    <xf numFmtId="170" fontId="19" fillId="0" borderId="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7"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7" fillId="58" borderId="0" applyNumberFormat="0" applyBorder="0" applyAlignment="0" applyProtection="0"/>
    <xf numFmtId="0" fontId="7" fillId="3" borderId="0" applyNumberFormat="0" applyBorder="0" applyAlignment="0" applyProtection="0"/>
    <xf numFmtId="0" fontId="38" fillId="42" borderId="0" applyNumberFormat="0" applyBorder="0" applyAlignment="0" applyProtection="0"/>
    <xf numFmtId="0" fontId="7" fillId="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41" fillId="59" borderId="30" applyNumberFormat="0" applyAlignment="0" applyProtection="0"/>
    <xf numFmtId="0" fontId="13" fillId="7" borderId="7" applyNumberFormat="0" applyAlignment="0" applyProtection="0"/>
    <xf numFmtId="0" fontId="13" fillId="7" borderId="7" applyNumberFormat="0" applyAlignment="0" applyProtection="0"/>
    <xf numFmtId="0" fontId="42" fillId="60" borderId="31" applyNumberFormat="0" applyAlignment="0" applyProtection="0"/>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43" fillId="0" borderId="0" applyFont="0" applyFill="0" applyBorder="0" applyAlignment="0" applyProtection="0"/>
    <xf numFmtId="172" fontId="43" fillId="0" borderId="0" applyFont="0" applyFill="0" applyBorder="0" applyAlignment="0" applyProtection="0"/>
    <xf numFmtId="172" fontId="19" fillId="0" borderId="0">
      <alignment vertical="center"/>
    </xf>
    <xf numFmtId="172" fontId="19" fillId="0" borderId="0">
      <alignment vertical="center"/>
    </xf>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9" fontId="45" fillId="61" borderId="32" applyAlignment="0" applyProtection="0"/>
    <xf numFmtId="43" fontId="43" fillId="0" borderId="0" applyFont="0" applyFill="0" applyBorder="0" applyAlignment="0" applyProtection="0"/>
    <xf numFmtId="49" fontId="45" fillId="61" borderId="32"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5" fillId="61" borderId="32"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19" fillId="0" borderId="0">
      <alignment vertical="center"/>
    </xf>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44"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lignment vertical="center"/>
    </xf>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lignment vertical="center"/>
    </xf>
    <xf numFmtId="173" fontId="19" fillId="0" borderId="0">
      <alignment vertical="center"/>
    </xf>
    <xf numFmtId="43" fontId="47"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lignment vertical="center"/>
    </xf>
    <xf numFmtId="173" fontId="43"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4" fontId="19" fillId="0" borderId="0" applyFon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4" fontId="19" fillId="0" borderId="0" applyFont="0" applyFill="0" applyBorder="0" applyAlignment="0" applyProtection="0"/>
    <xf numFmtId="15" fontId="19" fillId="0" borderId="0"/>
    <xf numFmtId="0" fontId="15"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6" fillId="2" borderId="0" applyNumberFormat="0" applyBorder="0" applyAlignment="0" applyProtection="0"/>
    <xf numFmtId="0" fontId="49" fillId="43" borderId="0" applyNumberFormat="0" applyBorder="0" applyAlignment="0" applyProtection="0"/>
    <xf numFmtId="0" fontId="6" fillId="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43" borderId="0" applyNumberFormat="0" applyBorder="0" applyAlignment="0" applyProtection="0"/>
    <xf numFmtId="38" fontId="22" fillId="61" borderId="0" applyNumberFormat="0" applyBorder="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2" fillId="0" borderId="33"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4"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5" applyNumberFormat="0" applyFill="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0" fontId="9" fillId="5"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9" fillId="5"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36" applyNumberFormat="0" applyFill="0" applyAlignment="0" applyProtection="0"/>
    <xf numFmtId="182" fontId="19" fillId="0" borderId="0"/>
    <xf numFmtId="182" fontId="19" fillId="0" borderId="0"/>
    <xf numFmtId="182" fontId="19" fillId="0" borderId="0"/>
    <xf numFmtId="182" fontId="19" fillId="0" borderId="0"/>
    <xf numFmtId="180" fontId="19" fillId="0" borderId="0"/>
    <xf numFmtId="180" fontId="19" fillId="0" borderId="0"/>
    <xf numFmtId="180" fontId="19" fillId="0" borderId="0"/>
    <xf numFmtId="180" fontId="19" fillId="0" borderId="0"/>
    <xf numFmtId="182" fontId="19" fillId="0" borderId="0"/>
    <xf numFmtId="182" fontId="19" fillId="0" borderId="0"/>
    <xf numFmtId="182" fontId="19" fillId="0" borderId="0"/>
    <xf numFmtId="182" fontId="19" fillId="0" borderId="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63" borderId="0" applyNumberFormat="0" applyBorder="0" applyAlignment="0" applyProtection="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43" fillId="0" borderId="0"/>
    <xf numFmtId="0" fontId="19"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1" fillId="0" borderId="0"/>
    <xf numFmtId="0" fontId="46"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4" fillId="0" borderId="0"/>
    <xf numFmtId="0" fontId="34" fillId="0" borderId="0"/>
    <xf numFmtId="0" fontId="34" fillId="0" borderId="0"/>
    <xf numFmtId="0" fontId="43" fillId="0" borderId="0"/>
    <xf numFmtId="0" fontId="43" fillId="0" borderId="0"/>
    <xf numFmtId="0" fontId="34" fillId="0" borderId="0"/>
    <xf numFmtId="0" fontId="19" fillId="0" borderId="0"/>
    <xf numFmtId="0" fontId="19" fillId="0" borderId="0"/>
    <xf numFmtId="0" fontId="43" fillId="0" borderId="0"/>
    <xf numFmtId="0" fontId="43" fillId="0" borderId="0"/>
    <xf numFmtId="0" fontId="43" fillId="0" borderId="0"/>
    <xf numFmtId="0" fontId="34" fillId="0" borderId="0"/>
    <xf numFmtId="0" fontId="19" fillId="0" borderId="0"/>
    <xf numFmtId="0" fontId="19" fillId="0" borderId="0"/>
    <xf numFmtId="0" fontId="43" fillId="0" borderId="0"/>
    <xf numFmtId="0" fontId="19" fillId="0" borderId="0">
      <alignment vertical="center"/>
    </xf>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43" fillId="0" borderId="0"/>
    <xf numFmtId="0" fontId="19" fillId="0" borderId="0"/>
    <xf numFmtId="0" fontId="19" fillId="0" borderId="0"/>
    <xf numFmtId="0" fontId="43" fillId="0" borderId="0"/>
    <xf numFmtId="0" fontId="43" fillId="0" borderId="0"/>
    <xf numFmtId="0" fontId="19" fillId="0" borderId="0"/>
    <xf numFmtId="0" fontId="43" fillId="0" borderId="0"/>
    <xf numFmtId="0" fontId="43" fillId="0" borderId="0"/>
    <xf numFmtId="0" fontId="43" fillId="0" borderId="0"/>
    <xf numFmtId="0" fontId="43"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34" fillId="0" borderId="0"/>
    <xf numFmtId="0" fontId="19" fillId="0" borderId="0"/>
    <xf numFmtId="0" fontId="43" fillId="0" borderId="0"/>
    <xf numFmtId="0" fontId="19" fillId="0" borderId="0"/>
    <xf numFmtId="0" fontId="34"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3"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19" fillId="0" borderId="0"/>
    <xf numFmtId="0" fontId="19" fillId="0" borderId="0"/>
    <xf numFmtId="0" fontId="44" fillId="0" borderId="0"/>
    <xf numFmtId="0" fontId="44" fillId="0" borderId="0"/>
    <xf numFmtId="0" fontId="34" fillId="0" borderId="0"/>
    <xf numFmtId="0" fontId="44" fillId="0" borderId="0"/>
    <xf numFmtId="0" fontId="44" fillId="0" borderId="0"/>
    <xf numFmtId="0" fontId="44" fillId="0" borderId="0"/>
    <xf numFmtId="0" fontId="44" fillId="0" borderId="0"/>
    <xf numFmtId="0" fontId="19" fillId="0" borderId="0"/>
    <xf numFmtId="0" fontId="44"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19"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19" fillId="0" borderId="0">
      <alignment vertical="center"/>
    </xf>
    <xf numFmtId="0" fontId="64" fillId="0" borderId="0">
      <alignment vertical="top"/>
    </xf>
    <xf numFmtId="0" fontId="19" fillId="0" borderId="0">
      <alignment vertical="center"/>
    </xf>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44" fillId="0" borderId="0"/>
    <xf numFmtId="0" fontId="34" fillId="0" borderId="0"/>
    <xf numFmtId="0" fontId="44" fillId="0" borderId="0"/>
    <xf numFmtId="0" fontId="19" fillId="0" borderId="0">
      <alignment vertical="center"/>
    </xf>
    <xf numFmtId="0" fontId="44" fillId="0" borderId="0"/>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43"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19" fillId="0" borderId="0"/>
    <xf numFmtId="0" fontId="44" fillId="0" borderId="0"/>
    <xf numFmtId="0" fontId="34" fillId="0" borderId="0"/>
    <xf numFmtId="0" fontId="43" fillId="0" borderId="0"/>
    <xf numFmtId="0" fontId="4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7" fillId="64" borderId="37"/>
    <xf numFmtId="0" fontId="19" fillId="0" borderId="0"/>
    <xf numFmtId="0" fontId="19" fillId="0" borderId="0"/>
    <xf numFmtId="0" fontId="47" fillId="64" borderId="37"/>
    <xf numFmtId="0" fontId="34" fillId="0" borderId="0"/>
    <xf numFmtId="0" fontId="43"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34"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43" fillId="0" borderId="0"/>
    <xf numFmtId="0" fontId="34" fillId="0" borderId="0"/>
    <xf numFmtId="0" fontId="34" fillId="0" borderId="0"/>
    <xf numFmtId="0" fontId="34" fillId="0" borderId="0"/>
    <xf numFmtId="0" fontId="46"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64" fillId="0" borderId="0">
      <alignment vertical="top"/>
    </xf>
    <xf numFmtId="0" fontId="44"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4" fillId="0" borderId="0"/>
    <xf numFmtId="0" fontId="46"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19" fillId="0" borderId="0"/>
    <xf numFmtId="0" fontId="19"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64" borderId="37"/>
    <xf numFmtId="0" fontId="19"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34" fillId="0" borderId="0"/>
    <xf numFmtId="0" fontId="34" fillId="0" borderId="0"/>
    <xf numFmtId="0" fontId="19" fillId="0" borderId="0">
      <alignment vertical="center"/>
    </xf>
    <xf numFmtId="0" fontId="1" fillId="0" borderId="0"/>
    <xf numFmtId="0" fontId="4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 fillId="0" borderId="0"/>
    <xf numFmtId="0" fontId="34"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4" fillId="0" borderId="0"/>
    <xf numFmtId="0" fontId="34" fillId="0" borderId="0"/>
    <xf numFmtId="0" fontId="19" fillId="0" borderId="0">
      <alignment vertical="center"/>
    </xf>
    <xf numFmtId="0" fontId="1" fillId="0" borderId="0"/>
    <xf numFmtId="0" fontId="34" fillId="0" borderId="0"/>
    <xf numFmtId="0" fontId="34" fillId="0" borderId="0"/>
    <xf numFmtId="0" fontId="34"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9" fillId="0" borderId="0"/>
    <xf numFmtId="0" fontId="19"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44" fillId="0" borderId="0"/>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9"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4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43"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43"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43" fillId="0" borderId="0"/>
    <xf numFmtId="0" fontId="43"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34" fillId="0" borderId="0"/>
    <xf numFmtId="0" fontId="34"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34"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34" fillId="0" borderId="0"/>
    <xf numFmtId="0" fontId="43" fillId="0" borderId="0"/>
    <xf numFmtId="0" fontId="19"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43" fillId="0" borderId="0"/>
    <xf numFmtId="0" fontId="19" fillId="0" borderId="0">
      <alignment vertical="center"/>
    </xf>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0" fillId="6"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10" fillId="6"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 fillId="0" borderId="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6" fillId="0" borderId="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cellStyleXfs>
  <cellXfs count="200">
    <xf numFmtId="0" fontId="0" fillId="0" borderId="0" xfId="0"/>
    <xf numFmtId="0" fontId="20" fillId="33" borderId="0" xfId="0" applyFont="1" applyFill="1" applyAlignment="1" applyProtection="1">
      <alignment vertical="top" wrapText="1"/>
    </xf>
    <xf numFmtId="0" fontId="0" fillId="33" borderId="0" xfId="0" applyFill="1" applyBorder="1" applyProtection="1"/>
    <xf numFmtId="0" fontId="23" fillId="33" borderId="0" xfId="0" applyFont="1" applyFill="1" applyBorder="1" applyAlignment="1" applyProtection="1"/>
    <xf numFmtId="0" fontId="0" fillId="33" borderId="0" xfId="0" applyFill="1" applyBorder="1" applyAlignment="1" applyProtection="1">
      <alignment horizontal="left" indent="1"/>
    </xf>
    <xf numFmtId="0" fontId="24" fillId="33" borderId="0" xfId="0" applyFont="1" applyFill="1" applyBorder="1" applyAlignment="1" applyProtection="1"/>
    <xf numFmtId="0" fontId="0" fillId="0" borderId="0" xfId="0" applyProtection="1"/>
    <xf numFmtId="0" fontId="21" fillId="0" borderId="0" xfId="0" applyFont="1" applyAlignment="1" applyProtection="1">
      <alignment horizontal="right"/>
    </xf>
    <xf numFmtId="0" fontId="19" fillId="0" borderId="0" xfId="0" applyFont="1" applyAlignment="1" applyProtection="1">
      <alignment horizontal="right"/>
    </xf>
    <xf numFmtId="0" fontId="24" fillId="0" borderId="0" xfId="0" applyFont="1" applyAlignment="1" applyProtection="1">
      <alignment horizontal="center"/>
    </xf>
    <xf numFmtId="0" fontId="26" fillId="35" borderId="0" xfId="0" applyFont="1" applyFill="1" applyAlignment="1" applyProtection="1">
      <alignment horizontal="center"/>
    </xf>
    <xf numFmtId="0" fontId="19" fillId="0" borderId="0" xfId="0" applyFont="1" applyProtection="1"/>
    <xf numFmtId="0" fontId="21" fillId="0" borderId="0" xfId="0" applyFont="1" applyProtection="1"/>
    <xf numFmtId="164" fontId="21" fillId="34" borderId="11" xfId="1" applyNumberFormat="1" applyFont="1" applyFill="1" applyBorder="1" applyProtection="1">
      <protection locked="0"/>
    </xf>
    <xf numFmtId="0" fontId="21" fillId="0" borderId="0" xfId="0" applyFont="1" applyAlignment="1" applyProtection="1"/>
    <xf numFmtId="0" fontId="21" fillId="0" borderId="0" xfId="0" applyFont="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1" fillId="0" borderId="17" xfId="0" applyFont="1" applyBorder="1" applyAlignment="1" applyProtection="1">
      <alignment horizontal="center"/>
    </xf>
    <xf numFmtId="0" fontId="21" fillId="0" borderId="19" xfId="0" quotePrefix="1" applyFont="1" applyBorder="1" applyAlignment="1" applyProtection="1">
      <alignment horizontal="center"/>
    </xf>
    <xf numFmtId="0" fontId="21"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1"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1" fillId="36" borderId="11" xfId="0" applyNumberFormat="1" applyFont="1" applyFill="1" applyBorder="1" applyAlignment="1" applyProtection="1">
      <alignment vertical="center"/>
    </xf>
    <xf numFmtId="10" fontId="21" fillId="36" borderId="14" xfId="3" applyNumberFormat="1" applyFont="1" applyFill="1" applyBorder="1" applyAlignment="1" applyProtection="1">
      <alignment vertical="center"/>
    </xf>
    <xf numFmtId="0" fontId="0" fillId="0" borderId="0" xfId="0" applyFill="1" applyProtection="1"/>
    <xf numFmtId="0" fontId="19"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19"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1"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1"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1" fillId="36" borderId="0" xfId="0" applyFont="1" applyFill="1" applyAlignment="1" applyProtection="1">
      <alignment vertical="center"/>
    </xf>
    <xf numFmtId="0" fontId="21" fillId="36" borderId="11" xfId="0" applyFont="1" applyFill="1" applyBorder="1" applyAlignment="1" applyProtection="1">
      <alignment vertical="center"/>
    </xf>
    <xf numFmtId="0" fontId="21" fillId="36" borderId="14" xfId="0" applyFont="1" applyFill="1" applyBorder="1" applyAlignment="1" applyProtection="1">
      <alignment vertical="center"/>
    </xf>
    <xf numFmtId="0" fontId="0" fillId="0" borderId="0" xfId="0" applyAlignment="1" applyProtection="1">
      <alignment vertical="top" wrapText="1"/>
    </xf>
    <xf numFmtId="165" fontId="19" fillId="34" borderId="18" xfId="2" applyNumberFormat="1" applyFill="1" applyBorder="1" applyAlignment="1" applyProtection="1">
      <alignment vertical="top"/>
      <protection locked="0"/>
    </xf>
    <xf numFmtId="44" fontId="19" fillId="0" borderId="16" xfId="2" applyBorder="1" applyAlignment="1" applyProtection="1">
      <alignment vertical="center"/>
    </xf>
    <xf numFmtId="10" fontId="19"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19" fillId="37" borderId="18" xfId="0" applyNumberFormat="1" applyFont="1" applyFill="1" applyBorder="1" applyAlignment="1" applyProtection="1">
      <alignment vertical="center"/>
    </xf>
    <xf numFmtId="0" fontId="19" fillId="0" borderId="0" xfId="4" applyFont="1" applyAlignment="1" applyProtection="1">
      <alignment vertical="top"/>
    </xf>
    <xf numFmtId="0" fontId="19" fillId="0" borderId="0" xfId="4" applyAlignment="1" applyProtection="1">
      <alignment vertical="top"/>
    </xf>
    <xf numFmtId="0" fontId="19" fillId="35" borderId="0" xfId="4" applyFill="1" applyAlignment="1" applyProtection="1">
      <alignment vertical="top"/>
      <protection locked="0"/>
    </xf>
    <xf numFmtId="0" fontId="19" fillId="0" borderId="0" xfId="4" applyFill="1" applyAlignment="1" applyProtection="1">
      <alignment vertical="top"/>
    </xf>
    <xf numFmtId="1" fontId="19" fillId="37" borderId="18" xfId="4" applyNumberFormat="1" applyFill="1" applyBorder="1" applyAlignment="1" applyProtection="1">
      <alignment vertical="center"/>
    </xf>
    <xf numFmtId="0" fontId="19" fillId="0" borderId="0" xfId="4" applyAlignment="1" applyProtection="1">
      <alignment vertical="center"/>
    </xf>
    <xf numFmtId="44" fontId="19" fillId="0" borderId="18" xfId="4" applyNumberFormat="1" applyBorder="1" applyAlignment="1" applyProtection="1">
      <alignment vertical="center"/>
    </xf>
    <xf numFmtId="0" fontId="19" fillId="0" borderId="0" xfId="4" applyProtection="1"/>
    <xf numFmtId="0" fontId="19"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19"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19"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19" fillId="39" borderId="26" xfId="3" applyNumberFormat="1" applyFill="1" applyBorder="1" applyAlignment="1" applyProtection="1">
      <alignment vertical="center"/>
    </xf>
    <xf numFmtId="0" fontId="21"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1" fillId="0" borderId="21" xfId="0" applyNumberFormat="1" applyFont="1" applyFill="1" applyBorder="1" applyAlignment="1" applyProtection="1">
      <alignment vertical="center"/>
    </xf>
    <xf numFmtId="0" fontId="21" fillId="0" borderId="18" xfId="0" applyFont="1" applyFill="1" applyBorder="1" applyAlignment="1" applyProtection="1">
      <alignment vertical="center"/>
    </xf>
    <xf numFmtId="9" fontId="21" fillId="0" borderId="18" xfId="0" applyNumberFormat="1" applyFont="1" applyFill="1" applyBorder="1" applyAlignment="1" applyProtection="1">
      <alignment vertical="center"/>
    </xf>
    <xf numFmtId="0" fontId="21" fillId="0" borderId="0" xfId="0" applyFont="1" applyFill="1" applyBorder="1" applyAlignment="1" applyProtection="1">
      <alignment vertical="center"/>
    </xf>
    <xf numFmtId="44" fontId="21" fillId="0" borderId="18" xfId="0" applyNumberFormat="1" applyFont="1" applyFill="1" applyBorder="1" applyAlignment="1" applyProtection="1">
      <alignment vertical="center"/>
    </xf>
    <xf numFmtId="10" fontId="21" fillId="0" borderId="16" xfId="3" applyNumberFormat="1" applyFont="1" applyFill="1" applyBorder="1" applyAlignment="1" applyProtection="1">
      <alignment vertical="center"/>
    </xf>
    <xf numFmtId="0" fontId="19"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19" fillId="0" borderId="21" xfId="0" applyNumberFormat="1" applyFont="1" applyFill="1" applyBorder="1" applyAlignment="1" applyProtection="1">
      <alignment vertical="center"/>
    </xf>
    <xf numFmtId="0" fontId="19" fillId="0" borderId="18" xfId="0" applyFont="1" applyFill="1" applyBorder="1" applyAlignment="1" applyProtection="1">
      <alignment vertical="center"/>
    </xf>
    <xf numFmtId="9" fontId="19" fillId="0" borderId="18" xfId="0" applyNumberFormat="1" applyFont="1" applyFill="1" applyBorder="1" applyAlignment="1" applyProtection="1">
      <alignment vertical="center"/>
      <protection locked="0"/>
    </xf>
    <xf numFmtId="44" fontId="19" fillId="0" borderId="16" xfId="0" applyNumberFormat="1" applyFont="1" applyFill="1" applyBorder="1" applyAlignment="1" applyProtection="1">
      <alignment vertical="center"/>
    </xf>
    <xf numFmtId="0" fontId="19" fillId="0" borderId="0" xfId="0" applyFont="1" applyFill="1" applyBorder="1" applyAlignment="1" applyProtection="1">
      <alignment vertical="center"/>
    </xf>
    <xf numFmtId="44" fontId="19" fillId="0" borderId="18" xfId="0" applyNumberFormat="1" applyFont="1" applyFill="1" applyBorder="1" applyAlignment="1" applyProtection="1">
      <alignment vertical="center"/>
    </xf>
    <xf numFmtId="10" fontId="19" fillId="0" borderId="16" xfId="3" applyNumberFormat="1" applyFont="1" applyFill="1" applyBorder="1" applyAlignment="1" applyProtection="1">
      <alignment vertical="center"/>
    </xf>
    <xf numFmtId="0" fontId="21" fillId="0" borderId="0" xfId="0" applyFont="1" applyAlignment="1" applyProtection="1">
      <alignment horizontal="left" vertical="top" wrapText="1" indent="1"/>
    </xf>
    <xf numFmtId="0" fontId="0" fillId="0" borderId="18" xfId="0" applyFill="1" applyBorder="1" applyAlignment="1" applyProtection="1">
      <alignment vertical="top"/>
    </xf>
    <xf numFmtId="44" fontId="29" fillId="0" borderId="21" xfId="0" applyNumberFormat="1" applyFont="1" applyFill="1" applyBorder="1" applyAlignment="1" applyProtection="1">
      <alignment vertical="center"/>
    </xf>
    <xf numFmtId="44" fontId="29" fillId="0" borderId="18" xfId="0" applyNumberFormat="1" applyFont="1" applyFill="1" applyBorder="1" applyAlignment="1" applyProtection="1">
      <alignment vertical="center"/>
    </xf>
    <xf numFmtId="10" fontId="29"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21" fillId="40" borderId="28" xfId="0" applyNumberFormat="1" applyFont="1" applyFill="1" applyBorder="1" applyAlignment="1" applyProtection="1">
      <alignment vertical="center"/>
    </xf>
    <xf numFmtId="0" fontId="21" fillId="40" borderId="19" xfId="0" applyFont="1" applyFill="1" applyBorder="1" applyAlignment="1" applyProtection="1">
      <alignment vertical="center"/>
    </xf>
    <xf numFmtId="44" fontId="21" fillId="40" borderId="20" xfId="0" applyNumberFormat="1" applyFont="1" applyFill="1" applyBorder="1" applyAlignment="1" applyProtection="1">
      <alignment vertical="center"/>
    </xf>
    <xf numFmtId="0" fontId="21" fillId="40" borderId="27" xfId="0" applyFont="1" applyFill="1" applyBorder="1" applyAlignment="1" applyProtection="1">
      <alignment vertical="center"/>
    </xf>
    <xf numFmtId="44" fontId="21" fillId="40" borderId="19" xfId="0" applyNumberFormat="1" applyFont="1" applyFill="1" applyBorder="1" applyAlignment="1" applyProtection="1">
      <alignment vertical="center"/>
    </xf>
    <xf numFmtId="10" fontId="21" fillId="40" borderId="20" xfId="3" applyNumberFormat="1" applyFont="1" applyFill="1" applyBorder="1" applyAlignment="1" applyProtection="1">
      <alignment vertical="center"/>
    </xf>
    <xf numFmtId="0" fontId="19" fillId="39" borderId="22" xfId="4" applyFont="1" applyFill="1" applyBorder="1" applyProtection="1"/>
    <xf numFmtId="0" fontId="19" fillId="39" borderId="23" xfId="4" applyFill="1" applyBorder="1" applyAlignment="1" applyProtection="1">
      <alignment vertical="top"/>
    </xf>
    <xf numFmtId="0" fontId="19" fillId="39" borderId="23" xfId="4" applyFill="1" applyBorder="1" applyAlignment="1" applyProtection="1">
      <alignment vertical="top"/>
      <protection locked="0"/>
    </xf>
    <xf numFmtId="0" fontId="19" fillId="39" borderId="25" xfId="4" applyFill="1" applyBorder="1" applyAlignment="1" applyProtection="1">
      <alignment vertical="center"/>
      <protection locked="0"/>
    </xf>
    <xf numFmtId="0" fontId="19" fillId="39" borderId="23" xfId="4" applyFill="1" applyBorder="1" applyAlignment="1" applyProtection="1">
      <alignment vertical="center"/>
    </xf>
    <xf numFmtId="0" fontId="19" fillId="39" borderId="24" xfId="4" applyFill="1" applyBorder="1" applyAlignment="1" applyProtection="1">
      <alignment vertical="center"/>
      <protection locked="0"/>
    </xf>
    <xf numFmtId="44" fontId="19" fillId="39" borderId="24" xfId="4" applyNumberFormat="1" applyFill="1" applyBorder="1" applyAlignment="1" applyProtection="1">
      <alignment vertical="center"/>
    </xf>
    <xf numFmtId="0" fontId="21" fillId="0" borderId="0" xfId="4" applyFont="1" applyFill="1" applyAlignment="1" applyProtection="1">
      <alignment vertical="top"/>
    </xf>
    <xf numFmtId="9" fontId="19" fillId="0" borderId="18" xfId="4" applyNumberFormat="1" applyFill="1" applyBorder="1" applyAlignment="1" applyProtection="1">
      <alignment vertical="top"/>
    </xf>
    <xf numFmtId="9" fontId="19" fillId="0" borderId="0" xfId="4" applyNumberFormat="1" applyFill="1" applyBorder="1" applyAlignment="1" applyProtection="1">
      <alignment vertical="center"/>
    </xf>
    <xf numFmtId="44" fontId="21" fillId="0" borderId="21" xfId="4" applyNumberFormat="1" applyFont="1" applyFill="1" applyBorder="1" applyAlignment="1" applyProtection="1">
      <alignment vertical="center"/>
    </xf>
    <xf numFmtId="0" fontId="21" fillId="0" borderId="18" xfId="4" applyFont="1" applyFill="1" applyBorder="1" applyAlignment="1" applyProtection="1">
      <alignment vertical="center"/>
    </xf>
    <xf numFmtId="9" fontId="21" fillId="0" borderId="18" xfId="4" applyNumberFormat="1" applyFont="1" applyFill="1" applyBorder="1" applyAlignment="1" applyProtection="1">
      <alignment vertical="center"/>
    </xf>
    <xf numFmtId="0" fontId="21" fillId="0" borderId="0" xfId="4" applyFont="1" applyFill="1" applyBorder="1" applyAlignment="1" applyProtection="1">
      <alignment vertical="center"/>
    </xf>
    <xf numFmtId="44" fontId="21" fillId="0" borderId="18" xfId="4" applyNumberFormat="1" applyFont="1" applyFill="1" applyBorder="1" applyAlignment="1" applyProtection="1">
      <alignment vertical="center"/>
    </xf>
    <xf numFmtId="0" fontId="19" fillId="0" borderId="0" xfId="4" applyFont="1" applyFill="1" applyAlignment="1" applyProtection="1">
      <alignment horizontal="left" vertical="top" indent="1"/>
    </xf>
    <xf numFmtId="9" fontId="19" fillId="0" borderId="18" xfId="4" applyNumberFormat="1" applyFill="1" applyBorder="1" applyAlignment="1" applyProtection="1">
      <alignment vertical="top"/>
      <protection locked="0"/>
    </xf>
    <xf numFmtId="44" fontId="19" fillId="0" borderId="21" xfId="4" applyNumberFormat="1" applyFont="1" applyFill="1" applyBorder="1" applyAlignment="1" applyProtection="1">
      <alignment vertical="center"/>
    </xf>
    <xf numFmtId="0" fontId="19" fillId="0" borderId="18" xfId="4" applyFont="1" applyFill="1" applyBorder="1" applyAlignment="1" applyProtection="1">
      <alignment vertical="center"/>
    </xf>
    <xf numFmtId="9" fontId="19" fillId="0" borderId="18" xfId="4" applyNumberFormat="1" applyFont="1" applyFill="1" applyBorder="1" applyAlignment="1" applyProtection="1">
      <alignment vertical="top"/>
      <protection locked="0"/>
    </xf>
    <xf numFmtId="9" fontId="19" fillId="0" borderId="18" xfId="4" applyNumberFormat="1" applyFont="1" applyFill="1" applyBorder="1" applyAlignment="1" applyProtection="1">
      <alignment vertical="center"/>
    </xf>
    <xf numFmtId="44" fontId="19" fillId="0" borderId="16" xfId="4" applyNumberFormat="1" applyFont="1" applyFill="1" applyBorder="1" applyAlignment="1" applyProtection="1">
      <alignment vertical="center"/>
    </xf>
    <xf numFmtId="0" fontId="19" fillId="0" borderId="0" xfId="4" applyFont="1" applyFill="1" applyBorder="1" applyAlignment="1" applyProtection="1">
      <alignment vertical="center"/>
    </xf>
    <xf numFmtId="44" fontId="19" fillId="0" borderId="18" xfId="4" applyNumberFormat="1" applyFont="1" applyFill="1" applyBorder="1" applyAlignment="1" applyProtection="1">
      <alignment vertical="center"/>
    </xf>
    <xf numFmtId="0" fontId="21" fillId="0" borderId="0" xfId="4" applyFont="1" applyAlignment="1" applyProtection="1">
      <alignment horizontal="left" vertical="top" wrapText="1" indent="1"/>
    </xf>
    <xf numFmtId="0" fontId="19" fillId="0" borderId="18" xfId="4" applyFill="1" applyBorder="1" applyAlignment="1" applyProtection="1">
      <alignment vertical="top"/>
    </xf>
    <xf numFmtId="0" fontId="19" fillId="0" borderId="0" xfId="4" applyFill="1" applyBorder="1" applyAlignment="1" applyProtection="1">
      <alignment vertical="center"/>
    </xf>
    <xf numFmtId="44" fontId="29" fillId="0" borderId="21" xfId="4" applyNumberFormat="1" applyFont="1" applyFill="1" applyBorder="1" applyAlignment="1" applyProtection="1">
      <alignment vertical="center"/>
    </xf>
    <xf numFmtId="44" fontId="29" fillId="0" borderId="18" xfId="4" applyNumberFormat="1" applyFont="1" applyFill="1" applyBorder="1" applyAlignment="1" applyProtection="1">
      <alignment vertical="center"/>
    </xf>
    <xf numFmtId="0" fontId="19" fillId="40" borderId="0" xfId="4" applyFill="1" applyAlignment="1" applyProtection="1">
      <alignment vertical="top"/>
    </xf>
    <xf numFmtId="0" fontId="19" fillId="40" borderId="18" xfId="4" applyFill="1" applyBorder="1" applyAlignment="1" applyProtection="1">
      <alignment vertical="top"/>
    </xf>
    <xf numFmtId="0" fontId="19" fillId="40" borderId="0" xfId="4" applyFill="1" applyBorder="1" applyAlignment="1" applyProtection="1">
      <alignment vertical="center"/>
    </xf>
    <xf numFmtId="44" fontId="21" fillId="40" borderId="21" xfId="4" applyNumberFormat="1" applyFont="1" applyFill="1" applyBorder="1" applyAlignment="1" applyProtection="1">
      <alignment vertical="center"/>
    </xf>
    <xf numFmtId="0" fontId="21" fillId="40" borderId="18" xfId="4" applyFont="1" applyFill="1" applyBorder="1" applyAlignment="1" applyProtection="1">
      <alignment vertical="center"/>
    </xf>
    <xf numFmtId="44" fontId="21" fillId="40" borderId="16" xfId="4" applyNumberFormat="1" applyFont="1" applyFill="1" applyBorder="1" applyAlignment="1" applyProtection="1">
      <alignment vertical="center"/>
    </xf>
    <xf numFmtId="0" fontId="21" fillId="40" borderId="0" xfId="4" applyFont="1" applyFill="1" applyBorder="1" applyAlignment="1" applyProtection="1">
      <alignment vertical="center"/>
    </xf>
    <xf numFmtId="44" fontId="21" fillId="40" borderId="18" xfId="4" applyNumberFormat="1" applyFont="1" applyFill="1" applyBorder="1" applyAlignment="1" applyProtection="1">
      <alignment vertical="center"/>
    </xf>
    <xf numFmtId="10" fontId="21" fillId="40" borderId="16" xfId="3" applyNumberFormat="1" applyFont="1" applyFill="1" applyBorder="1" applyAlignment="1" applyProtection="1">
      <alignment vertical="center"/>
    </xf>
    <xf numFmtId="165" fontId="19" fillId="39" borderId="25" xfId="2" applyNumberFormat="1" applyFill="1" applyBorder="1" applyAlignment="1" applyProtection="1">
      <alignment vertical="top"/>
      <protection locked="0"/>
    </xf>
    <xf numFmtId="0" fontId="19" fillId="39" borderId="23" xfId="4" applyFill="1" applyBorder="1" applyAlignment="1" applyProtection="1">
      <alignment vertical="center"/>
      <protection locked="0"/>
    </xf>
    <xf numFmtId="44" fontId="19" fillId="39" borderId="29" xfId="2" applyFill="1" applyBorder="1" applyAlignment="1" applyProtection="1">
      <alignment vertical="center"/>
    </xf>
    <xf numFmtId="0" fontId="19" fillId="39" borderId="25" xfId="4" applyFill="1" applyBorder="1" applyAlignment="1" applyProtection="1">
      <alignment vertical="center"/>
    </xf>
    <xf numFmtId="44" fontId="19" fillId="39" borderId="24" xfId="2" applyFill="1" applyBorder="1" applyAlignment="1" applyProtection="1">
      <alignment vertical="center"/>
    </xf>
    <xf numFmtId="44" fontId="19" fillId="39" borderId="25" xfId="4" applyNumberFormat="1" applyFill="1" applyBorder="1" applyAlignment="1" applyProtection="1">
      <alignment vertical="center"/>
    </xf>
    <xf numFmtId="44" fontId="0" fillId="0" borderId="0" xfId="0" applyNumberFormat="1" applyProtection="1"/>
    <xf numFmtId="167" fontId="19" fillId="34" borderId="11" xfId="3" applyNumberFormat="1" applyFill="1" applyBorder="1" applyProtection="1">
      <protection locked="0"/>
    </xf>
    <xf numFmtId="0" fontId="30" fillId="0" borderId="0" xfId="0" applyFont="1" applyProtection="1"/>
    <xf numFmtId="0" fontId="0" fillId="38" borderId="0" xfId="0" applyFill="1" applyProtection="1"/>
    <xf numFmtId="0" fontId="0" fillId="0" borderId="0" xfId="0" applyFont="1" applyProtection="1"/>
    <xf numFmtId="0" fontId="21" fillId="0" borderId="0" xfId="0" applyFont="1" applyFill="1"/>
    <xf numFmtId="0" fontId="22" fillId="0" borderId="0" xfId="0" applyFont="1" applyFill="1" applyAlignment="1">
      <alignment horizontal="right" vertical="top"/>
    </xf>
    <xf numFmtId="0" fontId="22" fillId="0" borderId="10" xfId="0" applyFont="1" applyFill="1" applyBorder="1" applyAlignment="1">
      <alignment horizontal="right" vertical="top"/>
    </xf>
    <xf numFmtId="0" fontId="25" fillId="0" borderId="0" xfId="0" applyFont="1" applyAlignment="1" applyProtection="1"/>
    <xf numFmtId="0" fontId="0" fillId="0" borderId="0" xfId="0" applyFill="1"/>
    <xf numFmtId="0" fontId="25" fillId="0" borderId="0" xfId="0" applyFont="1" applyFill="1" applyAlignment="1" applyProtection="1"/>
    <xf numFmtId="0" fontId="0" fillId="34" borderId="0" xfId="0" applyFill="1" applyProtection="1"/>
    <xf numFmtId="0" fontId="21" fillId="40" borderId="0" xfId="4" applyFont="1" applyFill="1" applyAlignment="1" applyProtection="1">
      <alignment horizontal="left" vertical="top" wrapText="1"/>
    </xf>
    <xf numFmtId="0" fontId="27" fillId="0" borderId="0" xfId="0" applyFont="1" applyAlignment="1" applyProtection="1">
      <alignment horizontal="left" vertical="top" wrapText="1" indent="1"/>
    </xf>
    <xf numFmtId="0" fontId="21" fillId="40" borderId="0" xfId="0" applyFont="1" applyFill="1" applyAlignment="1" applyProtection="1">
      <alignment horizontal="left" vertical="top" wrapText="1"/>
    </xf>
    <xf numFmtId="0" fontId="27" fillId="0" borderId="0" xfId="4" applyFont="1" applyAlignment="1" applyProtection="1">
      <alignment horizontal="left" vertical="top" wrapText="1" indent="1"/>
    </xf>
    <xf numFmtId="0" fontId="21" fillId="0" borderId="0" xfId="0" applyFont="1" applyAlignment="1" applyProtection="1">
      <alignment horizontal="center" wrapText="1"/>
    </xf>
    <xf numFmtId="0" fontId="0" fillId="0" borderId="0" xfId="0" applyAlignment="1">
      <alignment horizontal="center" wrapText="1"/>
    </xf>
    <xf numFmtId="0" fontId="21" fillId="0" borderId="18" xfId="0" applyFont="1" applyFill="1" applyBorder="1" applyAlignment="1" applyProtection="1">
      <alignment horizontal="center" wrapText="1"/>
    </xf>
    <xf numFmtId="0" fontId="0" fillId="0" borderId="19" xfId="0" applyBorder="1" applyAlignment="1">
      <alignment wrapText="1"/>
    </xf>
    <xf numFmtId="0" fontId="21" fillId="0" borderId="16" xfId="0" applyFont="1" applyFill="1" applyBorder="1" applyAlignment="1" applyProtection="1">
      <alignment horizontal="center" wrapText="1"/>
    </xf>
    <xf numFmtId="0" fontId="0" fillId="0" borderId="20" xfId="0" applyBorder="1" applyAlignment="1">
      <alignment wrapText="1"/>
    </xf>
    <xf numFmtId="0" fontId="23" fillId="33" borderId="0" xfId="0" applyFont="1" applyFill="1" applyBorder="1" applyAlignment="1" applyProtection="1">
      <alignment horizontal="left" indent="7"/>
    </xf>
    <xf numFmtId="0" fontId="24" fillId="34" borderId="0" xfId="0" applyFont="1" applyFill="1" applyAlignment="1" applyProtection="1">
      <alignment horizontal="left" vertical="center"/>
    </xf>
    <xf numFmtId="0" fontId="21" fillId="0" borderId="12" xfId="0" applyFont="1" applyBorder="1" applyAlignment="1" applyProtection="1">
      <alignment horizontal="center"/>
    </xf>
    <xf numFmtId="0" fontId="21" fillId="0" borderId="13" xfId="0" applyFont="1" applyBorder="1" applyAlignment="1" applyProtection="1">
      <alignment horizontal="center"/>
    </xf>
    <xf numFmtId="0" fontId="21" fillId="0" borderId="14" xfId="0" applyFont="1" applyBorder="1" applyAlignment="1" applyProtection="1">
      <alignment horizontal="center"/>
    </xf>
  </cellXfs>
  <cellStyles count="46642">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 Id="rId22"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O$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O$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O$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O$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O$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O$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O$1"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381000</xdr:colOff>
          <xdr:row>18</xdr:row>
          <xdr:rowOff>133350</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381000</xdr:colOff>
          <xdr:row>18</xdr:row>
          <xdr:rowOff>133350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381000</xdr:colOff>
          <xdr:row>18</xdr:row>
          <xdr:rowOff>133350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381000</xdr:colOff>
          <xdr:row>18</xdr:row>
          <xdr:rowOff>133350</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381000</xdr:colOff>
          <xdr:row>18</xdr:row>
          <xdr:rowOff>133350</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 val="App.2-V_Rev_Rec 2016"/>
      <sheetName val="App.2-V_Rev_Rec 2017"/>
      <sheetName val="App.2-V_Rev_Rec 2018"/>
      <sheetName val="App.2-V_Rev_Rec 2019"/>
      <sheetName val="App.2-V_Rev_Rec 2020"/>
      <sheetName val="App. 2-Z_Tariff (2016)"/>
      <sheetName val="App. 2-Z_Tariff (2017)"/>
      <sheetName val="App. 2-Z_Tariff (2018)"/>
      <sheetName val="App. 2-Z_Tariff (2019)"/>
      <sheetName val="App. 2-Z_Tariff (2020)"/>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92"/>
  <sheetViews>
    <sheetView showGridLines="0" tabSelected="1" zoomScale="85" zoomScaleNormal="85" workbookViewId="0">
      <selection activeCell="F29" sqref="F29"/>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384" width="9.140625" style="6"/>
  </cols>
  <sheetData>
    <row r="1" spans="1:15" s="2" customFormat="1" ht="15" customHeight="1" x14ac:dyDescent="0.2">
      <c r="A1" s="1"/>
      <c r="B1" s="1"/>
      <c r="C1" s="1"/>
      <c r="D1" s="1"/>
      <c r="E1" s="1"/>
      <c r="F1" s="1"/>
      <c r="G1" s="1"/>
      <c r="H1" s="1"/>
      <c r="I1" s="1"/>
      <c r="J1" s="1"/>
      <c r="K1" s="1"/>
      <c r="N1" s="178"/>
      <c r="O1" s="2">
        <v>1</v>
      </c>
    </row>
    <row r="2" spans="1:15" s="2" customFormat="1" ht="15" customHeight="1" x14ac:dyDescent="0.25">
      <c r="A2" s="3"/>
      <c r="B2" s="3"/>
      <c r="C2" s="3"/>
      <c r="D2" s="3"/>
      <c r="E2" s="3"/>
      <c r="F2" s="3"/>
      <c r="G2" s="3"/>
      <c r="H2" s="3"/>
      <c r="I2" s="3"/>
      <c r="J2" s="3"/>
      <c r="K2" s="3"/>
      <c r="N2" s="178"/>
      <c r="O2" s="180"/>
    </row>
    <row r="3" spans="1:15" s="2" customFormat="1" ht="15" customHeight="1" x14ac:dyDescent="0.25">
      <c r="A3" s="195"/>
      <c r="B3" s="195"/>
      <c r="C3" s="195"/>
      <c r="D3" s="195"/>
      <c r="E3" s="195"/>
      <c r="F3" s="195"/>
      <c r="G3" s="195"/>
      <c r="H3" s="195"/>
      <c r="I3" s="195"/>
      <c r="J3" s="195"/>
      <c r="K3" s="195"/>
      <c r="N3" s="178"/>
      <c r="O3" s="180"/>
    </row>
    <row r="4" spans="1:15" s="2" customFormat="1" ht="15" customHeight="1" x14ac:dyDescent="0.25">
      <c r="A4" s="3"/>
      <c r="B4" s="3"/>
      <c r="C4" s="3"/>
      <c r="D4" s="3"/>
      <c r="E4" s="3"/>
      <c r="F4" s="3"/>
      <c r="G4" s="3"/>
      <c r="H4" s="3"/>
      <c r="I4" s="4"/>
      <c r="J4" s="4"/>
      <c r="K4" s="4"/>
      <c r="N4" s="178"/>
      <c r="O4" s="180"/>
    </row>
    <row r="5" spans="1:15" s="2" customFormat="1" ht="15" customHeight="1" x14ac:dyDescent="0.25">
      <c r="C5" s="5"/>
      <c r="D5" s="5"/>
      <c r="E5" s="5"/>
      <c r="N5" s="178"/>
      <c r="O5" s="179"/>
    </row>
    <row r="6" spans="1:15" s="2" customFormat="1" ht="9" customHeight="1" x14ac:dyDescent="0.2">
      <c r="N6" s="178"/>
      <c r="O6" s="179"/>
    </row>
    <row r="7" spans="1:15" s="2" customFormat="1" x14ac:dyDescent="0.2">
      <c r="N7" s="178"/>
      <c r="O7" s="179"/>
    </row>
    <row r="8" spans="1:15" s="2" customFormat="1" ht="15" customHeight="1" x14ac:dyDescent="0.2">
      <c r="N8" s="6"/>
      <c r="O8"/>
    </row>
    <row r="9" spans="1:15" ht="7.5" customHeight="1" x14ac:dyDescent="0.2">
      <c r="L9"/>
      <c r="M9"/>
      <c r="N9"/>
      <c r="O9"/>
    </row>
    <row r="10" spans="1:15" ht="18.75" customHeight="1" x14ac:dyDescent="0.25">
      <c r="C10" s="181"/>
      <c r="D10" s="181"/>
      <c r="E10" s="181"/>
      <c r="F10" s="181" t="s">
        <v>0</v>
      </c>
      <c r="G10" s="181"/>
      <c r="H10" s="181"/>
      <c r="I10" s="181"/>
      <c r="J10" s="181"/>
      <c r="K10" s="181"/>
      <c r="L10" s="181"/>
      <c r="M10" s="181"/>
      <c r="N10" s="181"/>
      <c r="O10" s="181"/>
    </row>
    <row r="11" spans="1:15" ht="18.75" customHeight="1" x14ac:dyDescent="0.25">
      <c r="C11" s="181"/>
      <c r="D11" s="181"/>
      <c r="E11" s="181"/>
      <c r="F11" s="181" t="s">
        <v>1</v>
      </c>
      <c r="G11" s="181"/>
      <c r="H11" s="181"/>
      <c r="I11" s="181"/>
      <c r="J11" s="181"/>
      <c r="K11" s="181"/>
      <c r="L11" s="181"/>
      <c r="M11" s="181"/>
      <c r="N11" s="181"/>
      <c r="O11" s="181"/>
    </row>
    <row r="12" spans="1:15" ht="7.5" customHeight="1" x14ac:dyDescent="0.2">
      <c r="L12"/>
      <c r="M12"/>
      <c r="N12"/>
      <c r="O12"/>
    </row>
    <row r="13" spans="1:15" ht="7.5" customHeight="1" x14ac:dyDescent="0.2">
      <c r="L13"/>
      <c r="M13"/>
      <c r="N13"/>
      <c r="O13"/>
    </row>
    <row r="14" spans="1:15" ht="15.75" x14ac:dyDescent="0.2">
      <c r="B14" s="7" t="s">
        <v>2</v>
      </c>
      <c r="D14" s="196" t="s">
        <v>3</v>
      </c>
      <c r="E14" s="196"/>
      <c r="F14" s="196"/>
      <c r="G14" s="196"/>
      <c r="H14" s="196"/>
      <c r="I14" s="196"/>
      <c r="J14" s="196"/>
      <c r="K14" s="196"/>
      <c r="L14" s="196"/>
      <c r="M14" s="196"/>
      <c r="N14" s="196"/>
      <c r="O14" s="196"/>
    </row>
    <row r="15" spans="1:15" ht="7.5" customHeight="1" x14ac:dyDescent="0.25">
      <c r="B15" s="8"/>
      <c r="D15" s="9"/>
      <c r="E15" s="9"/>
      <c r="F15" s="9"/>
      <c r="G15" s="9"/>
      <c r="H15" s="9"/>
      <c r="I15" s="9"/>
      <c r="J15" s="9"/>
      <c r="K15" s="9"/>
      <c r="L15" s="9"/>
      <c r="M15" s="9"/>
      <c r="N15" s="9"/>
      <c r="O15" s="9"/>
    </row>
    <row r="16" spans="1:15"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100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100</v>
      </c>
      <c r="H29" s="26">
        <f t="shared" si="0"/>
        <v>2.34</v>
      </c>
      <c r="I29" s="27"/>
      <c r="J29" s="24">
        <v>2.07E-2</v>
      </c>
      <c r="K29" s="25">
        <f>$F$18</f>
        <v>100</v>
      </c>
      <c r="L29" s="26">
        <f t="shared" si="1"/>
        <v>2.0699999999999998</v>
      </c>
      <c r="M29" s="27"/>
      <c r="N29" s="30">
        <f t="shared" si="2"/>
        <v>-0.27</v>
      </c>
      <c r="O29" s="31">
        <f t="shared" si="3"/>
        <v>-0.1153846153846154</v>
      </c>
    </row>
    <row r="30" spans="2:15" x14ac:dyDescent="0.2">
      <c r="B30" s="21" t="s">
        <v>23</v>
      </c>
      <c r="C30" s="21"/>
      <c r="D30" s="22"/>
      <c r="E30" s="23"/>
      <c r="F30" s="24"/>
      <c r="G30" s="25">
        <f t="shared" ref="G30" si="4">$F$18</f>
        <v>100</v>
      </c>
      <c r="H30" s="26">
        <f t="shared" si="0"/>
        <v>0</v>
      </c>
      <c r="I30" s="27"/>
      <c r="J30" s="28"/>
      <c r="K30" s="25">
        <f t="shared" ref="K30:K38" si="5">$F$18</f>
        <v>100</v>
      </c>
      <c r="L30" s="26">
        <f t="shared" si="1"/>
        <v>0</v>
      </c>
      <c r="M30" s="27"/>
      <c r="N30" s="30">
        <f t="shared" si="2"/>
        <v>0</v>
      </c>
      <c r="O30" s="31" t="str">
        <f t="shared" si="3"/>
        <v/>
      </c>
    </row>
    <row r="31" spans="2:15" x14ac:dyDescent="0.2">
      <c r="B31" s="21" t="s">
        <v>24</v>
      </c>
      <c r="C31" s="21"/>
      <c r="D31" s="22" t="s">
        <v>22</v>
      </c>
      <c r="E31" s="23"/>
      <c r="F31" s="24">
        <v>0</v>
      </c>
      <c r="G31" s="25">
        <f>$F$18</f>
        <v>100</v>
      </c>
      <c r="H31" s="26">
        <f t="shared" si="0"/>
        <v>0</v>
      </c>
      <c r="I31" s="27"/>
      <c r="J31" s="28">
        <v>-2.9999999999999997E-4</v>
      </c>
      <c r="K31" s="25">
        <f t="shared" si="5"/>
        <v>100</v>
      </c>
      <c r="L31" s="26">
        <f t="shared" si="1"/>
        <v>-0.03</v>
      </c>
      <c r="M31" s="27"/>
      <c r="N31" s="30">
        <f t="shared" si="2"/>
        <v>-0.03</v>
      </c>
      <c r="O31" s="31" t="str">
        <f t="shared" si="3"/>
        <v/>
      </c>
    </row>
    <row r="32" spans="2:15" x14ac:dyDescent="0.2">
      <c r="B32" s="33"/>
      <c r="C32" s="21"/>
      <c r="D32" s="22"/>
      <c r="E32" s="23"/>
      <c r="F32" s="24"/>
      <c r="G32" s="25">
        <f t="shared" ref="G32:G38" si="6">$F$18</f>
        <v>100</v>
      </c>
      <c r="H32" s="26">
        <f t="shared" si="0"/>
        <v>0</v>
      </c>
      <c r="I32" s="27"/>
      <c r="J32" s="28"/>
      <c r="K32" s="25">
        <f t="shared" si="5"/>
        <v>100</v>
      </c>
      <c r="L32" s="26">
        <f t="shared" si="1"/>
        <v>0</v>
      </c>
      <c r="M32" s="27"/>
      <c r="N32" s="30">
        <f t="shared" si="2"/>
        <v>0</v>
      </c>
      <c r="O32" s="31" t="str">
        <f t="shared" si="3"/>
        <v/>
      </c>
    </row>
    <row r="33" spans="2:15" x14ac:dyDescent="0.2">
      <c r="B33" s="33"/>
      <c r="C33" s="21"/>
      <c r="D33" s="22"/>
      <c r="E33" s="23"/>
      <c r="F33" s="24"/>
      <c r="G33" s="25">
        <f t="shared" si="6"/>
        <v>100</v>
      </c>
      <c r="H33" s="26">
        <f t="shared" si="0"/>
        <v>0</v>
      </c>
      <c r="I33" s="27"/>
      <c r="J33" s="28"/>
      <c r="K33" s="25">
        <f t="shared" si="5"/>
        <v>100</v>
      </c>
      <c r="L33" s="26">
        <f t="shared" si="1"/>
        <v>0</v>
      </c>
      <c r="M33" s="27"/>
      <c r="N33" s="30">
        <f t="shared" si="2"/>
        <v>0</v>
      </c>
      <c r="O33" s="31" t="str">
        <f t="shared" si="3"/>
        <v/>
      </c>
    </row>
    <row r="34" spans="2:15" x14ac:dyDescent="0.2">
      <c r="B34" s="33"/>
      <c r="C34" s="21"/>
      <c r="D34" s="22"/>
      <c r="E34" s="23"/>
      <c r="F34" s="24"/>
      <c r="G34" s="25">
        <f t="shared" si="6"/>
        <v>100</v>
      </c>
      <c r="H34" s="26">
        <f t="shared" si="0"/>
        <v>0</v>
      </c>
      <c r="I34" s="27"/>
      <c r="J34" s="28"/>
      <c r="K34" s="25">
        <f t="shared" si="5"/>
        <v>100</v>
      </c>
      <c r="L34" s="26">
        <f t="shared" si="1"/>
        <v>0</v>
      </c>
      <c r="M34" s="27"/>
      <c r="N34" s="30">
        <f t="shared" si="2"/>
        <v>0</v>
      </c>
      <c r="O34" s="31" t="str">
        <f t="shared" si="3"/>
        <v/>
      </c>
    </row>
    <row r="35" spans="2:15" x14ac:dyDescent="0.2">
      <c r="B35" s="33"/>
      <c r="C35" s="21"/>
      <c r="D35" s="22"/>
      <c r="E35" s="23"/>
      <c r="F35" s="24"/>
      <c r="G35" s="25">
        <f t="shared" si="6"/>
        <v>100</v>
      </c>
      <c r="H35" s="26">
        <f t="shared" si="0"/>
        <v>0</v>
      </c>
      <c r="I35" s="27"/>
      <c r="J35" s="28"/>
      <c r="K35" s="25">
        <f t="shared" si="5"/>
        <v>100</v>
      </c>
      <c r="L35" s="26">
        <f t="shared" si="1"/>
        <v>0</v>
      </c>
      <c r="M35" s="27"/>
      <c r="N35" s="30">
        <f t="shared" si="2"/>
        <v>0</v>
      </c>
      <c r="O35" s="31" t="str">
        <f t="shared" si="3"/>
        <v/>
      </c>
    </row>
    <row r="36" spans="2:15" x14ac:dyDescent="0.2">
      <c r="B36" s="33"/>
      <c r="C36" s="21"/>
      <c r="D36" s="22"/>
      <c r="E36" s="23"/>
      <c r="F36" s="24"/>
      <c r="G36" s="25">
        <f t="shared" si="6"/>
        <v>100</v>
      </c>
      <c r="H36" s="26">
        <f t="shared" si="0"/>
        <v>0</v>
      </c>
      <c r="I36" s="27"/>
      <c r="J36" s="28"/>
      <c r="K36" s="25">
        <f t="shared" si="5"/>
        <v>100</v>
      </c>
      <c r="L36" s="26">
        <f t="shared" si="1"/>
        <v>0</v>
      </c>
      <c r="M36" s="27"/>
      <c r="N36" s="30">
        <f t="shared" si="2"/>
        <v>0</v>
      </c>
      <c r="O36" s="31" t="str">
        <f t="shared" si="3"/>
        <v/>
      </c>
    </row>
    <row r="37" spans="2:15" x14ac:dyDescent="0.2">
      <c r="B37" s="33"/>
      <c r="C37" s="21"/>
      <c r="D37" s="22"/>
      <c r="E37" s="23"/>
      <c r="F37" s="24"/>
      <c r="G37" s="25">
        <f t="shared" si="6"/>
        <v>100</v>
      </c>
      <c r="H37" s="26">
        <f t="shared" si="0"/>
        <v>0</v>
      </c>
      <c r="I37" s="27"/>
      <c r="J37" s="28"/>
      <c r="K37" s="25">
        <f t="shared" si="5"/>
        <v>100</v>
      </c>
      <c r="L37" s="26">
        <f t="shared" si="1"/>
        <v>0</v>
      </c>
      <c r="M37" s="27"/>
      <c r="N37" s="30">
        <f t="shared" si="2"/>
        <v>0</v>
      </c>
      <c r="O37" s="31" t="str">
        <f t="shared" si="3"/>
        <v/>
      </c>
    </row>
    <row r="38" spans="2:15" x14ac:dyDescent="0.2">
      <c r="B38" s="33"/>
      <c r="C38" s="21"/>
      <c r="D38" s="22"/>
      <c r="E38" s="23"/>
      <c r="F38" s="24"/>
      <c r="G38" s="25">
        <f t="shared" si="6"/>
        <v>100</v>
      </c>
      <c r="H38" s="26">
        <f t="shared" si="0"/>
        <v>0</v>
      </c>
      <c r="I38" s="27"/>
      <c r="J38" s="28"/>
      <c r="K38" s="25">
        <f t="shared" si="5"/>
        <v>100</v>
      </c>
      <c r="L38" s="26">
        <f t="shared" si="1"/>
        <v>0</v>
      </c>
      <c r="M38" s="27"/>
      <c r="N38" s="30">
        <f t="shared" si="2"/>
        <v>0</v>
      </c>
      <c r="O38" s="31" t="str">
        <f t="shared" si="3"/>
        <v/>
      </c>
    </row>
    <row r="39" spans="2:15" s="45" customFormat="1" x14ac:dyDescent="0.2">
      <c r="B39" s="34" t="s">
        <v>25</v>
      </c>
      <c r="C39" s="35"/>
      <c r="D39" s="36"/>
      <c r="E39" s="35"/>
      <c r="F39" s="37"/>
      <c r="G39" s="38"/>
      <c r="H39" s="39">
        <f>SUM(H23:H38)</f>
        <v>12.01</v>
      </c>
      <c r="I39" s="40"/>
      <c r="J39" s="41"/>
      <c r="K39" s="42"/>
      <c r="L39" s="39">
        <f>SUM(L23:L38)</f>
        <v>16.009999999999998</v>
      </c>
      <c r="M39" s="40"/>
      <c r="N39" s="43">
        <f t="shared" si="2"/>
        <v>3.9999999999999982</v>
      </c>
      <c r="O39" s="44">
        <f t="shared" si="3"/>
        <v>0.33305578684429626</v>
      </c>
    </row>
    <row r="40" spans="2:15" ht="25.5" x14ac:dyDescent="0.2">
      <c r="B40" s="46" t="s">
        <v>26</v>
      </c>
      <c r="C40" s="21"/>
      <c r="D40" s="22"/>
      <c r="E40" s="23"/>
      <c r="F40" s="24">
        <v>0</v>
      </c>
      <c r="G40" s="25">
        <f>$F$18</f>
        <v>100</v>
      </c>
      <c r="H40" s="26">
        <f>G40*F40</f>
        <v>0</v>
      </c>
      <c r="I40" s="27"/>
      <c r="J40" s="28">
        <v>-5.9999999999999995E-4</v>
      </c>
      <c r="K40" s="25">
        <f>$F$18</f>
        <v>100</v>
      </c>
      <c r="L40" s="26">
        <f>K40*J40</f>
        <v>-0.06</v>
      </c>
      <c r="M40" s="27"/>
      <c r="N40" s="30">
        <f>L40-H40</f>
        <v>-0.06</v>
      </c>
      <c r="O40" s="31" t="str">
        <f>IF((H40)=0,"",(N40/H40))</f>
        <v/>
      </c>
    </row>
    <row r="41" spans="2:15" x14ac:dyDescent="0.2">
      <c r="B41" s="46"/>
      <c r="C41" s="21"/>
      <c r="D41" s="22"/>
      <c r="E41" s="23"/>
      <c r="F41" s="24"/>
      <c r="G41" s="25">
        <f t="shared" ref="G41:G43" si="7">$F$18</f>
        <v>100</v>
      </c>
      <c r="H41" s="26">
        <f t="shared" ref="H41:H45" si="8">G41*F41</f>
        <v>0</v>
      </c>
      <c r="I41" s="47"/>
      <c r="J41" s="28"/>
      <c r="K41" s="25">
        <f t="shared" ref="K41:K43" si="9">$F$18</f>
        <v>100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100</v>
      </c>
      <c r="H42" s="26">
        <f t="shared" si="8"/>
        <v>0</v>
      </c>
      <c r="I42" s="47"/>
      <c r="J42" s="28"/>
      <c r="K42" s="25">
        <f t="shared" si="9"/>
        <v>100</v>
      </c>
      <c r="L42" s="26">
        <f t="shared" si="10"/>
        <v>0</v>
      </c>
      <c r="M42" s="48"/>
      <c r="N42" s="30">
        <f t="shared" si="11"/>
        <v>0</v>
      </c>
      <c r="O42" s="31" t="str">
        <f t="shared" si="12"/>
        <v/>
      </c>
    </row>
    <row r="43" spans="2:15" x14ac:dyDescent="0.2">
      <c r="B43" s="46"/>
      <c r="C43" s="21"/>
      <c r="D43" s="22"/>
      <c r="E43" s="23"/>
      <c r="F43" s="24"/>
      <c r="G43" s="25">
        <f t="shared" si="7"/>
        <v>100</v>
      </c>
      <c r="H43" s="26">
        <f t="shared" si="8"/>
        <v>0</v>
      </c>
      <c r="I43" s="47"/>
      <c r="J43" s="28"/>
      <c r="K43" s="25">
        <f t="shared" si="9"/>
        <v>100</v>
      </c>
      <c r="L43" s="26">
        <f t="shared" si="10"/>
        <v>0</v>
      </c>
      <c r="M43" s="48"/>
      <c r="N43" s="30">
        <f t="shared" si="11"/>
        <v>0</v>
      </c>
      <c r="O43" s="31" t="str">
        <f t="shared" si="12"/>
        <v/>
      </c>
    </row>
    <row r="44" spans="2:15" x14ac:dyDescent="0.2">
      <c r="B44" s="49" t="s">
        <v>27</v>
      </c>
      <c r="C44" s="21"/>
      <c r="D44" s="22" t="s">
        <v>22</v>
      </c>
      <c r="E44" s="23"/>
      <c r="F44" s="50">
        <v>6.0000000000000002E-5</v>
      </c>
      <c r="G44" s="51">
        <f>$F$18*(1+F74)</f>
        <v>103.58000000000001</v>
      </c>
      <c r="H44" s="26">
        <f>G44*F44</f>
        <v>6.2148000000000012E-3</v>
      </c>
      <c r="I44" s="27"/>
      <c r="J44" s="52">
        <v>6.9999999999999994E-5</v>
      </c>
      <c r="K44" s="51">
        <f>$F$18*(1+J74)</f>
        <v>103.38000000000001</v>
      </c>
      <c r="L44" s="26">
        <f>K44*J44</f>
        <v>7.2366000000000002E-3</v>
      </c>
      <c r="M44" s="27"/>
      <c r="N44" s="30">
        <f>L44-H44</f>
        <v>1.0217999999999989E-3</v>
      </c>
      <c r="O44" s="31">
        <f>IF((H44)=0,"",(N44/H44))</f>
        <v>0.16441397953272813</v>
      </c>
    </row>
    <row r="45" spans="2:15" x14ac:dyDescent="0.2">
      <c r="B45" s="49" t="s">
        <v>28</v>
      </c>
      <c r="C45" s="21"/>
      <c r="D45" s="22"/>
      <c r="E45" s="23"/>
      <c r="F45" s="53">
        <f>IF(ISBLANK(D16)=TRUE, 0, IF(D16="TOU", 0.64*$F$55+0.18*$F$56+0.18*$F$57, IF(AND(D16="non-TOU", G59&gt;0), F59,F58)))</f>
        <v>0.10214000000000001</v>
      </c>
      <c r="G45" s="54">
        <f>$F$18*(1+$F$74)-$F$18</f>
        <v>3.5800000000000125</v>
      </c>
      <c r="H45" s="26">
        <f t="shared" si="8"/>
        <v>0.3656612000000013</v>
      </c>
      <c r="I45" s="27"/>
      <c r="J45" s="55">
        <f>0.64*$J$55+0.18*$J$56+0.18*$J$57</f>
        <v>0.10214000000000001</v>
      </c>
      <c r="K45" s="54">
        <f>$F$18*(1+$J$74)-$F$18</f>
        <v>3.3800000000000097</v>
      </c>
      <c r="L45" s="26">
        <f t="shared" si="10"/>
        <v>0.34523320000000102</v>
      </c>
      <c r="M45" s="27"/>
      <c r="N45" s="30">
        <f t="shared" si="11"/>
        <v>-2.0428000000000279E-2</v>
      </c>
      <c r="O45" s="31">
        <f t="shared" si="12"/>
        <v>-5.5865921787710063E-2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13.171876000000001</v>
      </c>
      <c r="I47" s="40"/>
      <c r="J47" s="59"/>
      <c r="K47" s="61"/>
      <c r="L47" s="60">
        <f>SUM(L40:L46)+L39</f>
        <v>17.0924698</v>
      </c>
      <c r="M47" s="40"/>
      <c r="N47" s="43">
        <f t="shared" ref="N47:N65" si="13">L47-H47</f>
        <v>3.9205937999999989</v>
      </c>
      <c r="O47" s="44">
        <f t="shared" si="12"/>
        <v>0.297648854271024</v>
      </c>
    </row>
    <row r="48" spans="2:15" x14ac:dyDescent="0.2">
      <c r="B48" s="27" t="s">
        <v>31</v>
      </c>
      <c r="C48" s="27"/>
      <c r="D48" s="62" t="s">
        <v>22</v>
      </c>
      <c r="E48" s="63"/>
      <c r="F48" s="28">
        <v>7.7000000000000002E-3</v>
      </c>
      <c r="G48" s="64">
        <f>F18*(1+F74)</f>
        <v>103.58000000000001</v>
      </c>
      <c r="H48" s="26">
        <f>G48*F48</f>
        <v>0.79756600000000011</v>
      </c>
      <c r="I48" s="27"/>
      <c r="J48" s="28">
        <v>7.7000000000000002E-3</v>
      </c>
      <c r="K48" s="65">
        <f>F18*(1+J74)</f>
        <v>103.38000000000001</v>
      </c>
      <c r="L48" s="26">
        <f>K48*J48</f>
        <v>0.79602600000000012</v>
      </c>
      <c r="M48" s="27"/>
      <c r="N48" s="30">
        <f t="shared" si="13"/>
        <v>-1.5399999999999858E-3</v>
      </c>
      <c r="O48" s="31">
        <f t="shared" si="12"/>
        <v>-1.9308746862328455E-3</v>
      </c>
    </row>
    <row r="49" spans="2:15" ht="25.5" x14ac:dyDescent="0.2">
      <c r="B49" s="66" t="s">
        <v>32</v>
      </c>
      <c r="C49" s="27"/>
      <c r="D49" s="62" t="s">
        <v>22</v>
      </c>
      <c r="E49" s="63"/>
      <c r="F49" s="28">
        <v>4.1999999999999997E-3</v>
      </c>
      <c r="G49" s="64">
        <f>G48</f>
        <v>103.58000000000001</v>
      </c>
      <c r="H49" s="26">
        <f>G49*F49</f>
        <v>0.43503600000000003</v>
      </c>
      <c r="I49" s="27"/>
      <c r="J49" s="28">
        <v>4.1999999999999997E-3</v>
      </c>
      <c r="K49" s="65">
        <f>K48</f>
        <v>103.38000000000001</v>
      </c>
      <c r="L49" s="26">
        <f>K49*J49</f>
        <v>0.43419600000000003</v>
      </c>
      <c r="M49" s="27"/>
      <c r="N49" s="30">
        <f t="shared" si="13"/>
        <v>-8.4000000000000741E-4</v>
      </c>
      <c r="O49" s="31">
        <f t="shared" si="12"/>
        <v>-1.9308746862328804E-3</v>
      </c>
    </row>
    <row r="50" spans="2:15" ht="25.5" x14ac:dyDescent="0.2">
      <c r="B50" s="56" t="s">
        <v>33</v>
      </c>
      <c r="C50" s="35"/>
      <c r="D50" s="35"/>
      <c r="E50" s="35"/>
      <c r="F50" s="67"/>
      <c r="G50" s="59"/>
      <c r="H50" s="60">
        <f>SUM(H47:H49)</f>
        <v>14.404478000000001</v>
      </c>
      <c r="I50" s="68"/>
      <c r="J50" s="69"/>
      <c r="K50" s="70"/>
      <c r="L50" s="60">
        <f>SUM(L47:L49)</f>
        <v>18.322691800000001</v>
      </c>
      <c r="M50" s="68"/>
      <c r="N50" s="43">
        <f t="shared" si="13"/>
        <v>3.9182138000000002</v>
      </c>
      <c r="O50" s="44">
        <f t="shared" si="12"/>
        <v>0.2720135918844126</v>
      </c>
    </row>
    <row r="51" spans="2:15" ht="25.5" x14ac:dyDescent="0.2">
      <c r="B51" s="71" t="s">
        <v>34</v>
      </c>
      <c r="C51" s="21"/>
      <c r="D51" s="22" t="s">
        <v>22</v>
      </c>
      <c r="E51" s="23"/>
      <c r="F51" s="72">
        <v>4.4000000000000003E-3</v>
      </c>
      <c r="G51" s="64">
        <f>G49</f>
        <v>103.58000000000001</v>
      </c>
      <c r="H51" s="73">
        <f t="shared" ref="H51:H57" si="14">G51*F51</f>
        <v>0.4557520000000001</v>
      </c>
      <c r="I51" s="27"/>
      <c r="J51" s="72">
        <v>4.4000000000000003E-3</v>
      </c>
      <c r="K51" s="65">
        <f>K49</f>
        <v>103.38000000000001</v>
      </c>
      <c r="L51" s="73">
        <f t="shared" ref="L51:L57" si="15">K51*J51</f>
        <v>0.45487200000000005</v>
      </c>
      <c r="M51" s="27"/>
      <c r="N51" s="30">
        <f t="shared" si="13"/>
        <v>-8.8000000000004741E-4</v>
      </c>
      <c r="O51" s="74">
        <f t="shared" si="12"/>
        <v>-1.9308746862329671E-3</v>
      </c>
    </row>
    <row r="52" spans="2:15" ht="25.5" x14ac:dyDescent="0.2">
      <c r="B52" s="71" t="s">
        <v>35</v>
      </c>
      <c r="C52" s="21"/>
      <c r="D52" s="22" t="s">
        <v>22</v>
      </c>
      <c r="E52" s="23"/>
      <c r="F52" s="72">
        <v>1.2999999999999999E-3</v>
      </c>
      <c r="G52" s="64">
        <f>G49</f>
        <v>103.58000000000001</v>
      </c>
      <c r="H52" s="73">
        <f t="shared" si="14"/>
        <v>0.13465400000000002</v>
      </c>
      <c r="I52" s="27"/>
      <c r="J52" s="72">
        <v>1.2999999999999999E-3</v>
      </c>
      <c r="K52" s="65">
        <f>K49</f>
        <v>103.38000000000001</v>
      </c>
      <c r="L52" s="73">
        <f t="shared" si="15"/>
        <v>0.13439400000000001</v>
      </c>
      <c r="M52" s="27"/>
      <c r="N52" s="30">
        <f t="shared" si="13"/>
        <v>-2.6000000000001022E-4</v>
      </c>
      <c r="O52" s="74">
        <f t="shared" si="12"/>
        <v>-1.9308746862329391E-3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100</v>
      </c>
      <c r="H54" s="73">
        <f t="shared" si="14"/>
        <v>0.69399999999999995</v>
      </c>
      <c r="I54" s="27"/>
      <c r="J54" s="72">
        <f>+F54</f>
        <v>6.94E-3</v>
      </c>
      <c r="K54" s="76">
        <f>$F$18</f>
        <v>100</v>
      </c>
      <c r="L54" s="73">
        <f t="shared" si="15"/>
        <v>0.69399999999999995</v>
      </c>
      <c r="M54" s="27"/>
      <c r="N54" s="30">
        <f t="shared" si="13"/>
        <v>0</v>
      </c>
      <c r="O54" s="74">
        <f t="shared" si="12"/>
        <v>0</v>
      </c>
    </row>
    <row r="55" spans="2:15" x14ac:dyDescent="0.2">
      <c r="B55" s="49" t="s">
        <v>38</v>
      </c>
      <c r="C55" s="21"/>
      <c r="D55" s="22"/>
      <c r="E55" s="23"/>
      <c r="F55" s="72">
        <v>0.08</v>
      </c>
      <c r="G55" s="77">
        <f>0.64*$F$18</f>
        <v>64</v>
      </c>
      <c r="H55" s="73">
        <f t="shared" si="14"/>
        <v>5.12</v>
      </c>
      <c r="I55" s="27"/>
      <c r="J55" s="72">
        <v>0.08</v>
      </c>
      <c r="K55" s="77">
        <f>$G$55</f>
        <v>64</v>
      </c>
      <c r="L55" s="73">
        <f t="shared" si="15"/>
        <v>5.12</v>
      </c>
      <c r="M55" s="27"/>
      <c r="N55" s="30">
        <f t="shared" si="13"/>
        <v>0</v>
      </c>
      <c r="O55" s="74">
        <f t="shared" si="12"/>
        <v>0</v>
      </c>
    </row>
    <row r="56" spans="2:15" x14ac:dyDescent="0.2">
      <c r="B56" s="49" t="s">
        <v>39</v>
      </c>
      <c r="C56" s="21"/>
      <c r="D56" s="22"/>
      <c r="E56" s="23"/>
      <c r="F56" s="72">
        <v>0.122</v>
      </c>
      <c r="G56" s="77">
        <f>0.18*$F$18</f>
        <v>18</v>
      </c>
      <c r="H56" s="73">
        <f t="shared" si="14"/>
        <v>2.1959999999999997</v>
      </c>
      <c r="I56" s="27"/>
      <c r="J56" s="72">
        <v>0.122</v>
      </c>
      <c r="K56" s="77">
        <f>$G$56</f>
        <v>18</v>
      </c>
      <c r="L56" s="73">
        <f t="shared" si="15"/>
        <v>2.1959999999999997</v>
      </c>
      <c r="M56" s="27"/>
      <c r="N56" s="30">
        <f t="shared" si="13"/>
        <v>0</v>
      </c>
      <c r="O56" s="74">
        <f t="shared" si="12"/>
        <v>0</v>
      </c>
    </row>
    <row r="57" spans="2:15" x14ac:dyDescent="0.2">
      <c r="B57" s="11" t="s">
        <v>40</v>
      </c>
      <c r="C57" s="21"/>
      <c r="D57" s="22"/>
      <c r="E57" s="23"/>
      <c r="F57" s="72">
        <v>0.161</v>
      </c>
      <c r="G57" s="77">
        <f>0.18*$F$18</f>
        <v>18</v>
      </c>
      <c r="H57" s="73">
        <f t="shared" si="14"/>
        <v>2.8980000000000001</v>
      </c>
      <c r="I57" s="27"/>
      <c r="J57" s="72">
        <v>0.161</v>
      </c>
      <c r="K57" s="77">
        <f>$G$57</f>
        <v>18</v>
      </c>
      <c r="L57" s="73">
        <f t="shared" si="15"/>
        <v>2.8980000000000001</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100</v>
      </c>
      <c r="H58" s="73">
        <f>G58*F58</f>
        <v>9.4</v>
      </c>
      <c r="I58" s="83"/>
      <c r="J58" s="72">
        <v>9.4E-2</v>
      </c>
      <c r="K58" s="82">
        <f>$G$58</f>
        <v>100</v>
      </c>
      <c r="L58" s="73">
        <f>K58*J58</f>
        <v>9.4</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0</v>
      </c>
      <c r="H59" s="73">
        <f>G59*F59</f>
        <v>0</v>
      </c>
      <c r="I59" s="83"/>
      <c r="J59" s="72">
        <v>0.11</v>
      </c>
      <c r="K59" s="82">
        <f>$G$59</f>
        <v>0</v>
      </c>
      <c r="L59" s="73">
        <f>K59*J59</f>
        <v>0</v>
      </c>
      <c r="M59" s="83"/>
      <c r="N59" s="84">
        <f t="shared" si="13"/>
        <v>0</v>
      </c>
      <c r="O59" s="74" t="str">
        <f t="shared" si="12"/>
        <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26.152884</v>
      </c>
      <c r="I61" s="100"/>
      <c r="J61" s="101"/>
      <c r="K61" s="101"/>
      <c r="L61" s="99">
        <f>SUM(L51:L57,L50)</f>
        <v>30.069957800000001</v>
      </c>
      <c r="M61" s="102"/>
      <c r="N61" s="103">
        <f t="shared" ref="N61" si="16">L61-H61</f>
        <v>3.9170738000000007</v>
      </c>
      <c r="O61" s="104">
        <f t="shared" ref="O61" si="17">IF((H61)=0,"",(N61/H61))</f>
        <v>0.14977597881747959</v>
      </c>
    </row>
    <row r="62" spans="2:15" x14ac:dyDescent="0.2">
      <c r="B62" s="105" t="s">
        <v>44</v>
      </c>
      <c r="C62" s="21"/>
      <c r="D62" s="21"/>
      <c r="E62" s="21"/>
      <c r="F62" s="106">
        <v>0.13</v>
      </c>
      <c r="G62" s="107"/>
      <c r="H62" s="108">
        <f>H61*F62</f>
        <v>3.3998749200000002</v>
      </c>
      <c r="I62" s="109"/>
      <c r="J62" s="110">
        <v>0.13</v>
      </c>
      <c r="K62" s="109"/>
      <c r="L62" s="111">
        <f>L61*J62</f>
        <v>3.9090945140000004</v>
      </c>
      <c r="M62" s="112"/>
      <c r="N62" s="113">
        <f t="shared" si="13"/>
        <v>0.50921959400000016</v>
      </c>
      <c r="O62" s="114">
        <f t="shared" si="12"/>
        <v>0.14977597881747959</v>
      </c>
    </row>
    <row r="63" spans="2:15" x14ac:dyDescent="0.2">
      <c r="B63" s="115" t="s">
        <v>45</v>
      </c>
      <c r="C63" s="21"/>
      <c r="D63" s="21"/>
      <c r="E63" s="21"/>
      <c r="F63" s="116"/>
      <c r="G63" s="107"/>
      <c r="H63" s="108">
        <f>H61+H62</f>
        <v>29.552758920000002</v>
      </c>
      <c r="I63" s="109"/>
      <c r="J63" s="109"/>
      <c r="K63" s="109"/>
      <c r="L63" s="111">
        <f>L61+L62</f>
        <v>33.979052314</v>
      </c>
      <c r="M63" s="112"/>
      <c r="N63" s="113">
        <f t="shared" si="13"/>
        <v>4.4262933939999982</v>
      </c>
      <c r="O63" s="114">
        <f t="shared" si="12"/>
        <v>0.14977597881747948</v>
      </c>
    </row>
    <row r="64" spans="2:15" ht="15.75" customHeight="1" x14ac:dyDescent="0.2">
      <c r="B64" s="186" t="s">
        <v>46</v>
      </c>
      <c r="C64" s="186"/>
      <c r="D64" s="186"/>
      <c r="E64" s="21"/>
      <c r="F64" s="116"/>
      <c r="G64" s="107"/>
      <c r="H64" s="117">
        <f>ROUND(-H63*10%,2)</f>
        <v>-2.96</v>
      </c>
      <c r="I64" s="109"/>
      <c r="J64" s="109"/>
      <c r="K64" s="109"/>
      <c r="L64" s="118">
        <f>ROUND(-L63*10%,2)</f>
        <v>-3.4</v>
      </c>
      <c r="M64" s="112"/>
      <c r="N64" s="118">
        <f t="shared" si="13"/>
        <v>-0.43999999999999995</v>
      </c>
      <c r="O64" s="119">
        <f t="shared" si="12"/>
        <v>0.14864864864864863</v>
      </c>
    </row>
    <row r="65" spans="1:15" ht="13.5" thickBot="1" x14ac:dyDescent="0.25">
      <c r="B65" s="187" t="s">
        <v>47</v>
      </c>
      <c r="C65" s="187"/>
      <c r="D65" s="187"/>
      <c r="E65" s="120"/>
      <c r="F65" s="121"/>
      <c r="G65" s="122"/>
      <c r="H65" s="123">
        <f>H63+H64</f>
        <v>26.592758920000001</v>
      </c>
      <c r="I65" s="124"/>
      <c r="J65" s="124"/>
      <c r="K65" s="124"/>
      <c r="L65" s="125">
        <f>L63+L64</f>
        <v>30.579052314000002</v>
      </c>
      <c r="M65" s="126"/>
      <c r="N65" s="127">
        <f t="shared" si="13"/>
        <v>3.9862933940000005</v>
      </c>
      <c r="O65" s="128">
        <f t="shared" si="12"/>
        <v>0.14990146024307283</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25.338884000000004</v>
      </c>
      <c r="I67" s="140"/>
      <c r="J67" s="141"/>
      <c r="K67" s="141"/>
      <c r="L67" s="139">
        <f>SUM(L58:L59,L50,L51:L54)</f>
        <v>29.255957800000001</v>
      </c>
      <c r="M67" s="142"/>
      <c r="N67" s="143">
        <f t="shared" ref="N67:N71" si="18">L67-H67</f>
        <v>3.9170737999999972</v>
      </c>
      <c r="O67" s="104">
        <f t="shared" ref="O67:O71" si="19">IF((H67)=0,"",(N67/H67))</f>
        <v>0.15458746328370249</v>
      </c>
    </row>
    <row r="68" spans="1:15" s="85" customFormat="1" x14ac:dyDescent="0.2">
      <c r="B68" s="144" t="s">
        <v>44</v>
      </c>
      <c r="C68" s="79"/>
      <c r="D68" s="79"/>
      <c r="E68" s="79"/>
      <c r="F68" s="145">
        <v>0.13</v>
      </c>
      <c r="G68" s="138"/>
      <c r="H68" s="146">
        <f>H67*F68</f>
        <v>3.2940549200000007</v>
      </c>
      <c r="I68" s="147"/>
      <c r="J68" s="148">
        <v>0.13</v>
      </c>
      <c r="K68" s="149"/>
      <c r="L68" s="150">
        <f>L67*J68</f>
        <v>3.8032745140000004</v>
      </c>
      <c r="M68" s="151"/>
      <c r="N68" s="152">
        <f t="shared" si="18"/>
        <v>0.50921959399999972</v>
      </c>
      <c r="O68" s="114">
        <f t="shared" si="19"/>
        <v>0.15458746328370251</v>
      </c>
    </row>
    <row r="69" spans="1:15" s="85" customFormat="1" x14ac:dyDescent="0.2">
      <c r="B69" s="153" t="s">
        <v>45</v>
      </c>
      <c r="C69" s="79"/>
      <c r="D69" s="79"/>
      <c r="E69" s="79"/>
      <c r="F69" s="154"/>
      <c r="G69" s="155"/>
      <c r="H69" s="146">
        <f>H67+H68</f>
        <v>28.632938920000004</v>
      </c>
      <c r="I69" s="147"/>
      <c r="J69" s="147"/>
      <c r="K69" s="147"/>
      <c r="L69" s="150">
        <f>L67+L68</f>
        <v>33.059232313999999</v>
      </c>
      <c r="M69" s="151"/>
      <c r="N69" s="152">
        <f t="shared" si="18"/>
        <v>4.4262933939999947</v>
      </c>
      <c r="O69" s="114">
        <f t="shared" si="19"/>
        <v>0.15458746328370243</v>
      </c>
    </row>
    <row r="70" spans="1:15" s="85" customFormat="1" ht="15.75" customHeight="1" x14ac:dyDescent="0.2">
      <c r="B70" s="188" t="s">
        <v>46</v>
      </c>
      <c r="C70" s="188"/>
      <c r="D70" s="188"/>
      <c r="E70" s="79"/>
      <c r="F70" s="154"/>
      <c r="G70" s="155"/>
      <c r="H70" s="156">
        <f>ROUND(-H69*10%,2)</f>
        <v>-2.86</v>
      </c>
      <c r="I70" s="147"/>
      <c r="J70" s="147"/>
      <c r="K70" s="147"/>
      <c r="L70" s="118">
        <f>ROUND(-L69*10%,2)</f>
        <v>-3.31</v>
      </c>
      <c r="M70" s="151"/>
      <c r="N70" s="157">
        <f t="shared" si="18"/>
        <v>-0.45000000000000018</v>
      </c>
      <c r="O70" s="119">
        <f t="shared" si="19"/>
        <v>0.1573426573426574</v>
      </c>
    </row>
    <row r="71" spans="1:15" s="85" customFormat="1" ht="13.5" thickBot="1" x14ac:dyDescent="0.25">
      <c r="B71" s="185" t="s">
        <v>49</v>
      </c>
      <c r="C71" s="185"/>
      <c r="D71" s="185"/>
      <c r="E71" s="158"/>
      <c r="F71" s="159"/>
      <c r="G71" s="160"/>
      <c r="H71" s="161">
        <f>SUM(H69:H70)</f>
        <v>25.772938920000005</v>
      </c>
      <c r="I71" s="162"/>
      <c r="J71" s="162"/>
      <c r="K71" s="162"/>
      <c r="L71" s="163">
        <f>SUM(L69:L70)</f>
        <v>29.749232314</v>
      </c>
      <c r="M71" s="164"/>
      <c r="N71" s="165">
        <f t="shared" si="18"/>
        <v>3.9762933939999954</v>
      </c>
      <c r="O71" s="166">
        <f t="shared" si="19"/>
        <v>0.15428172186115571</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361950</xdr:colOff>
                    <xdr:row>16</xdr:row>
                    <xdr:rowOff>114300</xdr:rowOff>
                  </from>
                  <to>
                    <xdr:col>15</xdr:col>
                    <xdr:colOff>381000</xdr:colOff>
                    <xdr:row>18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92"/>
  <sheetViews>
    <sheetView showGridLines="0" zoomScale="85" zoomScaleNormal="85" workbookViewId="0">
      <selection activeCell="J23" sqref="J2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6384" width="9.140625" style="6"/>
  </cols>
  <sheetData>
    <row r="1" spans="1:16" s="2" customFormat="1" ht="15" customHeight="1" x14ac:dyDescent="0.2">
      <c r="A1" s="1"/>
      <c r="B1" s="1"/>
      <c r="C1" s="1"/>
      <c r="D1" s="1"/>
      <c r="E1" s="1"/>
      <c r="F1" s="1"/>
      <c r="G1" s="1"/>
      <c r="H1" s="1"/>
      <c r="I1" s="1"/>
      <c r="J1" s="1"/>
      <c r="K1" s="1"/>
      <c r="N1" s="178"/>
      <c r="O1" s="2">
        <v>1</v>
      </c>
      <c r="P1"/>
    </row>
    <row r="2" spans="1:16" s="2" customFormat="1" ht="15" customHeight="1" x14ac:dyDescent="0.25">
      <c r="A2" s="3"/>
      <c r="B2" s="3"/>
      <c r="C2" s="3"/>
      <c r="D2" s="3"/>
      <c r="E2" s="3"/>
      <c r="F2" s="3"/>
      <c r="G2" s="3"/>
      <c r="H2" s="3"/>
      <c r="I2" s="3"/>
      <c r="J2" s="3"/>
      <c r="K2" s="3"/>
      <c r="N2" s="178"/>
      <c r="O2" s="180"/>
      <c r="P2"/>
    </row>
    <row r="3" spans="1:16" s="2" customFormat="1" ht="15" customHeight="1" x14ac:dyDescent="0.25">
      <c r="A3" s="195"/>
      <c r="B3" s="195"/>
      <c r="C3" s="195"/>
      <c r="D3" s="195"/>
      <c r="E3" s="195"/>
      <c r="F3" s="195"/>
      <c r="G3" s="195"/>
      <c r="H3" s="195"/>
      <c r="I3" s="195"/>
      <c r="J3" s="195"/>
      <c r="K3" s="195"/>
      <c r="N3" s="178"/>
      <c r="O3" s="180"/>
      <c r="P3"/>
    </row>
    <row r="4" spans="1:16" s="2" customFormat="1" ht="15" customHeight="1" x14ac:dyDescent="0.25">
      <c r="A4" s="3"/>
      <c r="B4" s="3"/>
      <c r="C4" s="3"/>
      <c r="D4" s="3"/>
      <c r="E4" s="3"/>
      <c r="F4" s="3"/>
      <c r="G4" s="3"/>
      <c r="H4" s="3"/>
      <c r="I4" s="4"/>
      <c r="J4" s="4"/>
      <c r="K4" s="4"/>
      <c r="N4" s="178"/>
      <c r="O4" s="180"/>
      <c r="P4"/>
    </row>
    <row r="5" spans="1:16" s="2" customFormat="1" ht="15" customHeight="1" x14ac:dyDescent="0.25">
      <c r="C5" s="5"/>
      <c r="D5" s="5"/>
      <c r="E5" s="5"/>
      <c r="N5" s="178"/>
      <c r="O5" s="179"/>
      <c r="P5"/>
    </row>
    <row r="6" spans="1:16" s="2" customFormat="1" ht="9" customHeight="1" x14ac:dyDescent="0.2">
      <c r="N6" s="178"/>
      <c r="O6" s="179"/>
      <c r="P6"/>
    </row>
    <row r="7" spans="1:16" s="2" customFormat="1" x14ac:dyDescent="0.2">
      <c r="N7" s="178"/>
      <c r="O7" s="179"/>
      <c r="P7"/>
    </row>
    <row r="8" spans="1:16" s="2" customFormat="1" ht="15" customHeight="1" x14ac:dyDescent="0.2">
      <c r="N8" s="6"/>
      <c r="O8"/>
      <c r="P8"/>
    </row>
    <row r="9" spans="1:16" ht="7.5" customHeight="1" x14ac:dyDescent="0.2">
      <c r="L9"/>
      <c r="M9"/>
      <c r="N9"/>
      <c r="O9"/>
      <c r="P9"/>
    </row>
    <row r="10" spans="1:16" ht="18.75" customHeight="1" x14ac:dyDescent="0.25">
      <c r="C10" s="181"/>
      <c r="D10" s="181"/>
      <c r="E10" s="181"/>
      <c r="F10" s="181" t="s">
        <v>0</v>
      </c>
      <c r="G10" s="181"/>
      <c r="H10" s="181"/>
      <c r="I10" s="181"/>
      <c r="J10" s="181"/>
      <c r="K10" s="181"/>
      <c r="L10" s="181"/>
      <c r="M10" s="181"/>
      <c r="N10" s="181"/>
      <c r="O10" s="181"/>
      <c r="P10"/>
    </row>
    <row r="11" spans="1:16" ht="18.75" customHeight="1" x14ac:dyDescent="0.25">
      <c r="C11" s="181"/>
      <c r="D11" s="181"/>
      <c r="E11" s="181"/>
      <c r="F11" s="181" t="s">
        <v>1</v>
      </c>
      <c r="G11" s="181"/>
      <c r="H11" s="181"/>
      <c r="I11" s="181"/>
      <c r="J11" s="181"/>
      <c r="K11" s="181"/>
      <c r="L11" s="181"/>
      <c r="M11" s="181"/>
      <c r="N11" s="181"/>
      <c r="O11" s="181"/>
      <c r="P11"/>
    </row>
    <row r="12" spans="1:16" ht="7.5" customHeight="1" x14ac:dyDescent="0.2">
      <c r="L12"/>
      <c r="M12"/>
      <c r="N12"/>
      <c r="O12"/>
      <c r="P12"/>
    </row>
    <row r="13" spans="1:16" ht="7.5" customHeight="1" x14ac:dyDescent="0.2">
      <c r="L13"/>
      <c r="M13"/>
      <c r="N13"/>
      <c r="O13"/>
      <c r="P13"/>
    </row>
    <row r="14" spans="1:16" ht="15.75" x14ac:dyDescent="0.2">
      <c r="B14" s="7" t="s">
        <v>2</v>
      </c>
      <c r="D14" s="196" t="s">
        <v>3</v>
      </c>
      <c r="E14" s="196"/>
      <c r="F14" s="196"/>
      <c r="G14" s="196"/>
      <c r="H14" s="196"/>
      <c r="I14" s="196"/>
      <c r="J14" s="196"/>
      <c r="K14" s="196"/>
      <c r="L14" s="196"/>
      <c r="M14" s="196"/>
      <c r="N14" s="196"/>
      <c r="O14" s="196"/>
      <c r="P14" s="184"/>
    </row>
    <row r="15" spans="1:16" ht="7.5" customHeight="1" x14ac:dyDescent="0.25">
      <c r="B15" s="8"/>
      <c r="D15" s="9"/>
      <c r="E15" s="9"/>
      <c r="F15" s="9"/>
      <c r="G15" s="9"/>
      <c r="H15" s="9"/>
      <c r="I15" s="9"/>
      <c r="J15" s="9"/>
      <c r="K15" s="9"/>
      <c r="L15" s="9"/>
      <c r="M15" s="9"/>
      <c r="N15" s="9"/>
      <c r="O15" s="9"/>
    </row>
    <row r="16" spans="1:16"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250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250</v>
      </c>
      <c r="H29" s="26">
        <f t="shared" si="0"/>
        <v>5.8500000000000005</v>
      </c>
      <c r="I29" s="27"/>
      <c r="J29" s="28">
        <f>+'Res (100)'!J29</f>
        <v>2.07E-2</v>
      </c>
      <c r="K29" s="25">
        <f>$F$18</f>
        <v>250</v>
      </c>
      <c r="L29" s="26">
        <f t="shared" si="1"/>
        <v>5.1749999999999998</v>
      </c>
      <c r="M29" s="27"/>
      <c r="N29" s="30">
        <f t="shared" si="2"/>
        <v>-0.67500000000000071</v>
      </c>
      <c r="O29" s="31">
        <f t="shared" si="3"/>
        <v>-0.1153846153846155</v>
      </c>
    </row>
    <row r="30" spans="2:15" x14ac:dyDescent="0.2">
      <c r="B30" s="21" t="s">
        <v>23</v>
      </c>
      <c r="C30" s="21"/>
      <c r="D30" s="22"/>
      <c r="E30" s="23"/>
      <c r="F30" s="24"/>
      <c r="G30" s="25">
        <f t="shared" ref="G30" si="4">$F$18</f>
        <v>250</v>
      </c>
      <c r="H30" s="26">
        <f t="shared" si="0"/>
        <v>0</v>
      </c>
      <c r="I30" s="27"/>
      <c r="J30" s="28"/>
      <c r="K30" s="25">
        <f t="shared" ref="K30:K38" si="5">$F$18</f>
        <v>250</v>
      </c>
      <c r="L30" s="26">
        <f t="shared" si="1"/>
        <v>0</v>
      </c>
      <c r="M30" s="27"/>
      <c r="N30" s="30">
        <f t="shared" si="2"/>
        <v>0</v>
      </c>
      <c r="O30" s="31" t="str">
        <f t="shared" si="3"/>
        <v/>
      </c>
    </row>
    <row r="31" spans="2:15" x14ac:dyDescent="0.2">
      <c r="B31" s="21" t="s">
        <v>24</v>
      </c>
      <c r="C31" s="21"/>
      <c r="D31" s="22" t="s">
        <v>22</v>
      </c>
      <c r="E31" s="23"/>
      <c r="F31" s="24">
        <v>0</v>
      </c>
      <c r="G31" s="25">
        <f>$F$18</f>
        <v>250</v>
      </c>
      <c r="H31" s="26">
        <f t="shared" si="0"/>
        <v>0</v>
      </c>
      <c r="I31" s="27"/>
      <c r="J31" s="28">
        <v>-2.9999999999999997E-4</v>
      </c>
      <c r="K31" s="25">
        <f t="shared" si="5"/>
        <v>250</v>
      </c>
      <c r="L31" s="26">
        <f t="shared" si="1"/>
        <v>-7.4999999999999997E-2</v>
      </c>
      <c r="M31" s="27"/>
      <c r="N31" s="30">
        <f t="shared" si="2"/>
        <v>-7.4999999999999997E-2</v>
      </c>
      <c r="O31" s="31" t="str">
        <f t="shared" si="3"/>
        <v/>
      </c>
    </row>
    <row r="32" spans="2:15" x14ac:dyDescent="0.2">
      <c r="B32" s="33"/>
      <c r="C32" s="21"/>
      <c r="D32" s="22"/>
      <c r="E32" s="23"/>
      <c r="F32" s="24"/>
      <c r="G32" s="25">
        <f t="shared" ref="G32:G38" si="6">$F$18</f>
        <v>250</v>
      </c>
      <c r="H32" s="26">
        <f t="shared" si="0"/>
        <v>0</v>
      </c>
      <c r="I32" s="27"/>
      <c r="J32" s="28"/>
      <c r="K32" s="25">
        <f t="shared" si="5"/>
        <v>250</v>
      </c>
      <c r="L32" s="26">
        <f t="shared" si="1"/>
        <v>0</v>
      </c>
      <c r="M32" s="27"/>
      <c r="N32" s="30">
        <f t="shared" si="2"/>
        <v>0</v>
      </c>
      <c r="O32" s="31" t="str">
        <f t="shared" si="3"/>
        <v/>
      </c>
    </row>
    <row r="33" spans="2:15" x14ac:dyDescent="0.2">
      <c r="B33" s="33"/>
      <c r="C33" s="21"/>
      <c r="D33" s="22"/>
      <c r="E33" s="23"/>
      <c r="F33" s="24"/>
      <c r="G33" s="25">
        <f t="shared" si="6"/>
        <v>250</v>
      </c>
      <c r="H33" s="26">
        <f t="shared" si="0"/>
        <v>0</v>
      </c>
      <c r="I33" s="27"/>
      <c r="J33" s="28"/>
      <c r="K33" s="25">
        <f t="shared" si="5"/>
        <v>250</v>
      </c>
      <c r="L33" s="26">
        <f t="shared" si="1"/>
        <v>0</v>
      </c>
      <c r="M33" s="27"/>
      <c r="N33" s="30">
        <f t="shared" si="2"/>
        <v>0</v>
      </c>
      <c r="O33" s="31" t="str">
        <f t="shared" si="3"/>
        <v/>
      </c>
    </row>
    <row r="34" spans="2:15" x14ac:dyDescent="0.2">
      <c r="B34" s="33"/>
      <c r="C34" s="21"/>
      <c r="D34" s="22"/>
      <c r="E34" s="23"/>
      <c r="F34" s="24"/>
      <c r="G34" s="25">
        <f t="shared" si="6"/>
        <v>250</v>
      </c>
      <c r="H34" s="26">
        <f t="shared" si="0"/>
        <v>0</v>
      </c>
      <c r="I34" s="27"/>
      <c r="J34" s="28"/>
      <c r="K34" s="25">
        <f t="shared" si="5"/>
        <v>250</v>
      </c>
      <c r="L34" s="26">
        <f t="shared" si="1"/>
        <v>0</v>
      </c>
      <c r="M34" s="27"/>
      <c r="N34" s="30">
        <f t="shared" si="2"/>
        <v>0</v>
      </c>
      <c r="O34" s="31" t="str">
        <f t="shared" si="3"/>
        <v/>
      </c>
    </row>
    <row r="35" spans="2:15" x14ac:dyDescent="0.2">
      <c r="B35" s="33"/>
      <c r="C35" s="21"/>
      <c r="D35" s="22"/>
      <c r="E35" s="23"/>
      <c r="F35" s="24"/>
      <c r="G35" s="25">
        <f t="shared" si="6"/>
        <v>250</v>
      </c>
      <c r="H35" s="26">
        <f t="shared" si="0"/>
        <v>0</v>
      </c>
      <c r="I35" s="27"/>
      <c r="J35" s="28"/>
      <c r="K35" s="25">
        <f t="shared" si="5"/>
        <v>250</v>
      </c>
      <c r="L35" s="26">
        <f t="shared" si="1"/>
        <v>0</v>
      </c>
      <c r="M35" s="27"/>
      <c r="N35" s="30">
        <f t="shared" si="2"/>
        <v>0</v>
      </c>
      <c r="O35" s="31" t="str">
        <f t="shared" si="3"/>
        <v/>
      </c>
    </row>
    <row r="36" spans="2:15" x14ac:dyDescent="0.2">
      <c r="B36" s="33"/>
      <c r="C36" s="21"/>
      <c r="D36" s="22"/>
      <c r="E36" s="23"/>
      <c r="F36" s="24"/>
      <c r="G36" s="25">
        <f t="shared" si="6"/>
        <v>250</v>
      </c>
      <c r="H36" s="26">
        <f t="shared" si="0"/>
        <v>0</v>
      </c>
      <c r="I36" s="27"/>
      <c r="J36" s="28"/>
      <c r="K36" s="25">
        <f t="shared" si="5"/>
        <v>250</v>
      </c>
      <c r="L36" s="26">
        <f t="shared" si="1"/>
        <v>0</v>
      </c>
      <c r="M36" s="27"/>
      <c r="N36" s="30">
        <f t="shared" si="2"/>
        <v>0</v>
      </c>
      <c r="O36" s="31" t="str">
        <f t="shared" si="3"/>
        <v/>
      </c>
    </row>
    <row r="37" spans="2:15" x14ac:dyDescent="0.2">
      <c r="B37" s="33"/>
      <c r="C37" s="21"/>
      <c r="D37" s="22"/>
      <c r="E37" s="23"/>
      <c r="F37" s="24"/>
      <c r="G37" s="25">
        <f t="shared" si="6"/>
        <v>250</v>
      </c>
      <c r="H37" s="26">
        <f t="shared" si="0"/>
        <v>0</v>
      </c>
      <c r="I37" s="27"/>
      <c r="J37" s="28"/>
      <c r="K37" s="25">
        <f t="shared" si="5"/>
        <v>250</v>
      </c>
      <c r="L37" s="26">
        <f t="shared" si="1"/>
        <v>0</v>
      </c>
      <c r="M37" s="27"/>
      <c r="N37" s="30">
        <f t="shared" si="2"/>
        <v>0</v>
      </c>
      <c r="O37" s="31" t="str">
        <f t="shared" si="3"/>
        <v/>
      </c>
    </row>
    <row r="38" spans="2:15" x14ac:dyDescent="0.2">
      <c r="B38" s="33"/>
      <c r="C38" s="21"/>
      <c r="D38" s="22"/>
      <c r="E38" s="23"/>
      <c r="F38" s="24"/>
      <c r="G38" s="25">
        <f t="shared" si="6"/>
        <v>250</v>
      </c>
      <c r="H38" s="26">
        <f t="shared" si="0"/>
        <v>0</v>
      </c>
      <c r="I38" s="27"/>
      <c r="J38" s="28"/>
      <c r="K38" s="25">
        <f t="shared" si="5"/>
        <v>250</v>
      </c>
      <c r="L38" s="26">
        <f t="shared" si="1"/>
        <v>0</v>
      </c>
      <c r="M38" s="27"/>
      <c r="N38" s="30">
        <f t="shared" si="2"/>
        <v>0</v>
      </c>
      <c r="O38" s="31" t="str">
        <f t="shared" si="3"/>
        <v/>
      </c>
    </row>
    <row r="39" spans="2:15" s="45" customFormat="1" x14ac:dyDescent="0.2">
      <c r="B39" s="34" t="s">
        <v>25</v>
      </c>
      <c r="C39" s="35"/>
      <c r="D39" s="36"/>
      <c r="E39" s="35"/>
      <c r="F39" s="37"/>
      <c r="G39" s="38"/>
      <c r="H39" s="39">
        <f>SUM(H23:H38)</f>
        <v>15.52</v>
      </c>
      <c r="I39" s="40"/>
      <c r="J39" s="41"/>
      <c r="K39" s="42"/>
      <c r="L39" s="39">
        <f>SUM(L23:L38)</f>
        <v>19.07</v>
      </c>
      <c r="M39" s="40"/>
      <c r="N39" s="43">
        <f t="shared" si="2"/>
        <v>3.5500000000000007</v>
      </c>
      <c r="O39" s="44">
        <f t="shared" si="3"/>
        <v>0.2287371134020619</v>
      </c>
    </row>
    <row r="40" spans="2:15" ht="25.5" x14ac:dyDescent="0.2">
      <c r="B40" s="46" t="s">
        <v>26</v>
      </c>
      <c r="C40" s="21"/>
      <c r="D40" s="22"/>
      <c r="E40" s="23"/>
      <c r="F40" s="24">
        <v>0</v>
      </c>
      <c r="G40" s="25">
        <f>$F$18</f>
        <v>250</v>
      </c>
      <c r="H40" s="26">
        <f>G40*F40</f>
        <v>0</v>
      </c>
      <c r="I40" s="27"/>
      <c r="J40" s="28">
        <v>-5.9999999999999995E-4</v>
      </c>
      <c r="K40" s="25">
        <f>$F$18</f>
        <v>250</v>
      </c>
      <c r="L40" s="26">
        <f>K40*J40</f>
        <v>-0.15</v>
      </c>
      <c r="M40" s="27"/>
      <c r="N40" s="30">
        <f>L40-H40</f>
        <v>-0.15</v>
      </c>
      <c r="O40" s="31" t="str">
        <f>IF((H40)=0,"",(N40/H40))</f>
        <v/>
      </c>
    </row>
    <row r="41" spans="2:15" x14ac:dyDescent="0.2">
      <c r="B41" s="46"/>
      <c r="C41" s="21"/>
      <c r="D41" s="22"/>
      <c r="E41" s="23"/>
      <c r="F41" s="24"/>
      <c r="G41" s="25">
        <f t="shared" ref="G41:G43" si="7">$F$18</f>
        <v>250</v>
      </c>
      <c r="H41" s="26">
        <f t="shared" ref="H41:H45" si="8">G41*F41</f>
        <v>0</v>
      </c>
      <c r="I41" s="47"/>
      <c r="J41" s="28"/>
      <c r="K41" s="25">
        <f t="shared" ref="K41:K43" si="9">$F$18</f>
        <v>250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250</v>
      </c>
      <c r="H42" s="26">
        <f t="shared" si="8"/>
        <v>0</v>
      </c>
      <c r="I42" s="47"/>
      <c r="J42" s="28"/>
      <c r="K42" s="25">
        <f t="shared" si="9"/>
        <v>250</v>
      </c>
      <c r="L42" s="26">
        <f t="shared" si="10"/>
        <v>0</v>
      </c>
      <c r="M42" s="48"/>
      <c r="N42" s="30">
        <f t="shared" si="11"/>
        <v>0</v>
      </c>
      <c r="O42" s="31" t="str">
        <f t="shared" si="12"/>
        <v/>
      </c>
    </row>
    <row r="43" spans="2:15" x14ac:dyDescent="0.2">
      <c r="B43" s="46"/>
      <c r="C43" s="21"/>
      <c r="D43" s="22"/>
      <c r="E43" s="23"/>
      <c r="F43" s="24"/>
      <c r="G43" s="25">
        <f t="shared" si="7"/>
        <v>250</v>
      </c>
      <c r="H43" s="26">
        <f t="shared" si="8"/>
        <v>0</v>
      </c>
      <c r="I43" s="47"/>
      <c r="J43" s="28"/>
      <c r="K43" s="25">
        <f t="shared" si="9"/>
        <v>250</v>
      </c>
      <c r="L43" s="26">
        <f t="shared" si="10"/>
        <v>0</v>
      </c>
      <c r="M43" s="48"/>
      <c r="N43" s="30">
        <f t="shared" si="11"/>
        <v>0</v>
      </c>
      <c r="O43" s="31" t="str">
        <f t="shared" si="12"/>
        <v/>
      </c>
    </row>
    <row r="44" spans="2:15" x14ac:dyDescent="0.2">
      <c r="B44" s="49" t="s">
        <v>27</v>
      </c>
      <c r="C44" s="21"/>
      <c r="D44" s="22" t="s">
        <v>22</v>
      </c>
      <c r="E44" s="23"/>
      <c r="F44" s="50">
        <v>6.0000000000000002E-5</v>
      </c>
      <c r="G44" s="51">
        <f>$F$18*(1+F74)</f>
        <v>258.95</v>
      </c>
      <c r="H44" s="26">
        <f>G44*F44</f>
        <v>1.5537E-2</v>
      </c>
      <c r="I44" s="27"/>
      <c r="J44" s="52">
        <v>6.9999999999999994E-5</v>
      </c>
      <c r="K44" s="51">
        <f>$F$18*(1+J74)</f>
        <v>258.45</v>
      </c>
      <c r="L44" s="26">
        <f>K44*J44</f>
        <v>1.8091499999999996E-2</v>
      </c>
      <c r="M44" s="27"/>
      <c r="N44" s="30">
        <f>L44-H44</f>
        <v>2.554499999999996E-3</v>
      </c>
      <c r="O44" s="31">
        <f>IF((H44)=0,"",(N44/H44))</f>
        <v>0.16441397953272807</v>
      </c>
    </row>
    <row r="45" spans="2:15" x14ac:dyDescent="0.2">
      <c r="B45" s="49" t="s">
        <v>28</v>
      </c>
      <c r="C45" s="21"/>
      <c r="D45" s="22"/>
      <c r="E45" s="23"/>
      <c r="F45" s="53">
        <f>IF(ISBLANK(D16)=TRUE, 0, IF(D16="TOU", 0.64*$F$55+0.18*$F$56+0.18*$F$57, IF(AND(D16="non-TOU", G59&gt;0), F59,F58)))</f>
        <v>0.10214000000000001</v>
      </c>
      <c r="G45" s="54">
        <f>$F$18*(1+$F$74)-$F$18</f>
        <v>8.9499999999999886</v>
      </c>
      <c r="H45" s="26">
        <f t="shared" si="8"/>
        <v>0.91415299999999888</v>
      </c>
      <c r="I45" s="27"/>
      <c r="J45" s="55">
        <f>0.64*$J$55+0.18*$J$56+0.18*$J$57</f>
        <v>0.10214000000000001</v>
      </c>
      <c r="K45" s="54">
        <f>$F$18*(1+$J$74)-$F$18</f>
        <v>8.4499999999999886</v>
      </c>
      <c r="L45" s="26">
        <f t="shared" si="10"/>
        <v>0.86308299999999893</v>
      </c>
      <c r="M45" s="27"/>
      <c r="N45" s="30">
        <f t="shared" si="11"/>
        <v>-5.1069999999999949E-2</v>
      </c>
      <c r="O45" s="31">
        <f t="shared" si="12"/>
        <v>-5.5865921787709508E-2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17.23969</v>
      </c>
      <c r="I47" s="40"/>
      <c r="J47" s="59"/>
      <c r="K47" s="61"/>
      <c r="L47" s="60">
        <f>SUM(L40:L46)+L39</f>
        <v>20.591174500000001</v>
      </c>
      <c r="M47" s="40"/>
      <c r="N47" s="43">
        <f t="shared" ref="N47:N65" si="13">L47-H47</f>
        <v>3.3514845000000015</v>
      </c>
      <c r="O47" s="44">
        <f t="shared" si="12"/>
        <v>0.19440514881648113</v>
      </c>
    </row>
    <row r="48" spans="2:15" x14ac:dyDescent="0.2">
      <c r="B48" s="27" t="s">
        <v>31</v>
      </c>
      <c r="C48" s="27"/>
      <c r="D48" s="62" t="s">
        <v>22</v>
      </c>
      <c r="E48" s="63"/>
      <c r="F48" s="28">
        <v>7.7000000000000002E-3</v>
      </c>
      <c r="G48" s="64">
        <f>F18*(1+F74)</f>
        <v>258.95</v>
      </c>
      <c r="H48" s="26">
        <f>G48*F48</f>
        <v>1.9939149999999999</v>
      </c>
      <c r="I48" s="27"/>
      <c r="J48" s="28">
        <v>7.7000000000000002E-3</v>
      </c>
      <c r="K48" s="65">
        <f>F18*(1+J74)</f>
        <v>258.45</v>
      </c>
      <c r="L48" s="26">
        <f>K48*J48</f>
        <v>1.990065</v>
      </c>
      <c r="M48" s="27"/>
      <c r="N48" s="30">
        <f t="shared" si="13"/>
        <v>-3.8499999999999091E-3</v>
      </c>
      <c r="O48" s="31">
        <f t="shared" si="12"/>
        <v>-1.9308746862328179E-3</v>
      </c>
    </row>
    <row r="49" spans="2:15" ht="25.5" x14ac:dyDescent="0.2">
      <c r="B49" s="66" t="s">
        <v>32</v>
      </c>
      <c r="C49" s="27"/>
      <c r="D49" s="62" t="s">
        <v>22</v>
      </c>
      <c r="E49" s="63"/>
      <c r="F49" s="28">
        <v>4.1999999999999997E-3</v>
      </c>
      <c r="G49" s="64">
        <f>G48</f>
        <v>258.95</v>
      </c>
      <c r="H49" s="26">
        <f>G49*F49</f>
        <v>1.0875899999999998</v>
      </c>
      <c r="I49" s="27"/>
      <c r="J49" s="28">
        <v>4.1999999999999997E-3</v>
      </c>
      <c r="K49" s="65">
        <f>K48</f>
        <v>258.45</v>
      </c>
      <c r="L49" s="26">
        <f>K49*J49</f>
        <v>1.0854899999999998</v>
      </c>
      <c r="M49" s="27"/>
      <c r="N49" s="30">
        <f t="shared" si="13"/>
        <v>-2.0999999999999908E-3</v>
      </c>
      <c r="O49" s="31">
        <f t="shared" si="12"/>
        <v>-1.9308746862328552E-3</v>
      </c>
    </row>
    <row r="50" spans="2:15" ht="25.5" x14ac:dyDescent="0.2">
      <c r="B50" s="56" t="s">
        <v>33</v>
      </c>
      <c r="C50" s="35"/>
      <c r="D50" s="35"/>
      <c r="E50" s="35"/>
      <c r="F50" s="67"/>
      <c r="G50" s="59"/>
      <c r="H50" s="60">
        <f>SUM(H47:H49)</f>
        <v>20.321194999999999</v>
      </c>
      <c r="I50" s="68"/>
      <c r="J50" s="69"/>
      <c r="K50" s="70"/>
      <c r="L50" s="60">
        <f>SUM(L47:L49)</f>
        <v>23.666729500000002</v>
      </c>
      <c r="M50" s="68"/>
      <c r="N50" s="43">
        <f t="shared" si="13"/>
        <v>3.345534500000003</v>
      </c>
      <c r="O50" s="44">
        <f t="shared" si="12"/>
        <v>0.1646327639688514</v>
      </c>
    </row>
    <row r="51" spans="2:15" ht="25.5" x14ac:dyDescent="0.2">
      <c r="B51" s="71" t="s">
        <v>34</v>
      </c>
      <c r="C51" s="21"/>
      <c r="D51" s="22" t="s">
        <v>22</v>
      </c>
      <c r="E51" s="23"/>
      <c r="F51" s="72">
        <v>4.4000000000000003E-3</v>
      </c>
      <c r="G51" s="64">
        <f>G49</f>
        <v>258.95</v>
      </c>
      <c r="H51" s="73">
        <f t="shared" ref="H51:H57" si="14">G51*F51</f>
        <v>1.1393800000000001</v>
      </c>
      <c r="I51" s="27"/>
      <c r="J51" s="72">
        <v>4.4000000000000003E-3</v>
      </c>
      <c r="K51" s="65">
        <f>K49</f>
        <v>258.45</v>
      </c>
      <c r="L51" s="73">
        <f t="shared" ref="L51:L57" si="15">K51*J51</f>
        <v>1.1371800000000001</v>
      </c>
      <c r="M51" s="27"/>
      <c r="N51" s="30">
        <f t="shared" si="13"/>
        <v>-2.1999999999999797E-3</v>
      </c>
      <c r="O51" s="74">
        <f t="shared" si="12"/>
        <v>-1.9308746862328457E-3</v>
      </c>
    </row>
    <row r="52" spans="2:15" ht="25.5" x14ac:dyDescent="0.2">
      <c r="B52" s="71" t="s">
        <v>35</v>
      </c>
      <c r="C52" s="21"/>
      <c r="D52" s="22" t="s">
        <v>22</v>
      </c>
      <c r="E52" s="23"/>
      <c r="F52" s="72">
        <v>1.2999999999999999E-3</v>
      </c>
      <c r="G52" s="64">
        <f>G49</f>
        <v>258.95</v>
      </c>
      <c r="H52" s="73">
        <f t="shared" si="14"/>
        <v>0.33663499999999996</v>
      </c>
      <c r="I52" s="27"/>
      <c r="J52" s="72">
        <v>1.2999999999999999E-3</v>
      </c>
      <c r="K52" s="65">
        <f>K49</f>
        <v>258.45</v>
      </c>
      <c r="L52" s="73">
        <f t="shared" si="15"/>
        <v>0.33598499999999998</v>
      </c>
      <c r="M52" s="27"/>
      <c r="N52" s="30">
        <f t="shared" si="13"/>
        <v>-6.4999999999998392E-4</v>
      </c>
      <c r="O52" s="74">
        <f t="shared" si="12"/>
        <v>-1.930874686232816E-3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250</v>
      </c>
      <c r="H54" s="73">
        <f t="shared" si="14"/>
        <v>1.7350000000000001</v>
      </c>
      <c r="I54" s="27"/>
      <c r="J54" s="72">
        <f>+F54</f>
        <v>6.94E-3</v>
      </c>
      <c r="K54" s="76">
        <f>$F$18</f>
        <v>250</v>
      </c>
      <c r="L54" s="73">
        <f t="shared" si="15"/>
        <v>1.7350000000000001</v>
      </c>
      <c r="M54" s="27"/>
      <c r="N54" s="30">
        <f t="shared" si="13"/>
        <v>0</v>
      </c>
      <c r="O54" s="74">
        <f t="shared" si="12"/>
        <v>0</v>
      </c>
    </row>
    <row r="55" spans="2:15" x14ac:dyDescent="0.2">
      <c r="B55" s="49" t="s">
        <v>38</v>
      </c>
      <c r="C55" s="21"/>
      <c r="D55" s="22"/>
      <c r="E55" s="23"/>
      <c r="F55" s="72">
        <v>0.08</v>
      </c>
      <c r="G55" s="77">
        <f>0.64*$F$18</f>
        <v>160</v>
      </c>
      <c r="H55" s="73">
        <f t="shared" si="14"/>
        <v>12.8</v>
      </c>
      <c r="I55" s="27"/>
      <c r="J55" s="72">
        <v>0.08</v>
      </c>
      <c r="K55" s="77">
        <f>$G$55</f>
        <v>160</v>
      </c>
      <c r="L55" s="73">
        <f t="shared" si="15"/>
        <v>12.8</v>
      </c>
      <c r="M55" s="27"/>
      <c r="N55" s="30">
        <f t="shared" si="13"/>
        <v>0</v>
      </c>
      <c r="O55" s="74">
        <f t="shared" si="12"/>
        <v>0</v>
      </c>
    </row>
    <row r="56" spans="2:15" x14ac:dyDescent="0.2">
      <c r="B56" s="49" t="s">
        <v>39</v>
      </c>
      <c r="C56" s="21"/>
      <c r="D56" s="22"/>
      <c r="E56" s="23"/>
      <c r="F56" s="72">
        <v>0.122</v>
      </c>
      <c r="G56" s="77">
        <f>0.18*$F$18</f>
        <v>45</v>
      </c>
      <c r="H56" s="73">
        <f t="shared" si="14"/>
        <v>5.49</v>
      </c>
      <c r="I56" s="27"/>
      <c r="J56" s="72">
        <v>0.122</v>
      </c>
      <c r="K56" s="77">
        <f>$G$56</f>
        <v>45</v>
      </c>
      <c r="L56" s="73">
        <f t="shared" si="15"/>
        <v>5.49</v>
      </c>
      <c r="M56" s="27"/>
      <c r="N56" s="30">
        <f t="shared" si="13"/>
        <v>0</v>
      </c>
      <c r="O56" s="74">
        <f t="shared" si="12"/>
        <v>0</v>
      </c>
    </row>
    <row r="57" spans="2:15" x14ac:dyDescent="0.2">
      <c r="B57" s="11" t="s">
        <v>40</v>
      </c>
      <c r="C57" s="21"/>
      <c r="D57" s="22"/>
      <c r="E57" s="23"/>
      <c r="F57" s="72">
        <v>0.161</v>
      </c>
      <c r="G57" s="77">
        <f>0.18*$F$18</f>
        <v>45</v>
      </c>
      <c r="H57" s="73">
        <f t="shared" si="14"/>
        <v>7.2450000000000001</v>
      </c>
      <c r="I57" s="27"/>
      <c r="J57" s="72">
        <v>0.161</v>
      </c>
      <c r="K57" s="77">
        <f>$G$57</f>
        <v>45</v>
      </c>
      <c r="L57" s="73">
        <f t="shared" si="15"/>
        <v>7.2450000000000001</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250</v>
      </c>
      <c r="H58" s="73">
        <f>G58*F58</f>
        <v>23.5</v>
      </c>
      <c r="I58" s="83"/>
      <c r="J58" s="72">
        <v>9.4E-2</v>
      </c>
      <c r="K58" s="82">
        <f>$G$58</f>
        <v>250</v>
      </c>
      <c r="L58" s="73">
        <f>K58*J58</f>
        <v>23.5</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0</v>
      </c>
      <c r="H59" s="73">
        <f>G59*F59</f>
        <v>0</v>
      </c>
      <c r="I59" s="83"/>
      <c r="J59" s="72">
        <v>0.11</v>
      </c>
      <c r="K59" s="82">
        <f>$G$59</f>
        <v>0</v>
      </c>
      <c r="L59" s="73">
        <f>K59*J59</f>
        <v>0</v>
      </c>
      <c r="M59" s="83"/>
      <c r="N59" s="84">
        <f t="shared" si="13"/>
        <v>0</v>
      </c>
      <c r="O59" s="74" t="str">
        <f t="shared" si="12"/>
        <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49.317210000000003</v>
      </c>
      <c r="I61" s="100"/>
      <c r="J61" s="101"/>
      <c r="K61" s="101"/>
      <c r="L61" s="99">
        <f>SUM(L51:L57,L50)</f>
        <v>52.659894500000007</v>
      </c>
      <c r="M61" s="102"/>
      <c r="N61" s="103">
        <f t="shared" ref="N61" si="16">L61-H61</f>
        <v>3.3426845000000043</v>
      </c>
      <c r="O61" s="104">
        <f t="shared" ref="O61" si="17">IF((H61)=0,"",(N61/H61))</f>
        <v>6.7779270157415722E-2</v>
      </c>
    </row>
    <row r="62" spans="2:15" x14ac:dyDescent="0.2">
      <c r="B62" s="105" t="s">
        <v>44</v>
      </c>
      <c r="C62" s="21"/>
      <c r="D62" s="21"/>
      <c r="E62" s="21"/>
      <c r="F62" s="106">
        <v>0.13</v>
      </c>
      <c r="G62" s="107"/>
      <c r="H62" s="108">
        <f>H61*F62</f>
        <v>6.4112373000000007</v>
      </c>
      <c r="I62" s="109"/>
      <c r="J62" s="110">
        <v>0.13</v>
      </c>
      <c r="K62" s="109"/>
      <c r="L62" s="111">
        <f>L61*J62</f>
        <v>6.8457862850000009</v>
      </c>
      <c r="M62" s="112"/>
      <c r="N62" s="113">
        <f t="shared" si="13"/>
        <v>0.43454898500000017</v>
      </c>
      <c r="O62" s="114">
        <f t="shared" si="12"/>
        <v>6.7779270157415653E-2</v>
      </c>
    </row>
    <row r="63" spans="2:15" x14ac:dyDescent="0.2">
      <c r="B63" s="115" t="s">
        <v>45</v>
      </c>
      <c r="C63" s="21"/>
      <c r="D63" s="21"/>
      <c r="E63" s="21"/>
      <c r="F63" s="116"/>
      <c r="G63" s="107"/>
      <c r="H63" s="108">
        <f>H61+H62</f>
        <v>55.728447300000006</v>
      </c>
      <c r="I63" s="109"/>
      <c r="J63" s="109"/>
      <c r="K63" s="109"/>
      <c r="L63" s="111">
        <f>L61+L62</f>
        <v>59.50568078500001</v>
      </c>
      <c r="M63" s="112"/>
      <c r="N63" s="113">
        <f t="shared" si="13"/>
        <v>3.7772334850000036</v>
      </c>
      <c r="O63" s="114">
        <f t="shared" si="12"/>
        <v>6.7779270157415694E-2</v>
      </c>
    </row>
    <row r="64" spans="2:15" ht="15.75" customHeight="1" x14ac:dyDescent="0.2">
      <c r="B64" s="186" t="s">
        <v>46</v>
      </c>
      <c r="C64" s="186"/>
      <c r="D64" s="186"/>
      <c r="E64" s="21"/>
      <c r="F64" s="116"/>
      <c r="G64" s="107"/>
      <c r="H64" s="117">
        <f>ROUND(-H63*10%,2)</f>
        <v>-5.57</v>
      </c>
      <c r="I64" s="109"/>
      <c r="J64" s="109"/>
      <c r="K64" s="109"/>
      <c r="L64" s="118">
        <f>ROUND(-L63*10%,2)</f>
        <v>-5.95</v>
      </c>
      <c r="M64" s="112"/>
      <c r="N64" s="118">
        <f t="shared" si="13"/>
        <v>-0.37999999999999989</v>
      </c>
      <c r="O64" s="119">
        <f t="shared" si="12"/>
        <v>6.8222621184919188E-2</v>
      </c>
    </row>
    <row r="65" spans="1:15" ht="13.5" thickBot="1" x14ac:dyDescent="0.25">
      <c r="B65" s="187" t="s">
        <v>47</v>
      </c>
      <c r="C65" s="187"/>
      <c r="D65" s="187"/>
      <c r="E65" s="120"/>
      <c r="F65" s="121"/>
      <c r="G65" s="122"/>
      <c r="H65" s="123">
        <f>H63+H64</f>
        <v>50.158447300000006</v>
      </c>
      <c r="I65" s="124"/>
      <c r="J65" s="124"/>
      <c r="K65" s="124"/>
      <c r="L65" s="125">
        <f>L63+L64</f>
        <v>53.555680785000007</v>
      </c>
      <c r="M65" s="126"/>
      <c r="N65" s="127">
        <f t="shared" si="13"/>
        <v>3.397233485000001</v>
      </c>
      <c r="O65" s="128">
        <f t="shared" si="12"/>
        <v>6.7730036870579144E-2</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47.282210000000006</v>
      </c>
      <c r="I67" s="140"/>
      <c r="J67" s="141"/>
      <c r="K67" s="141"/>
      <c r="L67" s="139">
        <f>SUM(L58:L59,L50,L51:L54)</f>
        <v>50.624894500000003</v>
      </c>
      <c r="M67" s="142"/>
      <c r="N67" s="143">
        <f t="shared" ref="N67:N71" si="18">L67-H67</f>
        <v>3.3426844999999972</v>
      </c>
      <c r="O67" s="104">
        <f t="shared" ref="O67:O71" si="19">IF((H67)=0,"",(N67/H67))</f>
        <v>7.0696452217440697E-2</v>
      </c>
    </row>
    <row r="68" spans="1:15" s="85" customFormat="1" x14ac:dyDescent="0.2">
      <c r="B68" s="144" t="s">
        <v>44</v>
      </c>
      <c r="C68" s="79"/>
      <c r="D68" s="79"/>
      <c r="E68" s="79"/>
      <c r="F68" s="145">
        <v>0.13</v>
      </c>
      <c r="G68" s="138"/>
      <c r="H68" s="146">
        <f>H67*F68</f>
        <v>6.1466873000000009</v>
      </c>
      <c r="I68" s="147"/>
      <c r="J68" s="148">
        <v>0.13</v>
      </c>
      <c r="K68" s="149"/>
      <c r="L68" s="150">
        <f>L67*J68</f>
        <v>6.581236285000001</v>
      </c>
      <c r="M68" s="151"/>
      <c r="N68" s="152">
        <f t="shared" si="18"/>
        <v>0.43454898500000017</v>
      </c>
      <c r="O68" s="114">
        <f t="shared" si="19"/>
        <v>7.0696452217440781E-2</v>
      </c>
    </row>
    <row r="69" spans="1:15" s="85" customFormat="1" x14ac:dyDescent="0.2">
      <c r="B69" s="153" t="s">
        <v>45</v>
      </c>
      <c r="C69" s="79"/>
      <c r="D69" s="79"/>
      <c r="E69" s="79"/>
      <c r="F69" s="154"/>
      <c r="G69" s="155"/>
      <c r="H69" s="146">
        <f>H67+H68</f>
        <v>53.42889730000001</v>
      </c>
      <c r="I69" s="147"/>
      <c r="J69" s="147"/>
      <c r="K69" s="147"/>
      <c r="L69" s="150">
        <f>L67+L68</f>
        <v>57.206130785000006</v>
      </c>
      <c r="M69" s="151"/>
      <c r="N69" s="152">
        <f t="shared" si="18"/>
        <v>3.7772334849999964</v>
      </c>
      <c r="O69" s="114">
        <f t="shared" si="19"/>
        <v>7.0696452217440683E-2</v>
      </c>
    </row>
    <row r="70" spans="1:15" s="85" customFormat="1" ht="15.75" customHeight="1" x14ac:dyDescent="0.2">
      <c r="B70" s="188" t="s">
        <v>46</v>
      </c>
      <c r="C70" s="188"/>
      <c r="D70" s="188"/>
      <c r="E70" s="79"/>
      <c r="F70" s="154"/>
      <c r="G70" s="155"/>
      <c r="H70" s="156">
        <f>ROUND(-H69*10%,2)</f>
        <v>-5.34</v>
      </c>
      <c r="I70" s="147"/>
      <c r="J70" s="147"/>
      <c r="K70" s="147"/>
      <c r="L70" s="118">
        <f>ROUND(-L69*10%,2)</f>
        <v>-5.72</v>
      </c>
      <c r="M70" s="151"/>
      <c r="N70" s="157">
        <f t="shared" si="18"/>
        <v>-0.37999999999999989</v>
      </c>
      <c r="O70" s="119">
        <f t="shared" si="19"/>
        <v>7.1161048689138556E-2</v>
      </c>
    </row>
    <row r="71" spans="1:15" s="85" customFormat="1" ht="13.5" thickBot="1" x14ac:dyDescent="0.25">
      <c r="B71" s="185" t="s">
        <v>49</v>
      </c>
      <c r="C71" s="185"/>
      <c r="D71" s="185"/>
      <c r="E71" s="158"/>
      <c r="F71" s="159"/>
      <c r="G71" s="160"/>
      <c r="H71" s="161">
        <f>SUM(H69:H70)</f>
        <v>48.088897300000014</v>
      </c>
      <c r="I71" s="162"/>
      <c r="J71" s="162"/>
      <c r="K71" s="162"/>
      <c r="L71" s="163">
        <f>SUM(L69:L70)</f>
        <v>51.486130785000007</v>
      </c>
      <c r="M71" s="164"/>
      <c r="N71" s="165">
        <f t="shared" si="18"/>
        <v>3.3972334849999939</v>
      </c>
      <c r="O71" s="166">
        <f t="shared" si="19"/>
        <v>7.0644861407541421E-2</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O92"/>
  <sheetViews>
    <sheetView showGridLines="0" zoomScale="85" zoomScaleNormal="85" workbookViewId="0">
      <selection activeCell="J30" sqref="J3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384" width="9.140625" style="6"/>
  </cols>
  <sheetData>
    <row r="1" spans="1:15" s="2" customFormat="1" ht="15" customHeight="1" x14ac:dyDescent="0.2">
      <c r="A1" s="1"/>
      <c r="B1" s="1"/>
      <c r="C1" s="1"/>
      <c r="D1" s="1"/>
      <c r="E1" s="1"/>
      <c r="F1" s="1"/>
      <c r="G1" s="1"/>
      <c r="H1" s="1"/>
      <c r="I1" s="1"/>
      <c r="J1" s="1"/>
      <c r="K1" s="1"/>
      <c r="N1" s="178"/>
      <c r="O1" s="2">
        <v>1</v>
      </c>
    </row>
    <row r="2" spans="1:15" s="2" customFormat="1" ht="15" customHeight="1" x14ac:dyDescent="0.25">
      <c r="A2" s="3"/>
      <c r="B2" s="3"/>
      <c r="C2" s="3"/>
      <c r="D2" s="3"/>
      <c r="E2" s="3"/>
      <c r="F2" s="3"/>
      <c r="G2" s="3"/>
      <c r="H2" s="3"/>
      <c r="I2" s="3"/>
      <c r="J2" s="3"/>
      <c r="K2" s="3"/>
      <c r="N2" s="178"/>
      <c r="O2" s="180"/>
    </row>
    <row r="3" spans="1:15" s="2" customFormat="1" ht="15" customHeight="1" x14ac:dyDescent="0.25">
      <c r="A3" s="195"/>
      <c r="B3" s="195"/>
      <c r="C3" s="195"/>
      <c r="D3" s="195"/>
      <c r="E3" s="195"/>
      <c r="F3" s="195"/>
      <c r="G3" s="195"/>
      <c r="H3" s="195"/>
      <c r="I3" s="195"/>
      <c r="J3" s="195"/>
      <c r="K3" s="195"/>
      <c r="N3" s="178"/>
      <c r="O3" s="180"/>
    </row>
    <row r="4" spans="1:15" s="2" customFormat="1" ht="15" customHeight="1" x14ac:dyDescent="0.25">
      <c r="A4" s="3"/>
      <c r="B4" s="3"/>
      <c r="C4" s="3"/>
      <c r="D4" s="3"/>
      <c r="E4" s="3"/>
      <c r="F4" s="3"/>
      <c r="G4" s="3"/>
      <c r="H4" s="3"/>
      <c r="I4" s="4"/>
      <c r="J4" s="4"/>
      <c r="K4" s="4"/>
      <c r="N4" s="178"/>
      <c r="O4" s="180"/>
    </row>
    <row r="5" spans="1:15" s="2" customFormat="1" ht="15" customHeight="1" x14ac:dyDescent="0.25">
      <c r="C5" s="5"/>
      <c r="D5" s="5"/>
      <c r="E5" s="5"/>
      <c r="N5" s="178"/>
      <c r="O5" s="179"/>
    </row>
    <row r="6" spans="1:15" s="2" customFormat="1" ht="9" customHeight="1" x14ac:dyDescent="0.2">
      <c r="N6" s="178"/>
      <c r="O6" s="179"/>
    </row>
    <row r="7" spans="1:15" s="2" customFormat="1" x14ac:dyDescent="0.2">
      <c r="N7" s="178"/>
      <c r="O7" s="179"/>
    </row>
    <row r="8" spans="1:15" s="2" customFormat="1" ht="15" customHeight="1" x14ac:dyDescent="0.2">
      <c r="N8" s="6"/>
      <c r="O8"/>
    </row>
    <row r="9" spans="1:15" ht="7.5" customHeight="1" x14ac:dyDescent="0.2">
      <c r="L9"/>
      <c r="M9"/>
      <c r="N9"/>
      <c r="O9"/>
    </row>
    <row r="10" spans="1:15" ht="18.75" customHeight="1" x14ac:dyDescent="0.25">
      <c r="C10" s="181"/>
      <c r="D10" s="181"/>
      <c r="E10" s="181"/>
      <c r="F10" s="181" t="s">
        <v>0</v>
      </c>
      <c r="G10" s="181"/>
      <c r="H10" s="181"/>
      <c r="I10" s="181"/>
      <c r="J10" s="181"/>
      <c r="K10" s="181"/>
      <c r="L10" s="181"/>
      <c r="M10" s="181"/>
      <c r="N10" s="181"/>
      <c r="O10" s="181"/>
    </row>
    <row r="11" spans="1:15" ht="18.75" customHeight="1" x14ac:dyDescent="0.25">
      <c r="C11" s="181"/>
      <c r="D11" s="181"/>
      <c r="E11" s="181"/>
      <c r="F11" s="181" t="s">
        <v>1</v>
      </c>
      <c r="G11" s="181"/>
      <c r="H11" s="181"/>
      <c r="I11" s="181"/>
      <c r="J11" s="181"/>
      <c r="K11" s="181"/>
      <c r="L11" s="181"/>
      <c r="M11" s="181"/>
      <c r="N11" s="181"/>
      <c r="O11" s="181"/>
    </row>
    <row r="12" spans="1:15" ht="7.5" customHeight="1" x14ac:dyDescent="0.2">
      <c r="L12"/>
      <c r="M12"/>
      <c r="N12"/>
      <c r="O12"/>
    </row>
    <row r="13" spans="1:15" ht="7.5" customHeight="1" x14ac:dyDescent="0.2">
      <c r="L13"/>
      <c r="M13"/>
      <c r="N13"/>
      <c r="O13"/>
    </row>
    <row r="14" spans="1:15" ht="15.75" x14ac:dyDescent="0.2">
      <c r="B14" s="7" t="s">
        <v>2</v>
      </c>
      <c r="D14" s="196" t="s">
        <v>3</v>
      </c>
      <c r="E14" s="196"/>
      <c r="F14" s="196"/>
      <c r="G14" s="196"/>
      <c r="H14" s="196"/>
      <c r="I14" s="196"/>
      <c r="J14" s="196"/>
      <c r="K14" s="196"/>
      <c r="L14" s="196"/>
      <c r="M14" s="196"/>
      <c r="N14" s="196"/>
      <c r="O14" s="196"/>
    </row>
    <row r="15" spans="1:15" ht="7.5" customHeight="1" x14ac:dyDescent="0.25">
      <c r="B15" s="8"/>
      <c r="D15" s="9"/>
      <c r="E15" s="9"/>
      <c r="F15" s="9"/>
      <c r="G15" s="9"/>
      <c r="H15" s="9"/>
      <c r="I15" s="9"/>
      <c r="J15" s="9"/>
      <c r="K15" s="9"/>
      <c r="L15" s="9"/>
      <c r="M15" s="9"/>
      <c r="N15" s="9"/>
      <c r="O15" s="9"/>
    </row>
    <row r="16" spans="1:15"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500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500</v>
      </c>
      <c r="H29" s="26">
        <f t="shared" si="0"/>
        <v>11.700000000000001</v>
      </c>
      <c r="I29" s="27"/>
      <c r="J29" s="28">
        <f>+'Res (100)'!J29</f>
        <v>2.07E-2</v>
      </c>
      <c r="K29" s="25">
        <f>$F$18</f>
        <v>500</v>
      </c>
      <c r="L29" s="26">
        <f t="shared" si="1"/>
        <v>10.35</v>
      </c>
      <c r="M29" s="27"/>
      <c r="N29" s="30">
        <f t="shared" si="2"/>
        <v>-1.3500000000000014</v>
      </c>
      <c r="O29" s="31">
        <f t="shared" si="3"/>
        <v>-0.1153846153846155</v>
      </c>
    </row>
    <row r="30" spans="2:15" x14ac:dyDescent="0.2">
      <c r="B30" s="21" t="s">
        <v>23</v>
      </c>
      <c r="C30" s="21"/>
      <c r="D30" s="22"/>
      <c r="E30" s="23"/>
      <c r="F30" s="24"/>
      <c r="G30" s="25">
        <f t="shared" ref="G30" si="4">$F$18</f>
        <v>500</v>
      </c>
      <c r="H30" s="26">
        <f t="shared" si="0"/>
        <v>0</v>
      </c>
      <c r="I30" s="27"/>
      <c r="J30" s="28"/>
      <c r="K30" s="25">
        <f t="shared" ref="K30:K38" si="5">$F$18</f>
        <v>500</v>
      </c>
      <c r="L30" s="26">
        <f t="shared" si="1"/>
        <v>0</v>
      </c>
      <c r="M30" s="27"/>
      <c r="N30" s="30">
        <f t="shared" si="2"/>
        <v>0</v>
      </c>
      <c r="O30" s="31" t="str">
        <f t="shared" si="3"/>
        <v/>
      </c>
    </row>
    <row r="31" spans="2:15" x14ac:dyDescent="0.2">
      <c r="B31" s="21" t="s">
        <v>24</v>
      </c>
      <c r="C31" s="21"/>
      <c r="D31" s="22" t="s">
        <v>22</v>
      </c>
      <c r="E31" s="23"/>
      <c r="F31" s="24">
        <v>0</v>
      </c>
      <c r="G31" s="25">
        <f>$F$18</f>
        <v>500</v>
      </c>
      <c r="H31" s="26">
        <f t="shared" si="0"/>
        <v>0</v>
      </c>
      <c r="I31" s="27"/>
      <c r="J31" s="28">
        <v>-2.9999999999999997E-4</v>
      </c>
      <c r="K31" s="25">
        <f t="shared" si="5"/>
        <v>500</v>
      </c>
      <c r="L31" s="26">
        <f t="shared" si="1"/>
        <v>-0.15</v>
      </c>
      <c r="M31" s="27"/>
      <c r="N31" s="30">
        <f t="shared" si="2"/>
        <v>-0.15</v>
      </c>
      <c r="O31" s="31" t="str">
        <f t="shared" si="3"/>
        <v/>
      </c>
    </row>
    <row r="32" spans="2:15" x14ac:dyDescent="0.2">
      <c r="B32" s="33"/>
      <c r="C32" s="21"/>
      <c r="D32" s="22"/>
      <c r="E32" s="23"/>
      <c r="F32" s="24"/>
      <c r="G32" s="25">
        <f t="shared" ref="G32:G38" si="6">$F$18</f>
        <v>500</v>
      </c>
      <c r="H32" s="26">
        <f t="shared" si="0"/>
        <v>0</v>
      </c>
      <c r="I32" s="27"/>
      <c r="J32" s="28"/>
      <c r="K32" s="25">
        <f t="shared" si="5"/>
        <v>500</v>
      </c>
      <c r="L32" s="26">
        <f t="shared" si="1"/>
        <v>0</v>
      </c>
      <c r="M32" s="27"/>
      <c r="N32" s="30">
        <f t="shared" si="2"/>
        <v>0</v>
      </c>
      <c r="O32" s="31" t="str">
        <f t="shared" si="3"/>
        <v/>
      </c>
    </row>
    <row r="33" spans="2:15" x14ac:dyDescent="0.2">
      <c r="B33" s="33"/>
      <c r="C33" s="21"/>
      <c r="D33" s="22"/>
      <c r="E33" s="23"/>
      <c r="F33" s="24"/>
      <c r="G33" s="25">
        <f t="shared" si="6"/>
        <v>500</v>
      </c>
      <c r="H33" s="26">
        <f t="shared" si="0"/>
        <v>0</v>
      </c>
      <c r="I33" s="27"/>
      <c r="J33" s="28"/>
      <c r="K33" s="25">
        <f t="shared" si="5"/>
        <v>500</v>
      </c>
      <c r="L33" s="26">
        <f t="shared" si="1"/>
        <v>0</v>
      </c>
      <c r="M33" s="27"/>
      <c r="N33" s="30">
        <f t="shared" si="2"/>
        <v>0</v>
      </c>
      <c r="O33" s="31" t="str">
        <f t="shared" si="3"/>
        <v/>
      </c>
    </row>
    <row r="34" spans="2:15" x14ac:dyDescent="0.2">
      <c r="B34" s="33"/>
      <c r="C34" s="21"/>
      <c r="D34" s="22"/>
      <c r="E34" s="23"/>
      <c r="F34" s="24"/>
      <c r="G34" s="25">
        <f t="shared" si="6"/>
        <v>500</v>
      </c>
      <c r="H34" s="26">
        <f t="shared" si="0"/>
        <v>0</v>
      </c>
      <c r="I34" s="27"/>
      <c r="J34" s="28"/>
      <c r="K34" s="25">
        <f t="shared" si="5"/>
        <v>500</v>
      </c>
      <c r="L34" s="26">
        <f t="shared" si="1"/>
        <v>0</v>
      </c>
      <c r="M34" s="27"/>
      <c r="N34" s="30">
        <f t="shared" si="2"/>
        <v>0</v>
      </c>
      <c r="O34" s="31" t="str">
        <f t="shared" si="3"/>
        <v/>
      </c>
    </row>
    <row r="35" spans="2:15" x14ac:dyDescent="0.2">
      <c r="B35" s="33"/>
      <c r="C35" s="21"/>
      <c r="D35" s="22"/>
      <c r="E35" s="23"/>
      <c r="F35" s="24"/>
      <c r="G35" s="25">
        <f t="shared" si="6"/>
        <v>500</v>
      </c>
      <c r="H35" s="26">
        <f t="shared" si="0"/>
        <v>0</v>
      </c>
      <c r="I35" s="27"/>
      <c r="J35" s="28"/>
      <c r="K35" s="25">
        <f t="shared" si="5"/>
        <v>500</v>
      </c>
      <c r="L35" s="26">
        <f t="shared" si="1"/>
        <v>0</v>
      </c>
      <c r="M35" s="27"/>
      <c r="N35" s="30">
        <f t="shared" si="2"/>
        <v>0</v>
      </c>
      <c r="O35" s="31" t="str">
        <f t="shared" si="3"/>
        <v/>
      </c>
    </row>
    <row r="36" spans="2:15" x14ac:dyDescent="0.2">
      <c r="B36" s="33"/>
      <c r="C36" s="21"/>
      <c r="D36" s="22"/>
      <c r="E36" s="23"/>
      <c r="F36" s="24"/>
      <c r="G36" s="25">
        <f t="shared" si="6"/>
        <v>500</v>
      </c>
      <c r="H36" s="26">
        <f t="shared" si="0"/>
        <v>0</v>
      </c>
      <c r="I36" s="27"/>
      <c r="J36" s="28"/>
      <c r="K36" s="25">
        <f t="shared" si="5"/>
        <v>500</v>
      </c>
      <c r="L36" s="26">
        <f t="shared" si="1"/>
        <v>0</v>
      </c>
      <c r="M36" s="27"/>
      <c r="N36" s="30">
        <f t="shared" si="2"/>
        <v>0</v>
      </c>
      <c r="O36" s="31" t="str">
        <f t="shared" si="3"/>
        <v/>
      </c>
    </row>
    <row r="37" spans="2:15" x14ac:dyDescent="0.2">
      <c r="B37" s="33"/>
      <c r="C37" s="21"/>
      <c r="D37" s="22"/>
      <c r="E37" s="23"/>
      <c r="F37" s="24"/>
      <c r="G37" s="25">
        <f t="shared" si="6"/>
        <v>500</v>
      </c>
      <c r="H37" s="26">
        <f t="shared" si="0"/>
        <v>0</v>
      </c>
      <c r="I37" s="27"/>
      <c r="J37" s="28"/>
      <c r="K37" s="25">
        <f t="shared" si="5"/>
        <v>500</v>
      </c>
      <c r="L37" s="26">
        <f t="shared" si="1"/>
        <v>0</v>
      </c>
      <c r="M37" s="27"/>
      <c r="N37" s="30">
        <f t="shared" si="2"/>
        <v>0</v>
      </c>
      <c r="O37" s="31" t="str">
        <f t="shared" si="3"/>
        <v/>
      </c>
    </row>
    <row r="38" spans="2:15" x14ac:dyDescent="0.2">
      <c r="B38" s="33"/>
      <c r="C38" s="21"/>
      <c r="D38" s="22"/>
      <c r="E38" s="23"/>
      <c r="F38" s="24"/>
      <c r="G38" s="25">
        <f t="shared" si="6"/>
        <v>500</v>
      </c>
      <c r="H38" s="26">
        <f t="shared" si="0"/>
        <v>0</v>
      </c>
      <c r="I38" s="27"/>
      <c r="J38" s="28"/>
      <c r="K38" s="25">
        <f t="shared" si="5"/>
        <v>500</v>
      </c>
      <c r="L38" s="26">
        <f t="shared" si="1"/>
        <v>0</v>
      </c>
      <c r="M38" s="27"/>
      <c r="N38" s="30">
        <f t="shared" si="2"/>
        <v>0</v>
      </c>
      <c r="O38" s="31" t="str">
        <f t="shared" si="3"/>
        <v/>
      </c>
    </row>
    <row r="39" spans="2:15" s="45" customFormat="1" x14ac:dyDescent="0.2">
      <c r="B39" s="34" t="s">
        <v>25</v>
      </c>
      <c r="C39" s="35"/>
      <c r="D39" s="36"/>
      <c r="E39" s="35"/>
      <c r="F39" s="37"/>
      <c r="G39" s="38"/>
      <c r="H39" s="39">
        <f>SUM(H23:H38)</f>
        <v>21.37</v>
      </c>
      <c r="I39" s="40"/>
      <c r="J39" s="41"/>
      <c r="K39" s="42"/>
      <c r="L39" s="39">
        <f>SUM(L23:L38)</f>
        <v>24.17</v>
      </c>
      <c r="M39" s="40"/>
      <c r="N39" s="43">
        <f t="shared" si="2"/>
        <v>2.8000000000000007</v>
      </c>
      <c r="O39" s="44">
        <f t="shared" si="3"/>
        <v>0.13102480112306975</v>
      </c>
    </row>
    <row r="40" spans="2:15" ht="25.5" x14ac:dyDescent="0.2">
      <c r="B40" s="46" t="s">
        <v>26</v>
      </c>
      <c r="C40" s="21"/>
      <c r="D40" s="22"/>
      <c r="E40" s="23"/>
      <c r="F40" s="24">
        <v>0</v>
      </c>
      <c r="G40" s="25">
        <f>$F$18</f>
        <v>500</v>
      </c>
      <c r="H40" s="26">
        <f>G40*F40</f>
        <v>0</v>
      </c>
      <c r="I40" s="27"/>
      <c r="J40" s="28">
        <v>-5.9999999999999995E-4</v>
      </c>
      <c r="K40" s="25">
        <f>$F$18</f>
        <v>500</v>
      </c>
      <c r="L40" s="26">
        <f>K40*J40</f>
        <v>-0.3</v>
      </c>
      <c r="M40" s="27"/>
      <c r="N40" s="30">
        <f>L40-H40</f>
        <v>-0.3</v>
      </c>
      <c r="O40" s="31" t="str">
        <f>IF((H40)=0,"",(N40/H40))</f>
        <v/>
      </c>
    </row>
    <row r="41" spans="2:15" x14ac:dyDescent="0.2">
      <c r="B41" s="46"/>
      <c r="C41" s="21"/>
      <c r="D41" s="22"/>
      <c r="E41" s="23"/>
      <c r="F41" s="24"/>
      <c r="G41" s="25">
        <f t="shared" ref="G41:G43" si="7">$F$18</f>
        <v>500</v>
      </c>
      <c r="H41" s="26">
        <f t="shared" ref="H41:H45" si="8">G41*F41</f>
        <v>0</v>
      </c>
      <c r="I41" s="47"/>
      <c r="J41" s="28"/>
      <c r="K41" s="25">
        <f t="shared" ref="K41:K43" si="9">$F$18</f>
        <v>500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500</v>
      </c>
      <c r="H42" s="26">
        <f t="shared" si="8"/>
        <v>0</v>
      </c>
      <c r="I42" s="47"/>
      <c r="J42" s="28"/>
      <c r="K42" s="25">
        <f t="shared" si="9"/>
        <v>500</v>
      </c>
      <c r="L42" s="26">
        <f t="shared" si="10"/>
        <v>0</v>
      </c>
      <c r="M42" s="48"/>
      <c r="N42" s="30">
        <f t="shared" si="11"/>
        <v>0</v>
      </c>
      <c r="O42" s="31" t="str">
        <f t="shared" si="12"/>
        <v/>
      </c>
    </row>
    <row r="43" spans="2:15" x14ac:dyDescent="0.2">
      <c r="B43" s="46"/>
      <c r="C43" s="21"/>
      <c r="D43" s="22"/>
      <c r="E43" s="23"/>
      <c r="F43" s="24"/>
      <c r="G43" s="25">
        <f t="shared" si="7"/>
        <v>500</v>
      </c>
      <c r="H43" s="26">
        <f t="shared" si="8"/>
        <v>0</v>
      </c>
      <c r="I43" s="47"/>
      <c r="J43" s="28"/>
      <c r="K43" s="25">
        <f t="shared" si="9"/>
        <v>500</v>
      </c>
      <c r="L43" s="26">
        <f t="shared" si="10"/>
        <v>0</v>
      </c>
      <c r="M43" s="48"/>
      <c r="N43" s="30">
        <f t="shared" si="11"/>
        <v>0</v>
      </c>
      <c r="O43" s="31" t="str">
        <f t="shared" si="12"/>
        <v/>
      </c>
    </row>
    <row r="44" spans="2:15" x14ac:dyDescent="0.2">
      <c r="B44" s="49" t="s">
        <v>27</v>
      </c>
      <c r="C44" s="21"/>
      <c r="D44" s="22" t="s">
        <v>22</v>
      </c>
      <c r="E44" s="23"/>
      <c r="F44" s="50">
        <v>6.0000000000000002E-5</v>
      </c>
      <c r="G44" s="51">
        <f>$F$18*(1+F74)</f>
        <v>517.9</v>
      </c>
      <c r="H44" s="26">
        <f>G44*F44</f>
        <v>3.1074000000000001E-2</v>
      </c>
      <c r="I44" s="27"/>
      <c r="J44" s="52">
        <v>6.9999999999999994E-5</v>
      </c>
      <c r="K44" s="51">
        <f>$F$18*(1+J74)</f>
        <v>516.9</v>
      </c>
      <c r="L44" s="26">
        <f>K44*J44</f>
        <v>3.6182999999999993E-2</v>
      </c>
      <c r="M44" s="27"/>
      <c r="N44" s="30">
        <f>L44-H44</f>
        <v>5.108999999999992E-3</v>
      </c>
      <c r="O44" s="31">
        <f>IF((H44)=0,"",(N44/H44))</f>
        <v>0.16441397953272807</v>
      </c>
    </row>
    <row r="45" spans="2:15" x14ac:dyDescent="0.2">
      <c r="B45" s="49" t="s">
        <v>28</v>
      </c>
      <c r="C45" s="21"/>
      <c r="D45" s="22"/>
      <c r="E45" s="23"/>
      <c r="F45" s="53">
        <f>IF(ISBLANK(D16)=TRUE, 0, IF(D16="TOU", 0.64*$F$55+0.18*$F$56+0.18*$F$57, IF(AND(D16="non-TOU", G59&gt;0), F59,F58)))</f>
        <v>0.10214000000000001</v>
      </c>
      <c r="G45" s="54">
        <f>$F$18*(1+$F$74)-$F$18</f>
        <v>17.899999999999977</v>
      </c>
      <c r="H45" s="26">
        <f t="shared" si="8"/>
        <v>1.8283059999999978</v>
      </c>
      <c r="I45" s="27"/>
      <c r="J45" s="55">
        <f>0.64*$J$55+0.18*$J$56+0.18*$J$57</f>
        <v>0.10214000000000001</v>
      </c>
      <c r="K45" s="54">
        <f>$F$18*(1+$J$74)-$F$18</f>
        <v>16.899999999999977</v>
      </c>
      <c r="L45" s="26">
        <f t="shared" si="10"/>
        <v>1.7261659999999979</v>
      </c>
      <c r="M45" s="27"/>
      <c r="N45" s="30">
        <f t="shared" si="11"/>
        <v>-0.1021399999999999</v>
      </c>
      <c r="O45" s="31">
        <f t="shared" si="12"/>
        <v>-5.5865921787709508E-2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24.019379999999998</v>
      </c>
      <c r="I47" s="40"/>
      <c r="J47" s="59"/>
      <c r="K47" s="61"/>
      <c r="L47" s="60">
        <f>SUM(L40:L46)+L39</f>
        <v>26.422349000000001</v>
      </c>
      <c r="M47" s="40"/>
      <c r="N47" s="43">
        <f t="shared" ref="N47:N65" si="13">L47-H47</f>
        <v>2.4029690000000024</v>
      </c>
      <c r="O47" s="44">
        <f t="shared" si="12"/>
        <v>0.10004292367246792</v>
      </c>
    </row>
    <row r="48" spans="2:15" x14ac:dyDescent="0.2">
      <c r="B48" s="27" t="s">
        <v>31</v>
      </c>
      <c r="C48" s="27"/>
      <c r="D48" s="62" t="s">
        <v>22</v>
      </c>
      <c r="E48" s="63"/>
      <c r="F48" s="28">
        <v>7.7000000000000002E-3</v>
      </c>
      <c r="G48" s="64">
        <f>F18*(1+F74)</f>
        <v>517.9</v>
      </c>
      <c r="H48" s="26">
        <f>G48*F48</f>
        <v>3.9878299999999998</v>
      </c>
      <c r="I48" s="27"/>
      <c r="J48" s="28">
        <v>7.7000000000000002E-3</v>
      </c>
      <c r="K48" s="65">
        <f>F18*(1+J74)</f>
        <v>516.9</v>
      </c>
      <c r="L48" s="26">
        <f>K48*J48</f>
        <v>3.9801299999999999</v>
      </c>
      <c r="M48" s="27"/>
      <c r="N48" s="30">
        <f t="shared" si="13"/>
        <v>-7.6999999999998181E-3</v>
      </c>
      <c r="O48" s="31">
        <f t="shared" si="12"/>
        <v>-1.9308746862328179E-3</v>
      </c>
    </row>
    <row r="49" spans="2:15" ht="25.5" x14ac:dyDescent="0.2">
      <c r="B49" s="66" t="s">
        <v>32</v>
      </c>
      <c r="C49" s="27"/>
      <c r="D49" s="62" t="s">
        <v>22</v>
      </c>
      <c r="E49" s="63"/>
      <c r="F49" s="28">
        <v>4.1999999999999997E-3</v>
      </c>
      <c r="G49" s="64">
        <f>G48</f>
        <v>517.9</v>
      </c>
      <c r="H49" s="26">
        <f>G49*F49</f>
        <v>2.1751799999999997</v>
      </c>
      <c r="I49" s="27"/>
      <c r="J49" s="28">
        <v>4.1999999999999997E-3</v>
      </c>
      <c r="K49" s="65">
        <f>K48</f>
        <v>516.9</v>
      </c>
      <c r="L49" s="26">
        <f>K49*J49</f>
        <v>2.1709799999999997</v>
      </c>
      <c r="M49" s="27"/>
      <c r="N49" s="30">
        <f t="shared" si="13"/>
        <v>-4.1999999999999815E-3</v>
      </c>
      <c r="O49" s="31">
        <f t="shared" si="12"/>
        <v>-1.9308746862328552E-3</v>
      </c>
    </row>
    <row r="50" spans="2:15" ht="25.5" x14ac:dyDescent="0.2">
      <c r="B50" s="56" t="s">
        <v>33</v>
      </c>
      <c r="C50" s="35"/>
      <c r="D50" s="35"/>
      <c r="E50" s="35"/>
      <c r="F50" s="67"/>
      <c r="G50" s="59"/>
      <c r="H50" s="60">
        <f>SUM(H47:H49)</f>
        <v>30.182389999999998</v>
      </c>
      <c r="I50" s="68"/>
      <c r="J50" s="69"/>
      <c r="K50" s="70"/>
      <c r="L50" s="60">
        <f>SUM(L47:L49)</f>
        <v>32.573459</v>
      </c>
      <c r="M50" s="68"/>
      <c r="N50" s="43">
        <f t="shared" si="13"/>
        <v>2.3910690000000017</v>
      </c>
      <c r="O50" s="44">
        <f t="shared" si="12"/>
        <v>7.9220664765116411E-2</v>
      </c>
    </row>
    <row r="51" spans="2:15" ht="25.5" x14ac:dyDescent="0.2">
      <c r="B51" s="71" t="s">
        <v>34</v>
      </c>
      <c r="C51" s="21"/>
      <c r="D51" s="22" t="s">
        <v>22</v>
      </c>
      <c r="E51" s="23"/>
      <c r="F51" s="72">
        <v>4.4000000000000003E-3</v>
      </c>
      <c r="G51" s="64">
        <f>G49</f>
        <v>517.9</v>
      </c>
      <c r="H51" s="73">
        <f t="shared" ref="H51:H57" si="14">G51*F51</f>
        <v>2.2787600000000001</v>
      </c>
      <c r="I51" s="27"/>
      <c r="J51" s="72">
        <v>4.4000000000000003E-3</v>
      </c>
      <c r="K51" s="65">
        <f>K49</f>
        <v>516.9</v>
      </c>
      <c r="L51" s="73">
        <f t="shared" ref="L51:L57" si="15">K51*J51</f>
        <v>2.2743600000000002</v>
      </c>
      <c r="M51" s="27"/>
      <c r="N51" s="30">
        <f t="shared" si="13"/>
        <v>-4.3999999999999595E-3</v>
      </c>
      <c r="O51" s="74">
        <f t="shared" si="12"/>
        <v>-1.9308746862328457E-3</v>
      </c>
    </row>
    <row r="52" spans="2:15" ht="25.5" x14ac:dyDescent="0.2">
      <c r="B52" s="71" t="s">
        <v>35</v>
      </c>
      <c r="C52" s="21"/>
      <c r="D52" s="22" t="s">
        <v>22</v>
      </c>
      <c r="E52" s="23"/>
      <c r="F52" s="72">
        <v>1.2999999999999999E-3</v>
      </c>
      <c r="G52" s="64">
        <f>G49</f>
        <v>517.9</v>
      </c>
      <c r="H52" s="73">
        <f t="shared" si="14"/>
        <v>0.67326999999999992</v>
      </c>
      <c r="I52" s="27"/>
      <c r="J52" s="72">
        <v>1.2999999999999999E-3</v>
      </c>
      <c r="K52" s="65">
        <f>K49</f>
        <v>516.9</v>
      </c>
      <c r="L52" s="73">
        <f t="shared" si="15"/>
        <v>0.67196999999999996</v>
      </c>
      <c r="M52" s="27"/>
      <c r="N52" s="30">
        <f t="shared" si="13"/>
        <v>-1.2999999999999678E-3</v>
      </c>
      <c r="O52" s="74">
        <f t="shared" si="12"/>
        <v>-1.930874686232816E-3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500</v>
      </c>
      <c r="H54" s="73">
        <f t="shared" si="14"/>
        <v>3.47</v>
      </c>
      <c r="I54" s="27"/>
      <c r="J54" s="72">
        <f>+F54</f>
        <v>6.94E-3</v>
      </c>
      <c r="K54" s="76">
        <f>$F$18</f>
        <v>500</v>
      </c>
      <c r="L54" s="73">
        <f t="shared" si="15"/>
        <v>3.47</v>
      </c>
      <c r="M54" s="27"/>
      <c r="N54" s="30">
        <f t="shared" si="13"/>
        <v>0</v>
      </c>
      <c r="O54" s="74">
        <f t="shared" si="12"/>
        <v>0</v>
      </c>
    </row>
    <row r="55" spans="2:15" x14ac:dyDescent="0.2">
      <c r="B55" s="49" t="s">
        <v>38</v>
      </c>
      <c r="C55" s="21"/>
      <c r="D55" s="22"/>
      <c r="E55" s="23"/>
      <c r="F55" s="72">
        <v>0.08</v>
      </c>
      <c r="G55" s="77">
        <f>0.64*$F$18</f>
        <v>320</v>
      </c>
      <c r="H55" s="73">
        <f t="shared" si="14"/>
        <v>25.6</v>
      </c>
      <c r="I55" s="27"/>
      <c r="J55" s="72">
        <v>0.08</v>
      </c>
      <c r="K55" s="77">
        <f>$G$55</f>
        <v>320</v>
      </c>
      <c r="L55" s="73">
        <f t="shared" si="15"/>
        <v>25.6</v>
      </c>
      <c r="M55" s="27"/>
      <c r="N55" s="30">
        <f t="shared" si="13"/>
        <v>0</v>
      </c>
      <c r="O55" s="74">
        <f t="shared" si="12"/>
        <v>0</v>
      </c>
    </row>
    <row r="56" spans="2:15" x14ac:dyDescent="0.2">
      <c r="B56" s="49" t="s">
        <v>39</v>
      </c>
      <c r="C56" s="21"/>
      <c r="D56" s="22"/>
      <c r="E56" s="23"/>
      <c r="F56" s="72">
        <v>0.122</v>
      </c>
      <c r="G56" s="77">
        <f>0.18*$F$18</f>
        <v>90</v>
      </c>
      <c r="H56" s="73">
        <f t="shared" si="14"/>
        <v>10.98</v>
      </c>
      <c r="I56" s="27"/>
      <c r="J56" s="72">
        <v>0.122</v>
      </c>
      <c r="K56" s="77">
        <f>$G$56</f>
        <v>90</v>
      </c>
      <c r="L56" s="73">
        <f t="shared" si="15"/>
        <v>10.98</v>
      </c>
      <c r="M56" s="27"/>
      <c r="N56" s="30">
        <f t="shared" si="13"/>
        <v>0</v>
      </c>
      <c r="O56" s="74">
        <f t="shared" si="12"/>
        <v>0</v>
      </c>
    </row>
    <row r="57" spans="2:15" x14ac:dyDescent="0.2">
      <c r="B57" s="11" t="s">
        <v>40</v>
      </c>
      <c r="C57" s="21"/>
      <c r="D57" s="22"/>
      <c r="E57" s="23"/>
      <c r="F57" s="72">
        <v>0.161</v>
      </c>
      <c r="G57" s="77">
        <f>0.18*$F$18</f>
        <v>90</v>
      </c>
      <c r="H57" s="73">
        <f t="shared" si="14"/>
        <v>14.49</v>
      </c>
      <c r="I57" s="27"/>
      <c r="J57" s="72">
        <v>0.161</v>
      </c>
      <c r="K57" s="77">
        <f>$G$57</f>
        <v>90</v>
      </c>
      <c r="L57" s="73">
        <f t="shared" si="15"/>
        <v>14.49</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500</v>
      </c>
      <c r="H58" s="73">
        <f>G58*F58</f>
        <v>47</v>
      </c>
      <c r="I58" s="83"/>
      <c r="J58" s="72">
        <v>9.4E-2</v>
      </c>
      <c r="K58" s="82">
        <f>$G$58</f>
        <v>500</v>
      </c>
      <c r="L58" s="73">
        <f>K58*J58</f>
        <v>47</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0</v>
      </c>
      <c r="H59" s="73">
        <f>G59*F59</f>
        <v>0</v>
      </c>
      <c r="I59" s="83"/>
      <c r="J59" s="72">
        <v>0.11</v>
      </c>
      <c r="K59" s="82">
        <f>$G$59</f>
        <v>0</v>
      </c>
      <c r="L59" s="73">
        <f>K59*J59</f>
        <v>0</v>
      </c>
      <c r="M59" s="83"/>
      <c r="N59" s="84">
        <f t="shared" si="13"/>
        <v>0</v>
      </c>
      <c r="O59" s="74" t="str">
        <f t="shared" si="12"/>
        <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87.924419999999998</v>
      </c>
      <c r="I61" s="100"/>
      <c r="J61" s="101"/>
      <c r="K61" s="101"/>
      <c r="L61" s="99">
        <f>SUM(L51:L57,L50)</f>
        <v>90.309788999999995</v>
      </c>
      <c r="M61" s="102"/>
      <c r="N61" s="103">
        <f t="shared" ref="N61" si="16">L61-H61</f>
        <v>2.3853689999999972</v>
      </c>
      <c r="O61" s="104">
        <f t="shared" ref="O61" si="17">IF((H61)=0,"",(N61/H61))</f>
        <v>2.7129766679154635E-2</v>
      </c>
    </row>
    <row r="62" spans="2:15" x14ac:dyDescent="0.2">
      <c r="B62" s="105" t="s">
        <v>44</v>
      </c>
      <c r="C62" s="21"/>
      <c r="D62" s="21"/>
      <c r="E62" s="21"/>
      <c r="F62" s="106">
        <v>0.13</v>
      </c>
      <c r="G62" s="107"/>
      <c r="H62" s="108">
        <f>H61*F62</f>
        <v>11.430174600000001</v>
      </c>
      <c r="I62" s="109"/>
      <c r="J62" s="110">
        <v>0.13</v>
      </c>
      <c r="K62" s="109"/>
      <c r="L62" s="111">
        <f>L61*J62</f>
        <v>11.74027257</v>
      </c>
      <c r="M62" s="112"/>
      <c r="N62" s="113">
        <f t="shared" si="13"/>
        <v>0.31009796999999928</v>
      </c>
      <c r="O62" s="114">
        <f t="shared" si="12"/>
        <v>2.71297666791546E-2</v>
      </c>
    </row>
    <row r="63" spans="2:15" x14ac:dyDescent="0.2">
      <c r="B63" s="115" t="s">
        <v>45</v>
      </c>
      <c r="C63" s="21"/>
      <c r="D63" s="21"/>
      <c r="E63" s="21"/>
      <c r="F63" s="116"/>
      <c r="G63" s="107"/>
      <c r="H63" s="108">
        <f>H61+H62</f>
        <v>99.354594599999999</v>
      </c>
      <c r="I63" s="109"/>
      <c r="J63" s="109"/>
      <c r="K63" s="109"/>
      <c r="L63" s="111">
        <f>L61+L62</f>
        <v>102.05006157</v>
      </c>
      <c r="M63" s="112"/>
      <c r="N63" s="113">
        <f t="shared" si="13"/>
        <v>2.6954669699999982</v>
      </c>
      <c r="O63" s="114">
        <f t="shared" si="12"/>
        <v>2.7129766679154649E-2</v>
      </c>
    </row>
    <row r="64" spans="2:15" ht="15.75" customHeight="1" x14ac:dyDescent="0.2">
      <c r="B64" s="186" t="s">
        <v>46</v>
      </c>
      <c r="C64" s="186"/>
      <c r="D64" s="186"/>
      <c r="E64" s="21"/>
      <c r="F64" s="116"/>
      <c r="G64" s="107"/>
      <c r="H64" s="117">
        <f>ROUND(-H63*10%,2)</f>
        <v>-9.94</v>
      </c>
      <c r="I64" s="109"/>
      <c r="J64" s="109"/>
      <c r="K64" s="109"/>
      <c r="L64" s="118">
        <f>ROUND(-L63*10%,2)</f>
        <v>-10.210000000000001</v>
      </c>
      <c r="M64" s="112"/>
      <c r="N64" s="118">
        <f t="shared" si="13"/>
        <v>-0.27000000000000135</v>
      </c>
      <c r="O64" s="119">
        <f t="shared" si="12"/>
        <v>2.7162977867203356E-2</v>
      </c>
    </row>
    <row r="65" spans="1:15" ht="13.5" thickBot="1" x14ac:dyDescent="0.25">
      <c r="B65" s="187" t="s">
        <v>47</v>
      </c>
      <c r="C65" s="187"/>
      <c r="D65" s="187"/>
      <c r="E65" s="120"/>
      <c r="F65" s="121"/>
      <c r="G65" s="122"/>
      <c r="H65" s="123">
        <f>H63+H64</f>
        <v>89.414594600000001</v>
      </c>
      <c r="I65" s="124"/>
      <c r="J65" s="124"/>
      <c r="K65" s="124"/>
      <c r="L65" s="125">
        <f>L63+L64</f>
        <v>91.840061569999989</v>
      </c>
      <c r="M65" s="126"/>
      <c r="N65" s="127">
        <f t="shared" si="13"/>
        <v>2.425466969999988</v>
      </c>
      <c r="O65" s="128">
        <f t="shared" si="12"/>
        <v>2.71260746732725E-2</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83.854420000000005</v>
      </c>
      <c r="I67" s="140"/>
      <c r="J67" s="141"/>
      <c r="K67" s="141"/>
      <c r="L67" s="139">
        <f>SUM(L58:L59,L50,L51:L54)</f>
        <v>86.239789000000002</v>
      </c>
      <c r="M67" s="142"/>
      <c r="N67" s="143">
        <f t="shared" ref="N67:N71" si="18">L67-H67</f>
        <v>2.3853689999999972</v>
      </c>
      <c r="O67" s="104">
        <f t="shared" ref="O67:O71" si="19">IF((H67)=0,"",(N67/H67))</f>
        <v>2.8446550581352741E-2</v>
      </c>
    </row>
    <row r="68" spans="1:15" s="85" customFormat="1" x14ac:dyDescent="0.2">
      <c r="B68" s="144" t="s">
        <v>44</v>
      </c>
      <c r="C68" s="79"/>
      <c r="D68" s="79"/>
      <c r="E68" s="79"/>
      <c r="F68" s="145">
        <v>0.13</v>
      </c>
      <c r="G68" s="138"/>
      <c r="H68" s="146">
        <f>H67*F68</f>
        <v>10.901074600000001</v>
      </c>
      <c r="I68" s="147"/>
      <c r="J68" s="148">
        <v>0.13</v>
      </c>
      <c r="K68" s="149"/>
      <c r="L68" s="150">
        <f>L67*J68</f>
        <v>11.21117257</v>
      </c>
      <c r="M68" s="151"/>
      <c r="N68" s="152">
        <f t="shared" si="18"/>
        <v>0.31009796999999928</v>
      </c>
      <c r="O68" s="114">
        <f t="shared" si="19"/>
        <v>2.844655058135271E-2</v>
      </c>
    </row>
    <row r="69" spans="1:15" s="85" customFormat="1" x14ac:dyDescent="0.2">
      <c r="B69" s="153" t="s">
        <v>45</v>
      </c>
      <c r="C69" s="79"/>
      <c r="D69" s="79"/>
      <c r="E69" s="79"/>
      <c r="F69" s="154"/>
      <c r="G69" s="155"/>
      <c r="H69" s="146">
        <f>H67+H68</f>
        <v>94.755494600000006</v>
      </c>
      <c r="I69" s="147"/>
      <c r="J69" s="147"/>
      <c r="K69" s="147"/>
      <c r="L69" s="150">
        <f>L67+L68</f>
        <v>97.450961570000004</v>
      </c>
      <c r="M69" s="151"/>
      <c r="N69" s="152">
        <f t="shared" si="18"/>
        <v>2.6954669699999982</v>
      </c>
      <c r="O69" s="114">
        <f t="shared" si="19"/>
        <v>2.8446550581352759E-2</v>
      </c>
    </row>
    <row r="70" spans="1:15" s="85" customFormat="1" ht="15.75" customHeight="1" x14ac:dyDescent="0.2">
      <c r="B70" s="188" t="s">
        <v>46</v>
      </c>
      <c r="C70" s="188"/>
      <c r="D70" s="188"/>
      <c r="E70" s="79"/>
      <c r="F70" s="154"/>
      <c r="G70" s="155"/>
      <c r="H70" s="156">
        <f>ROUND(-H69*10%,2)</f>
        <v>-9.48</v>
      </c>
      <c r="I70" s="147"/>
      <c r="J70" s="147"/>
      <c r="K70" s="147"/>
      <c r="L70" s="118">
        <f>ROUND(-L69*10%,2)</f>
        <v>-9.75</v>
      </c>
      <c r="M70" s="151"/>
      <c r="N70" s="157">
        <f t="shared" si="18"/>
        <v>-0.26999999999999957</v>
      </c>
      <c r="O70" s="119">
        <f t="shared" si="19"/>
        <v>2.8481012658227802E-2</v>
      </c>
    </row>
    <row r="71" spans="1:15" s="85" customFormat="1" ht="13.5" thickBot="1" x14ac:dyDescent="0.25">
      <c r="B71" s="185" t="s">
        <v>49</v>
      </c>
      <c r="C71" s="185"/>
      <c r="D71" s="185"/>
      <c r="E71" s="158"/>
      <c r="F71" s="159"/>
      <c r="G71" s="160"/>
      <c r="H71" s="161">
        <f>SUM(H69:H70)</f>
        <v>85.275494600000002</v>
      </c>
      <c r="I71" s="162"/>
      <c r="J71" s="162"/>
      <c r="K71" s="162"/>
      <c r="L71" s="163">
        <f>SUM(L69:L70)</f>
        <v>87.700961570000004</v>
      </c>
      <c r="M71" s="164"/>
      <c r="N71" s="165">
        <f t="shared" si="18"/>
        <v>2.4254669700000022</v>
      </c>
      <c r="O71" s="166">
        <f t="shared" si="19"/>
        <v>2.8442719463277109E-2</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361950</xdr:colOff>
                    <xdr:row>16</xdr:row>
                    <xdr:rowOff>114300</xdr:rowOff>
                  </from>
                  <to>
                    <xdr:col>15</xdr:col>
                    <xdr:colOff>381000</xdr:colOff>
                    <xdr:row>18</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92"/>
  <sheetViews>
    <sheetView showGridLines="0" zoomScale="85" zoomScaleNormal="85" workbookViewId="0">
      <selection activeCell="J30" sqref="J3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384" width="9.140625" style="6"/>
  </cols>
  <sheetData>
    <row r="1" spans="1:15" s="2" customFormat="1" ht="15" customHeight="1" x14ac:dyDescent="0.2">
      <c r="A1" s="1"/>
      <c r="B1" s="1"/>
      <c r="C1" s="1"/>
      <c r="D1" s="1"/>
      <c r="E1" s="1"/>
      <c r="F1" s="1"/>
      <c r="G1" s="1"/>
      <c r="H1" s="1"/>
      <c r="I1" s="1"/>
      <c r="J1" s="1"/>
      <c r="K1" s="1"/>
      <c r="N1" s="178"/>
      <c r="O1" s="2">
        <v>1</v>
      </c>
    </row>
    <row r="2" spans="1:15" s="2" customFormat="1" ht="15" customHeight="1" x14ac:dyDescent="0.25">
      <c r="A2" s="3"/>
      <c r="B2" s="3"/>
      <c r="C2" s="3"/>
      <c r="D2" s="3"/>
      <c r="E2" s="3"/>
      <c r="F2" s="3"/>
      <c r="G2" s="3"/>
      <c r="H2" s="3"/>
      <c r="I2" s="3"/>
      <c r="J2" s="3"/>
      <c r="K2" s="3"/>
      <c r="N2" s="178"/>
      <c r="O2" s="180"/>
    </row>
    <row r="3" spans="1:15" s="2" customFormat="1" ht="15" customHeight="1" x14ac:dyDescent="0.25">
      <c r="A3" s="195"/>
      <c r="B3" s="195"/>
      <c r="C3" s="195"/>
      <c r="D3" s="195"/>
      <c r="E3" s="195"/>
      <c r="F3" s="195"/>
      <c r="G3" s="195"/>
      <c r="H3" s="195"/>
      <c r="I3" s="195"/>
      <c r="J3" s="195"/>
      <c r="K3" s="195"/>
      <c r="N3" s="178"/>
      <c r="O3" s="180"/>
    </row>
    <row r="4" spans="1:15" s="2" customFormat="1" ht="15" customHeight="1" x14ac:dyDescent="0.25">
      <c r="A4" s="3"/>
      <c r="B4" s="3"/>
      <c r="C4" s="3"/>
      <c r="D4" s="3"/>
      <c r="E4" s="3"/>
      <c r="F4" s="3"/>
      <c r="G4" s="3"/>
      <c r="H4" s="3"/>
      <c r="I4" s="4"/>
      <c r="J4" s="4"/>
      <c r="K4" s="4"/>
      <c r="N4" s="178"/>
      <c r="O4" s="180"/>
    </row>
    <row r="5" spans="1:15" s="2" customFormat="1" ht="15" customHeight="1" x14ac:dyDescent="0.25">
      <c r="C5" s="5"/>
      <c r="D5" s="5"/>
      <c r="E5" s="5"/>
      <c r="N5" s="178"/>
      <c r="O5" s="179"/>
    </row>
    <row r="6" spans="1:15" s="2" customFormat="1" ht="9" customHeight="1" x14ac:dyDescent="0.2">
      <c r="N6" s="178"/>
      <c r="O6" s="179"/>
    </row>
    <row r="7" spans="1:15" s="2" customFormat="1" x14ac:dyDescent="0.2">
      <c r="N7" s="178"/>
      <c r="O7" s="179"/>
    </row>
    <row r="8" spans="1:15" s="2" customFormat="1" ht="15" customHeight="1" x14ac:dyDescent="0.2">
      <c r="N8" s="45"/>
      <c r="O8" s="182"/>
    </row>
    <row r="9" spans="1:15" ht="7.5" customHeight="1" x14ac:dyDescent="0.2">
      <c r="L9"/>
      <c r="M9"/>
      <c r="N9"/>
      <c r="O9"/>
    </row>
    <row r="10" spans="1:15" ht="18.75" customHeight="1" x14ac:dyDescent="0.25">
      <c r="C10" s="181"/>
      <c r="D10" s="181"/>
      <c r="E10" s="181"/>
      <c r="F10" s="181" t="s">
        <v>0</v>
      </c>
      <c r="G10" s="181"/>
      <c r="H10" s="181"/>
      <c r="I10" s="181"/>
      <c r="J10" s="181"/>
      <c r="K10" s="181"/>
      <c r="L10" s="181"/>
      <c r="M10" s="181"/>
      <c r="N10" s="181"/>
      <c r="O10" s="181"/>
    </row>
    <row r="11" spans="1:15" ht="18.75" customHeight="1" x14ac:dyDescent="0.25">
      <c r="C11" s="181"/>
      <c r="D11" s="181"/>
      <c r="E11" s="181"/>
      <c r="F11" s="181" t="s">
        <v>1</v>
      </c>
      <c r="G11" s="181"/>
      <c r="H11" s="181"/>
      <c r="I11" s="181"/>
      <c r="J11" s="181"/>
      <c r="K11" s="181"/>
      <c r="L11" s="181"/>
      <c r="M11" s="181"/>
      <c r="N11" s="181"/>
      <c r="O11" s="181"/>
    </row>
    <row r="12" spans="1:15" ht="7.5" customHeight="1" x14ac:dyDescent="0.2">
      <c r="L12"/>
      <c r="M12"/>
      <c r="N12"/>
      <c r="O12"/>
    </row>
    <row r="13" spans="1:15" ht="7.5" customHeight="1" x14ac:dyDescent="0.2">
      <c r="L13"/>
      <c r="M13"/>
      <c r="N13"/>
      <c r="O13"/>
    </row>
    <row r="14" spans="1:15" ht="15.75" x14ac:dyDescent="0.2">
      <c r="B14" s="7" t="s">
        <v>2</v>
      </c>
      <c r="D14" s="196" t="s">
        <v>3</v>
      </c>
      <c r="E14" s="196"/>
      <c r="F14" s="196"/>
      <c r="G14" s="196"/>
      <c r="H14" s="196"/>
      <c r="I14" s="196"/>
      <c r="J14" s="196"/>
      <c r="K14" s="196"/>
      <c r="L14" s="196"/>
      <c r="M14" s="196"/>
      <c r="N14" s="196"/>
      <c r="O14" s="196"/>
    </row>
    <row r="15" spans="1:15" ht="7.5" customHeight="1" x14ac:dyDescent="0.25">
      <c r="B15" s="8"/>
      <c r="D15" s="9"/>
      <c r="E15" s="9"/>
      <c r="F15" s="9"/>
      <c r="G15" s="9"/>
      <c r="H15" s="9"/>
      <c r="I15" s="9"/>
      <c r="J15" s="9"/>
      <c r="K15" s="9"/>
      <c r="L15" s="9"/>
      <c r="M15" s="9"/>
      <c r="N15" s="9"/>
      <c r="O15" s="9"/>
    </row>
    <row r="16" spans="1:15"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800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800</v>
      </c>
      <c r="H29" s="26">
        <f t="shared" si="0"/>
        <v>18.72</v>
      </c>
      <c r="I29" s="27"/>
      <c r="J29" s="28">
        <f>+'Res (100)'!J29</f>
        <v>2.07E-2</v>
      </c>
      <c r="K29" s="25">
        <f>$F$18</f>
        <v>800</v>
      </c>
      <c r="L29" s="26">
        <f t="shared" si="1"/>
        <v>16.559999999999999</v>
      </c>
      <c r="M29" s="27"/>
      <c r="N29" s="30">
        <f t="shared" si="2"/>
        <v>-2.16</v>
      </c>
      <c r="O29" s="31">
        <f t="shared" si="3"/>
        <v>-0.1153846153846154</v>
      </c>
    </row>
    <row r="30" spans="2:15" x14ac:dyDescent="0.2">
      <c r="B30" s="21" t="s">
        <v>23</v>
      </c>
      <c r="C30" s="21"/>
      <c r="D30" s="22"/>
      <c r="E30" s="23"/>
      <c r="F30" s="24"/>
      <c r="G30" s="25">
        <f t="shared" ref="G30" si="4">$F$18</f>
        <v>800</v>
      </c>
      <c r="H30" s="26">
        <f t="shared" si="0"/>
        <v>0</v>
      </c>
      <c r="I30" s="27"/>
      <c r="J30" s="28"/>
      <c r="K30" s="25">
        <f t="shared" ref="K30:K38" si="5">$F$18</f>
        <v>800</v>
      </c>
      <c r="L30" s="26">
        <f t="shared" si="1"/>
        <v>0</v>
      </c>
      <c r="M30" s="27"/>
      <c r="N30" s="30">
        <f t="shared" si="2"/>
        <v>0</v>
      </c>
      <c r="O30" s="31" t="str">
        <f t="shared" si="3"/>
        <v/>
      </c>
    </row>
    <row r="31" spans="2:15" x14ac:dyDescent="0.2">
      <c r="B31" s="21" t="s">
        <v>24</v>
      </c>
      <c r="C31" s="21"/>
      <c r="D31" s="22" t="s">
        <v>22</v>
      </c>
      <c r="E31" s="23"/>
      <c r="F31" s="24">
        <v>0</v>
      </c>
      <c r="G31" s="25">
        <f>$F$18</f>
        <v>800</v>
      </c>
      <c r="H31" s="26">
        <f t="shared" si="0"/>
        <v>0</v>
      </c>
      <c r="I31" s="27"/>
      <c r="J31" s="28">
        <v>-2.9999999999999997E-4</v>
      </c>
      <c r="K31" s="25">
        <f t="shared" si="5"/>
        <v>800</v>
      </c>
      <c r="L31" s="26">
        <f t="shared" si="1"/>
        <v>-0.24</v>
      </c>
      <c r="M31" s="27"/>
      <c r="N31" s="30">
        <f t="shared" si="2"/>
        <v>-0.24</v>
      </c>
      <c r="O31" s="31" t="str">
        <f t="shared" si="3"/>
        <v/>
      </c>
    </row>
    <row r="32" spans="2:15" x14ac:dyDescent="0.2">
      <c r="B32" s="33"/>
      <c r="C32" s="21"/>
      <c r="D32" s="22"/>
      <c r="E32" s="23"/>
      <c r="F32" s="24"/>
      <c r="G32" s="25">
        <f t="shared" ref="G32:G38" si="6">$F$18</f>
        <v>800</v>
      </c>
      <c r="H32" s="26">
        <f t="shared" si="0"/>
        <v>0</v>
      </c>
      <c r="I32" s="27"/>
      <c r="J32" s="28"/>
      <c r="K32" s="25">
        <f t="shared" si="5"/>
        <v>800</v>
      </c>
      <c r="L32" s="26">
        <f t="shared" si="1"/>
        <v>0</v>
      </c>
      <c r="M32" s="27"/>
      <c r="N32" s="30">
        <f t="shared" si="2"/>
        <v>0</v>
      </c>
      <c r="O32" s="31" t="str">
        <f t="shared" si="3"/>
        <v/>
      </c>
    </row>
    <row r="33" spans="2:15" x14ac:dyDescent="0.2">
      <c r="B33" s="33"/>
      <c r="C33" s="21"/>
      <c r="D33" s="22"/>
      <c r="E33" s="23"/>
      <c r="F33" s="24"/>
      <c r="G33" s="25">
        <f t="shared" si="6"/>
        <v>800</v>
      </c>
      <c r="H33" s="26">
        <f t="shared" si="0"/>
        <v>0</v>
      </c>
      <c r="I33" s="27"/>
      <c r="J33" s="28"/>
      <c r="K33" s="25">
        <f t="shared" si="5"/>
        <v>800</v>
      </c>
      <c r="L33" s="26">
        <f t="shared" si="1"/>
        <v>0</v>
      </c>
      <c r="M33" s="27"/>
      <c r="N33" s="30">
        <f t="shared" si="2"/>
        <v>0</v>
      </c>
      <c r="O33" s="31" t="str">
        <f t="shared" si="3"/>
        <v/>
      </c>
    </row>
    <row r="34" spans="2:15" x14ac:dyDescent="0.2">
      <c r="B34" s="33"/>
      <c r="C34" s="21"/>
      <c r="D34" s="22"/>
      <c r="E34" s="23"/>
      <c r="F34" s="24"/>
      <c r="G34" s="25">
        <f t="shared" si="6"/>
        <v>800</v>
      </c>
      <c r="H34" s="26">
        <f t="shared" si="0"/>
        <v>0</v>
      </c>
      <c r="I34" s="27"/>
      <c r="J34" s="28"/>
      <c r="K34" s="25">
        <f t="shared" si="5"/>
        <v>800</v>
      </c>
      <c r="L34" s="26">
        <f t="shared" si="1"/>
        <v>0</v>
      </c>
      <c r="M34" s="27"/>
      <c r="N34" s="30">
        <f t="shared" si="2"/>
        <v>0</v>
      </c>
      <c r="O34" s="31" t="str">
        <f t="shared" si="3"/>
        <v/>
      </c>
    </row>
    <row r="35" spans="2:15" x14ac:dyDescent="0.2">
      <c r="B35" s="33"/>
      <c r="C35" s="21"/>
      <c r="D35" s="22"/>
      <c r="E35" s="23"/>
      <c r="F35" s="24"/>
      <c r="G35" s="25">
        <f t="shared" si="6"/>
        <v>800</v>
      </c>
      <c r="H35" s="26">
        <f t="shared" si="0"/>
        <v>0</v>
      </c>
      <c r="I35" s="27"/>
      <c r="J35" s="28"/>
      <c r="K35" s="25">
        <f t="shared" si="5"/>
        <v>800</v>
      </c>
      <c r="L35" s="26">
        <f t="shared" si="1"/>
        <v>0</v>
      </c>
      <c r="M35" s="27"/>
      <c r="N35" s="30">
        <f t="shared" si="2"/>
        <v>0</v>
      </c>
      <c r="O35" s="31" t="str">
        <f t="shared" si="3"/>
        <v/>
      </c>
    </row>
    <row r="36" spans="2:15" x14ac:dyDescent="0.2">
      <c r="B36" s="33"/>
      <c r="C36" s="21"/>
      <c r="D36" s="22"/>
      <c r="E36" s="23"/>
      <c r="F36" s="24"/>
      <c r="G36" s="25">
        <f t="shared" si="6"/>
        <v>800</v>
      </c>
      <c r="H36" s="26">
        <f t="shared" si="0"/>
        <v>0</v>
      </c>
      <c r="I36" s="27"/>
      <c r="J36" s="28"/>
      <c r="K36" s="25">
        <f t="shared" si="5"/>
        <v>800</v>
      </c>
      <c r="L36" s="26">
        <f t="shared" si="1"/>
        <v>0</v>
      </c>
      <c r="M36" s="27"/>
      <c r="N36" s="30">
        <f t="shared" si="2"/>
        <v>0</v>
      </c>
      <c r="O36" s="31" t="str">
        <f t="shared" si="3"/>
        <v/>
      </c>
    </row>
    <row r="37" spans="2:15" x14ac:dyDescent="0.2">
      <c r="B37" s="33"/>
      <c r="C37" s="21"/>
      <c r="D37" s="22"/>
      <c r="E37" s="23"/>
      <c r="F37" s="24"/>
      <c r="G37" s="25">
        <f t="shared" si="6"/>
        <v>800</v>
      </c>
      <c r="H37" s="26">
        <f t="shared" si="0"/>
        <v>0</v>
      </c>
      <c r="I37" s="27"/>
      <c r="J37" s="28"/>
      <c r="K37" s="25">
        <f t="shared" si="5"/>
        <v>800</v>
      </c>
      <c r="L37" s="26">
        <f t="shared" si="1"/>
        <v>0</v>
      </c>
      <c r="M37" s="27"/>
      <c r="N37" s="30">
        <f t="shared" si="2"/>
        <v>0</v>
      </c>
      <c r="O37" s="31" t="str">
        <f t="shared" si="3"/>
        <v/>
      </c>
    </row>
    <row r="38" spans="2:15" x14ac:dyDescent="0.2">
      <c r="B38" s="33"/>
      <c r="C38" s="21"/>
      <c r="D38" s="22"/>
      <c r="E38" s="23"/>
      <c r="F38" s="24"/>
      <c r="G38" s="25">
        <f t="shared" si="6"/>
        <v>800</v>
      </c>
      <c r="H38" s="26">
        <f t="shared" si="0"/>
        <v>0</v>
      </c>
      <c r="I38" s="27"/>
      <c r="J38" s="28"/>
      <c r="K38" s="25">
        <f t="shared" si="5"/>
        <v>800</v>
      </c>
      <c r="L38" s="26">
        <f t="shared" si="1"/>
        <v>0</v>
      </c>
      <c r="M38" s="27"/>
      <c r="N38" s="30">
        <f t="shared" si="2"/>
        <v>0</v>
      </c>
      <c r="O38" s="31" t="str">
        <f t="shared" si="3"/>
        <v/>
      </c>
    </row>
    <row r="39" spans="2:15" s="45" customFormat="1" x14ac:dyDescent="0.2">
      <c r="B39" s="34" t="s">
        <v>25</v>
      </c>
      <c r="C39" s="35"/>
      <c r="D39" s="36"/>
      <c r="E39" s="35"/>
      <c r="F39" s="37"/>
      <c r="G39" s="38"/>
      <c r="H39" s="39">
        <f>SUM(H23:H38)</f>
        <v>28.39</v>
      </c>
      <c r="I39" s="40"/>
      <c r="J39" s="41"/>
      <c r="K39" s="42"/>
      <c r="L39" s="39">
        <f>SUM(L23:L38)</f>
        <v>30.290000000000003</v>
      </c>
      <c r="M39" s="40"/>
      <c r="N39" s="43">
        <f t="shared" si="2"/>
        <v>1.9000000000000021</v>
      </c>
      <c r="O39" s="44">
        <f t="shared" si="3"/>
        <v>6.6924973582247346E-2</v>
      </c>
    </row>
    <row r="40" spans="2:15" ht="25.5" x14ac:dyDescent="0.2">
      <c r="B40" s="46" t="s">
        <v>26</v>
      </c>
      <c r="C40" s="21"/>
      <c r="D40" s="22"/>
      <c r="E40" s="23"/>
      <c r="F40" s="24">
        <v>0</v>
      </c>
      <c r="G40" s="25">
        <f>$F$18</f>
        <v>800</v>
      </c>
      <c r="H40" s="26">
        <f>G40*F40</f>
        <v>0</v>
      </c>
      <c r="I40" s="27"/>
      <c r="J40" s="28">
        <v>-5.9999999999999995E-4</v>
      </c>
      <c r="K40" s="25">
        <f>$F$18</f>
        <v>800</v>
      </c>
      <c r="L40" s="26">
        <f>K40*J40</f>
        <v>-0.48</v>
      </c>
      <c r="M40" s="27"/>
      <c r="N40" s="30">
        <f>L40-H40</f>
        <v>-0.48</v>
      </c>
      <c r="O40" s="31" t="str">
        <f>IF((H40)=0,"",(N40/H40))</f>
        <v/>
      </c>
    </row>
    <row r="41" spans="2:15" x14ac:dyDescent="0.2">
      <c r="B41" s="46"/>
      <c r="C41" s="21"/>
      <c r="D41" s="22"/>
      <c r="E41" s="23"/>
      <c r="F41" s="24"/>
      <c r="G41" s="25">
        <f t="shared" ref="G41:G43" si="7">$F$18</f>
        <v>800</v>
      </c>
      <c r="H41" s="26">
        <f t="shared" ref="H41:H45" si="8">G41*F41</f>
        <v>0</v>
      </c>
      <c r="I41" s="47"/>
      <c r="J41" s="28"/>
      <c r="K41" s="25">
        <f t="shared" ref="K41:K43" si="9">$F$18</f>
        <v>800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800</v>
      </c>
      <c r="H42" s="26">
        <f t="shared" si="8"/>
        <v>0</v>
      </c>
      <c r="I42" s="47"/>
      <c r="J42" s="28"/>
      <c r="K42" s="25">
        <f t="shared" si="9"/>
        <v>800</v>
      </c>
      <c r="L42" s="26">
        <f t="shared" si="10"/>
        <v>0</v>
      </c>
      <c r="M42" s="48"/>
      <c r="N42" s="30">
        <f t="shared" si="11"/>
        <v>0</v>
      </c>
      <c r="O42" s="31" t="str">
        <f t="shared" si="12"/>
        <v/>
      </c>
    </row>
    <row r="43" spans="2:15" x14ac:dyDescent="0.2">
      <c r="B43" s="46"/>
      <c r="C43" s="21"/>
      <c r="D43" s="22"/>
      <c r="E43" s="23"/>
      <c r="F43" s="24"/>
      <c r="G43" s="25">
        <f t="shared" si="7"/>
        <v>800</v>
      </c>
      <c r="H43" s="26">
        <f t="shared" si="8"/>
        <v>0</v>
      </c>
      <c r="I43" s="47"/>
      <c r="J43" s="28"/>
      <c r="K43" s="25">
        <f t="shared" si="9"/>
        <v>800</v>
      </c>
      <c r="L43" s="26">
        <f t="shared" si="10"/>
        <v>0</v>
      </c>
      <c r="M43" s="48"/>
      <c r="N43" s="30">
        <f t="shared" si="11"/>
        <v>0</v>
      </c>
      <c r="O43" s="31" t="str">
        <f t="shared" si="12"/>
        <v/>
      </c>
    </row>
    <row r="44" spans="2:15" x14ac:dyDescent="0.2">
      <c r="B44" s="49" t="s">
        <v>27</v>
      </c>
      <c r="C44" s="21"/>
      <c r="D44" s="22" t="s">
        <v>22</v>
      </c>
      <c r="E44" s="23"/>
      <c r="F44" s="50">
        <v>6.0000000000000002E-5</v>
      </c>
      <c r="G44" s="51">
        <f>$F$18*(1+F74)</f>
        <v>828.6400000000001</v>
      </c>
      <c r="H44" s="26">
        <f>G44*F44</f>
        <v>4.971840000000001E-2</v>
      </c>
      <c r="I44" s="27"/>
      <c r="J44" s="52">
        <v>6.9999999999999994E-5</v>
      </c>
      <c r="K44" s="51">
        <f>$F$18*(1+J74)</f>
        <v>827.04000000000008</v>
      </c>
      <c r="L44" s="26">
        <f>K44*J44</f>
        <v>5.7892800000000001E-2</v>
      </c>
      <c r="M44" s="27"/>
      <c r="N44" s="30">
        <f>L44-H44</f>
        <v>8.1743999999999914E-3</v>
      </c>
      <c r="O44" s="31">
        <f>IF((H44)=0,"",(N44/H44))</f>
        <v>0.16441397953272813</v>
      </c>
    </row>
    <row r="45" spans="2:15" x14ac:dyDescent="0.2">
      <c r="B45" s="49" t="s">
        <v>28</v>
      </c>
      <c r="C45" s="21"/>
      <c r="D45" s="22"/>
      <c r="E45" s="23"/>
      <c r="F45" s="53">
        <f>IF(ISBLANK(D16)=TRUE, 0, IF(D16="TOU", 0.64*$F$55+0.18*$F$56+0.18*$F$57, IF(AND(D16="non-TOU", G59&gt;0), F59,F58)))</f>
        <v>0.10214000000000001</v>
      </c>
      <c r="G45" s="54">
        <f>$F$18*(1+$F$74)-$F$18</f>
        <v>28.6400000000001</v>
      </c>
      <c r="H45" s="26">
        <f t="shared" si="8"/>
        <v>2.9252896000000104</v>
      </c>
      <c r="I45" s="27"/>
      <c r="J45" s="55">
        <f>0.64*$J$55+0.18*$J$56+0.18*$J$57</f>
        <v>0.10214000000000001</v>
      </c>
      <c r="K45" s="54">
        <f>$F$18*(1+$J$74)-$F$18</f>
        <v>27.040000000000077</v>
      </c>
      <c r="L45" s="26">
        <f t="shared" si="10"/>
        <v>2.7618656000000081</v>
      </c>
      <c r="M45" s="27"/>
      <c r="N45" s="30">
        <f t="shared" si="11"/>
        <v>-0.16342400000000223</v>
      </c>
      <c r="O45" s="31">
        <f t="shared" si="12"/>
        <v>-5.5865921787710063E-2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32.155008000000009</v>
      </c>
      <c r="I47" s="40"/>
      <c r="J47" s="59"/>
      <c r="K47" s="61"/>
      <c r="L47" s="60">
        <f>SUM(L40:L46)+L39</f>
        <v>33.419758400000013</v>
      </c>
      <c r="M47" s="40"/>
      <c r="N47" s="43">
        <f t="shared" ref="N47:N65" si="13">L47-H47</f>
        <v>1.264750400000004</v>
      </c>
      <c r="O47" s="44">
        <f t="shared" si="12"/>
        <v>3.9332921329082039E-2</v>
      </c>
    </row>
    <row r="48" spans="2:15" x14ac:dyDescent="0.2">
      <c r="B48" s="27" t="s">
        <v>31</v>
      </c>
      <c r="C48" s="27"/>
      <c r="D48" s="62" t="s">
        <v>22</v>
      </c>
      <c r="E48" s="63"/>
      <c r="F48" s="28">
        <v>7.7000000000000002E-3</v>
      </c>
      <c r="G48" s="64">
        <f>F18*(1+F74)</f>
        <v>828.6400000000001</v>
      </c>
      <c r="H48" s="26">
        <f>G48*F48</f>
        <v>6.3805280000000009</v>
      </c>
      <c r="I48" s="27"/>
      <c r="J48" s="28">
        <v>7.7000000000000002E-3</v>
      </c>
      <c r="K48" s="65">
        <f>F18*(1+J74)</f>
        <v>827.04000000000008</v>
      </c>
      <c r="L48" s="26">
        <f>K48*J48</f>
        <v>6.368208000000001</v>
      </c>
      <c r="M48" s="27"/>
      <c r="N48" s="30">
        <f t="shared" si="13"/>
        <v>-1.2319999999999887E-2</v>
      </c>
      <c r="O48" s="31">
        <f t="shared" si="12"/>
        <v>-1.9308746862328455E-3</v>
      </c>
    </row>
    <row r="49" spans="2:15" ht="25.5" x14ac:dyDescent="0.2">
      <c r="B49" s="66" t="s">
        <v>32</v>
      </c>
      <c r="C49" s="27"/>
      <c r="D49" s="62" t="s">
        <v>22</v>
      </c>
      <c r="E49" s="63"/>
      <c r="F49" s="28">
        <v>4.1999999999999997E-3</v>
      </c>
      <c r="G49" s="64">
        <f>G48</f>
        <v>828.6400000000001</v>
      </c>
      <c r="H49" s="26">
        <f>G49*F49</f>
        <v>3.4802880000000003</v>
      </c>
      <c r="I49" s="27"/>
      <c r="J49" s="28">
        <v>4.1999999999999997E-3</v>
      </c>
      <c r="K49" s="65">
        <f>K48</f>
        <v>827.04000000000008</v>
      </c>
      <c r="L49" s="26">
        <f>K49*J49</f>
        <v>3.4735680000000002</v>
      </c>
      <c r="M49" s="27"/>
      <c r="N49" s="30">
        <f t="shared" si="13"/>
        <v>-6.7200000000000593E-3</v>
      </c>
      <c r="O49" s="31">
        <f t="shared" si="12"/>
        <v>-1.9308746862328804E-3</v>
      </c>
    </row>
    <row r="50" spans="2:15" ht="25.5" x14ac:dyDescent="0.2">
      <c r="B50" s="56" t="s">
        <v>33</v>
      </c>
      <c r="C50" s="35"/>
      <c r="D50" s="35"/>
      <c r="E50" s="35"/>
      <c r="F50" s="67"/>
      <c r="G50" s="59"/>
      <c r="H50" s="60">
        <f>SUM(H47:H49)</f>
        <v>42.015824000000009</v>
      </c>
      <c r="I50" s="68"/>
      <c r="J50" s="69"/>
      <c r="K50" s="70"/>
      <c r="L50" s="60">
        <f>SUM(L47:L49)</f>
        <v>43.261534400000016</v>
      </c>
      <c r="M50" s="68"/>
      <c r="N50" s="43">
        <f t="shared" si="13"/>
        <v>1.2457104000000072</v>
      </c>
      <c r="O50" s="44">
        <f t="shared" si="12"/>
        <v>2.9648600965198418E-2</v>
      </c>
    </row>
    <row r="51" spans="2:15" ht="25.5" x14ac:dyDescent="0.2">
      <c r="B51" s="71" t="s">
        <v>34</v>
      </c>
      <c r="C51" s="21"/>
      <c r="D51" s="22" t="s">
        <v>22</v>
      </c>
      <c r="E51" s="23"/>
      <c r="F51" s="72">
        <v>4.4000000000000003E-3</v>
      </c>
      <c r="G51" s="64">
        <f>G49</f>
        <v>828.6400000000001</v>
      </c>
      <c r="H51" s="73">
        <f t="shared" ref="H51:H57" si="14">G51*F51</f>
        <v>3.6460160000000008</v>
      </c>
      <c r="I51" s="27"/>
      <c r="J51" s="72">
        <v>4.4000000000000003E-3</v>
      </c>
      <c r="K51" s="65">
        <f>K49</f>
        <v>827.04000000000008</v>
      </c>
      <c r="L51" s="73">
        <f t="shared" ref="L51:L57" si="15">K51*J51</f>
        <v>3.6389760000000004</v>
      </c>
      <c r="M51" s="27"/>
      <c r="N51" s="30">
        <f t="shared" si="13"/>
        <v>-7.0400000000003793E-3</v>
      </c>
      <c r="O51" s="74">
        <f t="shared" si="12"/>
        <v>-1.9308746862329671E-3</v>
      </c>
    </row>
    <row r="52" spans="2:15" ht="25.5" x14ac:dyDescent="0.2">
      <c r="B52" s="71" t="s">
        <v>35</v>
      </c>
      <c r="C52" s="21"/>
      <c r="D52" s="22" t="s">
        <v>22</v>
      </c>
      <c r="E52" s="23"/>
      <c r="F52" s="72">
        <v>1.2999999999999999E-3</v>
      </c>
      <c r="G52" s="64">
        <f>G49</f>
        <v>828.6400000000001</v>
      </c>
      <c r="H52" s="73">
        <f t="shared" si="14"/>
        <v>1.0772320000000002</v>
      </c>
      <c r="I52" s="27"/>
      <c r="J52" s="72">
        <v>1.2999999999999999E-3</v>
      </c>
      <c r="K52" s="65">
        <f>K49</f>
        <v>827.04000000000008</v>
      </c>
      <c r="L52" s="73">
        <f t="shared" si="15"/>
        <v>1.0751520000000001</v>
      </c>
      <c r="M52" s="27"/>
      <c r="N52" s="30">
        <f t="shared" si="13"/>
        <v>-2.0800000000000818E-3</v>
      </c>
      <c r="O52" s="74">
        <f t="shared" si="12"/>
        <v>-1.9308746862329391E-3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800</v>
      </c>
      <c r="H54" s="73">
        <f t="shared" si="14"/>
        <v>5.5519999999999996</v>
      </c>
      <c r="I54" s="27"/>
      <c r="J54" s="72">
        <f>+F54</f>
        <v>6.94E-3</v>
      </c>
      <c r="K54" s="76">
        <f>$F$18</f>
        <v>800</v>
      </c>
      <c r="L54" s="73">
        <f t="shared" si="15"/>
        <v>5.5519999999999996</v>
      </c>
      <c r="M54" s="27"/>
      <c r="N54" s="30">
        <f t="shared" si="13"/>
        <v>0</v>
      </c>
      <c r="O54" s="74">
        <f t="shared" si="12"/>
        <v>0</v>
      </c>
    </row>
    <row r="55" spans="2:15" x14ac:dyDescent="0.2">
      <c r="B55" s="49" t="s">
        <v>38</v>
      </c>
      <c r="C55" s="21"/>
      <c r="D55" s="22"/>
      <c r="E55" s="23"/>
      <c r="F55" s="72">
        <v>0.08</v>
      </c>
      <c r="G55" s="77">
        <f>0.64*$F$18</f>
        <v>512</v>
      </c>
      <c r="H55" s="73">
        <f t="shared" si="14"/>
        <v>40.96</v>
      </c>
      <c r="I55" s="27"/>
      <c r="J55" s="72">
        <v>0.08</v>
      </c>
      <c r="K55" s="77">
        <f>$G$55</f>
        <v>512</v>
      </c>
      <c r="L55" s="73">
        <f t="shared" si="15"/>
        <v>40.96</v>
      </c>
      <c r="M55" s="27"/>
      <c r="N55" s="30">
        <f t="shared" si="13"/>
        <v>0</v>
      </c>
      <c r="O55" s="74">
        <f t="shared" si="12"/>
        <v>0</v>
      </c>
    </row>
    <row r="56" spans="2:15" x14ac:dyDescent="0.2">
      <c r="B56" s="49" t="s">
        <v>39</v>
      </c>
      <c r="C56" s="21"/>
      <c r="D56" s="22"/>
      <c r="E56" s="23"/>
      <c r="F56" s="72">
        <v>0.122</v>
      </c>
      <c r="G56" s="77">
        <f>0.18*$F$18</f>
        <v>144</v>
      </c>
      <c r="H56" s="73">
        <f t="shared" si="14"/>
        <v>17.567999999999998</v>
      </c>
      <c r="I56" s="27"/>
      <c r="J56" s="72">
        <v>0.122</v>
      </c>
      <c r="K56" s="77">
        <f>$G$56</f>
        <v>144</v>
      </c>
      <c r="L56" s="73">
        <f t="shared" si="15"/>
        <v>17.567999999999998</v>
      </c>
      <c r="M56" s="27"/>
      <c r="N56" s="30">
        <f t="shared" si="13"/>
        <v>0</v>
      </c>
      <c r="O56" s="74">
        <f t="shared" si="12"/>
        <v>0</v>
      </c>
    </row>
    <row r="57" spans="2:15" x14ac:dyDescent="0.2">
      <c r="B57" s="11" t="s">
        <v>40</v>
      </c>
      <c r="C57" s="21"/>
      <c r="D57" s="22"/>
      <c r="E57" s="23"/>
      <c r="F57" s="72">
        <v>0.161</v>
      </c>
      <c r="G57" s="77">
        <f>0.18*$F$18</f>
        <v>144</v>
      </c>
      <c r="H57" s="73">
        <f t="shared" si="14"/>
        <v>23.184000000000001</v>
      </c>
      <c r="I57" s="27"/>
      <c r="J57" s="72">
        <v>0.161</v>
      </c>
      <c r="K57" s="77">
        <f>$G$57</f>
        <v>144</v>
      </c>
      <c r="L57" s="73">
        <f t="shared" si="15"/>
        <v>23.184000000000001</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600</v>
      </c>
      <c r="H58" s="73">
        <f>G58*F58</f>
        <v>56.4</v>
      </c>
      <c r="I58" s="83"/>
      <c r="J58" s="72">
        <v>9.4E-2</v>
      </c>
      <c r="K58" s="82">
        <f>$G$58</f>
        <v>600</v>
      </c>
      <c r="L58" s="73">
        <f>K58*J58</f>
        <v>56.4</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200</v>
      </c>
      <c r="H59" s="73">
        <f>G59*F59</f>
        <v>22</v>
      </c>
      <c r="I59" s="83"/>
      <c r="J59" s="72">
        <v>0.11</v>
      </c>
      <c r="K59" s="82">
        <f>$G$59</f>
        <v>200</v>
      </c>
      <c r="L59" s="73">
        <f>K59*J59</f>
        <v>22</v>
      </c>
      <c r="M59" s="83"/>
      <c r="N59" s="84">
        <f t="shared" si="13"/>
        <v>0</v>
      </c>
      <c r="O59" s="74">
        <f t="shared" si="12"/>
        <v>0</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134.253072</v>
      </c>
      <c r="I61" s="100"/>
      <c r="J61" s="101"/>
      <c r="K61" s="101"/>
      <c r="L61" s="99">
        <f>SUM(L51:L57,L50)</f>
        <v>135.48966240000001</v>
      </c>
      <c r="M61" s="102"/>
      <c r="N61" s="103">
        <f t="shared" ref="N61" si="16">L61-H61</f>
        <v>1.2365904000000114</v>
      </c>
      <c r="O61" s="104">
        <f t="shared" ref="O61" si="17">IF((H61)=0,"",(N61/H61))</f>
        <v>9.2108909060942112E-3</v>
      </c>
    </row>
    <row r="62" spans="2:15" x14ac:dyDescent="0.2">
      <c r="B62" s="105" t="s">
        <v>44</v>
      </c>
      <c r="C62" s="21"/>
      <c r="D62" s="21"/>
      <c r="E62" s="21"/>
      <c r="F62" s="106">
        <v>0.13</v>
      </c>
      <c r="G62" s="107"/>
      <c r="H62" s="108">
        <f>H61*F62</f>
        <v>17.45289936</v>
      </c>
      <c r="I62" s="109"/>
      <c r="J62" s="110">
        <v>0.13</v>
      </c>
      <c r="K62" s="109"/>
      <c r="L62" s="111">
        <f>L61*J62</f>
        <v>17.613656112000001</v>
      </c>
      <c r="M62" s="112"/>
      <c r="N62" s="113">
        <f t="shared" si="13"/>
        <v>0.16075675200000106</v>
      </c>
      <c r="O62" s="114">
        <f t="shared" si="12"/>
        <v>9.2108909060941869E-3</v>
      </c>
    </row>
    <row r="63" spans="2:15" x14ac:dyDescent="0.2">
      <c r="B63" s="115" t="s">
        <v>45</v>
      </c>
      <c r="C63" s="21"/>
      <c r="D63" s="21"/>
      <c r="E63" s="21"/>
      <c r="F63" s="116"/>
      <c r="G63" s="107"/>
      <c r="H63" s="108">
        <f>H61+H62</f>
        <v>151.70597136000001</v>
      </c>
      <c r="I63" s="109"/>
      <c r="J63" s="109"/>
      <c r="K63" s="109"/>
      <c r="L63" s="111">
        <f>L61+L62</f>
        <v>153.10331851200002</v>
      </c>
      <c r="M63" s="112"/>
      <c r="N63" s="113">
        <f t="shared" si="13"/>
        <v>1.3973471520000089</v>
      </c>
      <c r="O63" s="114">
        <f t="shared" si="12"/>
        <v>9.2108909060941851E-3</v>
      </c>
    </row>
    <row r="64" spans="2:15" ht="15.75" customHeight="1" x14ac:dyDescent="0.2">
      <c r="B64" s="186" t="s">
        <v>46</v>
      </c>
      <c r="C64" s="186"/>
      <c r="D64" s="186"/>
      <c r="E64" s="21"/>
      <c r="F64" s="116"/>
      <c r="G64" s="107"/>
      <c r="H64" s="117">
        <f>ROUND(-H63*10%,2)</f>
        <v>-15.17</v>
      </c>
      <c r="I64" s="109"/>
      <c r="J64" s="109"/>
      <c r="K64" s="109"/>
      <c r="L64" s="118">
        <f>ROUND(-L63*10%,2)</f>
        <v>-15.31</v>
      </c>
      <c r="M64" s="112"/>
      <c r="N64" s="118">
        <f t="shared" si="13"/>
        <v>-0.14000000000000057</v>
      </c>
      <c r="O64" s="119">
        <f t="shared" si="12"/>
        <v>9.2287409360580462E-3</v>
      </c>
    </row>
    <row r="65" spans="1:15" ht="13.5" thickBot="1" x14ac:dyDescent="0.25">
      <c r="B65" s="187" t="s">
        <v>47</v>
      </c>
      <c r="C65" s="187"/>
      <c r="D65" s="187"/>
      <c r="E65" s="120"/>
      <c r="F65" s="121"/>
      <c r="G65" s="122"/>
      <c r="H65" s="123">
        <f>H63+H64</f>
        <v>136.53597136000002</v>
      </c>
      <c r="I65" s="124"/>
      <c r="J65" s="124"/>
      <c r="K65" s="124"/>
      <c r="L65" s="125">
        <f>L63+L64</f>
        <v>137.79331851200001</v>
      </c>
      <c r="M65" s="126"/>
      <c r="N65" s="127">
        <f t="shared" si="13"/>
        <v>1.2573471519999941</v>
      </c>
      <c r="O65" s="128">
        <f t="shared" si="12"/>
        <v>9.2089076561720669E-3</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130.94107200000002</v>
      </c>
      <c r="I67" s="140"/>
      <c r="J67" s="141"/>
      <c r="K67" s="141"/>
      <c r="L67" s="139">
        <f>SUM(L58:L59,L50,L51:L54)</f>
        <v>132.17766240000003</v>
      </c>
      <c r="M67" s="142"/>
      <c r="N67" s="143">
        <f t="shared" ref="N67:N71" si="18">L67-H67</f>
        <v>1.2365904000000114</v>
      </c>
      <c r="O67" s="104">
        <f t="shared" ref="O67:O71" si="19">IF((H67)=0,"",(N67/H67))</f>
        <v>9.443869529340735E-3</v>
      </c>
    </row>
    <row r="68" spans="1:15" s="85" customFormat="1" x14ac:dyDescent="0.2">
      <c r="B68" s="144" t="s">
        <v>44</v>
      </c>
      <c r="C68" s="79"/>
      <c r="D68" s="79"/>
      <c r="E68" s="79"/>
      <c r="F68" s="145">
        <v>0.13</v>
      </c>
      <c r="G68" s="138"/>
      <c r="H68" s="146">
        <f>H67*F68</f>
        <v>17.022339360000004</v>
      </c>
      <c r="I68" s="147"/>
      <c r="J68" s="148">
        <v>0.13</v>
      </c>
      <c r="K68" s="149"/>
      <c r="L68" s="150">
        <f>L67*J68</f>
        <v>17.183096112000005</v>
      </c>
      <c r="M68" s="151"/>
      <c r="N68" s="152">
        <f t="shared" si="18"/>
        <v>0.16075675200000106</v>
      </c>
      <c r="O68" s="114">
        <f t="shared" si="19"/>
        <v>9.443869529340709E-3</v>
      </c>
    </row>
    <row r="69" spans="1:15" s="85" customFormat="1" x14ac:dyDescent="0.2">
      <c r="B69" s="153" t="s">
        <v>45</v>
      </c>
      <c r="C69" s="79"/>
      <c r="D69" s="79"/>
      <c r="E69" s="79"/>
      <c r="F69" s="154"/>
      <c r="G69" s="155"/>
      <c r="H69" s="146">
        <f>H67+H68</f>
        <v>147.96341136000001</v>
      </c>
      <c r="I69" s="147"/>
      <c r="J69" s="147"/>
      <c r="K69" s="147"/>
      <c r="L69" s="150">
        <f>L67+L68</f>
        <v>149.36075851200005</v>
      </c>
      <c r="M69" s="151"/>
      <c r="N69" s="152">
        <f t="shared" si="18"/>
        <v>1.3973471520000373</v>
      </c>
      <c r="O69" s="114">
        <f t="shared" si="19"/>
        <v>9.4438695293408998E-3</v>
      </c>
    </row>
    <row r="70" spans="1:15" s="85" customFormat="1" ht="15.75" customHeight="1" x14ac:dyDescent="0.2">
      <c r="B70" s="188" t="s">
        <v>46</v>
      </c>
      <c r="C70" s="188"/>
      <c r="D70" s="188"/>
      <c r="E70" s="79"/>
      <c r="F70" s="154"/>
      <c r="G70" s="155"/>
      <c r="H70" s="156">
        <f>ROUND(-H69*10%,2)</f>
        <v>-14.8</v>
      </c>
      <c r="I70" s="147"/>
      <c r="J70" s="147"/>
      <c r="K70" s="147"/>
      <c r="L70" s="118">
        <f>ROUND(-L69*10%,2)</f>
        <v>-14.94</v>
      </c>
      <c r="M70" s="151"/>
      <c r="N70" s="157">
        <f t="shared" si="18"/>
        <v>-0.13999999999999879</v>
      </c>
      <c r="O70" s="119">
        <f t="shared" si="19"/>
        <v>9.4594594594593767E-3</v>
      </c>
    </row>
    <row r="71" spans="1:15" s="85" customFormat="1" ht="13.5" thickBot="1" x14ac:dyDescent="0.25">
      <c r="B71" s="185" t="s">
        <v>49</v>
      </c>
      <c r="C71" s="185"/>
      <c r="D71" s="185"/>
      <c r="E71" s="158"/>
      <c r="F71" s="159"/>
      <c r="G71" s="160"/>
      <c r="H71" s="161">
        <f>SUM(H69:H70)</f>
        <v>133.16341136</v>
      </c>
      <c r="I71" s="162"/>
      <c r="J71" s="162"/>
      <c r="K71" s="162"/>
      <c r="L71" s="163">
        <f>SUM(L69:L70)</f>
        <v>134.42075851200005</v>
      </c>
      <c r="M71" s="164"/>
      <c r="N71" s="165">
        <f t="shared" si="18"/>
        <v>1.257347152000051</v>
      </c>
      <c r="O71" s="166">
        <f t="shared" si="19"/>
        <v>9.4421368389315426E-3</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361950</xdr:colOff>
                    <xdr:row>16</xdr:row>
                    <xdr:rowOff>114300</xdr:rowOff>
                  </from>
                  <to>
                    <xdr:col>15</xdr:col>
                    <xdr:colOff>381000</xdr:colOff>
                    <xdr:row>18</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O92"/>
  <sheetViews>
    <sheetView showGridLines="0" zoomScale="85" zoomScaleNormal="85" workbookViewId="0">
      <selection activeCell="J30" sqref="J3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384" width="9.140625" style="6"/>
  </cols>
  <sheetData>
    <row r="1" spans="1:15" s="2" customFormat="1" ht="15" customHeight="1" x14ac:dyDescent="0.2">
      <c r="A1" s="1"/>
      <c r="B1" s="1"/>
      <c r="C1" s="1"/>
      <c r="D1" s="1"/>
      <c r="E1" s="1"/>
      <c r="F1" s="1"/>
      <c r="G1" s="1"/>
      <c r="H1" s="1"/>
      <c r="I1" s="1"/>
      <c r="J1" s="1"/>
      <c r="K1" s="1"/>
      <c r="N1" s="178"/>
      <c r="O1" s="2">
        <v>1</v>
      </c>
    </row>
    <row r="2" spans="1:15" s="2" customFormat="1" ht="15" customHeight="1" x14ac:dyDescent="0.25">
      <c r="A2" s="3"/>
      <c r="B2" s="3"/>
      <c r="C2" s="3"/>
      <c r="D2" s="3"/>
      <c r="E2" s="3"/>
      <c r="F2" s="3"/>
      <c r="G2" s="3"/>
      <c r="H2" s="3"/>
      <c r="I2" s="3"/>
      <c r="J2" s="3"/>
      <c r="K2" s="3"/>
      <c r="N2" s="178"/>
      <c r="O2" s="180"/>
    </row>
    <row r="3" spans="1:15" s="2" customFormat="1" ht="15" customHeight="1" x14ac:dyDescent="0.25">
      <c r="A3" s="195"/>
      <c r="B3" s="195"/>
      <c r="C3" s="195"/>
      <c r="D3" s="195"/>
      <c r="E3" s="195"/>
      <c r="F3" s="195"/>
      <c r="G3" s="195"/>
      <c r="H3" s="195"/>
      <c r="I3" s="195"/>
      <c r="J3" s="195"/>
      <c r="K3" s="195"/>
      <c r="N3" s="178"/>
      <c r="O3" s="180"/>
    </row>
    <row r="4" spans="1:15" s="2" customFormat="1" ht="15" customHeight="1" x14ac:dyDescent="0.25">
      <c r="A4" s="3"/>
      <c r="B4" s="3"/>
      <c r="C4" s="3"/>
      <c r="D4" s="3"/>
      <c r="E4" s="3"/>
      <c r="F4" s="3"/>
      <c r="G4" s="3"/>
      <c r="H4" s="3"/>
      <c r="I4" s="4"/>
      <c r="J4" s="4"/>
      <c r="K4" s="4"/>
      <c r="N4" s="178"/>
      <c r="O4" s="180"/>
    </row>
    <row r="5" spans="1:15" s="2" customFormat="1" ht="15" customHeight="1" x14ac:dyDescent="0.25">
      <c r="C5" s="5"/>
      <c r="D5" s="5"/>
      <c r="E5" s="5"/>
      <c r="N5" s="178"/>
      <c r="O5" s="179"/>
    </row>
    <row r="6" spans="1:15" s="2" customFormat="1" ht="9" customHeight="1" x14ac:dyDescent="0.2">
      <c r="N6" s="178"/>
      <c r="O6" s="179"/>
    </row>
    <row r="7" spans="1:15" s="2" customFormat="1" x14ac:dyDescent="0.2">
      <c r="N7" s="178"/>
      <c r="O7" s="179"/>
    </row>
    <row r="8" spans="1:15" s="2" customFormat="1" ht="15" customHeight="1" x14ac:dyDescent="0.2">
      <c r="N8" s="6"/>
      <c r="O8"/>
    </row>
    <row r="9" spans="1:15" ht="7.5" customHeight="1" x14ac:dyDescent="0.2">
      <c r="L9"/>
      <c r="M9"/>
      <c r="N9"/>
      <c r="O9"/>
    </row>
    <row r="10" spans="1:15" ht="18.75" customHeight="1" x14ac:dyDescent="0.25">
      <c r="C10" s="183"/>
      <c r="D10" s="183"/>
      <c r="E10" s="183"/>
      <c r="F10" s="183" t="s">
        <v>0</v>
      </c>
      <c r="G10" s="183"/>
      <c r="H10" s="183"/>
      <c r="I10" s="183"/>
      <c r="J10" s="183"/>
      <c r="K10" s="183"/>
      <c r="L10" s="183"/>
      <c r="M10" s="183"/>
      <c r="N10" s="183"/>
      <c r="O10" s="183"/>
    </row>
    <row r="11" spans="1:15" ht="18.75" customHeight="1" x14ac:dyDescent="0.25">
      <c r="C11" s="183"/>
      <c r="D11" s="183"/>
      <c r="E11" s="183"/>
      <c r="F11" s="183" t="s">
        <v>1</v>
      </c>
      <c r="G11" s="183"/>
      <c r="H11" s="183"/>
      <c r="I11" s="183"/>
      <c r="J11" s="183"/>
      <c r="K11" s="183"/>
      <c r="L11" s="183"/>
      <c r="M11" s="183"/>
      <c r="N11" s="183"/>
      <c r="O11" s="183"/>
    </row>
    <row r="12" spans="1:15" ht="7.5" customHeight="1" x14ac:dyDescent="0.2">
      <c r="L12"/>
      <c r="M12"/>
      <c r="N12"/>
      <c r="O12"/>
    </row>
    <row r="13" spans="1:15" ht="7.5" customHeight="1" x14ac:dyDescent="0.2">
      <c r="L13"/>
      <c r="M13"/>
      <c r="N13"/>
      <c r="O13"/>
    </row>
    <row r="14" spans="1:15" ht="15.75" x14ac:dyDescent="0.2">
      <c r="B14" s="7" t="s">
        <v>2</v>
      </c>
      <c r="D14" s="196" t="s">
        <v>3</v>
      </c>
      <c r="E14" s="196"/>
      <c r="F14" s="196"/>
      <c r="G14" s="196"/>
      <c r="H14" s="196"/>
      <c r="I14" s="196"/>
      <c r="J14" s="196"/>
      <c r="K14" s="196"/>
      <c r="L14" s="196"/>
      <c r="M14" s="196"/>
      <c r="N14" s="196"/>
      <c r="O14" s="196"/>
    </row>
    <row r="15" spans="1:15" ht="7.5" customHeight="1" x14ac:dyDescent="0.25">
      <c r="B15" s="8"/>
      <c r="D15" s="9"/>
      <c r="E15" s="9"/>
      <c r="F15" s="9"/>
      <c r="G15" s="9"/>
      <c r="H15" s="9"/>
      <c r="I15" s="9"/>
      <c r="J15" s="9"/>
      <c r="K15" s="9"/>
      <c r="L15" s="9"/>
      <c r="M15" s="9"/>
      <c r="N15" s="9"/>
      <c r="O15" s="9"/>
    </row>
    <row r="16" spans="1:15"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1000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1000</v>
      </c>
      <c r="H29" s="26">
        <f t="shared" si="0"/>
        <v>23.400000000000002</v>
      </c>
      <c r="I29" s="27"/>
      <c r="J29" s="28">
        <f>+'Res (100)'!J29</f>
        <v>2.07E-2</v>
      </c>
      <c r="K29" s="25">
        <f>$F$18</f>
        <v>1000</v>
      </c>
      <c r="L29" s="26">
        <f t="shared" si="1"/>
        <v>20.7</v>
      </c>
      <c r="M29" s="27"/>
      <c r="N29" s="30">
        <f t="shared" si="2"/>
        <v>-2.7000000000000028</v>
      </c>
      <c r="O29" s="31">
        <f t="shared" si="3"/>
        <v>-0.1153846153846155</v>
      </c>
    </row>
    <row r="30" spans="2:15" x14ac:dyDescent="0.2">
      <c r="B30" s="21" t="s">
        <v>23</v>
      </c>
      <c r="C30" s="21"/>
      <c r="D30" s="22"/>
      <c r="E30" s="23"/>
      <c r="F30" s="24"/>
      <c r="G30" s="25">
        <f t="shared" ref="G30" si="4">$F$18</f>
        <v>1000</v>
      </c>
      <c r="H30" s="26">
        <f t="shared" si="0"/>
        <v>0</v>
      </c>
      <c r="I30" s="27"/>
      <c r="J30" s="28"/>
      <c r="K30" s="25">
        <f t="shared" ref="K30:K38" si="5">$F$18</f>
        <v>1000</v>
      </c>
      <c r="L30" s="26">
        <f t="shared" si="1"/>
        <v>0</v>
      </c>
      <c r="M30" s="27"/>
      <c r="N30" s="30">
        <f t="shared" si="2"/>
        <v>0</v>
      </c>
      <c r="O30" s="31" t="str">
        <f t="shared" si="3"/>
        <v/>
      </c>
    </row>
    <row r="31" spans="2:15" x14ac:dyDescent="0.2">
      <c r="B31" s="21" t="s">
        <v>24</v>
      </c>
      <c r="C31" s="21"/>
      <c r="D31" s="22" t="s">
        <v>22</v>
      </c>
      <c r="E31" s="23"/>
      <c r="F31" s="24">
        <v>0</v>
      </c>
      <c r="G31" s="25">
        <f>$F$18</f>
        <v>1000</v>
      </c>
      <c r="H31" s="26">
        <f t="shared" si="0"/>
        <v>0</v>
      </c>
      <c r="I31" s="27"/>
      <c r="J31" s="28">
        <v>-2.9999999999999997E-4</v>
      </c>
      <c r="K31" s="25">
        <f t="shared" si="5"/>
        <v>1000</v>
      </c>
      <c r="L31" s="26">
        <f t="shared" si="1"/>
        <v>-0.3</v>
      </c>
      <c r="M31" s="27"/>
      <c r="N31" s="30">
        <f t="shared" si="2"/>
        <v>-0.3</v>
      </c>
      <c r="O31" s="31" t="str">
        <f t="shared" si="3"/>
        <v/>
      </c>
    </row>
    <row r="32" spans="2:15" x14ac:dyDescent="0.2">
      <c r="B32" s="33"/>
      <c r="C32" s="21"/>
      <c r="D32" s="22"/>
      <c r="E32" s="23"/>
      <c r="F32" s="24"/>
      <c r="G32" s="25">
        <f t="shared" ref="G32:G38" si="6">$F$18</f>
        <v>1000</v>
      </c>
      <c r="H32" s="26">
        <f t="shared" si="0"/>
        <v>0</v>
      </c>
      <c r="I32" s="27"/>
      <c r="J32" s="28"/>
      <c r="K32" s="25">
        <f t="shared" si="5"/>
        <v>1000</v>
      </c>
      <c r="L32" s="26">
        <f t="shared" si="1"/>
        <v>0</v>
      </c>
      <c r="M32" s="27"/>
      <c r="N32" s="30">
        <f t="shared" si="2"/>
        <v>0</v>
      </c>
      <c r="O32" s="31" t="str">
        <f t="shared" si="3"/>
        <v/>
      </c>
    </row>
    <row r="33" spans="2:15" x14ac:dyDescent="0.2">
      <c r="B33" s="33"/>
      <c r="C33" s="21"/>
      <c r="D33" s="22"/>
      <c r="E33" s="23"/>
      <c r="F33" s="24"/>
      <c r="G33" s="25">
        <f t="shared" si="6"/>
        <v>1000</v>
      </c>
      <c r="H33" s="26">
        <f t="shared" si="0"/>
        <v>0</v>
      </c>
      <c r="I33" s="27"/>
      <c r="J33" s="28"/>
      <c r="K33" s="25">
        <f t="shared" si="5"/>
        <v>1000</v>
      </c>
      <c r="L33" s="26">
        <f t="shared" si="1"/>
        <v>0</v>
      </c>
      <c r="M33" s="27"/>
      <c r="N33" s="30">
        <f t="shared" si="2"/>
        <v>0</v>
      </c>
      <c r="O33" s="31" t="str">
        <f t="shared" si="3"/>
        <v/>
      </c>
    </row>
    <row r="34" spans="2:15" x14ac:dyDescent="0.2">
      <c r="B34" s="33"/>
      <c r="C34" s="21"/>
      <c r="D34" s="22"/>
      <c r="E34" s="23"/>
      <c r="F34" s="24"/>
      <c r="G34" s="25">
        <f t="shared" si="6"/>
        <v>1000</v>
      </c>
      <c r="H34" s="26">
        <f t="shared" si="0"/>
        <v>0</v>
      </c>
      <c r="I34" s="27"/>
      <c r="J34" s="28"/>
      <c r="K34" s="25">
        <f t="shared" si="5"/>
        <v>1000</v>
      </c>
      <c r="L34" s="26">
        <f t="shared" si="1"/>
        <v>0</v>
      </c>
      <c r="M34" s="27"/>
      <c r="N34" s="30">
        <f t="shared" si="2"/>
        <v>0</v>
      </c>
      <c r="O34" s="31" t="str">
        <f t="shared" si="3"/>
        <v/>
      </c>
    </row>
    <row r="35" spans="2:15" x14ac:dyDescent="0.2">
      <c r="B35" s="33"/>
      <c r="C35" s="21"/>
      <c r="D35" s="22"/>
      <c r="E35" s="23"/>
      <c r="F35" s="24"/>
      <c r="G35" s="25">
        <f t="shared" si="6"/>
        <v>1000</v>
      </c>
      <c r="H35" s="26">
        <f t="shared" si="0"/>
        <v>0</v>
      </c>
      <c r="I35" s="27"/>
      <c r="J35" s="28"/>
      <c r="K35" s="25">
        <f t="shared" si="5"/>
        <v>1000</v>
      </c>
      <c r="L35" s="26">
        <f t="shared" si="1"/>
        <v>0</v>
      </c>
      <c r="M35" s="27"/>
      <c r="N35" s="30">
        <f t="shared" si="2"/>
        <v>0</v>
      </c>
      <c r="O35" s="31" t="str">
        <f t="shared" si="3"/>
        <v/>
      </c>
    </row>
    <row r="36" spans="2:15" x14ac:dyDescent="0.2">
      <c r="B36" s="33"/>
      <c r="C36" s="21"/>
      <c r="D36" s="22"/>
      <c r="E36" s="23"/>
      <c r="F36" s="24"/>
      <c r="G36" s="25">
        <f t="shared" si="6"/>
        <v>1000</v>
      </c>
      <c r="H36" s="26">
        <f t="shared" si="0"/>
        <v>0</v>
      </c>
      <c r="I36" s="27"/>
      <c r="J36" s="28"/>
      <c r="K36" s="25">
        <f t="shared" si="5"/>
        <v>1000</v>
      </c>
      <c r="L36" s="26">
        <f t="shared" si="1"/>
        <v>0</v>
      </c>
      <c r="M36" s="27"/>
      <c r="N36" s="30">
        <f t="shared" si="2"/>
        <v>0</v>
      </c>
      <c r="O36" s="31" t="str">
        <f t="shared" si="3"/>
        <v/>
      </c>
    </row>
    <row r="37" spans="2:15" x14ac:dyDescent="0.2">
      <c r="B37" s="33"/>
      <c r="C37" s="21"/>
      <c r="D37" s="22"/>
      <c r="E37" s="23"/>
      <c r="F37" s="24"/>
      <c r="G37" s="25">
        <f t="shared" si="6"/>
        <v>1000</v>
      </c>
      <c r="H37" s="26">
        <f t="shared" si="0"/>
        <v>0</v>
      </c>
      <c r="I37" s="27"/>
      <c r="J37" s="28"/>
      <c r="K37" s="25">
        <f t="shared" si="5"/>
        <v>1000</v>
      </c>
      <c r="L37" s="26">
        <f t="shared" si="1"/>
        <v>0</v>
      </c>
      <c r="M37" s="27"/>
      <c r="N37" s="30">
        <f t="shared" si="2"/>
        <v>0</v>
      </c>
      <c r="O37" s="31" t="str">
        <f t="shared" si="3"/>
        <v/>
      </c>
    </row>
    <row r="38" spans="2:15" x14ac:dyDescent="0.2">
      <c r="B38" s="33"/>
      <c r="C38" s="21"/>
      <c r="D38" s="22"/>
      <c r="E38" s="23"/>
      <c r="F38" s="24"/>
      <c r="G38" s="25">
        <f t="shared" si="6"/>
        <v>1000</v>
      </c>
      <c r="H38" s="26">
        <f t="shared" si="0"/>
        <v>0</v>
      </c>
      <c r="I38" s="27"/>
      <c r="J38" s="28"/>
      <c r="K38" s="25">
        <f t="shared" si="5"/>
        <v>1000</v>
      </c>
      <c r="L38" s="26">
        <f t="shared" si="1"/>
        <v>0</v>
      </c>
      <c r="M38" s="27"/>
      <c r="N38" s="30">
        <f t="shared" si="2"/>
        <v>0</v>
      </c>
      <c r="O38" s="31" t="str">
        <f t="shared" si="3"/>
        <v/>
      </c>
    </row>
    <row r="39" spans="2:15" s="45" customFormat="1" x14ac:dyDescent="0.2">
      <c r="B39" s="34" t="s">
        <v>25</v>
      </c>
      <c r="C39" s="35"/>
      <c r="D39" s="36"/>
      <c r="E39" s="35"/>
      <c r="F39" s="37"/>
      <c r="G39" s="38"/>
      <c r="H39" s="39">
        <f>SUM(H23:H38)</f>
        <v>33.07</v>
      </c>
      <c r="I39" s="40"/>
      <c r="J39" s="41"/>
      <c r="K39" s="42"/>
      <c r="L39" s="39">
        <f>SUM(L23:L38)</f>
        <v>34.370000000000005</v>
      </c>
      <c r="M39" s="40"/>
      <c r="N39" s="43">
        <f t="shared" si="2"/>
        <v>1.3000000000000043</v>
      </c>
      <c r="O39" s="44">
        <f t="shared" si="3"/>
        <v>3.9310553371636053E-2</v>
      </c>
    </row>
    <row r="40" spans="2:15" ht="25.5" x14ac:dyDescent="0.2">
      <c r="B40" s="46" t="s">
        <v>26</v>
      </c>
      <c r="C40" s="21"/>
      <c r="D40" s="22"/>
      <c r="E40" s="23"/>
      <c r="F40" s="24">
        <v>0</v>
      </c>
      <c r="G40" s="25">
        <f>$F$18</f>
        <v>1000</v>
      </c>
      <c r="H40" s="26">
        <f>G40*F40</f>
        <v>0</v>
      </c>
      <c r="I40" s="27"/>
      <c r="J40" s="28">
        <v>-5.9999999999999995E-4</v>
      </c>
      <c r="K40" s="25">
        <f>$F$18</f>
        <v>1000</v>
      </c>
      <c r="L40" s="26">
        <f>K40*J40</f>
        <v>-0.6</v>
      </c>
      <c r="M40" s="27"/>
      <c r="N40" s="30">
        <f>L40-H40</f>
        <v>-0.6</v>
      </c>
      <c r="O40" s="31" t="str">
        <f>IF((H40)=0,"",(N40/H40))</f>
        <v/>
      </c>
    </row>
    <row r="41" spans="2:15" x14ac:dyDescent="0.2">
      <c r="B41" s="46"/>
      <c r="C41" s="21"/>
      <c r="D41" s="22"/>
      <c r="E41" s="23"/>
      <c r="F41" s="24"/>
      <c r="G41" s="25">
        <f t="shared" ref="G41:G43" si="7">$F$18</f>
        <v>1000</v>
      </c>
      <c r="H41" s="26">
        <f t="shared" ref="H41:H45" si="8">G41*F41</f>
        <v>0</v>
      </c>
      <c r="I41" s="47"/>
      <c r="J41" s="28"/>
      <c r="K41" s="25">
        <f t="shared" ref="K41:K43" si="9">$F$18</f>
        <v>1000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1000</v>
      </c>
      <c r="H42" s="26">
        <f t="shared" si="8"/>
        <v>0</v>
      </c>
      <c r="I42" s="47"/>
      <c r="J42" s="28"/>
      <c r="K42" s="25">
        <f t="shared" si="9"/>
        <v>1000</v>
      </c>
      <c r="L42" s="26">
        <f t="shared" si="10"/>
        <v>0</v>
      </c>
      <c r="M42" s="48"/>
      <c r="N42" s="30">
        <f t="shared" si="11"/>
        <v>0</v>
      </c>
      <c r="O42" s="31" t="str">
        <f t="shared" si="12"/>
        <v/>
      </c>
    </row>
    <row r="43" spans="2:15" x14ac:dyDescent="0.2">
      <c r="B43" s="46"/>
      <c r="C43" s="21"/>
      <c r="D43" s="22"/>
      <c r="E43" s="23"/>
      <c r="F43" s="24"/>
      <c r="G43" s="25">
        <f t="shared" si="7"/>
        <v>1000</v>
      </c>
      <c r="H43" s="26">
        <f t="shared" si="8"/>
        <v>0</v>
      </c>
      <c r="I43" s="47"/>
      <c r="J43" s="28"/>
      <c r="K43" s="25">
        <f t="shared" si="9"/>
        <v>1000</v>
      </c>
      <c r="L43" s="26">
        <f t="shared" si="10"/>
        <v>0</v>
      </c>
      <c r="M43" s="48"/>
      <c r="N43" s="30">
        <f t="shared" si="11"/>
        <v>0</v>
      </c>
      <c r="O43" s="31" t="str">
        <f t="shared" si="12"/>
        <v/>
      </c>
    </row>
    <row r="44" spans="2:15" x14ac:dyDescent="0.2">
      <c r="B44" s="49" t="s">
        <v>27</v>
      </c>
      <c r="C44" s="21"/>
      <c r="D44" s="22" t="s">
        <v>22</v>
      </c>
      <c r="E44" s="23"/>
      <c r="F44" s="50">
        <v>6.0000000000000002E-5</v>
      </c>
      <c r="G44" s="51">
        <f>$F$18*(1+F74)</f>
        <v>1035.8</v>
      </c>
      <c r="H44" s="26">
        <f>G44*F44</f>
        <v>6.2148000000000002E-2</v>
      </c>
      <c r="I44" s="27"/>
      <c r="J44" s="52">
        <v>6.9999999999999994E-5</v>
      </c>
      <c r="K44" s="51">
        <f>$F$18*(1+J74)</f>
        <v>1033.8</v>
      </c>
      <c r="L44" s="26">
        <f>K44*J44</f>
        <v>7.2365999999999986E-2</v>
      </c>
      <c r="M44" s="27"/>
      <c r="N44" s="30">
        <f>L44-H44</f>
        <v>1.0217999999999984E-2</v>
      </c>
      <c r="O44" s="31">
        <f>IF((H44)=0,"",(N44/H44))</f>
        <v>0.16441397953272807</v>
      </c>
    </row>
    <row r="45" spans="2:15" x14ac:dyDescent="0.2">
      <c r="B45" s="49" t="s">
        <v>28</v>
      </c>
      <c r="C45" s="21"/>
      <c r="D45" s="22"/>
      <c r="E45" s="23"/>
      <c r="F45" s="53">
        <f>IF(ISBLANK(D16)=TRUE, 0, IF(D16="TOU", 0.64*$F$55+0.18*$F$56+0.18*$F$57, IF(AND(D16="non-TOU", G59&gt;0), F59,F58)))</f>
        <v>0.10214000000000001</v>
      </c>
      <c r="G45" s="54">
        <f>$F$18*(1+$F$74)-$F$18</f>
        <v>35.799999999999955</v>
      </c>
      <c r="H45" s="26">
        <f t="shared" si="8"/>
        <v>3.6566119999999955</v>
      </c>
      <c r="I45" s="27"/>
      <c r="J45" s="55">
        <f>0.64*$J$55+0.18*$J$56+0.18*$J$57</f>
        <v>0.10214000000000001</v>
      </c>
      <c r="K45" s="54">
        <f>$F$18*(1+$J$74)-$F$18</f>
        <v>33.799999999999955</v>
      </c>
      <c r="L45" s="26">
        <f t="shared" si="10"/>
        <v>3.4523319999999957</v>
      </c>
      <c r="M45" s="27"/>
      <c r="N45" s="30">
        <f t="shared" si="11"/>
        <v>-0.2042799999999998</v>
      </c>
      <c r="O45" s="31">
        <f t="shared" si="12"/>
        <v>-5.5865921787709508E-2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37.578759999999996</v>
      </c>
      <c r="I47" s="40"/>
      <c r="J47" s="59"/>
      <c r="K47" s="61"/>
      <c r="L47" s="60">
        <f>SUM(L40:L46)+L39</f>
        <v>38.084698000000003</v>
      </c>
      <c r="M47" s="40"/>
      <c r="N47" s="43">
        <f t="shared" ref="N47:N65" si="13">L47-H47</f>
        <v>0.50593800000000755</v>
      </c>
      <c r="O47" s="44">
        <f t="shared" si="12"/>
        <v>1.3463403262907228E-2</v>
      </c>
    </row>
    <row r="48" spans="2:15" x14ac:dyDescent="0.2">
      <c r="B48" s="27" t="s">
        <v>31</v>
      </c>
      <c r="C48" s="27"/>
      <c r="D48" s="62" t="s">
        <v>22</v>
      </c>
      <c r="E48" s="63"/>
      <c r="F48" s="28">
        <v>7.7000000000000002E-3</v>
      </c>
      <c r="G48" s="64">
        <f>F18*(1+F74)</f>
        <v>1035.8</v>
      </c>
      <c r="H48" s="26">
        <f>G48*F48</f>
        <v>7.9756599999999995</v>
      </c>
      <c r="I48" s="27"/>
      <c r="J48" s="28">
        <v>7.7000000000000002E-3</v>
      </c>
      <c r="K48" s="65">
        <f>F18*(1+J74)</f>
        <v>1033.8</v>
      </c>
      <c r="L48" s="26">
        <f>K48*J48</f>
        <v>7.9602599999999999</v>
      </c>
      <c r="M48" s="27"/>
      <c r="N48" s="30">
        <f t="shared" si="13"/>
        <v>-1.5399999999999636E-2</v>
      </c>
      <c r="O48" s="31">
        <f t="shared" si="12"/>
        <v>-1.9308746862328179E-3</v>
      </c>
    </row>
    <row r="49" spans="2:15" ht="25.5" x14ac:dyDescent="0.2">
      <c r="B49" s="66" t="s">
        <v>32</v>
      </c>
      <c r="C49" s="27"/>
      <c r="D49" s="62" t="s">
        <v>22</v>
      </c>
      <c r="E49" s="63"/>
      <c r="F49" s="28">
        <v>4.1999999999999997E-3</v>
      </c>
      <c r="G49" s="64">
        <f>G48</f>
        <v>1035.8</v>
      </c>
      <c r="H49" s="26">
        <f>G49*F49</f>
        <v>4.3503599999999993</v>
      </c>
      <c r="I49" s="27"/>
      <c r="J49" s="28">
        <v>4.1999999999999997E-3</v>
      </c>
      <c r="K49" s="65">
        <f>K48</f>
        <v>1033.8</v>
      </c>
      <c r="L49" s="26">
        <f>K49*J49</f>
        <v>4.3419599999999994</v>
      </c>
      <c r="M49" s="27"/>
      <c r="N49" s="30">
        <f t="shared" si="13"/>
        <v>-8.3999999999999631E-3</v>
      </c>
      <c r="O49" s="31">
        <f t="shared" si="12"/>
        <v>-1.9308746862328552E-3</v>
      </c>
    </row>
    <row r="50" spans="2:15" ht="25.5" x14ac:dyDescent="0.2">
      <c r="B50" s="56" t="s">
        <v>33</v>
      </c>
      <c r="C50" s="35"/>
      <c r="D50" s="35"/>
      <c r="E50" s="35"/>
      <c r="F50" s="67"/>
      <c r="G50" s="59"/>
      <c r="H50" s="60">
        <f>SUM(H47:H49)</f>
        <v>49.904779999999995</v>
      </c>
      <c r="I50" s="68"/>
      <c r="J50" s="69"/>
      <c r="K50" s="70"/>
      <c r="L50" s="60">
        <f>SUM(L47:L49)</f>
        <v>50.386918000000001</v>
      </c>
      <c r="M50" s="68"/>
      <c r="N50" s="43">
        <f t="shared" si="13"/>
        <v>0.48213800000000617</v>
      </c>
      <c r="O50" s="44">
        <f t="shared" si="12"/>
        <v>9.6611587106486835E-3</v>
      </c>
    </row>
    <row r="51" spans="2:15" ht="25.5" x14ac:dyDescent="0.2">
      <c r="B51" s="71" t="s">
        <v>34</v>
      </c>
      <c r="C51" s="21"/>
      <c r="D51" s="22" t="s">
        <v>22</v>
      </c>
      <c r="E51" s="23"/>
      <c r="F51" s="72">
        <v>4.4000000000000003E-3</v>
      </c>
      <c r="G51" s="64">
        <f>G49</f>
        <v>1035.8</v>
      </c>
      <c r="H51" s="73">
        <f t="shared" ref="H51:H57" si="14">G51*F51</f>
        <v>4.5575200000000002</v>
      </c>
      <c r="I51" s="27"/>
      <c r="J51" s="72">
        <v>4.4000000000000003E-3</v>
      </c>
      <c r="K51" s="65">
        <f>K49</f>
        <v>1033.8</v>
      </c>
      <c r="L51" s="73">
        <f t="shared" ref="L51:L57" si="15">K51*J51</f>
        <v>4.5487200000000003</v>
      </c>
      <c r="M51" s="27"/>
      <c r="N51" s="30">
        <f t="shared" si="13"/>
        <v>-8.799999999999919E-3</v>
      </c>
      <c r="O51" s="74">
        <f t="shared" si="12"/>
        <v>-1.9308746862328457E-3</v>
      </c>
    </row>
    <row r="52" spans="2:15" ht="25.5" x14ac:dyDescent="0.2">
      <c r="B52" s="71" t="s">
        <v>35</v>
      </c>
      <c r="C52" s="21"/>
      <c r="D52" s="22" t="s">
        <v>22</v>
      </c>
      <c r="E52" s="23"/>
      <c r="F52" s="72">
        <v>1.2999999999999999E-3</v>
      </c>
      <c r="G52" s="64">
        <f>G49</f>
        <v>1035.8</v>
      </c>
      <c r="H52" s="73">
        <f t="shared" si="14"/>
        <v>1.3465399999999998</v>
      </c>
      <c r="I52" s="27"/>
      <c r="J52" s="72">
        <v>1.2999999999999999E-3</v>
      </c>
      <c r="K52" s="65">
        <f>K49</f>
        <v>1033.8</v>
      </c>
      <c r="L52" s="73">
        <f t="shared" si="15"/>
        <v>1.3439399999999999</v>
      </c>
      <c r="M52" s="27"/>
      <c r="N52" s="30">
        <f t="shared" si="13"/>
        <v>-2.5999999999999357E-3</v>
      </c>
      <c r="O52" s="74">
        <f t="shared" si="12"/>
        <v>-1.930874686232816E-3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1000</v>
      </c>
      <c r="H54" s="73">
        <f t="shared" si="14"/>
        <v>6.94</v>
      </c>
      <c r="I54" s="27"/>
      <c r="J54" s="72">
        <f>+F54</f>
        <v>6.94E-3</v>
      </c>
      <c r="K54" s="76">
        <f>$F$18</f>
        <v>1000</v>
      </c>
      <c r="L54" s="73">
        <f t="shared" si="15"/>
        <v>6.94</v>
      </c>
      <c r="M54" s="27"/>
      <c r="N54" s="30">
        <f t="shared" si="13"/>
        <v>0</v>
      </c>
      <c r="O54" s="74">
        <f t="shared" si="12"/>
        <v>0</v>
      </c>
    </row>
    <row r="55" spans="2:15" x14ac:dyDescent="0.2">
      <c r="B55" s="49" t="s">
        <v>38</v>
      </c>
      <c r="C55" s="21"/>
      <c r="D55" s="22"/>
      <c r="E55" s="23"/>
      <c r="F55" s="72">
        <v>0.08</v>
      </c>
      <c r="G55" s="77">
        <f>0.64*$F$18</f>
        <v>640</v>
      </c>
      <c r="H55" s="73">
        <f t="shared" si="14"/>
        <v>51.2</v>
      </c>
      <c r="I55" s="27"/>
      <c r="J55" s="72">
        <v>0.08</v>
      </c>
      <c r="K55" s="77">
        <f>$G$55</f>
        <v>640</v>
      </c>
      <c r="L55" s="73">
        <f t="shared" si="15"/>
        <v>51.2</v>
      </c>
      <c r="M55" s="27"/>
      <c r="N55" s="30">
        <f t="shared" si="13"/>
        <v>0</v>
      </c>
      <c r="O55" s="74">
        <f t="shared" si="12"/>
        <v>0</v>
      </c>
    </row>
    <row r="56" spans="2:15" x14ac:dyDescent="0.2">
      <c r="B56" s="49" t="s">
        <v>39</v>
      </c>
      <c r="C56" s="21"/>
      <c r="D56" s="22"/>
      <c r="E56" s="23"/>
      <c r="F56" s="72">
        <v>0.122</v>
      </c>
      <c r="G56" s="77">
        <f>0.18*$F$18</f>
        <v>180</v>
      </c>
      <c r="H56" s="73">
        <f t="shared" si="14"/>
        <v>21.96</v>
      </c>
      <c r="I56" s="27"/>
      <c r="J56" s="72">
        <v>0.122</v>
      </c>
      <c r="K56" s="77">
        <f>$G$56</f>
        <v>180</v>
      </c>
      <c r="L56" s="73">
        <f t="shared" si="15"/>
        <v>21.96</v>
      </c>
      <c r="M56" s="27"/>
      <c r="N56" s="30">
        <f t="shared" si="13"/>
        <v>0</v>
      </c>
      <c r="O56" s="74">
        <f t="shared" si="12"/>
        <v>0</v>
      </c>
    </row>
    <row r="57" spans="2:15" x14ac:dyDescent="0.2">
      <c r="B57" s="11" t="s">
        <v>40</v>
      </c>
      <c r="C57" s="21"/>
      <c r="D57" s="22"/>
      <c r="E57" s="23"/>
      <c r="F57" s="72">
        <v>0.161</v>
      </c>
      <c r="G57" s="77">
        <f>0.18*$F$18</f>
        <v>180</v>
      </c>
      <c r="H57" s="73">
        <f t="shared" si="14"/>
        <v>28.98</v>
      </c>
      <c r="I57" s="27"/>
      <c r="J57" s="72">
        <v>0.161</v>
      </c>
      <c r="K57" s="77">
        <f>$G$57</f>
        <v>180</v>
      </c>
      <c r="L57" s="73">
        <f t="shared" si="15"/>
        <v>28.98</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600</v>
      </c>
      <c r="H58" s="73">
        <f>G58*F58</f>
        <v>56.4</v>
      </c>
      <c r="I58" s="83"/>
      <c r="J58" s="72">
        <v>9.4E-2</v>
      </c>
      <c r="K58" s="82">
        <f>$G$58</f>
        <v>600</v>
      </c>
      <c r="L58" s="73">
        <f>K58*J58</f>
        <v>56.4</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400</v>
      </c>
      <c r="H59" s="73">
        <f>G59*F59</f>
        <v>44</v>
      </c>
      <c r="I59" s="83"/>
      <c r="J59" s="72">
        <v>0.11</v>
      </c>
      <c r="K59" s="82">
        <f>$G$59</f>
        <v>400</v>
      </c>
      <c r="L59" s="73">
        <f>K59*J59</f>
        <v>44</v>
      </c>
      <c r="M59" s="83"/>
      <c r="N59" s="84">
        <f t="shared" si="13"/>
        <v>0</v>
      </c>
      <c r="O59" s="74">
        <f t="shared" si="12"/>
        <v>0</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165.13884000000002</v>
      </c>
      <c r="I61" s="100"/>
      <c r="J61" s="101"/>
      <c r="K61" s="101"/>
      <c r="L61" s="99">
        <f>SUM(L51:L57,L50)</f>
        <v>165.609578</v>
      </c>
      <c r="M61" s="102"/>
      <c r="N61" s="103">
        <f t="shared" ref="N61" si="16">L61-H61</f>
        <v>0.470737999999983</v>
      </c>
      <c r="O61" s="104">
        <f t="shared" ref="O61" si="17">IF((H61)=0,"",(N61/H61))</f>
        <v>2.8505589599635249E-3</v>
      </c>
    </row>
    <row r="62" spans="2:15" x14ac:dyDescent="0.2">
      <c r="B62" s="105" t="s">
        <v>44</v>
      </c>
      <c r="C62" s="21"/>
      <c r="D62" s="21"/>
      <c r="E62" s="21"/>
      <c r="F62" s="106">
        <v>0.13</v>
      </c>
      <c r="G62" s="107"/>
      <c r="H62" s="108">
        <f>H61*F62</f>
        <v>21.468049200000003</v>
      </c>
      <c r="I62" s="109"/>
      <c r="J62" s="110">
        <v>0.13</v>
      </c>
      <c r="K62" s="109"/>
      <c r="L62" s="111">
        <f>L61*J62</f>
        <v>21.52924514</v>
      </c>
      <c r="M62" s="112"/>
      <c r="N62" s="113">
        <f t="shared" si="13"/>
        <v>6.1195939999997506E-2</v>
      </c>
      <c r="O62" s="114">
        <f t="shared" si="12"/>
        <v>2.8505589599635115E-3</v>
      </c>
    </row>
    <row r="63" spans="2:15" x14ac:dyDescent="0.2">
      <c r="B63" s="115" t="s">
        <v>45</v>
      </c>
      <c r="C63" s="21"/>
      <c r="D63" s="21"/>
      <c r="E63" s="21"/>
      <c r="F63" s="116"/>
      <c r="G63" s="107"/>
      <c r="H63" s="108">
        <f>H61+H62</f>
        <v>186.60688920000001</v>
      </c>
      <c r="I63" s="109"/>
      <c r="J63" s="109"/>
      <c r="K63" s="109"/>
      <c r="L63" s="111">
        <f>L61+L62</f>
        <v>187.13882314</v>
      </c>
      <c r="M63" s="112"/>
      <c r="N63" s="113">
        <f t="shared" si="13"/>
        <v>0.53193393999998762</v>
      </c>
      <c r="O63" s="114">
        <f t="shared" si="12"/>
        <v>2.8505589599635618E-3</v>
      </c>
    </row>
    <row r="64" spans="2:15" ht="15.75" customHeight="1" x14ac:dyDescent="0.2">
      <c r="B64" s="186" t="s">
        <v>46</v>
      </c>
      <c r="C64" s="186"/>
      <c r="D64" s="186"/>
      <c r="E64" s="21"/>
      <c r="F64" s="116"/>
      <c r="G64" s="107"/>
      <c r="H64" s="117">
        <f>ROUND(-H63*10%,2)</f>
        <v>-18.66</v>
      </c>
      <c r="I64" s="109"/>
      <c r="J64" s="109"/>
      <c r="K64" s="109"/>
      <c r="L64" s="118">
        <f>ROUND(-L63*10%,2)</f>
        <v>-18.71</v>
      </c>
      <c r="M64" s="112"/>
      <c r="N64" s="118">
        <f t="shared" si="13"/>
        <v>-5.0000000000000711E-2</v>
      </c>
      <c r="O64" s="119">
        <f t="shared" si="12"/>
        <v>2.6795284030011099E-3</v>
      </c>
    </row>
    <row r="65" spans="1:15" ht="13.5" thickBot="1" x14ac:dyDescent="0.25">
      <c r="B65" s="187" t="s">
        <v>47</v>
      </c>
      <c r="C65" s="187"/>
      <c r="D65" s="187"/>
      <c r="E65" s="120"/>
      <c r="F65" s="121"/>
      <c r="G65" s="122"/>
      <c r="H65" s="123">
        <f>H63+H64</f>
        <v>167.94688920000002</v>
      </c>
      <c r="I65" s="124"/>
      <c r="J65" s="124"/>
      <c r="K65" s="124"/>
      <c r="L65" s="125">
        <f>L63+L64</f>
        <v>168.42882313999999</v>
      </c>
      <c r="M65" s="126"/>
      <c r="N65" s="127">
        <f t="shared" si="13"/>
        <v>0.48193393999997625</v>
      </c>
      <c r="O65" s="128">
        <f t="shared" si="12"/>
        <v>2.8695615756601711E-3</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163.39884000000001</v>
      </c>
      <c r="I67" s="140"/>
      <c r="J67" s="141"/>
      <c r="K67" s="141"/>
      <c r="L67" s="139">
        <f>SUM(L58:L59,L50,L51:L54)</f>
        <v>163.86957800000002</v>
      </c>
      <c r="M67" s="142"/>
      <c r="N67" s="143">
        <f t="shared" ref="N67:N71" si="18">L67-H67</f>
        <v>0.47073800000001143</v>
      </c>
      <c r="O67" s="104">
        <f t="shared" ref="O67:O71" si="19">IF((H67)=0,"",(N67/H67))</f>
        <v>2.8809139648727704E-3</v>
      </c>
    </row>
    <row r="68" spans="1:15" s="85" customFormat="1" x14ac:dyDescent="0.2">
      <c r="B68" s="144" t="s">
        <v>44</v>
      </c>
      <c r="C68" s="79"/>
      <c r="D68" s="79"/>
      <c r="E68" s="79"/>
      <c r="F68" s="145">
        <v>0.13</v>
      </c>
      <c r="G68" s="138"/>
      <c r="H68" s="146">
        <f>H67*F68</f>
        <v>21.241849200000001</v>
      </c>
      <c r="I68" s="147"/>
      <c r="J68" s="148">
        <v>0.13</v>
      </c>
      <c r="K68" s="149"/>
      <c r="L68" s="150">
        <f>L67*J68</f>
        <v>21.303045140000002</v>
      </c>
      <c r="M68" s="151"/>
      <c r="N68" s="152">
        <f t="shared" si="18"/>
        <v>6.1195940000001059E-2</v>
      </c>
      <c r="O68" s="114">
        <f t="shared" si="19"/>
        <v>2.88091396487275E-3</v>
      </c>
    </row>
    <row r="69" spans="1:15" s="85" customFormat="1" x14ac:dyDescent="0.2">
      <c r="B69" s="153" t="s">
        <v>45</v>
      </c>
      <c r="C69" s="79"/>
      <c r="D69" s="79"/>
      <c r="E69" s="79"/>
      <c r="F69" s="154"/>
      <c r="G69" s="155"/>
      <c r="H69" s="146">
        <f>H67+H68</f>
        <v>184.6406892</v>
      </c>
      <c r="I69" s="147"/>
      <c r="J69" s="147"/>
      <c r="K69" s="147"/>
      <c r="L69" s="150">
        <f>L67+L68</f>
        <v>185.17262314000001</v>
      </c>
      <c r="M69" s="151"/>
      <c r="N69" s="152">
        <f t="shared" si="18"/>
        <v>0.53193394000001604</v>
      </c>
      <c r="O69" s="114">
        <f t="shared" si="19"/>
        <v>2.8809139648727873E-3</v>
      </c>
    </row>
    <row r="70" spans="1:15" s="85" customFormat="1" ht="15.75" customHeight="1" x14ac:dyDescent="0.2">
      <c r="B70" s="188" t="s">
        <v>46</v>
      </c>
      <c r="C70" s="188"/>
      <c r="D70" s="188"/>
      <c r="E70" s="79"/>
      <c r="F70" s="154"/>
      <c r="G70" s="155"/>
      <c r="H70" s="156">
        <f>ROUND(-H69*10%,2)</f>
        <v>-18.46</v>
      </c>
      <c r="I70" s="147"/>
      <c r="J70" s="147"/>
      <c r="K70" s="147"/>
      <c r="L70" s="118">
        <f>ROUND(-L69*10%,2)</f>
        <v>-18.52</v>
      </c>
      <c r="M70" s="151"/>
      <c r="N70" s="157">
        <f t="shared" si="18"/>
        <v>-5.9999999999998721E-2</v>
      </c>
      <c r="O70" s="119">
        <f t="shared" si="19"/>
        <v>3.2502708559045894E-3</v>
      </c>
    </row>
    <row r="71" spans="1:15" s="85" customFormat="1" ht="13.5" thickBot="1" x14ac:dyDescent="0.25">
      <c r="B71" s="185" t="s">
        <v>49</v>
      </c>
      <c r="C71" s="185"/>
      <c r="D71" s="185"/>
      <c r="E71" s="158"/>
      <c r="F71" s="159"/>
      <c r="G71" s="160"/>
      <c r="H71" s="161">
        <f>SUM(H69:H70)</f>
        <v>166.18068919999999</v>
      </c>
      <c r="I71" s="162"/>
      <c r="J71" s="162"/>
      <c r="K71" s="162"/>
      <c r="L71" s="163">
        <f>SUM(L69:L70)</f>
        <v>166.65262314</v>
      </c>
      <c r="M71" s="164"/>
      <c r="N71" s="165">
        <f t="shared" si="18"/>
        <v>0.47193394000001376</v>
      </c>
      <c r="O71" s="166">
        <f t="shared" si="19"/>
        <v>2.8398843588380894E-3</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361950</xdr:colOff>
                    <xdr:row>16</xdr:row>
                    <xdr:rowOff>114300</xdr:rowOff>
                  </from>
                  <to>
                    <xdr:col>15</xdr:col>
                    <xdr:colOff>381000</xdr:colOff>
                    <xdr:row>18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P92"/>
  <sheetViews>
    <sheetView showGridLines="0" zoomScale="85" zoomScaleNormal="85" workbookViewId="0">
      <selection activeCell="J30" sqref="J3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6384" width="9.140625" style="6"/>
  </cols>
  <sheetData>
    <row r="1" spans="1:16" s="2" customFormat="1" ht="15" customHeight="1" x14ac:dyDescent="0.2">
      <c r="A1" s="1"/>
      <c r="B1" s="1"/>
      <c r="C1" s="1"/>
      <c r="D1" s="1"/>
      <c r="E1" s="1"/>
      <c r="F1" s="1"/>
      <c r="G1" s="1"/>
      <c r="H1" s="1"/>
      <c r="I1" s="1"/>
      <c r="J1" s="1"/>
      <c r="K1" s="1"/>
      <c r="N1" s="178"/>
      <c r="O1" s="2">
        <v>1</v>
      </c>
      <c r="P1"/>
    </row>
    <row r="2" spans="1:16" s="2" customFormat="1" ht="15" customHeight="1" x14ac:dyDescent="0.25">
      <c r="A2" s="3"/>
      <c r="B2" s="3"/>
      <c r="C2" s="3"/>
      <c r="D2" s="3"/>
      <c r="E2" s="3"/>
      <c r="F2" s="3"/>
      <c r="G2" s="3"/>
      <c r="H2" s="3"/>
      <c r="I2" s="3"/>
      <c r="J2" s="3"/>
      <c r="K2" s="3"/>
      <c r="N2" s="178"/>
      <c r="O2" s="180"/>
      <c r="P2"/>
    </row>
    <row r="3" spans="1:16" s="2" customFormat="1" ht="15" customHeight="1" x14ac:dyDescent="0.25">
      <c r="A3" s="195"/>
      <c r="B3" s="195"/>
      <c r="C3" s="195"/>
      <c r="D3" s="195"/>
      <c r="E3" s="195"/>
      <c r="F3" s="195"/>
      <c r="G3" s="195"/>
      <c r="H3" s="195"/>
      <c r="I3" s="195"/>
      <c r="J3" s="195"/>
      <c r="K3" s="195"/>
      <c r="N3" s="178"/>
      <c r="O3" s="180"/>
      <c r="P3"/>
    </row>
    <row r="4" spans="1:16" s="2" customFormat="1" ht="15" customHeight="1" x14ac:dyDescent="0.25">
      <c r="A4" s="3"/>
      <c r="B4" s="3"/>
      <c r="C4" s="3"/>
      <c r="D4" s="3"/>
      <c r="E4" s="3"/>
      <c r="F4" s="3"/>
      <c r="G4" s="3"/>
      <c r="H4" s="3"/>
      <c r="I4" s="4"/>
      <c r="J4" s="4"/>
      <c r="K4" s="4"/>
      <c r="N4" s="178"/>
      <c r="O4" s="180"/>
      <c r="P4"/>
    </row>
    <row r="5" spans="1:16" s="2" customFormat="1" ht="15" customHeight="1" x14ac:dyDescent="0.25">
      <c r="C5" s="5"/>
      <c r="D5" s="5"/>
      <c r="E5" s="5"/>
      <c r="N5" s="178"/>
      <c r="O5" s="179"/>
      <c r="P5"/>
    </row>
    <row r="6" spans="1:16" s="2" customFormat="1" ht="9" customHeight="1" x14ac:dyDescent="0.2">
      <c r="N6" s="178"/>
      <c r="O6" s="179"/>
      <c r="P6"/>
    </row>
    <row r="7" spans="1:16" s="2" customFormat="1" x14ac:dyDescent="0.2">
      <c r="N7" s="178"/>
      <c r="O7" s="179"/>
      <c r="P7"/>
    </row>
    <row r="8" spans="1:16" s="2" customFormat="1" ht="15" customHeight="1" x14ac:dyDescent="0.2">
      <c r="N8" s="45"/>
      <c r="O8" s="182"/>
      <c r="P8"/>
    </row>
    <row r="9" spans="1:16" ht="7.5" customHeight="1" x14ac:dyDescent="0.2">
      <c r="L9"/>
      <c r="M9"/>
      <c r="N9"/>
      <c r="O9"/>
      <c r="P9"/>
    </row>
    <row r="10" spans="1:16" ht="18.75" customHeight="1" x14ac:dyDescent="0.25">
      <c r="C10" s="181"/>
      <c r="D10" s="181"/>
      <c r="E10" s="181"/>
      <c r="F10" s="181" t="s">
        <v>0</v>
      </c>
      <c r="G10" s="181"/>
      <c r="H10" s="181"/>
      <c r="I10" s="181"/>
      <c r="J10" s="181"/>
      <c r="K10" s="181"/>
      <c r="L10" s="181"/>
      <c r="M10" s="181"/>
      <c r="N10" s="181"/>
      <c r="O10" s="181"/>
      <c r="P10"/>
    </row>
    <row r="11" spans="1:16" ht="18.75" customHeight="1" x14ac:dyDescent="0.25">
      <c r="C11" s="181"/>
      <c r="D11" s="181"/>
      <c r="E11" s="181"/>
      <c r="F11" s="181" t="s">
        <v>1</v>
      </c>
      <c r="G11" s="181"/>
      <c r="H11" s="181"/>
      <c r="I11" s="181"/>
      <c r="J11" s="181"/>
      <c r="K11" s="181"/>
      <c r="L11" s="181"/>
      <c r="M11" s="181"/>
      <c r="N11" s="181"/>
      <c r="O11" s="181"/>
      <c r="P11"/>
    </row>
    <row r="12" spans="1:16" ht="7.5" customHeight="1" x14ac:dyDescent="0.2">
      <c r="L12"/>
      <c r="M12"/>
      <c r="N12"/>
      <c r="O12"/>
      <c r="P12"/>
    </row>
    <row r="13" spans="1:16" ht="7.5" customHeight="1" x14ac:dyDescent="0.2">
      <c r="L13"/>
      <c r="M13"/>
      <c r="N13"/>
      <c r="O13"/>
      <c r="P13"/>
    </row>
    <row r="14" spans="1:16" ht="15.75" x14ac:dyDescent="0.2">
      <c r="B14" s="7" t="s">
        <v>2</v>
      </c>
      <c r="D14" s="196" t="s">
        <v>3</v>
      </c>
      <c r="E14" s="196"/>
      <c r="F14" s="196"/>
      <c r="G14" s="196"/>
      <c r="H14" s="196"/>
      <c r="I14" s="196"/>
      <c r="J14" s="196"/>
      <c r="K14" s="196"/>
      <c r="L14" s="196"/>
      <c r="M14" s="196"/>
      <c r="N14" s="196"/>
      <c r="O14" s="196"/>
      <c r="P14" s="184"/>
    </row>
    <row r="15" spans="1:16" ht="7.5" customHeight="1" x14ac:dyDescent="0.25">
      <c r="B15" s="8"/>
      <c r="D15" s="9"/>
      <c r="E15" s="9"/>
      <c r="F15" s="9"/>
      <c r="G15" s="9"/>
      <c r="H15" s="9"/>
      <c r="I15" s="9"/>
      <c r="J15" s="9"/>
      <c r="K15" s="9"/>
      <c r="L15" s="9"/>
      <c r="M15" s="9"/>
      <c r="N15" s="9"/>
      <c r="O15" s="9"/>
    </row>
    <row r="16" spans="1:16"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1500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1500</v>
      </c>
      <c r="H29" s="26">
        <f t="shared" si="0"/>
        <v>35.1</v>
      </c>
      <c r="I29" s="27"/>
      <c r="J29" s="28">
        <f>+'Res (100)'!J29</f>
        <v>2.07E-2</v>
      </c>
      <c r="K29" s="25">
        <f>$F$18</f>
        <v>1500</v>
      </c>
      <c r="L29" s="26">
        <f t="shared" si="1"/>
        <v>31.05</v>
      </c>
      <c r="M29" s="27"/>
      <c r="N29" s="30">
        <f t="shared" si="2"/>
        <v>-4.0500000000000007</v>
      </c>
      <c r="O29" s="31">
        <f t="shared" si="3"/>
        <v>-0.1153846153846154</v>
      </c>
    </row>
    <row r="30" spans="2:15" x14ac:dyDescent="0.2">
      <c r="B30" s="21" t="s">
        <v>23</v>
      </c>
      <c r="C30" s="21"/>
      <c r="D30" s="22"/>
      <c r="E30" s="23"/>
      <c r="F30" s="24"/>
      <c r="G30" s="25">
        <f t="shared" ref="G30" si="4">$F$18</f>
        <v>1500</v>
      </c>
      <c r="H30" s="26">
        <f t="shared" si="0"/>
        <v>0</v>
      </c>
      <c r="I30" s="27"/>
      <c r="J30" s="28"/>
      <c r="K30" s="25">
        <f t="shared" ref="K30:K38" si="5">$F$18</f>
        <v>1500</v>
      </c>
      <c r="L30" s="26">
        <f t="shared" si="1"/>
        <v>0</v>
      </c>
      <c r="M30" s="27"/>
      <c r="N30" s="30">
        <f t="shared" si="2"/>
        <v>0</v>
      </c>
      <c r="O30" s="31" t="str">
        <f t="shared" si="3"/>
        <v/>
      </c>
    </row>
    <row r="31" spans="2:15" x14ac:dyDescent="0.2">
      <c r="B31" s="21" t="s">
        <v>24</v>
      </c>
      <c r="C31" s="21"/>
      <c r="D31" s="22" t="s">
        <v>22</v>
      </c>
      <c r="E31" s="23"/>
      <c r="F31" s="24">
        <v>0</v>
      </c>
      <c r="G31" s="25">
        <f>$F$18</f>
        <v>1500</v>
      </c>
      <c r="H31" s="26">
        <f t="shared" si="0"/>
        <v>0</v>
      </c>
      <c r="I31" s="27"/>
      <c r="J31" s="28">
        <v>-2.9999999999999997E-4</v>
      </c>
      <c r="K31" s="25">
        <f t="shared" si="5"/>
        <v>1500</v>
      </c>
      <c r="L31" s="26">
        <f t="shared" si="1"/>
        <v>-0.44999999999999996</v>
      </c>
      <c r="M31" s="27"/>
      <c r="N31" s="30">
        <f t="shared" si="2"/>
        <v>-0.44999999999999996</v>
      </c>
      <c r="O31" s="31" t="str">
        <f t="shared" si="3"/>
        <v/>
      </c>
    </row>
    <row r="32" spans="2:15" x14ac:dyDescent="0.2">
      <c r="B32" s="33"/>
      <c r="C32" s="21"/>
      <c r="D32" s="22"/>
      <c r="E32" s="23"/>
      <c r="F32" s="24"/>
      <c r="G32" s="25">
        <f t="shared" ref="G32:G38" si="6">$F$18</f>
        <v>1500</v>
      </c>
      <c r="H32" s="26">
        <f t="shared" si="0"/>
        <v>0</v>
      </c>
      <c r="I32" s="27"/>
      <c r="J32" s="28"/>
      <c r="K32" s="25">
        <f t="shared" si="5"/>
        <v>1500</v>
      </c>
      <c r="L32" s="26">
        <f t="shared" si="1"/>
        <v>0</v>
      </c>
      <c r="M32" s="27"/>
      <c r="N32" s="30">
        <f t="shared" si="2"/>
        <v>0</v>
      </c>
      <c r="O32" s="31" t="str">
        <f t="shared" si="3"/>
        <v/>
      </c>
    </row>
    <row r="33" spans="2:15" x14ac:dyDescent="0.2">
      <c r="B33" s="33"/>
      <c r="C33" s="21"/>
      <c r="D33" s="22"/>
      <c r="E33" s="23"/>
      <c r="F33" s="24"/>
      <c r="G33" s="25">
        <f t="shared" si="6"/>
        <v>1500</v>
      </c>
      <c r="H33" s="26">
        <f t="shared" si="0"/>
        <v>0</v>
      </c>
      <c r="I33" s="27"/>
      <c r="J33" s="28"/>
      <c r="K33" s="25">
        <f t="shared" si="5"/>
        <v>1500</v>
      </c>
      <c r="L33" s="26">
        <f t="shared" si="1"/>
        <v>0</v>
      </c>
      <c r="M33" s="27"/>
      <c r="N33" s="30">
        <f t="shared" si="2"/>
        <v>0</v>
      </c>
      <c r="O33" s="31" t="str">
        <f t="shared" si="3"/>
        <v/>
      </c>
    </row>
    <row r="34" spans="2:15" x14ac:dyDescent="0.2">
      <c r="B34" s="33"/>
      <c r="C34" s="21"/>
      <c r="D34" s="22"/>
      <c r="E34" s="23"/>
      <c r="F34" s="24"/>
      <c r="G34" s="25">
        <f t="shared" si="6"/>
        <v>1500</v>
      </c>
      <c r="H34" s="26">
        <f t="shared" si="0"/>
        <v>0</v>
      </c>
      <c r="I34" s="27"/>
      <c r="J34" s="28"/>
      <c r="K34" s="25">
        <f t="shared" si="5"/>
        <v>1500</v>
      </c>
      <c r="L34" s="26">
        <f t="shared" si="1"/>
        <v>0</v>
      </c>
      <c r="M34" s="27"/>
      <c r="N34" s="30">
        <f t="shared" si="2"/>
        <v>0</v>
      </c>
      <c r="O34" s="31" t="str">
        <f t="shared" si="3"/>
        <v/>
      </c>
    </row>
    <row r="35" spans="2:15" x14ac:dyDescent="0.2">
      <c r="B35" s="33"/>
      <c r="C35" s="21"/>
      <c r="D35" s="22"/>
      <c r="E35" s="23"/>
      <c r="F35" s="24"/>
      <c r="G35" s="25">
        <f t="shared" si="6"/>
        <v>1500</v>
      </c>
      <c r="H35" s="26">
        <f t="shared" si="0"/>
        <v>0</v>
      </c>
      <c r="I35" s="27"/>
      <c r="J35" s="28"/>
      <c r="K35" s="25">
        <f t="shared" si="5"/>
        <v>1500</v>
      </c>
      <c r="L35" s="26">
        <f t="shared" si="1"/>
        <v>0</v>
      </c>
      <c r="M35" s="27"/>
      <c r="N35" s="30">
        <f t="shared" si="2"/>
        <v>0</v>
      </c>
      <c r="O35" s="31" t="str">
        <f t="shared" si="3"/>
        <v/>
      </c>
    </row>
    <row r="36" spans="2:15" x14ac:dyDescent="0.2">
      <c r="B36" s="33"/>
      <c r="C36" s="21"/>
      <c r="D36" s="22"/>
      <c r="E36" s="23"/>
      <c r="F36" s="24"/>
      <c r="G36" s="25">
        <f t="shared" si="6"/>
        <v>1500</v>
      </c>
      <c r="H36" s="26">
        <f t="shared" si="0"/>
        <v>0</v>
      </c>
      <c r="I36" s="27"/>
      <c r="J36" s="28"/>
      <c r="K36" s="25">
        <f t="shared" si="5"/>
        <v>1500</v>
      </c>
      <c r="L36" s="26">
        <f t="shared" si="1"/>
        <v>0</v>
      </c>
      <c r="M36" s="27"/>
      <c r="N36" s="30">
        <f t="shared" si="2"/>
        <v>0</v>
      </c>
      <c r="O36" s="31" t="str">
        <f t="shared" si="3"/>
        <v/>
      </c>
    </row>
    <row r="37" spans="2:15" x14ac:dyDescent="0.2">
      <c r="B37" s="33"/>
      <c r="C37" s="21"/>
      <c r="D37" s="22"/>
      <c r="E37" s="23"/>
      <c r="F37" s="24"/>
      <c r="G37" s="25">
        <f t="shared" si="6"/>
        <v>1500</v>
      </c>
      <c r="H37" s="26">
        <f t="shared" si="0"/>
        <v>0</v>
      </c>
      <c r="I37" s="27"/>
      <c r="J37" s="28"/>
      <c r="K37" s="25">
        <f t="shared" si="5"/>
        <v>1500</v>
      </c>
      <c r="L37" s="26">
        <f t="shared" si="1"/>
        <v>0</v>
      </c>
      <c r="M37" s="27"/>
      <c r="N37" s="30">
        <f t="shared" si="2"/>
        <v>0</v>
      </c>
      <c r="O37" s="31" t="str">
        <f t="shared" si="3"/>
        <v/>
      </c>
    </row>
    <row r="38" spans="2:15" x14ac:dyDescent="0.2">
      <c r="B38" s="33"/>
      <c r="C38" s="21"/>
      <c r="D38" s="22"/>
      <c r="E38" s="23"/>
      <c r="F38" s="24"/>
      <c r="G38" s="25">
        <f t="shared" si="6"/>
        <v>1500</v>
      </c>
      <c r="H38" s="26">
        <f t="shared" si="0"/>
        <v>0</v>
      </c>
      <c r="I38" s="27"/>
      <c r="J38" s="28"/>
      <c r="K38" s="25">
        <f t="shared" si="5"/>
        <v>1500</v>
      </c>
      <c r="L38" s="26">
        <f t="shared" si="1"/>
        <v>0</v>
      </c>
      <c r="M38" s="27"/>
      <c r="N38" s="30">
        <f t="shared" si="2"/>
        <v>0</v>
      </c>
      <c r="O38" s="31" t="str">
        <f t="shared" si="3"/>
        <v/>
      </c>
    </row>
    <row r="39" spans="2:15" s="45" customFormat="1" x14ac:dyDescent="0.2">
      <c r="B39" s="34" t="s">
        <v>25</v>
      </c>
      <c r="C39" s="35"/>
      <c r="D39" s="36"/>
      <c r="E39" s="35"/>
      <c r="F39" s="37"/>
      <c r="G39" s="38"/>
      <c r="H39" s="39">
        <f>SUM(H23:H38)</f>
        <v>44.77</v>
      </c>
      <c r="I39" s="40"/>
      <c r="J39" s="41"/>
      <c r="K39" s="42"/>
      <c r="L39" s="39">
        <f>SUM(L23:L38)</f>
        <v>44.57</v>
      </c>
      <c r="M39" s="40"/>
      <c r="N39" s="43">
        <f t="shared" si="2"/>
        <v>-0.20000000000000284</v>
      </c>
      <c r="O39" s="44">
        <f t="shared" si="3"/>
        <v>-4.467277194549985E-3</v>
      </c>
    </row>
    <row r="40" spans="2:15" ht="25.5" x14ac:dyDescent="0.2">
      <c r="B40" s="46" t="s">
        <v>26</v>
      </c>
      <c r="C40" s="21"/>
      <c r="D40" s="22"/>
      <c r="E40" s="23"/>
      <c r="F40" s="24">
        <v>0</v>
      </c>
      <c r="G40" s="25">
        <f>$F$18</f>
        <v>1500</v>
      </c>
      <c r="H40" s="26">
        <f>G40*F40</f>
        <v>0</v>
      </c>
      <c r="I40" s="27"/>
      <c r="J40" s="28">
        <v>-5.9999999999999995E-4</v>
      </c>
      <c r="K40" s="25">
        <f>$F$18</f>
        <v>1500</v>
      </c>
      <c r="L40" s="26">
        <f>K40*J40</f>
        <v>-0.89999999999999991</v>
      </c>
      <c r="M40" s="27"/>
      <c r="N40" s="30">
        <f>L40-H40</f>
        <v>-0.89999999999999991</v>
      </c>
      <c r="O40" s="31" t="str">
        <f>IF((H40)=0,"",(N40/H40))</f>
        <v/>
      </c>
    </row>
    <row r="41" spans="2:15" x14ac:dyDescent="0.2">
      <c r="B41" s="46"/>
      <c r="C41" s="21"/>
      <c r="D41" s="22"/>
      <c r="E41" s="23"/>
      <c r="F41" s="24"/>
      <c r="G41" s="25">
        <f t="shared" ref="G41:G43" si="7">$F$18</f>
        <v>1500</v>
      </c>
      <c r="H41" s="26">
        <f t="shared" ref="H41:H45" si="8">G41*F41</f>
        <v>0</v>
      </c>
      <c r="I41" s="47"/>
      <c r="J41" s="28"/>
      <c r="K41" s="25">
        <f t="shared" ref="K41:K43" si="9">$F$18</f>
        <v>1500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1500</v>
      </c>
      <c r="H42" s="26">
        <f t="shared" si="8"/>
        <v>0</v>
      </c>
      <c r="I42" s="47"/>
      <c r="J42" s="28"/>
      <c r="K42" s="25">
        <f t="shared" si="9"/>
        <v>1500</v>
      </c>
      <c r="L42" s="26">
        <f t="shared" si="10"/>
        <v>0</v>
      </c>
      <c r="M42" s="48"/>
      <c r="N42" s="30">
        <f t="shared" si="11"/>
        <v>0</v>
      </c>
      <c r="O42" s="31" t="str">
        <f t="shared" si="12"/>
        <v/>
      </c>
    </row>
    <row r="43" spans="2:15" x14ac:dyDescent="0.2">
      <c r="B43" s="46"/>
      <c r="C43" s="21"/>
      <c r="D43" s="22"/>
      <c r="E43" s="23"/>
      <c r="F43" s="24"/>
      <c r="G43" s="25">
        <f t="shared" si="7"/>
        <v>1500</v>
      </c>
      <c r="H43" s="26">
        <f t="shared" si="8"/>
        <v>0</v>
      </c>
      <c r="I43" s="47"/>
      <c r="J43" s="28"/>
      <c r="K43" s="25">
        <f t="shared" si="9"/>
        <v>1500</v>
      </c>
      <c r="L43" s="26">
        <f t="shared" si="10"/>
        <v>0</v>
      </c>
      <c r="M43" s="48"/>
      <c r="N43" s="30">
        <f t="shared" si="11"/>
        <v>0</v>
      </c>
      <c r="O43" s="31" t="str">
        <f t="shared" si="12"/>
        <v/>
      </c>
    </row>
    <row r="44" spans="2:15" x14ac:dyDescent="0.2">
      <c r="B44" s="49" t="s">
        <v>27</v>
      </c>
      <c r="C44" s="21"/>
      <c r="D44" s="22" t="s">
        <v>22</v>
      </c>
      <c r="E44" s="23"/>
      <c r="F44" s="50">
        <v>6.0000000000000002E-5</v>
      </c>
      <c r="G44" s="51">
        <f>$F$18*(1+F74)</f>
        <v>1553.7</v>
      </c>
      <c r="H44" s="26">
        <f>G44*F44</f>
        <v>9.3221999999999999E-2</v>
      </c>
      <c r="I44" s="27"/>
      <c r="J44" s="52">
        <v>6.9999999999999994E-5</v>
      </c>
      <c r="K44" s="51">
        <f>$F$18*(1+J74)</f>
        <v>1550.7</v>
      </c>
      <c r="L44" s="26">
        <f>K44*J44</f>
        <v>0.10854899999999999</v>
      </c>
      <c r="M44" s="27"/>
      <c r="N44" s="30">
        <f>L44-H44</f>
        <v>1.5326999999999993E-2</v>
      </c>
      <c r="O44" s="31">
        <f>IF((H44)=0,"",(N44/H44))</f>
        <v>0.16441397953272827</v>
      </c>
    </row>
    <row r="45" spans="2:15" x14ac:dyDescent="0.2">
      <c r="B45" s="49" t="s">
        <v>28</v>
      </c>
      <c r="C45" s="21"/>
      <c r="D45" s="22"/>
      <c r="E45" s="23"/>
      <c r="F45" s="53">
        <f>IF(ISBLANK(D16)=TRUE, 0, IF(D16="TOU", 0.64*$F$55+0.18*$F$56+0.18*$F$57, IF(AND(D16="non-TOU", G59&gt;0), F59,F58)))</f>
        <v>0.10214000000000001</v>
      </c>
      <c r="G45" s="54">
        <f>$F$18*(1+$F$74)-$F$18</f>
        <v>53.700000000000045</v>
      </c>
      <c r="H45" s="26">
        <f t="shared" si="8"/>
        <v>5.4849180000000048</v>
      </c>
      <c r="I45" s="27"/>
      <c r="J45" s="55">
        <f>0.64*$J$55+0.18*$J$56+0.18*$J$57</f>
        <v>0.10214000000000001</v>
      </c>
      <c r="K45" s="54">
        <f>$F$18*(1+$J$74)-$F$18</f>
        <v>50.700000000000045</v>
      </c>
      <c r="L45" s="26">
        <f t="shared" si="10"/>
        <v>5.1784980000000047</v>
      </c>
      <c r="M45" s="27"/>
      <c r="N45" s="30">
        <f t="shared" si="11"/>
        <v>-0.30642000000000014</v>
      </c>
      <c r="O45" s="31">
        <f t="shared" si="12"/>
        <v>-5.5865921787709473E-2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51.138140000000007</v>
      </c>
      <c r="I47" s="40"/>
      <c r="J47" s="59"/>
      <c r="K47" s="61"/>
      <c r="L47" s="60">
        <f>SUM(L40:L46)+L39</f>
        <v>49.747047000000002</v>
      </c>
      <c r="M47" s="40"/>
      <c r="N47" s="43">
        <f t="shared" ref="N47:N65" si="13">L47-H47</f>
        <v>-1.391093000000005</v>
      </c>
      <c r="O47" s="44">
        <f t="shared" si="12"/>
        <v>-2.7202651484782295E-2</v>
      </c>
    </row>
    <row r="48" spans="2:15" x14ac:dyDescent="0.2">
      <c r="B48" s="27" t="s">
        <v>31</v>
      </c>
      <c r="C48" s="27"/>
      <c r="D48" s="62" t="s">
        <v>22</v>
      </c>
      <c r="E48" s="63"/>
      <c r="F48" s="28">
        <v>7.7000000000000002E-3</v>
      </c>
      <c r="G48" s="64">
        <f>F18*(1+F74)</f>
        <v>1553.7</v>
      </c>
      <c r="H48" s="26">
        <f>G48*F48</f>
        <v>11.96349</v>
      </c>
      <c r="I48" s="27"/>
      <c r="J48" s="28">
        <v>7.7000000000000002E-3</v>
      </c>
      <c r="K48" s="65">
        <f>F18*(1+J74)</f>
        <v>1550.7</v>
      </c>
      <c r="L48" s="26">
        <f>K48*J48</f>
        <v>11.940390000000001</v>
      </c>
      <c r="M48" s="27"/>
      <c r="N48" s="30">
        <f t="shared" si="13"/>
        <v>-2.3099999999999454E-2</v>
      </c>
      <c r="O48" s="31">
        <f t="shared" si="12"/>
        <v>-1.9308746862328179E-3</v>
      </c>
    </row>
    <row r="49" spans="2:15" ht="25.5" x14ac:dyDescent="0.2">
      <c r="B49" s="66" t="s">
        <v>32</v>
      </c>
      <c r="C49" s="27"/>
      <c r="D49" s="62" t="s">
        <v>22</v>
      </c>
      <c r="E49" s="63"/>
      <c r="F49" s="28">
        <v>4.1999999999999997E-3</v>
      </c>
      <c r="G49" s="64">
        <f>G48</f>
        <v>1553.7</v>
      </c>
      <c r="H49" s="26">
        <f>G49*F49</f>
        <v>6.5255399999999995</v>
      </c>
      <c r="I49" s="27"/>
      <c r="J49" s="28">
        <v>4.1999999999999997E-3</v>
      </c>
      <c r="K49" s="65">
        <f>K48</f>
        <v>1550.7</v>
      </c>
      <c r="L49" s="26">
        <f>K49*J49</f>
        <v>6.5129399999999995</v>
      </c>
      <c r="M49" s="27"/>
      <c r="N49" s="30">
        <f t="shared" si="13"/>
        <v>-1.2599999999999945E-2</v>
      </c>
      <c r="O49" s="31">
        <f t="shared" si="12"/>
        <v>-1.9308746862328552E-3</v>
      </c>
    </row>
    <row r="50" spans="2:15" ht="25.5" x14ac:dyDescent="0.2">
      <c r="B50" s="56" t="s">
        <v>33</v>
      </c>
      <c r="C50" s="35"/>
      <c r="D50" s="35"/>
      <c r="E50" s="35"/>
      <c r="F50" s="67"/>
      <c r="G50" s="59"/>
      <c r="H50" s="60">
        <f>SUM(H47:H49)</f>
        <v>69.627170000000007</v>
      </c>
      <c r="I50" s="68"/>
      <c r="J50" s="69"/>
      <c r="K50" s="70"/>
      <c r="L50" s="60">
        <f>SUM(L47:L49)</f>
        <v>68.200377000000003</v>
      </c>
      <c r="M50" s="68"/>
      <c r="N50" s="43">
        <f t="shared" si="13"/>
        <v>-1.4267930000000035</v>
      </c>
      <c r="O50" s="44">
        <f t="shared" si="12"/>
        <v>-2.0491899929294892E-2</v>
      </c>
    </row>
    <row r="51" spans="2:15" ht="25.5" x14ac:dyDescent="0.2">
      <c r="B51" s="71" t="s">
        <v>34</v>
      </c>
      <c r="C51" s="21"/>
      <c r="D51" s="22" t="s">
        <v>22</v>
      </c>
      <c r="E51" s="23"/>
      <c r="F51" s="72">
        <v>4.4000000000000003E-3</v>
      </c>
      <c r="G51" s="64">
        <f>G49</f>
        <v>1553.7</v>
      </c>
      <c r="H51" s="73">
        <f t="shared" ref="H51:H57" si="14">G51*F51</f>
        <v>6.8362800000000004</v>
      </c>
      <c r="I51" s="27"/>
      <c r="J51" s="72">
        <v>4.4000000000000003E-3</v>
      </c>
      <c r="K51" s="65">
        <f>K49</f>
        <v>1550.7</v>
      </c>
      <c r="L51" s="73">
        <f t="shared" ref="L51:L57" si="15">K51*J51</f>
        <v>6.8230800000000009</v>
      </c>
      <c r="M51" s="27"/>
      <c r="N51" s="30">
        <f t="shared" si="13"/>
        <v>-1.3199999999999434E-2</v>
      </c>
      <c r="O51" s="74">
        <f t="shared" si="12"/>
        <v>-1.9308746862327806E-3</v>
      </c>
    </row>
    <row r="52" spans="2:15" ht="25.5" x14ac:dyDescent="0.2">
      <c r="B52" s="71" t="s">
        <v>35</v>
      </c>
      <c r="C52" s="21"/>
      <c r="D52" s="22" t="s">
        <v>22</v>
      </c>
      <c r="E52" s="23"/>
      <c r="F52" s="72">
        <v>1.2999999999999999E-3</v>
      </c>
      <c r="G52" s="64">
        <f>G49</f>
        <v>1553.7</v>
      </c>
      <c r="H52" s="73">
        <f t="shared" si="14"/>
        <v>2.0198100000000001</v>
      </c>
      <c r="I52" s="27"/>
      <c r="J52" s="72">
        <v>1.2999999999999999E-3</v>
      </c>
      <c r="K52" s="65">
        <f>K49</f>
        <v>1550.7</v>
      </c>
      <c r="L52" s="73">
        <f t="shared" si="15"/>
        <v>2.0159099999999999</v>
      </c>
      <c r="M52" s="27"/>
      <c r="N52" s="30">
        <f t="shared" si="13"/>
        <v>-3.9000000000002366E-3</v>
      </c>
      <c r="O52" s="74">
        <f t="shared" si="12"/>
        <v>-1.9308746862329806E-3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1500</v>
      </c>
      <c r="H54" s="73">
        <f t="shared" si="14"/>
        <v>10.41</v>
      </c>
      <c r="I54" s="27"/>
      <c r="J54" s="72">
        <f>+F54</f>
        <v>6.94E-3</v>
      </c>
      <c r="K54" s="76">
        <f>$F$18</f>
        <v>1500</v>
      </c>
      <c r="L54" s="73">
        <f t="shared" si="15"/>
        <v>10.41</v>
      </c>
      <c r="M54" s="27"/>
      <c r="N54" s="30">
        <f t="shared" si="13"/>
        <v>0</v>
      </c>
      <c r="O54" s="74">
        <f t="shared" si="12"/>
        <v>0</v>
      </c>
    </row>
    <row r="55" spans="2:15" x14ac:dyDescent="0.2">
      <c r="B55" s="49" t="s">
        <v>38</v>
      </c>
      <c r="C55" s="21"/>
      <c r="D55" s="22"/>
      <c r="E55" s="23"/>
      <c r="F55" s="72">
        <v>0.08</v>
      </c>
      <c r="G55" s="77">
        <f>0.64*$F$18</f>
        <v>960</v>
      </c>
      <c r="H55" s="73">
        <f t="shared" si="14"/>
        <v>76.8</v>
      </c>
      <c r="I55" s="27"/>
      <c r="J55" s="72">
        <v>0.08</v>
      </c>
      <c r="K55" s="77">
        <f>$G$55</f>
        <v>960</v>
      </c>
      <c r="L55" s="73">
        <f t="shared" si="15"/>
        <v>76.8</v>
      </c>
      <c r="M55" s="27"/>
      <c r="N55" s="30">
        <f t="shared" si="13"/>
        <v>0</v>
      </c>
      <c r="O55" s="74">
        <f t="shared" si="12"/>
        <v>0</v>
      </c>
    </row>
    <row r="56" spans="2:15" x14ac:dyDescent="0.2">
      <c r="B56" s="49" t="s">
        <v>39</v>
      </c>
      <c r="C56" s="21"/>
      <c r="D56" s="22"/>
      <c r="E56" s="23"/>
      <c r="F56" s="72">
        <v>0.122</v>
      </c>
      <c r="G56" s="77">
        <f>0.18*$F$18</f>
        <v>270</v>
      </c>
      <c r="H56" s="73">
        <f t="shared" si="14"/>
        <v>32.94</v>
      </c>
      <c r="I56" s="27"/>
      <c r="J56" s="72">
        <v>0.122</v>
      </c>
      <c r="K56" s="77">
        <f>$G$56</f>
        <v>270</v>
      </c>
      <c r="L56" s="73">
        <f t="shared" si="15"/>
        <v>32.94</v>
      </c>
      <c r="M56" s="27"/>
      <c r="N56" s="30">
        <f t="shared" si="13"/>
        <v>0</v>
      </c>
      <c r="O56" s="74">
        <f t="shared" si="12"/>
        <v>0</v>
      </c>
    </row>
    <row r="57" spans="2:15" x14ac:dyDescent="0.2">
      <c r="B57" s="11" t="s">
        <v>40</v>
      </c>
      <c r="C57" s="21"/>
      <c r="D57" s="22"/>
      <c r="E57" s="23"/>
      <c r="F57" s="72">
        <v>0.161</v>
      </c>
      <c r="G57" s="77">
        <f>0.18*$F$18</f>
        <v>270</v>
      </c>
      <c r="H57" s="73">
        <f t="shared" si="14"/>
        <v>43.47</v>
      </c>
      <c r="I57" s="27"/>
      <c r="J57" s="72">
        <v>0.161</v>
      </c>
      <c r="K57" s="77">
        <f>$G$57</f>
        <v>270</v>
      </c>
      <c r="L57" s="73">
        <f t="shared" si="15"/>
        <v>43.47</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600</v>
      </c>
      <c r="H58" s="73">
        <f>G58*F58</f>
        <v>56.4</v>
      </c>
      <c r="I58" s="83"/>
      <c r="J58" s="72">
        <v>9.4E-2</v>
      </c>
      <c r="K58" s="82">
        <f>$G$58</f>
        <v>600</v>
      </c>
      <c r="L58" s="73">
        <f>K58*J58</f>
        <v>56.4</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900</v>
      </c>
      <c r="H59" s="73">
        <f>G59*F59</f>
        <v>99</v>
      </c>
      <c r="I59" s="83"/>
      <c r="J59" s="72">
        <v>0.11</v>
      </c>
      <c r="K59" s="82">
        <f>$G$59</f>
        <v>900</v>
      </c>
      <c r="L59" s="73">
        <f>K59*J59</f>
        <v>99</v>
      </c>
      <c r="M59" s="83"/>
      <c r="N59" s="84">
        <f t="shared" si="13"/>
        <v>0</v>
      </c>
      <c r="O59" s="74">
        <f t="shared" si="12"/>
        <v>0</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242.35326000000001</v>
      </c>
      <c r="I61" s="100"/>
      <c r="J61" s="101"/>
      <c r="K61" s="101"/>
      <c r="L61" s="99">
        <f>SUM(L51:L57,L50)</f>
        <v>240.909367</v>
      </c>
      <c r="M61" s="102"/>
      <c r="N61" s="103">
        <f t="shared" ref="N61" si="16">L61-H61</f>
        <v>-1.4438930000000028</v>
      </c>
      <c r="O61" s="104">
        <f t="shared" ref="O61" si="17">IF((H61)=0,"",(N61/H61))</f>
        <v>-5.9578030846377007E-3</v>
      </c>
    </row>
    <row r="62" spans="2:15" x14ac:dyDescent="0.2">
      <c r="B62" s="105" t="s">
        <v>44</v>
      </c>
      <c r="C62" s="21"/>
      <c r="D62" s="21"/>
      <c r="E62" s="21"/>
      <c r="F62" s="106">
        <v>0.13</v>
      </c>
      <c r="G62" s="107"/>
      <c r="H62" s="108">
        <f>H61*F62</f>
        <v>31.505923800000001</v>
      </c>
      <c r="I62" s="109"/>
      <c r="J62" s="110">
        <v>0.13</v>
      </c>
      <c r="K62" s="109"/>
      <c r="L62" s="111">
        <f>L61*J62</f>
        <v>31.318217710000003</v>
      </c>
      <c r="M62" s="112"/>
      <c r="N62" s="113">
        <f t="shared" si="13"/>
        <v>-0.18770608999999894</v>
      </c>
      <c r="O62" s="114">
        <f t="shared" si="12"/>
        <v>-5.9578030846376556E-3</v>
      </c>
    </row>
    <row r="63" spans="2:15" x14ac:dyDescent="0.2">
      <c r="B63" s="115" t="s">
        <v>45</v>
      </c>
      <c r="C63" s="21"/>
      <c r="D63" s="21"/>
      <c r="E63" s="21"/>
      <c r="F63" s="116"/>
      <c r="G63" s="107"/>
      <c r="H63" s="108">
        <f>H61+H62</f>
        <v>273.85918379999998</v>
      </c>
      <c r="I63" s="109"/>
      <c r="J63" s="109"/>
      <c r="K63" s="109"/>
      <c r="L63" s="111">
        <f>L61+L62</f>
        <v>272.22758471000003</v>
      </c>
      <c r="M63" s="112"/>
      <c r="N63" s="113">
        <f t="shared" si="13"/>
        <v>-1.631599089999952</v>
      </c>
      <c r="O63" s="114">
        <f t="shared" si="12"/>
        <v>-5.9578030846375142E-3</v>
      </c>
    </row>
    <row r="64" spans="2:15" ht="15.75" customHeight="1" x14ac:dyDescent="0.2">
      <c r="B64" s="186" t="s">
        <v>46</v>
      </c>
      <c r="C64" s="186"/>
      <c r="D64" s="186"/>
      <c r="E64" s="21"/>
      <c r="F64" s="116"/>
      <c r="G64" s="107"/>
      <c r="H64" s="117">
        <f>ROUND(-H63*10%,2)</f>
        <v>-27.39</v>
      </c>
      <c r="I64" s="109"/>
      <c r="J64" s="109"/>
      <c r="K64" s="109"/>
      <c r="L64" s="118">
        <f>ROUND(-L63*10%,2)</f>
        <v>-27.22</v>
      </c>
      <c r="M64" s="112"/>
      <c r="N64" s="118">
        <f t="shared" si="13"/>
        <v>0.17000000000000171</v>
      </c>
      <c r="O64" s="119">
        <f t="shared" si="12"/>
        <v>-6.2066447608616904E-3</v>
      </c>
    </row>
    <row r="65" spans="1:15" ht="13.5" thickBot="1" x14ac:dyDescent="0.25">
      <c r="B65" s="187" t="s">
        <v>47</v>
      </c>
      <c r="C65" s="187"/>
      <c r="D65" s="187"/>
      <c r="E65" s="120"/>
      <c r="F65" s="121"/>
      <c r="G65" s="122"/>
      <c r="H65" s="123">
        <f>H63+H64</f>
        <v>246.4691838</v>
      </c>
      <c r="I65" s="124"/>
      <c r="J65" s="124"/>
      <c r="K65" s="124"/>
      <c r="L65" s="125">
        <f>L63+L64</f>
        <v>245.00758471000003</v>
      </c>
      <c r="M65" s="126"/>
      <c r="N65" s="127">
        <f t="shared" si="13"/>
        <v>-1.4615990899999645</v>
      </c>
      <c r="O65" s="128">
        <f t="shared" si="12"/>
        <v>-5.930149430713392E-3</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244.54326</v>
      </c>
      <c r="I67" s="140"/>
      <c r="J67" s="141"/>
      <c r="K67" s="141"/>
      <c r="L67" s="139">
        <f>SUM(L58:L59,L50,L51:L54)</f>
        <v>243.099367</v>
      </c>
      <c r="M67" s="142"/>
      <c r="N67" s="143">
        <f t="shared" ref="N67:N71" si="18">L67-H67</f>
        <v>-1.4438930000000028</v>
      </c>
      <c r="O67" s="104">
        <f t="shared" ref="O67:O71" si="19">IF((H67)=0,"",(N67/H67))</f>
        <v>-5.9044481536722898E-3</v>
      </c>
    </row>
    <row r="68" spans="1:15" s="85" customFormat="1" x14ac:dyDescent="0.2">
      <c r="B68" s="144" t="s">
        <v>44</v>
      </c>
      <c r="C68" s="79"/>
      <c r="D68" s="79"/>
      <c r="E68" s="79"/>
      <c r="F68" s="145">
        <v>0.13</v>
      </c>
      <c r="G68" s="138"/>
      <c r="H68" s="146">
        <f>H67*F68</f>
        <v>31.790623800000002</v>
      </c>
      <c r="I68" s="147"/>
      <c r="J68" s="148">
        <v>0.13</v>
      </c>
      <c r="K68" s="149"/>
      <c r="L68" s="150">
        <f>L67*J68</f>
        <v>31.60291771</v>
      </c>
      <c r="M68" s="151"/>
      <c r="N68" s="152">
        <f t="shared" si="18"/>
        <v>-0.18770609000000249</v>
      </c>
      <c r="O68" s="114">
        <f t="shared" si="19"/>
        <v>-5.9044481536723566E-3</v>
      </c>
    </row>
    <row r="69" spans="1:15" s="85" customFormat="1" x14ac:dyDescent="0.2">
      <c r="B69" s="153" t="s">
        <v>45</v>
      </c>
      <c r="C69" s="79"/>
      <c r="D69" s="79"/>
      <c r="E69" s="79"/>
      <c r="F69" s="154"/>
      <c r="G69" s="155"/>
      <c r="H69" s="146">
        <f>H67+H68</f>
        <v>276.33388380000002</v>
      </c>
      <c r="I69" s="147"/>
      <c r="J69" s="147"/>
      <c r="K69" s="147"/>
      <c r="L69" s="150">
        <f>L67+L68</f>
        <v>274.70228471000001</v>
      </c>
      <c r="M69" s="151"/>
      <c r="N69" s="152">
        <f t="shared" si="18"/>
        <v>-1.6315990900000088</v>
      </c>
      <c r="O69" s="114">
        <f t="shared" si="19"/>
        <v>-5.9044481536723098E-3</v>
      </c>
    </row>
    <row r="70" spans="1:15" s="85" customFormat="1" ht="15.75" customHeight="1" x14ac:dyDescent="0.2">
      <c r="B70" s="188" t="s">
        <v>46</v>
      </c>
      <c r="C70" s="188"/>
      <c r="D70" s="188"/>
      <c r="E70" s="79"/>
      <c r="F70" s="154"/>
      <c r="G70" s="155"/>
      <c r="H70" s="156">
        <f>ROUND(-H69*10%,2)</f>
        <v>-27.63</v>
      </c>
      <c r="I70" s="147"/>
      <c r="J70" s="147"/>
      <c r="K70" s="147"/>
      <c r="L70" s="118">
        <f>ROUND(-L69*10%,2)</f>
        <v>-27.47</v>
      </c>
      <c r="M70" s="151"/>
      <c r="N70" s="157">
        <f t="shared" si="18"/>
        <v>0.16000000000000014</v>
      </c>
      <c r="O70" s="119">
        <f t="shared" si="19"/>
        <v>-5.790807093738695E-3</v>
      </c>
    </row>
    <row r="71" spans="1:15" s="85" customFormat="1" ht="13.5" thickBot="1" x14ac:dyDescent="0.25">
      <c r="B71" s="185" t="s">
        <v>49</v>
      </c>
      <c r="C71" s="185"/>
      <c r="D71" s="185"/>
      <c r="E71" s="158"/>
      <c r="F71" s="159"/>
      <c r="G71" s="160"/>
      <c r="H71" s="161">
        <f>SUM(H69:H70)</f>
        <v>248.70388380000003</v>
      </c>
      <c r="I71" s="162"/>
      <c r="J71" s="162"/>
      <c r="K71" s="162"/>
      <c r="L71" s="163">
        <f>SUM(L69:L70)</f>
        <v>247.23228471000002</v>
      </c>
      <c r="M71" s="164"/>
      <c r="N71" s="165">
        <f t="shared" si="18"/>
        <v>-1.4715990900000122</v>
      </c>
      <c r="O71" s="166">
        <f t="shared" si="19"/>
        <v>-5.9170732178168419E-3</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O92"/>
  <sheetViews>
    <sheetView showGridLines="0" zoomScale="85" zoomScaleNormal="85" workbookViewId="0">
      <selection activeCell="J31" sqref="J3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384" width="9.140625" style="6"/>
  </cols>
  <sheetData>
    <row r="1" spans="1:15" s="2" customFormat="1" ht="15" customHeight="1" x14ac:dyDescent="0.2">
      <c r="A1" s="1"/>
      <c r="B1" s="1"/>
      <c r="C1" s="1"/>
      <c r="D1" s="1"/>
      <c r="E1" s="1"/>
      <c r="F1" s="1"/>
      <c r="G1" s="1"/>
      <c r="H1" s="1"/>
      <c r="I1" s="1"/>
      <c r="J1" s="1"/>
      <c r="K1" s="1"/>
      <c r="N1" s="178"/>
      <c r="O1" s="2">
        <v>1</v>
      </c>
    </row>
    <row r="2" spans="1:15" s="2" customFormat="1" ht="15" customHeight="1" x14ac:dyDescent="0.25">
      <c r="A2" s="3"/>
      <c r="B2" s="3"/>
      <c r="C2" s="3"/>
      <c r="D2" s="3"/>
      <c r="E2" s="3"/>
      <c r="F2" s="3"/>
      <c r="G2" s="3"/>
      <c r="H2" s="3"/>
      <c r="I2" s="3"/>
      <c r="J2" s="3"/>
      <c r="K2" s="3"/>
      <c r="N2" s="178"/>
      <c r="O2" s="180"/>
    </row>
    <row r="3" spans="1:15" s="2" customFormat="1" ht="15" customHeight="1" x14ac:dyDescent="0.25">
      <c r="A3" s="195"/>
      <c r="B3" s="195"/>
      <c r="C3" s="195"/>
      <c r="D3" s="195"/>
      <c r="E3" s="195"/>
      <c r="F3" s="195"/>
      <c r="G3" s="195"/>
      <c r="H3" s="195"/>
      <c r="I3" s="195"/>
      <c r="J3" s="195"/>
      <c r="K3" s="195"/>
      <c r="N3" s="178"/>
      <c r="O3" s="180"/>
    </row>
    <row r="4" spans="1:15" s="2" customFormat="1" ht="15" customHeight="1" x14ac:dyDescent="0.25">
      <c r="A4" s="3"/>
      <c r="B4" s="3"/>
      <c r="C4" s="3"/>
      <c r="D4" s="3"/>
      <c r="E4" s="3"/>
      <c r="F4" s="3"/>
      <c r="G4" s="3"/>
      <c r="H4" s="3"/>
      <c r="I4" s="4"/>
      <c r="J4" s="4"/>
      <c r="K4" s="4"/>
      <c r="N4" s="178"/>
      <c r="O4" s="180"/>
    </row>
    <row r="5" spans="1:15" s="2" customFormat="1" ht="15" customHeight="1" x14ac:dyDescent="0.25">
      <c r="C5" s="5"/>
      <c r="D5" s="5"/>
      <c r="E5" s="5"/>
      <c r="N5" s="178"/>
      <c r="O5" s="179"/>
    </row>
    <row r="6" spans="1:15" s="2" customFormat="1" ht="9" customHeight="1" x14ac:dyDescent="0.2">
      <c r="N6" s="178"/>
      <c r="O6" s="179"/>
    </row>
    <row r="7" spans="1:15" s="2" customFormat="1" x14ac:dyDescent="0.2">
      <c r="N7" s="178"/>
      <c r="O7" s="179"/>
    </row>
    <row r="8" spans="1:15" s="2" customFormat="1" ht="15" customHeight="1" x14ac:dyDescent="0.2">
      <c r="N8" s="6"/>
      <c r="O8"/>
    </row>
    <row r="9" spans="1:15" ht="7.5" customHeight="1" x14ac:dyDescent="0.2">
      <c r="L9"/>
      <c r="M9"/>
      <c r="N9"/>
      <c r="O9"/>
    </row>
    <row r="10" spans="1:15" ht="18.75" customHeight="1" x14ac:dyDescent="0.25">
      <c r="C10" s="181"/>
      <c r="D10" s="181"/>
      <c r="E10" s="181"/>
      <c r="F10" s="181" t="s">
        <v>0</v>
      </c>
      <c r="G10" s="181"/>
      <c r="H10" s="181"/>
      <c r="I10" s="181"/>
      <c r="J10" s="181"/>
      <c r="K10" s="181"/>
      <c r="L10" s="181"/>
      <c r="M10" s="181"/>
      <c r="N10" s="181"/>
      <c r="O10" s="181"/>
    </row>
    <row r="11" spans="1:15" ht="18.75" customHeight="1" x14ac:dyDescent="0.25">
      <c r="C11" s="181"/>
      <c r="D11" s="181"/>
      <c r="E11" s="181"/>
      <c r="F11" s="181" t="s">
        <v>1</v>
      </c>
      <c r="G11" s="181"/>
      <c r="H11" s="181"/>
      <c r="I11" s="181"/>
      <c r="J11" s="181"/>
      <c r="K11" s="181"/>
      <c r="L11" s="181"/>
      <c r="M11" s="181"/>
      <c r="N11" s="181"/>
      <c r="O11" s="181"/>
    </row>
    <row r="12" spans="1:15" ht="7.5" customHeight="1" x14ac:dyDescent="0.2">
      <c r="L12"/>
      <c r="M12"/>
      <c r="N12"/>
      <c r="O12"/>
    </row>
    <row r="13" spans="1:15" ht="7.5" customHeight="1" x14ac:dyDescent="0.2">
      <c r="L13"/>
      <c r="M13"/>
      <c r="N13"/>
      <c r="O13"/>
    </row>
    <row r="14" spans="1:15" ht="15.75" x14ac:dyDescent="0.2">
      <c r="B14" s="7" t="s">
        <v>2</v>
      </c>
      <c r="D14" s="196" t="s">
        <v>3</v>
      </c>
      <c r="E14" s="196"/>
      <c r="F14" s="196"/>
      <c r="G14" s="196"/>
      <c r="H14" s="196"/>
      <c r="I14" s="196"/>
      <c r="J14" s="196"/>
      <c r="K14" s="196"/>
      <c r="L14" s="196"/>
      <c r="M14" s="196"/>
      <c r="N14" s="196"/>
      <c r="O14" s="196"/>
    </row>
    <row r="15" spans="1:15" ht="7.5" customHeight="1" x14ac:dyDescent="0.25">
      <c r="B15" s="8"/>
      <c r="D15" s="9"/>
      <c r="E15" s="9"/>
      <c r="F15" s="9"/>
      <c r="G15" s="9"/>
      <c r="H15" s="9"/>
      <c r="I15" s="9"/>
      <c r="J15" s="9"/>
      <c r="K15" s="9"/>
      <c r="L15" s="9"/>
      <c r="M15" s="9"/>
      <c r="N15" s="9"/>
      <c r="O15" s="9"/>
    </row>
    <row r="16" spans="1:15" ht="15.75" x14ac:dyDescent="0.25">
      <c r="B16" s="7" t="s">
        <v>4</v>
      </c>
      <c r="D16" s="10" t="s">
        <v>5</v>
      </c>
      <c r="E16" s="9"/>
      <c r="F16" s="9"/>
      <c r="G16" s="9"/>
      <c r="H16" s="9"/>
      <c r="I16" s="9"/>
      <c r="J16" s="9"/>
      <c r="K16" s="9"/>
      <c r="L16" s="9"/>
      <c r="M16" s="9"/>
      <c r="N16" s="9"/>
      <c r="O16" s="9"/>
    </row>
    <row r="17" spans="2:15" ht="15.75" x14ac:dyDescent="0.25">
      <c r="B17" s="8"/>
      <c r="D17" s="9"/>
      <c r="E17" s="9"/>
      <c r="F17" s="9"/>
      <c r="G17" s="9"/>
      <c r="H17" s="9"/>
      <c r="I17" s="9"/>
      <c r="J17" s="9"/>
      <c r="K17" s="9"/>
      <c r="L17" s="9"/>
      <c r="M17" s="9"/>
      <c r="N17" s="9"/>
      <c r="O17" s="9"/>
    </row>
    <row r="18" spans="2:15" x14ac:dyDescent="0.2">
      <c r="B18" s="11"/>
      <c r="D18" s="12" t="s">
        <v>6</v>
      </c>
      <c r="E18" s="12"/>
      <c r="F18" s="13">
        <v>2000</v>
      </c>
      <c r="G18" s="12" t="s">
        <v>7</v>
      </c>
    </row>
    <row r="19" spans="2:15" x14ac:dyDescent="0.2">
      <c r="B19" s="11"/>
    </row>
    <row r="20" spans="2:15" x14ac:dyDescent="0.2">
      <c r="B20" s="11"/>
      <c r="D20" s="14"/>
      <c r="E20" s="14"/>
      <c r="F20" s="197" t="s">
        <v>8</v>
      </c>
      <c r="G20" s="198"/>
      <c r="H20" s="199"/>
      <c r="J20" s="197" t="s">
        <v>9</v>
      </c>
      <c r="K20" s="198"/>
      <c r="L20" s="199"/>
      <c r="N20" s="197" t="s">
        <v>10</v>
      </c>
      <c r="O20" s="199"/>
    </row>
    <row r="21" spans="2:15" x14ac:dyDescent="0.2">
      <c r="B21" s="11"/>
      <c r="D21" s="189" t="s">
        <v>11</v>
      </c>
      <c r="E21" s="15"/>
      <c r="F21" s="16" t="s">
        <v>12</v>
      </c>
      <c r="G21" s="16" t="s">
        <v>13</v>
      </c>
      <c r="H21" s="17" t="s">
        <v>14</v>
      </c>
      <c r="J21" s="16" t="s">
        <v>12</v>
      </c>
      <c r="K21" s="18" t="s">
        <v>13</v>
      </c>
      <c r="L21" s="17" t="s">
        <v>14</v>
      </c>
      <c r="N21" s="191" t="s">
        <v>15</v>
      </c>
      <c r="O21" s="193" t="s">
        <v>16</v>
      </c>
    </row>
    <row r="22" spans="2:15" x14ac:dyDescent="0.2">
      <c r="B22" s="11"/>
      <c r="D22" s="190"/>
      <c r="E22" s="15"/>
      <c r="F22" s="19" t="s">
        <v>17</v>
      </c>
      <c r="G22" s="19"/>
      <c r="H22" s="20" t="s">
        <v>17</v>
      </c>
      <c r="J22" s="19" t="s">
        <v>17</v>
      </c>
      <c r="K22" s="20"/>
      <c r="L22" s="20" t="s">
        <v>17</v>
      </c>
      <c r="N22" s="192"/>
      <c r="O22" s="194"/>
    </row>
    <row r="23" spans="2:15" x14ac:dyDescent="0.2">
      <c r="B23" s="21" t="s">
        <v>18</v>
      </c>
      <c r="C23" s="21"/>
      <c r="D23" s="22" t="s">
        <v>19</v>
      </c>
      <c r="E23" s="23"/>
      <c r="F23" s="24">
        <v>9.67</v>
      </c>
      <c r="G23" s="25">
        <v>1</v>
      </c>
      <c r="H23" s="26">
        <f>G23*F23</f>
        <v>9.67</v>
      </c>
      <c r="I23" s="27"/>
      <c r="J23" s="28">
        <f>+'Res (100)'!J23</f>
        <v>13.97</v>
      </c>
      <c r="K23" s="29">
        <v>1</v>
      </c>
      <c r="L23" s="26">
        <f>K23*J23</f>
        <v>13.97</v>
      </c>
      <c r="M23" s="27"/>
      <c r="N23" s="30">
        <f>L23-H23</f>
        <v>4.3000000000000007</v>
      </c>
      <c r="O23" s="31">
        <f>IF((H23)=0,"",(N23/H23))</f>
        <v>0.44467425025853163</v>
      </c>
    </row>
    <row r="24" spans="2:15" x14ac:dyDescent="0.2">
      <c r="B24" s="21" t="s">
        <v>20</v>
      </c>
      <c r="C24" s="21"/>
      <c r="D24" s="22"/>
      <c r="E24" s="23"/>
      <c r="F24" s="24"/>
      <c r="G24" s="25">
        <v>1</v>
      </c>
      <c r="H24" s="26">
        <f t="shared" ref="H24:H38" si="0">G24*F24</f>
        <v>0</v>
      </c>
      <c r="I24" s="27"/>
      <c r="J24" s="28"/>
      <c r="K24" s="29">
        <v>1</v>
      </c>
      <c r="L24" s="26">
        <f>K24*J24</f>
        <v>0</v>
      </c>
      <c r="M24" s="27"/>
      <c r="N24" s="30">
        <f>L24-H24</f>
        <v>0</v>
      </c>
      <c r="O24" s="31" t="str">
        <f>IF((H24)=0,"",(N24/H24))</f>
        <v/>
      </c>
    </row>
    <row r="25" spans="2:15" x14ac:dyDescent="0.2">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row>
    <row r="26" spans="2:15" x14ac:dyDescent="0.2">
      <c r="B26" s="32"/>
      <c r="C26" s="21"/>
      <c r="D26" s="22"/>
      <c r="E26" s="23"/>
      <c r="F26" s="24"/>
      <c r="G26" s="25">
        <v>1</v>
      </c>
      <c r="H26" s="26">
        <f t="shared" si="0"/>
        <v>0</v>
      </c>
      <c r="I26" s="27"/>
      <c r="J26" s="28"/>
      <c r="K26" s="29">
        <v>1</v>
      </c>
      <c r="L26" s="26">
        <f t="shared" si="1"/>
        <v>0</v>
      </c>
      <c r="M26" s="27"/>
      <c r="N26" s="30">
        <f t="shared" si="2"/>
        <v>0</v>
      </c>
      <c r="O26" s="31" t="str">
        <f t="shared" si="3"/>
        <v/>
      </c>
    </row>
    <row r="27" spans="2:15" x14ac:dyDescent="0.2">
      <c r="B27" s="32"/>
      <c r="C27" s="21"/>
      <c r="D27" s="22"/>
      <c r="E27" s="23"/>
      <c r="F27" s="24"/>
      <c r="G27" s="25">
        <v>1</v>
      </c>
      <c r="H27" s="26">
        <f t="shared" si="0"/>
        <v>0</v>
      </c>
      <c r="I27" s="27"/>
      <c r="J27" s="28"/>
      <c r="K27" s="29">
        <v>1</v>
      </c>
      <c r="L27" s="26">
        <f t="shared" si="1"/>
        <v>0</v>
      </c>
      <c r="M27" s="27"/>
      <c r="N27" s="30">
        <f t="shared" si="2"/>
        <v>0</v>
      </c>
      <c r="O27" s="31" t="str">
        <f t="shared" si="3"/>
        <v/>
      </c>
    </row>
    <row r="28" spans="2:15" x14ac:dyDescent="0.2">
      <c r="B28" s="32"/>
      <c r="C28" s="21"/>
      <c r="D28" s="22"/>
      <c r="E28" s="23"/>
      <c r="F28" s="24"/>
      <c r="G28" s="25">
        <v>1</v>
      </c>
      <c r="H28" s="26">
        <f t="shared" si="0"/>
        <v>0</v>
      </c>
      <c r="I28" s="27"/>
      <c r="J28" s="28"/>
      <c r="K28" s="29">
        <v>1</v>
      </c>
      <c r="L28" s="26">
        <f t="shared" si="1"/>
        <v>0</v>
      </c>
      <c r="M28" s="27"/>
      <c r="N28" s="30">
        <f t="shared" si="2"/>
        <v>0</v>
      </c>
      <c r="O28" s="31" t="str">
        <f t="shared" si="3"/>
        <v/>
      </c>
    </row>
    <row r="29" spans="2:15" x14ac:dyDescent="0.2">
      <c r="B29" s="21" t="s">
        <v>21</v>
      </c>
      <c r="C29" s="21"/>
      <c r="D29" s="22" t="s">
        <v>22</v>
      </c>
      <c r="E29" s="23"/>
      <c r="F29" s="24">
        <v>2.3400000000000001E-2</v>
      </c>
      <c r="G29" s="25">
        <f>$F$18</f>
        <v>2000</v>
      </c>
      <c r="H29" s="26">
        <f t="shared" si="0"/>
        <v>46.800000000000004</v>
      </c>
      <c r="I29" s="27"/>
      <c r="J29" s="28">
        <f>+'Res (100)'!J29</f>
        <v>2.07E-2</v>
      </c>
      <c r="K29" s="25">
        <f>$F$18</f>
        <v>2000</v>
      </c>
      <c r="L29" s="26">
        <f t="shared" si="1"/>
        <v>41.4</v>
      </c>
      <c r="M29" s="27"/>
      <c r="N29" s="30">
        <f t="shared" si="2"/>
        <v>-5.4000000000000057</v>
      </c>
      <c r="O29" s="31">
        <f t="shared" si="3"/>
        <v>-0.1153846153846155</v>
      </c>
    </row>
    <row r="30" spans="2:15" x14ac:dyDescent="0.2">
      <c r="B30" s="21" t="s">
        <v>23</v>
      </c>
      <c r="C30" s="21"/>
      <c r="D30" s="22"/>
      <c r="E30" s="23"/>
      <c r="F30" s="24"/>
      <c r="G30" s="25">
        <f t="shared" ref="G30" si="4">$F$18</f>
        <v>2000</v>
      </c>
      <c r="H30" s="26">
        <f t="shared" si="0"/>
        <v>0</v>
      </c>
      <c r="I30" s="27"/>
      <c r="J30" s="28"/>
      <c r="K30" s="25">
        <f t="shared" ref="K30:K38" si="5">$F$18</f>
        <v>2000</v>
      </c>
      <c r="L30" s="26">
        <f t="shared" si="1"/>
        <v>0</v>
      </c>
      <c r="M30" s="27"/>
      <c r="N30" s="30">
        <f t="shared" si="2"/>
        <v>0</v>
      </c>
      <c r="O30" s="31" t="str">
        <f t="shared" si="3"/>
        <v/>
      </c>
    </row>
    <row r="31" spans="2:15" x14ac:dyDescent="0.2">
      <c r="B31" s="21" t="s">
        <v>24</v>
      </c>
      <c r="C31" s="21"/>
      <c r="D31" s="22" t="s">
        <v>22</v>
      </c>
      <c r="E31" s="23"/>
      <c r="F31" s="24">
        <v>0</v>
      </c>
      <c r="G31" s="25">
        <f>$F$18</f>
        <v>2000</v>
      </c>
      <c r="H31" s="26">
        <f t="shared" si="0"/>
        <v>0</v>
      </c>
      <c r="I31" s="27"/>
      <c r="J31" s="28">
        <v>-2.9999999999999997E-4</v>
      </c>
      <c r="K31" s="25">
        <f t="shared" si="5"/>
        <v>2000</v>
      </c>
      <c r="L31" s="26">
        <f t="shared" si="1"/>
        <v>-0.6</v>
      </c>
      <c r="M31" s="27"/>
      <c r="N31" s="30">
        <f t="shared" si="2"/>
        <v>-0.6</v>
      </c>
      <c r="O31" s="31" t="str">
        <f t="shared" si="3"/>
        <v/>
      </c>
    </row>
    <row r="32" spans="2:15" x14ac:dyDescent="0.2">
      <c r="B32" s="33"/>
      <c r="C32" s="21"/>
      <c r="D32" s="22"/>
      <c r="E32" s="23"/>
      <c r="F32" s="24"/>
      <c r="G32" s="25">
        <f t="shared" ref="G32:G38" si="6">$F$18</f>
        <v>2000</v>
      </c>
      <c r="H32" s="26">
        <f t="shared" si="0"/>
        <v>0</v>
      </c>
      <c r="I32" s="27"/>
      <c r="J32" s="28"/>
      <c r="K32" s="25">
        <f t="shared" si="5"/>
        <v>2000</v>
      </c>
      <c r="L32" s="26">
        <f t="shared" si="1"/>
        <v>0</v>
      </c>
      <c r="M32" s="27"/>
      <c r="N32" s="30">
        <f t="shared" si="2"/>
        <v>0</v>
      </c>
      <c r="O32" s="31" t="str">
        <f t="shared" si="3"/>
        <v/>
      </c>
    </row>
    <row r="33" spans="2:15" x14ac:dyDescent="0.2">
      <c r="B33" s="33"/>
      <c r="C33" s="21"/>
      <c r="D33" s="22"/>
      <c r="E33" s="23"/>
      <c r="F33" s="24"/>
      <c r="G33" s="25">
        <f t="shared" si="6"/>
        <v>2000</v>
      </c>
      <c r="H33" s="26">
        <f t="shared" si="0"/>
        <v>0</v>
      </c>
      <c r="I33" s="27"/>
      <c r="J33" s="28"/>
      <c r="K33" s="25">
        <f t="shared" si="5"/>
        <v>2000</v>
      </c>
      <c r="L33" s="26">
        <f t="shared" si="1"/>
        <v>0</v>
      </c>
      <c r="M33" s="27"/>
      <c r="N33" s="30">
        <f t="shared" si="2"/>
        <v>0</v>
      </c>
      <c r="O33" s="31" t="str">
        <f t="shared" si="3"/>
        <v/>
      </c>
    </row>
    <row r="34" spans="2:15" x14ac:dyDescent="0.2">
      <c r="B34" s="33"/>
      <c r="C34" s="21"/>
      <c r="D34" s="22"/>
      <c r="E34" s="23"/>
      <c r="F34" s="24"/>
      <c r="G34" s="25">
        <f t="shared" si="6"/>
        <v>2000</v>
      </c>
      <c r="H34" s="26">
        <f t="shared" si="0"/>
        <v>0</v>
      </c>
      <c r="I34" s="27"/>
      <c r="J34" s="28"/>
      <c r="K34" s="25">
        <f t="shared" si="5"/>
        <v>2000</v>
      </c>
      <c r="L34" s="26">
        <f t="shared" si="1"/>
        <v>0</v>
      </c>
      <c r="M34" s="27"/>
      <c r="N34" s="30">
        <f t="shared" si="2"/>
        <v>0</v>
      </c>
      <c r="O34" s="31" t="str">
        <f t="shared" si="3"/>
        <v/>
      </c>
    </row>
    <row r="35" spans="2:15" x14ac:dyDescent="0.2">
      <c r="B35" s="33"/>
      <c r="C35" s="21"/>
      <c r="D35" s="22"/>
      <c r="E35" s="23"/>
      <c r="F35" s="24"/>
      <c r="G35" s="25">
        <f t="shared" si="6"/>
        <v>2000</v>
      </c>
      <c r="H35" s="26">
        <f t="shared" si="0"/>
        <v>0</v>
      </c>
      <c r="I35" s="27"/>
      <c r="J35" s="28"/>
      <c r="K35" s="25">
        <f t="shared" si="5"/>
        <v>2000</v>
      </c>
      <c r="L35" s="26">
        <f t="shared" si="1"/>
        <v>0</v>
      </c>
      <c r="M35" s="27"/>
      <c r="N35" s="30">
        <f t="shared" si="2"/>
        <v>0</v>
      </c>
      <c r="O35" s="31" t="str">
        <f t="shared" si="3"/>
        <v/>
      </c>
    </row>
    <row r="36" spans="2:15" x14ac:dyDescent="0.2">
      <c r="B36" s="33"/>
      <c r="C36" s="21"/>
      <c r="D36" s="22"/>
      <c r="E36" s="23"/>
      <c r="F36" s="24"/>
      <c r="G36" s="25">
        <f t="shared" si="6"/>
        <v>2000</v>
      </c>
      <c r="H36" s="26">
        <f t="shared" si="0"/>
        <v>0</v>
      </c>
      <c r="I36" s="27"/>
      <c r="J36" s="28"/>
      <c r="K36" s="25">
        <f t="shared" si="5"/>
        <v>2000</v>
      </c>
      <c r="L36" s="26">
        <f t="shared" si="1"/>
        <v>0</v>
      </c>
      <c r="M36" s="27"/>
      <c r="N36" s="30">
        <f t="shared" si="2"/>
        <v>0</v>
      </c>
      <c r="O36" s="31" t="str">
        <f t="shared" si="3"/>
        <v/>
      </c>
    </row>
    <row r="37" spans="2:15" x14ac:dyDescent="0.2">
      <c r="B37" s="33"/>
      <c r="C37" s="21"/>
      <c r="D37" s="22"/>
      <c r="E37" s="23"/>
      <c r="F37" s="24"/>
      <c r="G37" s="25">
        <f t="shared" si="6"/>
        <v>2000</v>
      </c>
      <c r="H37" s="26">
        <f t="shared" si="0"/>
        <v>0</v>
      </c>
      <c r="I37" s="27"/>
      <c r="J37" s="28"/>
      <c r="K37" s="25">
        <f t="shared" si="5"/>
        <v>2000</v>
      </c>
      <c r="L37" s="26">
        <f t="shared" si="1"/>
        <v>0</v>
      </c>
      <c r="M37" s="27"/>
      <c r="N37" s="30">
        <f t="shared" si="2"/>
        <v>0</v>
      </c>
      <c r="O37" s="31" t="str">
        <f t="shared" si="3"/>
        <v/>
      </c>
    </row>
    <row r="38" spans="2:15" x14ac:dyDescent="0.2">
      <c r="B38" s="33"/>
      <c r="C38" s="21"/>
      <c r="D38" s="22"/>
      <c r="E38" s="23"/>
      <c r="F38" s="24"/>
      <c r="G38" s="25">
        <f t="shared" si="6"/>
        <v>2000</v>
      </c>
      <c r="H38" s="26">
        <f t="shared" si="0"/>
        <v>0</v>
      </c>
      <c r="I38" s="27"/>
      <c r="J38" s="28"/>
      <c r="K38" s="25">
        <f t="shared" si="5"/>
        <v>2000</v>
      </c>
      <c r="L38" s="26">
        <f t="shared" si="1"/>
        <v>0</v>
      </c>
      <c r="M38" s="27"/>
      <c r="N38" s="30">
        <f t="shared" si="2"/>
        <v>0</v>
      </c>
      <c r="O38" s="31" t="str">
        <f t="shared" si="3"/>
        <v/>
      </c>
    </row>
    <row r="39" spans="2:15" s="45" customFormat="1" x14ac:dyDescent="0.2">
      <c r="B39" s="34" t="s">
        <v>25</v>
      </c>
      <c r="C39" s="35"/>
      <c r="D39" s="36"/>
      <c r="E39" s="35"/>
      <c r="F39" s="37"/>
      <c r="G39" s="38"/>
      <c r="H39" s="39">
        <f>SUM(H23:H38)</f>
        <v>56.470000000000006</v>
      </c>
      <c r="I39" s="40"/>
      <c r="J39" s="41"/>
      <c r="K39" s="42"/>
      <c r="L39" s="39">
        <f>SUM(L23:L38)</f>
        <v>54.769999999999996</v>
      </c>
      <c r="M39" s="40"/>
      <c r="N39" s="43">
        <f t="shared" si="2"/>
        <v>-1.7000000000000099</v>
      </c>
      <c r="O39" s="44">
        <f t="shared" si="3"/>
        <v>-3.0104480255002831E-2</v>
      </c>
    </row>
    <row r="40" spans="2:15" ht="25.5" x14ac:dyDescent="0.2">
      <c r="B40" s="46" t="s">
        <v>26</v>
      </c>
      <c r="C40" s="21"/>
      <c r="D40" s="22"/>
      <c r="E40" s="23"/>
      <c r="F40" s="24">
        <v>0</v>
      </c>
      <c r="G40" s="25">
        <f>$F$18</f>
        <v>2000</v>
      </c>
      <c r="H40" s="26">
        <f>G40*F40</f>
        <v>0</v>
      </c>
      <c r="I40" s="27"/>
      <c r="J40" s="28">
        <v>-5.9999999999999995E-4</v>
      </c>
      <c r="K40" s="25">
        <f>$F$18</f>
        <v>2000</v>
      </c>
      <c r="L40" s="26">
        <f>K40*J40</f>
        <v>-1.2</v>
      </c>
      <c r="M40" s="27"/>
      <c r="N40" s="30">
        <f>L40-H40</f>
        <v>-1.2</v>
      </c>
      <c r="O40" s="31" t="str">
        <f>IF((H40)=0,"",(N40/H40))</f>
        <v/>
      </c>
    </row>
    <row r="41" spans="2:15" x14ac:dyDescent="0.2">
      <c r="B41" s="46"/>
      <c r="C41" s="21"/>
      <c r="D41" s="22"/>
      <c r="E41" s="23"/>
      <c r="F41" s="24"/>
      <c r="G41" s="25">
        <f t="shared" ref="G41:G43" si="7">$F$18</f>
        <v>2000</v>
      </c>
      <c r="H41" s="26">
        <f t="shared" ref="H41:H45" si="8">G41*F41</f>
        <v>0</v>
      </c>
      <c r="I41" s="47"/>
      <c r="J41" s="28"/>
      <c r="K41" s="25">
        <f t="shared" ref="K41:K43" si="9">$F$18</f>
        <v>2000</v>
      </c>
      <c r="L41" s="26">
        <f t="shared" ref="L41:L45" si="10">K41*J41</f>
        <v>0</v>
      </c>
      <c r="M41" s="48"/>
      <c r="N41" s="30">
        <f t="shared" ref="N41:N45" si="11">L41-H41</f>
        <v>0</v>
      </c>
      <c r="O41" s="31" t="str">
        <f t="shared" ref="O41:O65" si="12">IF((H41)=0,"",(N41/H41))</f>
        <v/>
      </c>
    </row>
    <row r="42" spans="2:15" x14ac:dyDescent="0.2">
      <c r="B42" s="46"/>
      <c r="C42" s="21"/>
      <c r="D42" s="22"/>
      <c r="E42" s="23"/>
      <c r="F42" s="24"/>
      <c r="G42" s="25">
        <f t="shared" si="7"/>
        <v>2000</v>
      </c>
      <c r="H42" s="26">
        <f t="shared" si="8"/>
        <v>0</v>
      </c>
      <c r="I42" s="47"/>
      <c r="J42" s="28"/>
      <c r="K42" s="25">
        <f t="shared" si="9"/>
        <v>2000</v>
      </c>
      <c r="L42" s="26">
        <f t="shared" si="10"/>
        <v>0</v>
      </c>
      <c r="M42" s="48"/>
      <c r="N42" s="30">
        <f t="shared" si="11"/>
        <v>0</v>
      </c>
      <c r="O42" s="31" t="str">
        <f t="shared" si="12"/>
        <v/>
      </c>
    </row>
    <row r="43" spans="2:15" x14ac:dyDescent="0.2">
      <c r="B43" s="46"/>
      <c r="C43" s="21"/>
      <c r="D43" s="22"/>
      <c r="E43" s="23"/>
      <c r="F43" s="24"/>
      <c r="G43" s="25">
        <f t="shared" si="7"/>
        <v>2000</v>
      </c>
      <c r="H43" s="26">
        <f t="shared" si="8"/>
        <v>0</v>
      </c>
      <c r="I43" s="47"/>
      <c r="J43" s="28"/>
      <c r="K43" s="25">
        <f t="shared" si="9"/>
        <v>2000</v>
      </c>
      <c r="L43" s="26">
        <f t="shared" si="10"/>
        <v>0</v>
      </c>
      <c r="M43" s="48"/>
      <c r="N43" s="30">
        <f t="shared" si="11"/>
        <v>0</v>
      </c>
      <c r="O43" s="31" t="str">
        <f t="shared" si="12"/>
        <v/>
      </c>
    </row>
    <row r="44" spans="2:15" x14ac:dyDescent="0.2">
      <c r="B44" s="49" t="s">
        <v>27</v>
      </c>
      <c r="C44" s="21"/>
      <c r="D44" s="22" t="s">
        <v>22</v>
      </c>
      <c r="E44" s="23"/>
      <c r="F44" s="50">
        <v>6.0000000000000002E-5</v>
      </c>
      <c r="G44" s="51">
        <f>$F$18*(1+F74)</f>
        <v>2071.6</v>
      </c>
      <c r="H44" s="26">
        <f>G44*F44</f>
        <v>0.124296</v>
      </c>
      <c r="I44" s="27"/>
      <c r="J44" s="52">
        <v>6.9999999999999994E-5</v>
      </c>
      <c r="K44" s="51">
        <f>$F$18*(1+J74)</f>
        <v>2067.6</v>
      </c>
      <c r="L44" s="26">
        <f>K44*J44</f>
        <v>0.14473199999999997</v>
      </c>
      <c r="M44" s="27"/>
      <c r="N44" s="30">
        <f>L44-H44</f>
        <v>2.0435999999999968E-2</v>
      </c>
      <c r="O44" s="31">
        <f>IF((H44)=0,"",(N44/H44))</f>
        <v>0.16441397953272807</v>
      </c>
    </row>
    <row r="45" spans="2:15" x14ac:dyDescent="0.2">
      <c r="B45" s="49" t="s">
        <v>28</v>
      </c>
      <c r="C45" s="21"/>
      <c r="D45" s="22"/>
      <c r="E45" s="23"/>
      <c r="F45" s="53">
        <f>IF(ISBLANK(D16)=TRUE, 0, IF(D16="TOU", 0.64*$F$55+0.18*$F$56+0.18*$F$57, IF(AND(D16="non-TOU", G59&gt;0), F59,F58)))</f>
        <v>0.10214000000000001</v>
      </c>
      <c r="G45" s="54">
        <f>$F$18*(1+$F$74)-$F$18</f>
        <v>71.599999999999909</v>
      </c>
      <c r="H45" s="26">
        <f t="shared" si="8"/>
        <v>7.3132239999999911</v>
      </c>
      <c r="I45" s="27"/>
      <c r="J45" s="55">
        <f>0.64*$J$55+0.18*$J$56+0.18*$J$57</f>
        <v>0.10214000000000001</v>
      </c>
      <c r="K45" s="54">
        <f>$F$18*(1+$J$74)-$F$18</f>
        <v>67.599999999999909</v>
      </c>
      <c r="L45" s="26">
        <f t="shared" si="10"/>
        <v>6.9046639999999915</v>
      </c>
      <c r="M45" s="27"/>
      <c r="N45" s="30">
        <f t="shared" si="11"/>
        <v>-0.40855999999999959</v>
      </c>
      <c r="O45" s="31">
        <f t="shared" si="12"/>
        <v>-5.5865921787709508E-2</v>
      </c>
    </row>
    <row r="46" spans="2:15" x14ac:dyDescent="0.2">
      <c r="B46" s="49" t="s">
        <v>29</v>
      </c>
      <c r="C46" s="21"/>
      <c r="D46" s="22" t="s">
        <v>19</v>
      </c>
      <c r="E46" s="23"/>
      <c r="F46" s="53">
        <v>0.79</v>
      </c>
      <c r="G46" s="25">
        <v>1</v>
      </c>
      <c r="H46" s="26">
        <f>G46*F46</f>
        <v>0.79</v>
      </c>
      <c r="I46" s="27"/>
      <c r="J46" s="53">
        <v>0.79</v>
      </c>
      <c r="K46" s="25">
        <v>1</v>
      </c>
      <c r="L46" s="26">
        <f>K46*J46</f>
        <v>0.79</v>
      </c>
      <c r="M46" s="27"/>
      <c r="N46" s="30">
        <f>L46-H46</f>
        <v>0</v>
      </c>
      <c r="O46" s="31">
        <f t="shared" si="12"/>
        <v>0</v>
      </c>
    </row>
    <row r="47" spans="2:15" ht="25.5" x14ac:dyDescent="0.2">
      <c r="B47" s="56" t="s">
        <v>30</v>
      </c>
      <c r="C47" s="57"/>
      <c r="D47" s="57"/>
      <c r="E47" s="57"/>
      <c r="F47" s="58"/>
      <c r="G47" s="59"/>
      <c r="H47" s="60">
        <f>SUM(H40:H46)+H39</f>
        <v>64.697519999999997</v>
      </c>
      <c r="I47" s="40"/>
      <c r="J47" s="59"/>
      <c r="K47" s="61"/>
      <c r="L47" s="60">
        <f>SUM(L40:L46)+L39</f>
        <v>61.409395999999987</v>
      </c>
      <c r="M47" s="40"/>
      <c r="N47" s="43">
        <f t="shared" ref="N47:N65" si="13">L47-H47</f>
        <v>-3.2881240000000105</v>
      </c>
      <c r="O47" s="44">
        <f t="shared" si="12"/>
        <v>-5.0823030001768396E-2</v>
      </c>
    </row>
    <row r="48" spans="2:15" x14ac:dyDescent="0.2">
      <c r="B48" s="27" t="s">
        <v>31</v>
      </c>
      <c r="C48" s="27"/>
      <c r="D48" s="62" t="s">
        <v>22</v>
      </c>
      <c r="E48" s="63"/>
      <c r="F48" s="28">
        <v>7.7000000000000002E-3</v>
      </c>
      <c r="G48" s="64">
        <f>F18*(1+F74)</f>
        <v>2071.6</v>
      </c>
      <c r="H48" s="26">
        <f>G48*F48</f>
        <v>15.951319999999999</v>
      </c>
      <c r="I48" s="27"/>
      <c r="J48" s="28">
        <v>7.7000000000000002E-3</v>
      </c>
      <c r="K48" s="65">
        <f>F18*(1+J74)</f>
        <v>2067.6</v>
      </c>
      <c r="L48" s="26">
        <f>K48*J48</f>
        <v>15.92052</v>
      </c>
      <c r="M48" s="27"/>
      <c r="N48" s="30">
        <f t="shared" si="13"/>
        <v>-3.0799999999999272E-2</v>
      </c>
      <c r="O48" s="31">
        <f t="shared" si="12"/>
        <v>-1.9308746862328179E-3</v>
      </c>
    </row>
    <row r="49" spans="2:15" ht="25.5" x14ac:dyDescent="0.2">
      <c r="B49" s="66" t="s">
        <v>32</v>
      </c>
      <c r="C49" s="27"/>
      <c r="D49" s="62" t="s">
        <v>22</v>
      </c>
      <c r="E49" s="63"/>
      <c r="F49" s="28">
        <v>4.1999999999999997E-3</v>
      </c>
      <c r="G49" s="64">
        <f>G48</f>
        <v>2071.6</v>
      </c>
      <c r="H49" s="26">
        <f>G49*F49</f>
        <v>8.7007199999999987</v>
      </c>
      <c r="I49" s="27"/>
      <c r="J49" s="28">
        <v>4.1999999999999997E-3</v>
      </c>
      <c r="K49" s="65">
        <f>K48</f>
        <v>2067.6</v>
      </c>
      <c r="L49" s="26">
        <f>K49*J49</f>
        <v>8.6839199999999988</v>
      </c>
      <c r="M49" s="27"/>
      <c r="N49" s="30">
        <f t="shared" si="13"/>
        <v>-1.6799999999999926E-2</v>
      </c>
      <c r="O49" s="31">
        <f t="shared" si="12"/>
        <v>-1.9308746862328552E-3</v>
      </c>
    </row>
    <row r="50" spans="2:15" ht="25.5" x14ac:dyDescent="0.2">
      <c r="B50" s="56" t="s">
        <v>33</v>
      </c>
      <c r="C50" s="35"/>
      <c r="D50" s="35"/>
      <c r="E50" s="35"/>
      <c r="F50" s="67"/>
      <c r="G50" s="59"/>
      <c r="H50" s="60">
        <f>SUM(H47:H49)</f>
        <v>89.349559999999997</v>
      </c>
      <c r="I50" s="68"/>
      <c r="J50" s="69"/>
      <c r="K50" s="70"/>
      <c r="L50" s="60">
        <f>SUM(L47:L49)</f>
        <v>86.013835999999984</v>
      </c>
      <c r="M50" s="68"/>
      <c r="N50" s="43">
        <f t="shared" si="13"/>
        <v>-3.3357240000000132</v>
      </c>
      <c r="O50" s="44">
        <f t="shared" si="12"/>
        <v>-3.7333412721898274E-2</v>
      </c>
    </row>
    <row r="51" spans="2:15" ht="25.5" x14ac:dyDescent="0.2">
      <c r="B51" s="71" t="s">
        <v>34</v>
      </c>
      <c r="C51" s="21"/>
      <c r="D51" s="22" t="s">
        <v>22</v>
      </c>
      <c r="E51" s="23"/>
      <c r="F51" s="72">
        <v>4.4000000000000003E-3</v>
      </c>
      <c r="G51" s="64">
        <f>G49</f>
        <v>2071.6</v>
      </c>
      <c r="H51" s="73">
        <f t="shared" ref="H51:H57" si="14">G51*F51</f>
        <v>9.1150400000000005</v>
      </c>
      <c r="I51" s="27"/>
      <c r="J51" s="72">
        <v>4.4000000000000003E-3</v>
      </c>
      <c r="K51" s="65">
        <f>K49</f>
        <v>2067.6</v>
      </c>
      <c r="L51" s="73">
        <f t="shared" ref="L51:L57" si="15">K51*J51</f>
        <v>9.0974400000000006</v>
      </c>
      <c r="M51" s="27"/>
      <c r="N51" s="30">
        <f t="shared" si="13"/>
        <v>-1.7599999999999838E-2</v>
      </c>
      <c r="O51" s="74">
        <f t="shared" si="12"/>
        <v>-1.9308746862328457E-3</v>
      </c>
    </row>
    <row r="52" spans="2:15" ht="25.5" x14ac:dyDescent="0.2">
      <c r="B52" s="71" t="s">
        <v>35</v>
      </c>
      <c r="C52" s="21"/>
      <c r="D52" s="22" t="s">
        <v>22</v>
      </c>
      <c r="E52" s="23"/>
      <c r="F52" s="72">
        <v>1.2999999999999999E-3</v>
      </c>
      <c r="G52" s="64">
        <f>G49</f>
        <v>2071.6</v>
      </c>
      <c r="H52" s="73">
        <f t="shared" si="14"/>
        <v>2.6930799999999997</v>
      </c>
      <c r="I52" s="27"/>
      <c r="J52" s="72">
        <v>1.2999999999999999E-3</v>
      </c>
      <c r="K52" s="65">
        <f>K49</f>
        <v>2067.6</v>
      </c>
      <c r="L52" s="73">
        <f t="shared" si="15"/>
        <v>2.6878799999999998</v>
      </c>
      <c r="M52" s="27"/>
      <c r="N52" s="30">
        <f t="shared" si="13"/>
        <v>-5.1999999999998714E-3</v>
      </c>
      <c r="O52" s="74">
        <f t="shared" si="12"/>
        <v>-1.930874686232816E-3</v>
      </c>
    </row>
    <row r="53" spans="2:15" x14ac:dyDescent="0.2">
      <c r="B53" s="21" t="s">
        <v>36</v>
      </c>
      <c r="C53" s="21"/>
      <c r="D53" s="22" t="s">
        <v>19</v>
      </c>
      <c r="E53" s="23"/>
      <c r="F53" s="72">
        <v>0.25</v>
      </c>
      <c r="G53" s="25">
        <v>1</v>
      </c>
      <c r="H53" s="73">
        <f t="shared" si="14"/>
        <v>0.25</v>
      </c>
      <c r="I53" s="27"/>
      <c r="J53" s="72">
        <v>0.25</v>
      </c>
      <c r="K53" s="29">
        <v>1</v>
      </c>
      <c r="L53" s="73">
        <f t="shared" si="15"/>
        <v>0.25</v>
      </c>
      <c r="M53" s="27"/>
      <c r="N53" s="30">
        <f t="shared" si="13"/>
        <v>0</v>
      </c>
      <c r="O53" s="74">
        <f t="shared" si="12"/>
        <v>0</v>
      </c>
    </row>
    <row r="54" spans="2:15" x14ac:dyDescent="0.2">
      <c r="B54" s="21" t="s">
        <v>37</v>
      </c>
      <c r="C54" s="21"/>
      <c r="D54" s="22"/>
      <c r="E54" s="23"/>
      <c r="F54" s="72">
        <v>6.94E-3</v>
      </c>
      <c r="G54" s="75">
        <f>$F$18</f>
        <v>2000</v>
      </c>
      <c r="H54" s="73">
        <f t="shared" si="14"/>
        <v>13.88</v>
      </c>
      <c r="I54" s="27"/>
      <c r="J54" s="72">
        <f>+F54</f>
        <v>6.94E-3</v>
      </c>
      <c r="K54" s="76">
        <f>$F$18</f>
        <v>2000</v>
      </c>
      <c r="L54" s="73">
        <f t="shared" si="15"/>
        <v>13.88</v>
      </c>
      <c r="M54" s="27"/>
      <c r="N54" s="30">
        <f t="shared" si="13"/>
        <v>0</v>
      </c>
      <c r="O54" s="74">
        <f t="shared" si="12"/>
        <v>0</v>
      </c>
    </row>
    <row r="55" spans="2:15" x14ac:dyDescent="0.2">
      <c r="B55" s="49" t="s">
        <v>38</v>
      </c>
      <c r="C55" s="21"/>
      <c r="D55" s="22"/>
      <c r="E55" s="23"/>
      <c r="F55" s="72">
        <v>0.08</v>
      </c>
      <c r="G55" s="77">
        <f>0.64*$F$18</f>
        <v>1280</v>
      </c>
      <c r="H55" s="73">
        <f t="shared" si="14"/>
        <v>102.4</v>
      </c>
      <c r="I55" s="27"/>
      <c r="J55" s="72">
        <v>0.08</v>
      </c>
      <c r="K55" s="77">
        <f>$G$55</f>
        <v>1280</v>
      </c>
      <c r="L55" s="73">
        <f t="shared" si="15"/>
        <v>102.4</v>
      </c>
      <c r="M55" s="27"/>
      <c r="N55" s="30">
        <f t="shared" si="13"/>
        <v>0</v>
      </c>
      <c r="O55" s="74">
        <f t="shared" si="12"/>
        <v>0</v>
      </c>
    </row>
    <row r="56" spans="2:15" x14ac:dyDescent="0.2">
      <c r="B56" s="49" t="s">
        <v>39</v>
      </c>
      <c r="C56" s="21"/>
      <c r="D56" s="22"/>
      <c r="E56" s="23"/>
      <c r="F56" s="72">
        <v>0.122</v>
      </c>
      <c r="G56" s="77">
        <f>0.18*$F$18</f>
        <v>360</v>
      </c>
      <c r="H56" s="73">
        <f t="shared" si="14"/>
        <v>43.92</v>
      </c>
      <c r="I56" s="27"/>
      <c r="J56" s="72">
        <v>0.122</v>
      </c>
      <c r="K56" s="77">
        <f>$G$56</f>
        <v>360</v>
      </c>
      <c r="L56" s="73">
        <f t="shared" si="15"/>
        <v>43.92</v>
      </c>
      <c r="M56" s="27"/>
      <c r="N56" s="30">
        <f t="shared" si="13"/>
        <v>0</v>
      </c>
      <c r="O56" s="74">
        <f t="shared" si="12"/>
        <v>0</v>
      </c>
    </row>
    <row r="57" spans="2:15" x14ac:dyDescent="0.2">
      <c r="B57" s="11" t="s">
        <v>40</v>
      </c>
      <c r="C57" s="21"/>
      <c r="D57" s="22"/>
      <c r="E57" s="23"/>
      <c r="F57" s="72">
        <v>0.161</v>
      </c>
      <c r="G57" s="77">
        <f>0.18*$F$18</f>
        <v>360</v>
      </c>
      <c r="H57" s="73">
        <f t="shared" si="14"/>
        <v>57.96</v>
      </c>
      <c r="I57" s="27"/>
      <c r="J57" s="72">
        <v>0.161</v>
      </c>
      <c r="K57" s="77">
        <f>$G$57</f>
        <v>360</v>
      </c>
      <c r="L57" s="73">
        <f t="shared" si="15"/>
        <v>57.96</v>
      </c>
      <c r="M57" s="27"/>
      <c r="N57" s="30">
        <f t="shared" si="13"/>
        <v>0</v>
      </c>
      <c r="O57" s="74">
        <f t="shared" si="12"/>
        <v>0</v>
      </c>
    </row>
    <row r="58" spans="2:15" s="85" customFormat="1" x14ac:dyDescent="0.2">
      <c r="B58" s="78" t="s">
        <v>41</v>
      </c>
      <c r="C58" s="79"/>
      <c r="D58" s="80"/>
      <c r="E58" s="81"/>
      <c r="F58" s="72">
        <v>9.4E-2</v>
      </c>
      <c r="G58" s="82">
        <f>IF(AND($O$1=1, F18&gt;=600), 600, IF(AND($O$1=1, AND(F18&lt;600, F18&gt;=0)), F18, IF(AND($O$1=2, F18&gt;=1000), 1000, IF(AND($O$1=2, AND(F18&lt;1000, F18&gt;=0)), F18))))</f>
        <v>600</v>
      </c>
      <c r="H58" s="73">
        <f>G58*F58</f>
        <v>56.4</v>
      </c>
      <c r="I58" s="83"/>
      <c r="J58" s="72">
        <v>9.4E-2</v>
      </c>
      <c r="K58" s="82">
        <f>$G$58</f>
        <v>600</v>
      </c>
      <c r="L58" s="73">
        <f>K58*J58</f>
        <v>56.4</v>
      </c>
      <c r="M58" s="83"/>
      <c r="N58" s="84">
        <f t="shared" si="13"/>
        <v>0</v>
      </c>
      <c r="O58" s="74">
        <f t="shared" si="12"/>
        <v>0</v>
      </c>
    </row>
    <row r="59" spans="2:15" s="85" customFormat="1" ht="13.5" thickBot="1" x14ac:dyDescent="0.25">
      <c r="B59" s="78" t="s">
        <v>42</v>
      </c>
      <c r="C59" s="79"/>
      <c r="D59" s="80"/>
      <c r="E59" s="81"/>
      <c r="F59" s="72">
        <v>0.11</v>
      </c>
      <c r="G59" s="82">
        <f>IF(AND($O$1=1, F18&gt;=600), F18-600, IF(AND($O$1=1, AND(F18&lt;600, F18&gt;=0)), 0, IF(AND($O$1=2, F18&gt;=1000), F18-1000, IF(AND($O$1=2, AND(F18&lt;1000, F18&gt;=0)), 0))))</f>
        <v>1400</v>
      </c>
      <c r="H59" s="73">
        <f>G59*F59</f>
        <v>154</v>
      </c>
      <c r="I59" s="83"/>
      <c r="J59" s="72">
        <v>0.11</v>
      </c>
      <c r="K59" s="82">
        <f>$G$59</f>
        <v>1400</v>
      </c>
      <c r="L59" s="73">
        <f>K59*J59</f>
        <v>154</v>
      </c>
      <c r="M59" s="83"/>
      <c r="N59" s="84">
        <f t="shared" si="13"/>
        <v>0</v>
      </c>
      <c r="O59" s="74">
        <f t="shared" si="12"/>
        <v>0</v>
      </c>
    </row>
    <row r="60" spans="2:15" ht="8.25" customHeight="1" thickBot="1" x14ac:dyDescent="0.25">
      <c r="B60" s="86"/>
      <c r="C60" s="87"/>
      <c r="D60" s="88"/>
      <c r="E60" s="87"/>
      <c r="F60" s="89"/>
      <c r="G60" s="90"/>
      <c r="H60" s="91"/>
      <c r="I60" s="92"/>
      <c r="J60" s="89"/>
      <c r="K60" s="93"/>
      <c r="L60" s="91"/>
      <c r="M60" s="92"/>
      <c r="N60" s="94"/>
      <c r="O60" s="95"/>
    </row>
    <row r="61" spans="2:15" x14ac:dyDescent="0.2">
      <c r="B61" s="96" t="s">
        <v>43</v>
      </c>
      <c r="C61" s="21"/>
      <c r="D61" s="21"/>
      <c r="E61" s="21"/>
      <c r="F61" s="97"/>
      <c r="G61" s="98"/>
      <c r="H61" s="99">
        <f>SUM(H51:H57,H50)</f>
        <v>319.56768</v>
      </c>
      <c r="I61" s="100"/>
      <c r="J61" s="101"/>
      <c r="K61" s="101"/>
      <c r="L61" s="99">
        <f>SUM(L51:L57,L50)</f>
        <v>316.20915600000001</v>
      </c>
      <c r="M61" s="102"/>
      <c r="N61" s="103">
        <f t="shared" ref="N61" si="16">L61-H61</f>
        <v>-3.3585239999999885</v>
      </c>
      <c r="O61" s="104">
        <f t="shared" ref="O61" si="17">IF((H61)=0,"",(N61/H61))</f>
        <v>-1.050958595061925E-2</v>
      </c>
    </row>
    <row r="62" spans="2:15" x14ac:dyDescent="0.2">
      <c r="B62" s="105" t="s">
        <v>44</v>
      </c>
      <c r="C62" s="21"/>
      <c r="D62" s="21"/>
      <c r="E62" s="21"/>
      <c r="F62" s="106">
        <v>0.13</v>
      </c>
      <c r="G62" s="107"/>
      <c r="H62" s="108">
        <f>H61*F62</f>
        <v>41.5437984</v>
      </c>
      <c r="I62" s="109"/>
      <c r="J62" s="110">
        <v>0.13</v>
      </c>
      <c r="K62" s="109"/>
      <c r="L62" s="111">
        <f>L61*J62</f>
        <v>41.107190280000005</v>
      </c>
      <c r="M62" s="112"/>
      <c r="N62" s="113">
        <f t="shared" si="13"/>
        <v>-0.43660811999999538</v>
      </c>
      <c r="O62" s="114">
        <f t="shared" si="12"/>
        <v>-1.0509585950619175E-2</v>
      </c>
    </row>
    <row r="63" spans="2:15" x14ac:dyDescent="0.2">
      <c r="B63" s="115" t="s">
        <v>45</v>
      </c>
      <c r="C63" s="21"/>
      <c r="D63" s="21"/>
      <c r="E63" s="21"/>
      <c r="F63" s="116"/>
      <c r="G63" s="107"/>
      <c r="H63" s="108">
        <f>H61+H62</f>
        <v>361.11147840000001</v>
      </c>
      <c r="I63" s="109"/>
      <c r="J63" s="109"/>
      <c r="K63" s="109"/>
      <c r="L63" s="111">
        <f>L61+L62</f>
        <v>357.31634628</v>
      </c>
      <c r="M63" s="112"/>
      <c r="N63" s="113">
        <f t="shared" si="13"/>
        <v>-3.7951321200000052</v>
      </c>
      <c r="O63" s="114">
        <f t="shared" si="12"/>
        <v>-1.05095859506193E-2</v>
      </c>
    </row>
    <row r="64" spans="2:15" ht="15.75" customHeight="1" x14ac:dyDescent="0.2">
      <c r="B64" s="186" t="s">
        <v>46</v>
      </c>
      <c r="C64" s="186"/>
      <c r="D64" s="186"/>
      <c r="E64" s="21"/>
      <c r="F64" s="116"/>
      <c r="G64" s="107"/>
      <c r="H64" s="117">
        <f>ROUND(-H63*10%,2)</f>
        <v>-36.11</v>
      </c>
      <c r="I64" s="109"/>
      <c r="J64" s="109"/>
      <c r="K64" s="109"/>
      <c r="L64" s="118">
        <f>ROUND(-L63*10%,2)</f>
        <v>-35.729999999999997</v>
      </c>
      <c r="M64" s="112"/>
      <c r="N64" s="118">
        <f t="shared" si="13"/>
        <v>0.38000000000000256</v>
      </c>
      <c r="O64" s="119">
        <f t="shared" si="12"/>
        <v>-1.0523400720022226E-2</v>
      </c>
    </row>
    <row r="65" spans="1:15" ht="13.5" thickBot="1" x14ac:dyDescent="0.25">
      <c r="B65" s="187" t="s">
        <v>47</v>
      </c>
      <c r="C65" s="187"/>
      <c r="D65" s="187"/>
      <c r="E65" s="120"/>
      <c r="F65" s="121"/>
      <c r="G65" s="122"/>
      <c r="H65" s="123">
        <f>H63+H64</f>
        <v>325.0014784</v>
      </c>
      <c r="I65" s="124"/>
      <c r="J65" s="124"/>
      <c r="K65" s="124"/>
      <c r="L65" s="125">
        <f>L63+L64</f>
        <v>321.58634627999999</v>
      </c>
      <c r="M65" s="126"/>
      <c r="N65" s="127">
        <f t="shared" si="13"/>
        <v>-3.4151321200000098</v>
      </c>
      <c r="O65" s="128">
        <f t="shared" si="12"/>
        <v>-1.0508051030453436E-2</v>
      </c>
    </row>
    <row r="66" spans="1:15" s="85" customFormat="1" ht="8.25" customHeight="1" thickBot="1" x14ac:dyDescent="0.25">
      <c r="B66" s="129"/>
      <c r="C66" s="130"/>
      <c r="D66" s="131"/>
      <c r="E66" s="130"/>
      <c r="F66" s="89"/>
      <c r="G66" s="132"/>
      <c r="H66" s="91"/>
      <c r="I66" s="133"/>
      <c r="J66" s="89"/>
      <c r="K66" s="134"/>
      <c r="L66" s="91"/>
      <c r="M66" s="133"/>
      <c r="N66" s="135"/>
      <c r="O66" s="95"/>
    </row>
    <row r="67" spans="1:15" s="85" customFormat="1" x14ac:dyDescent="0.2">
      <c r="B67" s="136" t="s">
        <v>48</v>
      </c>
      <c r="C67" s="79"/>
      <c r="D67" s="79"/>
      <c r="E67" s="79"/>
      <c r="F67" s="137"/>
      <c r="G67" s="138"/>
      <c r="H67" s="139">
        <f>SUM(H58:H59,H50,H51:H54)</f>
        <v>325.68768</v>
      </c>
      <c r="I67" s="140"/>
      <c r="J67" s="141"/>
      <c r="K67" s="141"/>
      <c r="L67" s="139">
        <f>SUM(L58:L59,L50,L51:L54)</f>
        <v>322.32915600000001</v>
      </c>
      <c r="M67" s="142"/>
      <c r="N67" s="143">
        <f t="shared" ref="N67:N71" si="18">L67-H67</f>
        <v>-3.3585239999999885</v>
      </c>
      <c r="O67" s="104">
        <f t="shared" ref="O67:O71" si="19">IF((H67)=0,"",(N67/H67))</f>
        <v>-1.0312100230503003E-2</v>
      </c>
    </row>
    <row r="68" spans="1:15" s="85" customFormat="1" x14ac:dyDescent="0.2">
      <c r="B68" s="144" t="s">
        <v>44</v>
      </c>
      <c r="C68" s="79"/>
      <c r="D68" s="79"/>
      <c r="E68" s="79"/>
      <c r="F68" s="145">
        <v>0.13</v>
      </c>
      <c r="G68" s="138"/>
      <c r="H68" s="146">
        <f>H67*F68</f>
        <v>42.3393984</v>
      </c>
      <c r="I68" s="147"/>
      <c r="J68" s="148">
        <v>0.13</v>
      </c>
      <c r="K68" s="149"/>
      <c r="L68" s="150">
        <f>L67*J68</f>
        <v>41.902790280000005</v>
      </c>
      <c r="M68" s="151"/>
      <c r="N68" s="152">
        <f t="shared" si="18"/>
        <v>-0.43660811999999538</v>
      </c>
      <c r="O68" s="114">
        <f t="shared" si="19"/>
        <v>-1.031210023050293E-2</v>
      </c>
    </row>
    <row r="69" spans="1:15" s="85" customFormat="1" x14ac:dyDescent="0.2">
      <c r="B69" s="153" t="s">
        <v>45</v>
      </c>
      <c r="C69" s="79"/>
      <c r="D69" s="79"/>
      <c r="E69" s="79"/>
      <c r="F69" s="154"/>
      <c r="G69" s="155"/>
      <c r="H69" s="146">
        <f>H67+H68</f>
        <v>368.02707839999999</v>
      </c>
      <c r="I69" s="147"/>
      <c r="J69" s="147"/>
      <c r="K69" s="147"/>
      <c r="L69" s="150">
        <f>L67+L68</f>
        <v>364.23194627999999</v>
      </c>
      <c r="M69" s="151"/>
      <c r="N69" s="152">
        <f t="shared" si="18"/>
        <v>-3.7951321200000052</v>
      </c>
      <c r="O69" s="114">
        <f t="shared" si="19"/>
        <v>-1.0312100230503054E-2</v>
      </c>
    </row>
    <row r="70" spans="1:15" s="85" customFormat="1" ht="15.75" customHeight="1" x14ac:dyDescent="0.2">
      <c r="B70" s="188" t="s">
        <v>46</v>
      </c>
      <c r="C70" s="188"/>
      <c r="D70" s="188"/>
      <c r="E70" s="79"/>
      <c r="F70" s="154"/>
      <c r="G70" s="155"/>
      <c r="H70" s="156">
        <f>ROUND(-H69*10%,2)</f>
        <v>-36.799999999999997</v>
      </c>
      <c r="I70" s="147"/>
      <c r="J70" s="147"/>
      <c r="K70" s="147"/>
      <c r="L70" s="118">
        <f>ROUND(-L69*10%,2)</f>
        <v>-36.42</v>
      </c>
      <c r="M70" s="151"/>
      <c r="N70" s="157">
        <f t="shared" si="18"/>
        <v>0.37999999999999545</v>
      </c>
      <c r="O70" s="119">
        <f t="shared" si="19"/>
        <v>-1.0326086956521617E-2</v>
      </c>
    </row>
    <row r="71" spans="1:15" s="85" customFormat="1" ht="13.5" thickBot="1" x14ac:dyDescent="0.25">
      <c r="B71" s="185" t="s">
        <v>49</v>
      </c>
      <c r="C71" s="185"/>
      <c r="D71" s="185"/>
      <c r="E71" s="158"/>
      <c r="F71" s="159"/>
      <c r="G71" s="160"/>
      <c r="H71" s="161">
        <f>SUM(H69:H70)</f>
        <v>331.22707839999998</v>
      </c>
      <c r="I71" s="162"/>
      <c r="J71" s="162"/>
      <c r="K71" s="162"/>
      <c r="L71" s="163">
        <f>SUM(L69:L70)</f>
        <v>327.81194627999997</v>
      </c>
      <c r="M71" s="164"/>
      <c r="N71" s="165">
        <f t="shared" si="18"/>
        <v>-3.4151321200000098</v>
      </c>
      <c r="O71" s="166">
        <f t="shared" si="19"/>
        <v>-1.0310546276883169E-2</v>
      </c>
    </row>
    <row r="72" spans="1:15" s="85" customFormat="1" ht="8.25" customHeight="1" thickBot="1" x14ac:dyDescent="0.25">
      <c r="B72" s="129"/>
      <c r="C72" s="130"/>
      <c r="D72" s="131"/>
      <c r="E72" s="130"/>
      <c r="F72" s="167"/>
      <c r="G72" s="168"/>
      <c r="H72" s="169"/>
      <c r="I72" s="170"/>
      <c r="J72" s="167"/>
      <c r="K72" s="132"/>
      <c r="L72" s="171"/>
      <c r="M72" s="133"/>
      <c r="N72" s="172"/>
      <c r="O72" s="95"/>
    </row>
    <row r="73" spans="1:15" x14ac:dyDescent="0.2">
      <c r="L73" s="173"/>
    </row>
    <row r="74" spans="1:15" x14ac:dyDescent="0.2">
      <c r="B74" s="12" t="s">
        <v>50</v>
      </c>
      <c r="F74" s="174">
        <v>3.5799999999999998E-2</v>
      </c>
      <c r="J74" s="174">
        <v>3.3799999999999997E-2</v>
      </c>
    </row>
    <row r="76" spans="1:15" ht="15.75" customHeight="1" x14ac:dyDescent="0.2">
      <c r="A76" s="175" t="s">
        <v>51</v>
      </c>
    </row>
    <row r="77" spans="1:15" ht="13.5" customHeight="1" x14ac:dyDescent="0.2"/>
    <row r="78" spans="1:15" ht="8.25" customHeight="1" x14ac:dyDescent="0.2">
      <c r="A78" s="6" t="s">
        <v>52</v>
      </c>
    </row>
    <row r="79" spans="1:15" x14ac:dyDescent="0.2">
      <c r="A79" s="6" t="s">
        <v>53</v>
      </c>
    </row>
    <row r="81" spans="1:2" x14ac:dyDescent="0.2">
      <c r="A81" s="11" t="s">
        <v>54</v>
      </c>
    </row>
    <row r="82" spans="1:2" x14ac:dyDescent="0.2">
      <c r="A82" s="11" t="s">
        <v>55</v>
      </c>
    </row>
    <row r="84" spans="1:2" x14ac:dyDescent="0.2">
      <c r="A84" s="6" t="s">
        <v>56</v>
      </c>
    </row>
    <row r="85" spans="1:2" x14ac:dyDescent="0.2">
      <c r="A85" s="6" t="s">
        <v>57</v>
      </c>
    </row>
    <row r="86" spans="1:2" x14ac:dyDescent="0.2">
      <c r="A86" s="6" t="s">
        <v>58</v>
      </c>
    </row>
    <row r="87" spans="1:2" x14ac:dyDescent="0.2">
      <c r="A87" s="6" t="s">
        <v>59</v>
      </c>
    </row>
    <row r="88" spans="1:2" x14ac:dyDescent="0.2">
      <c r="A88" s="6" t="s">
        <v>60</v>
      </c>
    </row>
    <row r="90" spans="1:2" x14ac:dyDescent="0.2">
      <c r="A90" s="176"/>
      <c r="B90" s="6" t="s">
        <v>61</v>
      </c>
    </row>
    <row r="92" spans="1:2" x14ac:dyDescent="0.2">
      <c r="B92" s="177" t="s">
        <v>62</v>
      </c>
    </row>
  </sheetData>
  <sheetProtection selectLockedCells="1"/>
  <mergeCells count="12">
    <mergeCell ref="N21:N22"/>
    <mergeCell ref="O21:O22"/>
    <mergeCell ref="A3:K3"/>
    <mergeCell ref="D14:O14"/>
    <mergeCell ref="F20:H20"/>
    <mergeCell ref="J20:L20"/>
    <mergeCell ref="N20:O20"/>
    <mergeCell ref="B71:D71"/>
    <mergeCell ref="B64:D64"/>
    <mergeCell ref="B65:D65"/>
    <mergeCell ref="B70:D70"/>
    <mergeCell ref="D21:D22"/>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361950</xdr:colOff>
                    <xdr:row>16</xdr:row>
                    <xdr:rowOff>114300</xdr:rowOff>
                  </from>
                  <to>
                    <xdr:col>15</xdr:col>
                    <xdr:colOff>381000</xdr:colOff>
                    <xdr:row>18</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HOLFIN-45-448</_dlc_DocId>
    <_dlc_DocIdUrl xmlns="2b8bb3d4-4679-4201-bf4e-ecf5a190cbdc">
      <Url>http://spapp01/sites/FIN/REG/RateApp/_layouts/DocIdRedir.aspx?ID=HOLFIN-45-448</Url>
      <Description>HOLFIN-45-448</Description>
    </_dlc_DocIdUrl>
    <RA_Tab xmlns="2b8bb3d4-4679-4201-bf4e-ecf5a190cbdc">1</RA_Tab>
    <RA_Schedule xmlns="2b8bb3d4-4679-4201-bf4e-ecf5a190cbdc">1</RA_Schedule>
    <RA_x0020_Regulatory_x0020_Lead xmlns="2b8bb3d4-4679-4201-bf4e-ecf5a190cbdc">
      <UserInfo>
        <DisplayName>Barrie, April</DisplayName>
        <AccountId>122</AccountId>
        <AccountType/>
      </UserInfo>
    </RA_x0020_Regulatory_x0020_Lead>
    <_x0032_016_x0020_RA_x0020_Intervenors xmlns="0155767b-e6ba-4d29-b8c8-011d6d403181">VECC</_x0032_016_x0020_RA_x0020_Intervenors>
    <_x0032_016_x0020_RA_x0020_Intervenor_x0020_Question_x0020_Number xmlns="0155767b-e6ba-4d29-b8c8-011d6d403181">48</_x0032_016_x0020_RA_x0020_Intervenor_x0020_Question_x0020_Number>
    <Exhibit_Number xmlns="2b8bb3d4-4679-4201-bf4e-ecf5a190cbdc">H</Exhibit_Number>
    <Geoff_x0020_to_x0020_Review xmlns="47865585-8351-43e6-b564-f6107d4ef9ce">false</Geoff_x0020_to_x0020_Review>
    <Accountable xmlns="47865585-8351-43e6-b564-f6107d4ef9ce">
      <UserInfo>
        <DisplayName>Barrie, April</DisplayName>
        <AccountId>122</AccountId>
        <AccountType/>
      </UserInfo>
    </Accountable>
    <Contributors xmlns="47865585-8351-43e6-b564-f6107d4ef9ce">
      <UserInfo>
        <DisplayName/>
        <AccountId xsi:nil="true"/>
        <AccountType/>
      </UserInfo>
    </Contributo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9d54efc9-ddd0-46ce-8ac6-e4a1c98f1b3f" ContentTypeId="0x0101" PreviousValue="false"/>
</file>

<file path=customXml/itemProps1.xml><?xml version="1.0" encoding="utf-8"?>
<ds:datastoreItem xmlns:ds="http://schemas.openxmlformats.org/officeDocument/2006/customXml" ds:itemID="{86E7423D-1CB9-4B5B-803B-8EA12FC0FBA5}">
  <ds:schemaRefs>
    <ds:schemaRef ds:uri="2b8bb3d4-4679-4201-bf4e-ecf5a190cbdc"/>
    <ds:schemaRef ds:uri="http://www.w3.org/XML/1998/namespace"/>
    <ds:schemaRef ds:uri="http://purl.org/dc/elements/1.1/"/>
    <ds:schemaRef ds:uri="http://schemas.microsoft.com/office/2006/documentManagement/types"/>
    <ds:schemaRef ds:uri="http://purl.org/dc/terms/"/>
    <ds:schemaRef ds:uri="47865585-8351-43e6-b564-f6107d4ef9ce"/>
    <ds:schemaRef ds:uri="http://purl.org/dc/dcmitype/"/>
    <ds:schemaRef ds:uri="0155767b-e6ba-4d29-b8c8-011d6d40318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288244B-2585-4E13-9D47-BCD2CE651FAF}">
  <ds:schemaRefs>
    <ds:schemaRef ds:uri="http://schemas.microsoft.com/sharepoint/v3/contenttype/forms"/>
  </ds:schemaRefs>
</ds:datastoreItem>
</file>

<file path=customXml/itemProps3.xml><?xml version="1.0" encoding="utf-8"?>
<ds:datastoreItem xmlns:ds="http://schemas.openxmlformats.org/officeDocument/2006/customXml" ds:itemID="{342AE6A0-662F-4B05-AC53-18BFECCB4AD7}">
  <ds:schemaRefs>
    <ds:schemaRef ds:uri="http://schemas.microsoft.com/sharepoint/events"/>
  </ds:schemaRefs>
</ds:datastoreItem>
</file>

<file path=customXml/itemProps4.xml><?xml version="1.0" encoding="utf-8"?>
<ds:datastoreItem xmlns:ds="http://schemas.openxmlformats.org/officeDocument/2006/customXml" ds:itemID="{39B33D51-98BB-446C-B28B-A878EC6D1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0155767b-e6ba-4d29-b8c8-011d6d403181"/>
    <ds:schemaRef ds:uri="47865585-8351-43e6-b564-f6107d4ef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10C6311-7306-4A58-8A9B-1076E33DF5F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Res (100)</vt:lpstr>
      <vt:lpstr>Res (250)</vt:lpstr>
      <vt:lpstr>Res (500)</vt:lpstr>
      <vt:lpstr>Res (800)</vt:lpstr>
      <vt:lpstr>Res (1000)</vt:lpstr>
      <vt:lpstr>Res (1500)</vt:lpstr>
      <vt:lpstr>Res (2000)</vt:lpstr>
      <vt:lpstr>'Res (100)'!Print_Area</vt:lpstr>
      <vt:lpstr>'Res (1000)'!Print_Area</vt:lpstr>
      <vt:lpstr>'Res (1500)'!Print_Area</vt:lpstr>
      <vt:lpstr>'Res (2000)'!Print_Area</vt:lpstr>
      <vt:lpstr>'Res (250)'!Print_Area</vt:lpstr>
      <vt:lpstr>'Res (500)'!Print_Area</vt:lpstr>
      <vt:lpstr>'Res (800)'!Print_Area</vt:lpstr>
      <vt:lpstr>'Res (100)'!Print_Titles</vt:lpstr>
      <vt:lpstr>'Res (1000)'!Print_Titles</vt:lpstr>
      <vt:lpstr>'Res (1500)'!Print_Titles</vt:lpstr>
      <vt:lpstr>'Res (2000)'!Print_Titles</vt:lpstr>
      <vt:lpstr>'Res (250)'!Print_Titles</vt:lpstr>
      <vt:lpstr>'Res (500)'!Print_Titles</vt:lpstr>
      <vt:lpstr>'Res (800)'!Print_Titles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EB-2015-0004_HOL_App_2-W_Bill_Impacts</dc:title>
  <dc:creator>aprilb</dc:creator>
  <cp:lastModifiedBy>dephnem</cp:lastModifiedBy>
  <cp:lastPrinted>2015-04-29T16:48:05Z</cp:lastPrinted>
  <dcterms:created xsi:type="dcterms:W3CDTF">2015-04-28T13:50:50Z</dcterms:created>
  <dcterms:modified xsi:type="dcterms:W3CDTF">2015-08-04T13:55:33Z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_dlc_DocIdItemGuid">
    <vt:lpwstr>9c90a4e9-74ff-4e87-84b3-0de24b4093e1</vt:lpwstr>
  </property>
  <property fmtid="{D5CDD505-2E9C-101B-9397-08002B2CF9AE}" pid="4" name="TaxKeyword">
    <vt:lpwstr/>
  </property>
  <property fmtid="{D5CDD505-2E9C-101B-9397-08002B2CF9AE}" pid="5" name="Sensitivity">
    <vt:lpwstr>Internal Use Only</vt:lpwstr>
  </property>
  <property fmtid="{D5CDD505-2E9C-101B-9397-08002B2CF9AE}" pid="6" name="_DCDateCreated">
    <vt:filetime>2015-04-29T04:00:00Z</vt:filetime>
  </property>
  <property fmtid="{D5CDD505-2E9C-101B-9397-08002B2CF9AE}" pid="7" name="Document Type">
    <vt:lpwstr>MS Excel</vt:lpwstr>
  </property>
</Properties>
</file>