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sulting Project Work\Canada\Ontario\OEB\2015-2020 DSM Plans\GEC Testimony\Interrogatories\EP\Responses\Draft\"/>
    </mc:Choice>
  </mc:AlternateContent>
  <bookViews>
    <workbookView xWindow="0" yWindow="0" windowWidth="20160" windowHeight="9036"/>
  </bookViews>
  <sheets>
    <sheet name="GHG" sheetId="8" r:id="rId1"/>
    <sheet name="DRIPE" sheetId="6" r:id="rId2"/>
    <sheet name="marg vs avg" sheetId="10" r:id="rId3"/>
    <sheet name="T&amp;D" sheetId="11" r:id="rId4"/>
    <sheet name="Sum all ratepayer bens" sheetId="12" r:id="rId5"/>
  </sheets>
  <calcPr calcId="152511"/>
</workbook>
</file>

<file path=xl/calcChain.xml><?xml version="1.0" encoding="utf-8"?>
<calcChain xmlns="http://schemas.openxmlformats.org/spreadsheetml/2006/main">
  <c r="C28" i="11" l="1"/>
  <c r="I14" i="10"/>
  <c r="G13" i="10"/>
  <c r="F13" i="10"/>
  <c r="G14" i="10"/>
  <c r="F14" i="10"/>
  <c r="F6" i="10"/>
  <c r="G6" i="10"/>
  <c r="J14" i="10" l="1"/>
  <c r="D6" i="12" s="1"/>
  <c r="B7" i="6"/>
  <c r="I6" i="10" l="1"/>
  <c r="J6" i="10" s="1"/>
  <c r="H5" i="10" l="1"/>
  <c r="G5" i="10"/>
  <c r="F5" i="10"/>
  <c r="F6" i="12"/>
  <c r="H6" i="12" s="1"/>
  <c r="I5" i="10" l="1"/>
  <c r="J5" i="10" s="1"/>
  <c r="C6" i="12" s="1"/>
  <c r="E6" i="12" s="1"/>
  <c r="G6" i="12" s="1"/>
  <c r="E21" i="11"/>
  <c r="E22" i="11" s="1"/>
  <c r="E23" i="11" s="1"/>
  <c r="F21" i="11"/>
  <c r="F22" i="11" s="1"/>
  <c r="F23" i="11" s="1"/>
  <c r="G21" i="11"/>
  <c r="G22" i="11" s="1"/>
  <c r="G23" i="11" s="1"/>
  <c r="D21" i="11"/>
  <c r="D22" i="11" s="1"/>
  <c r="D23" i="11" s="1"/>
  <c r="H25" i="11" l="1"/>
  <c r="C7" i="12" s="1"/>
  <c r="E7" i="12" s="1"/>
  <c r="G7" i="12" s="1"/>
  <c r="H26" i="11"/>
  <c r="D7" i="12" s="1"/>
  <c r="F7" i="12" s="1"/>
  <c r="H7" i="12" s="1"/>
  <c r="D6" i="8" l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C8" i="8" l="1"/>
  <c r="C12" i="8"/>
  <c r="C16" i="8"/>
  <c r="C20" i="8"/>
  <c r="C24" i="8"/>
  <c r="C9" i="8"/>
  <c r="C13" i="8"/>
  <c r="C17" i="8"/>
  <c r="C21" i="8"/>
  <c r="C25" i="8"/>
  <c r="C6" i="8"/>
  <c r="C10" i="8"/>
  <c r="C14" i="8"/>
  <c r="C18" i="8"/>
  <c r="C22" i="8"/>
  <c r="C5" i="8"/>
  <c r="C7" i="8"/>
  <c r="C11" i="8"/>
  <c r="C15" i="8"/>
  <c r="C19" i="8"/>
  <c r="C23" i="8"/>
  <c r="C27" i="8" l="1"/>
  <c r="C4" i="12" s="1"/>
  <c r="E4" i="12" s="1"/>
  <c r="G4" i="12" s="1"/>
  <c r="D4" i="12"/>
  <c r="F4" i="12" s="1"/>
  <c r="H4" i="12" s="1"/>
  <c r="B5" i="6" l="1"/>
  <c r="B6" i="6" s="1"/>
  <c r="B8" i="6" l="1"/>
  <c r="D6" i="6"/>
  <c r="B9" i="6" l="1"/>
  <c r="B10" i="6" s="1"/>
  <c r="C5" i="12" s="1"/>
  <c r="D5" i="12" l="1"/>
  <c r="F5" i="12" s="1"/>
  <c r="E5" i="12"/>
  <c r="E8" i="12" s="1"/>
  <c r="C8" i="12"/>
  <c r="D8" i="12"/>
  <c r="G5" i="12"/>
  <c r="G8" i="12" s="1"/>
  <c r="H5" i="12" l="1"/>
  <c r="H8" i="12" s="1"/>
  <c r="F8" i="12"/>
</calcChain>
</file>

<file path=xl/sharedStrings.xml><?xml version="1.0" encoding="utf-8"?>
<sst xmlns="http://schemas.openxmlformats.org/spreadsheetml/2006/main" count="74" uniqueCount="59">
  <si>
    <t>Enbridge</t>
  </si>
  <si>
    <t>Union</t>
  </si>
  <si>
    <t>Total</t>
  </si>
  <si>
    <t>m3</t>
  </si>
  <si>
    <t>$/m3</t>
  </si>
  <si>
    <t>2016-2020 Avg Annual Forecast demand</t>
  </si>
  <si>
    <t>Price reduction per billion m3 of reduced demand</t>
  </si>
  <si>
    <t>Price reduction benefit to Ontario per billion m3 reduced demand</t>
  </si>
  <si>
    <t>per year</t>
  </si>
  <si>
    <t>2016-2020 Avg Annual $ Savings</t>
  </si>
  <si>
    <t>2016-2020 Avg Annual m3 Savings</t>
  </si>
  <si>
    <t>NPV of lifetime savings per program year</t>
  </si>
  <si>
    <t>inflation rate</t>
  </si>
  <si>
    <t>$/MMBtu</t>
  </si>
  <si>
    <t>2014 USD</t>
  </si>
  <si>
    <t>2015 CDN</t>
  </si>
  <si>
    <t>2015 USD to CDN conversion</t>
  </si>
  <si>
    <t>2014 to 2015 USD conversion</t>
  </si>
  <si>
    <t>m3 per MMBtu</t>
  </si>
  <si>
    <t>16 year NPV</t>
  </si>
  <si>
    <t>Price reduction benefit to Ontario per annual m3 reduced demand</t>
  </si>
  <si>
    <t>NPV of lifetime savings per annual m3 saved</t>
  </si>
  <si>
    <t>WH</t>
  </si>
  <si>
    <t>SH</t>
  </si>
  <si>
    <t>WH+SH</t>
  </si>
  <si>
    <t>(baseload)</t>
  </si>
  <si>
    <t>(weather-sensitive)</t>
  </si>
  <si>
    <t>Diff btw avoided cost and avg commodity cost</t>
  </si>
  <si>
    <t>SH + WH</t>
  </si>
  <si>
    <t>Ind.</t>
  </si>
  <si>
    <t>Wtd Avg.</t>
  </si>
  <si>
    <t>Navigant est.</t>
  </si>
  <si>
    <t>Chernick est.</t>
  </si>
  <si>
    <t>value per 1st yr.</t>
  </si>
  <si>
    <t>NPV lifetime</t>
  </si>
  <si>
    <t>Enbridge 2014 mix</t>
  </si>
  <si>
    <t>nominal Disc Rt</t>
  </si>
  <si>
    <t>this is a value that doesn't change in nominal terms, so discounted with nominal disc rt</t>
  </si>
  <si>
    <t>avg annual m3 savings</t>
  </si>
  <si>
    <t>Benefit</t>
  </si>
  <si>
    <t>Avoided carbon regulation costs</t>
  </si>
  <si>
    <t>Price suppression effects</t>
  </si>
  <si>
    <t>Avoided distribution system costs</t>
  </si>
  <si>
    <t>Avg. Annual Value from Utilities' Proposed 2016-2020 DSM Plans (millions $)</t>
  </si>
  <si>
    <r>
      <t>NPV per Annual 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Saved</t>
    </r>
  </si>
  <si>
    <t>Reduce purchase of most expensive gas</t>
  </si>
  <si>
    <t>Union 2014 mix</t>
  </si>
  <si>
    <t>Enbridge % of savings of diff load shapes</t>
  </si>
  <si>
    <t>% of Avg Annual Budget (2016-2020)</t>
  </si>
  <si>
    <t>avg annual budget (real 2015$)</t>
  </si>
  <si>
    <t>Carbon Emissions value</t>
  </si>
  <si>
    <t>Conversion Assumptions</t>
  </si>
  <si>
    <t>per Chernick</t>
  </si>
  <si>
    <t>per Union filing (Exh A/T3 p.6)</t>
  </si>
  <si>
    <t>WH/Ind</t>
  </si>
  <si>
    <t>WH/ind</t>
  </si>
  <si>
    <t>per Chernick (avg of 2015 and 2016 values)</t>
  </si>
  <si>
    <t>per Chernick, these values are labeled per not peak day demand but are really per annual m3</t>
  </si>
  <si>
    <t>Per Chernick, multiply by 3 to 5 to get reasonable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</si>
</sst>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"/>
    <numFmt numFmtId="168" formatCode="&quot;$&quot;#,##0.00000_);[Red]\(&quot;$&quot;#,##0.00000\)"/>
    <numFmt numFmtId="169" formatCode="0.000"/>
    <numFmt numFmtId="170" formatCode="_(* #,##0.000_);_(* \(#,##0.000\);_(* &quot;-&quot;??_);_(@_)"/>
    <numFmt numFmtId="171" formatCode="&quot;$&quot;#,##0.000_);[Red]\(&quot;$&quot;#,##0.000\)"/>
    <numFmt numFmtId="172" formatCode="&quot;$&quot;#,##0.0"/>
    <numFmt numFmtId="173" formatCode="&quot;$&quot;#,##0.0000"/>
    <numFmt numFmtId="174" formatCode="&quot;$&quot;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charset val="129"/>
      <scheme val="minor"/>
    </font>
    <font>
      <i/>
      <sz val="12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164" fontId="0" fillId="0" borderId="0" xfId="1" applyNumberFormat="1" applyFont="1"/>
    <xf numFmtId="8" fontId="0" fillId="0" borderId="0" xfId="0" applyNumberFormat="1"/>
    <xf numFmtId="165" fontId="0" fillId="0" borderId="0" xfId="2" applyNumberFormat="1" applyFont="1"/>
    <xf numFmtId="166" fontId="0" fillId="0" borderId="0" xfId="3" applyNumberFormat="1" applyFont="1"/>
    <xf numFmtId="2" fontId="0" fillId="0" borderId="0" xfId="0" applyNumberFormat="1"/>
    <xf numFmtId="10" fontId="0" fillId="0" borderId="0" xfId="3" applyNumberFormat="1" applyFont="1"/>
    <xf numFmtId="0" fontId="16" fillId="0" borderId="0" xfId="0" applyFont="1"/>
    <xf numFmtId="0" fontId="20" fillId="0" borderId="0" xfId="0" applyFont="1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6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1" applyNumberFormat="1" applyFont="1"/>
    <xf numFmtId="0" fontId="0" fillId="0" borderId="0" xfId="0" applyAlignment="1">
      <alignment horizontal="right"/>
    </xf>
    <xf numFmtId="171" fontId="0" fillId="0" borderId="0" xfId="0" applyNumberFormat="1"/>
    <xf numFmtId="173" fontId="22" fillId="0" borderId="0" xfId="0" applyNumberFormat="1" applyFont="1"/>
    <xf numFmtId="169" fontId="0" fillId="0" borderId="16" xfId="0" applyNumberFormat="1" applyBorder="1"/>
    <xf numFmtId="169" fontId="0" fillId="0" borderId="17" xfId="0" applyNumberFormat="1" applyBorder="1"/>
    <xf numFmtId="169" fontId="0" fillId="0" borderId="18" xfId="0" applyNumberFormat="1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wrapText="1"/>
    </xf>
    <xf numFmtId="0" fontId="23" fillId="0" borderId="0" xfId="0" applyFont="1" applyAlignment="1">
      <alignment vertical="center"/>
    </xf>
    <xf numFmtId="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4" fontId="0" fillId="0" borderId="0" xfId="0" applyNumberFormat="1"/>
    <xf numFmtId="0" fontId="19" fillId="33" borderId="22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18" fillId="0" borderId="0" xfId="0" applyFont="1" applyBorder="1"/>
    <xf numFmtId="8" fontId="18" fillId="0" borderId="25" xfId="0" applyNumberFormat="1" applyFont="1" applyBorder="1" applyAlignment="1">
      <alignment horizontal="center"/>
    </xf>
    <xf numFmtId="172" fontId="18" fillId="0" borderId="13" xfId="0" applyNumberFormat="1" applyFont="1" applyBorder="1" applyAlignment="1">
      <alignment horizontal="center"/>
    </xf>
    <xf numFmtId="9" fontId="18" fillId="0" borderId="14" xfId="3" applyFont="1" applyBorder="1" applyAlignment="1">
      <alignment horizontal="center"/>
    </xf>
    <xf numFmtId="0" fontId="18" fillId="0" borderId="22" xfId="0" applyFont="1" applyBorder="1"/>
    <xf numFmtId="0" fontId="19" fillId="0" borderId="15" xfId="0" applyFont="1" applyBorder="1"/>
    <xf numFmtId="8" fontId="19" fillId="0" borderId="24" xfId="0" applyNumberFormat="1" applyFont="1" applyBorder="1" applyAlignment="1">
      <alignment horizontal="center"/>
    </xf>
    <xf numFmtId="172" fontId="19" fillId="0" borderId="22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166" fontId="0" fillId="0" borderId="0" xfId="3" applyNumberFormat="1" applyFont="1" applyAlignment="1">
      <alignment horizontal="center"/>
    </xf>
    <xf numFmtId="8" fontId="18" fillId="0" borderId="0" xfId="0" applyNumberFormat="1" applyFont="1" applyBorder="1" applyAlignment="1">
      <alignment horizontal="center"/>
    </xf>
    <xf numFmtId="9" fontId="19" fillId="0" borderId="23" xfId="3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72" fontId="18" fillId="0" borderId="20" xfId="0" applyNumberFormat="1" applyFont="1" applyBorder="1" applyAlignment="1">
      <alignment horizontal="center"/>
    </xf>
    <xf numFmtId="9" fontId="18" fillId="0" borderId="25" xfId="3" applyFont="1" applyBorder="1" applyAlignment="1">
      <alignment horizontal="center"/>
    </xf>
    <xf numFmtId="9" fontId="19" fillId="0" borderId="24" xfId="3" applyFont="1" applyBorder="1" applyAlignment="1">
      <alignment horizontal="center"/>
    </xf>
    <xf numFmtId="0" fontId="19" fillId="33" borderId="24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6" fontId="0" fillId="0" borderId="0" xfId="0" applyNumberFormat="1" applyAlignment="1">
      <alignment horizontal="center"/>
    </xf>
    <xf numFmtId="167" fontId="16" fillId="0" borderId="0" xfId="0" applyNumberFormat="1" applyFont="1"/>
    <xf numFmtId="0" fontId="21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0" fontId="19" fillId="33" borderId="20" xfId="0" applyFont="1" applyFill="1" applyBorder="1" applyAlignment="1">
      <alignment horizontal="left"/>
    </xf>
    <xf numFmtId="0" fontId="19" fillId="33" borderId="21" xfId="0" applyFont="1" applyFill="1" applyBorder="1" applyAlignment="1">
      <alignment horizontal="left"/>
    </xf>
    <xf numFmtId="0" fontId="19" fillId="33" borderId="22" xfId="0" applyFont="1" applyFill="1" applyBorder="1" applyAlignment="1">
      <alignment horizontal="left"/>
    </xf>
    <xf numFmtId="0" fontId="19" fillId="33" borderId="15" xfId="0" applyFont="1" applyFill="1" applyBorder="1" applyAlignment="1">
      <alignment horizontal="left"/>
    </xf>
    <xf numFmtId="0" fontId="19" fillId="33" borderId="12" xfId="0" applyFont="1" applyFill="1" applyBorder="1" applyAlignment="1">
      <alignment horizontal="center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363856</xdr:colOff>
      <xdr:row>0</xdr:row>
      <xdr:rowOff>118110</xdr:rowOff>
    </xdr:from>
    <xdr:to>
      <xdr:col>9</xdr:col>
      <xdr:colOff>55776</xdr:colOff>
      <xdr:row>12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6" y="118110"/>
          <a:ext cx="5178320" cy="212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2" zoomScale="80" zoomScaleNormal="80" workbookViewId="0">
      <selection activeCell="I16" sqref="I16"/>
    </sheetView>
  </sheetViews>
  <sheetFormatPr defaultRowHeight="14.4"/>
  <cols>
    <col min="1" max="1" width="16.88671875" customWidth="1"/>
    <col min="3" max="3" width="13.33203125" style="10" customWidth="1"/>
  </cols>
  <sheetData>
    <row r="1" spans="1:7">
      <c r="A1" s="7" t="s">
        <v>50</v>
      </c>
      <c r="F1" s="4"/>
    </row>
    <row r="2" spans="1:7">
      <c r="F2" s="4"/>
    </row>
    <row r="3" spans="1:7">
      <c r="B3" s="10" t="s">
        <v>14</v>
      </c>
      <c r="C3" s="10" t="s">
        <v>15</v>
      </c>
      <c r="F3" s="51" t="s">
        <v>51</v>
      </c>
      <c r="G3" s="4"/>
    </row>
    <row r="4" spans="1:7">
      <c r="B4" s="10" t="s">
        <v>13</v>
      </c>
      <c r="C4" s="10" t="s">
        <v>4</v>
      </c>
    </row>
    <row r="5" spans="1:7">
      <c r="A5">
        <v>2020</v>
      </c>
      <c r="B5" s="5">
        <v>1.18</v>
      </c>
      <c r="C5" s="26">
        <f t="shared" ref="C5:C25" si="0">B5*(1+$F$5)*$F$7/$F$6</f>
        <v>5.4710854057351356E-2</v>
      </c>
      <c r="D5">
        <v>1</v>
      </c>
      <c r="F5" s="9">
        <v>8.0000000000000002E-3</v>
      </c>
      <c r="G5" t="s">
        <v>17</v>
      </c>
    </row>
    <row r="6" spans="1:7">
      <c r="A6">
        <f>A5+1</f>
        <v>2021</v>
      </c>
      <c r="B6" s="5">
        <v>1.27</v>
      </c>
      <c r="C6" s="26">
        <f t="shared" si="0"/>
        <v>5.8883715807488322E-2</v>
      </c>
      <c r="D6">
        <f>D5+1</f>
        <v>2</v>
      </c>
      <c r="F6" s="5">
        <v>28.327839999999998</v>
      </c>
      <c r="G6" t="s">
        <v>18</v>
      </c>
    </row>
    <row r="7" spans="1:7">
      <c r="A7">
        <f t="shared" ref="A7:A25" si="1">A6+1</f>
        <v>2022</v>
      </c>
      <c r="B7" s="5">
        <v>1.36</v>
      </c>
      <c r="C7" s="26">
        <f t="shared" si="0"/>
        <v>6.3056577557625296E-2</v>
      </c>
      <c r="D7">
        <f t="shared" ref="D7:D25" si="2">D6+1</f>
        <v>3</v>
      </c>
      <c r="F7" s="15">
        <v>1.3029999999999999</v>
      </c>
      <c r="G7" t="s">
        <v>16</v>
      </c>
    </row>
    <row r="8" spans="1:7">
      <c r="A8">
        <f t="shared" si="1"/>
        <v>2023</v>
      </c>
      <c r="B8" s="5">
        <v>1.45</v>
      </c>
      <c r="C8" s="26">
        <f t="shared" si="0"/>
        <v>6.7229439307762262E-2</v>
      </c>
      <c r="D8">
        <f t="shared" si="2"/>
        <v>4</v>
      </c>
    </row>
    <row r="9" spans="1:7">
      <c r="A9">
        <f t="shared" si="1"/>
        <v>2024</v>
      </c>
      <c r="B9" s="5">
        <v>1.53</v>
      </c>
      <c r="C9" s="26">
        <f t="shared" si="0"/>
        <v>7.0938649752328456E-2</v>
      </c>
      <c r="D9">
        <f t="shared" si="2"/>
        <v>5</v>
      </c>
    </row>
    <row r="10" spans="1:7">
      <c r="A10">
        <f t="shared" si="1"/>
        <v>2025</v>
      </c>
      <c r="B10" s="5">
        <v>1.62</v>
      </c>
      <c r="C10" s="26">
        <f t="shared" si="0"/>
        <v>7.5111511502465422E-2</v>
      </c>
      <c r="D10">
        <f t="shared" si="2"/>
        <v>6</v>
      </c>
    </row>
    <row r="11" spans="1:7">
      <c r="A11">
        <f t="shared" si="1"/>
        <v>2026</v>
      </c>
      <c r="B11" s="5">
        <v>1.71</v>
      </c>
      <c r="C11" s="26">
        <f t="shared" si="0"/>
        <v>7.9284373252602375E-2</v>
      </c>
      <c r="D11">
        <f t="shared" si="2"/>
        <v>7</v>
      </c>
    </row>
    <row r="12" spans="1:7">
      <c r="A12">
        <f t="shared" si="1"/>
        <v>2027</v>
      </c>
      <c r="B12" s="5">
        <v>1.8</v>
      </c>
      <c r="C12" s="26">
        <f t="shared" si="0"/>
        <v>8.3457235002739355E-2</v>
      </c>
      <c r="D12">
        <f t="shared" si="2"/>
        <v>8</v>
      </c>
    </row>
    <row r="13" spans="1:7">
      <c r="A13">
        <f t="shared" si="1"/>
        <v>2028</v>
      </c>
      <c r="B13" s="5">
        <v>1.89</v>
      </c>
      <c r="C13" s="26">
        <f t="shared" si="0"/>
        <v>8.7630096752876321E-2</v>
      </c>
      <c r="D13">
        <f t="shared" si="2"/>
        <v>9</v>
      </c>
    </row>
    <row r="14" spans="1:7">
      <c r="A14">
        <f t="shared" si="1"/>
        <v>2029</v>
      </c>
      <c r="B14" s="5">
        <v>1.98</v>
      </c>
      <c r="C14" s="26">
        <f t="shared" si="0"/>
        <v>9.1802958503013302E-2</v>
      </c>
      <c r="D14">
        <f t="shared" si="2"/>
        <v>10</v>
      </c>
    </row>
    <row r="15" spans="1:7">
      <c r="A15">
        <f t="shared" si="1"/>
        <v>2030</v>
      </c>
      <c r="B15" s="5">
        <v>2.0699999999999998</v>
      </c>
      <c r="C15" s="26">
        <f t="shared" si="0"/>
        <v>9.5975820253150254E-2</v>
      </c>
      <c r="D15">
        <f t="shared" si="2"/>
        <v>11</v>
      </c>
    </row>
    <row r="16" spans="1:7">
      <c r="A16">
        <f t="shared" si="1"/>
        <v>2031</v>
      </c>
      <c r="B16" s="5">
        <v>2.2200000000000002</v>
      </c>
      <c r="C16" s="26">
        <f t="shared" si="0"/>
        <v>0.10293058983671188</v>
      </c>
      <c r="D16">
        <f t="shared" si="2"/>
        <v>12</v>
      </c>
    </row>
    <row r="17" spans="1:4">
      <c r="A17">
        <f t="shared" si="1"/>
        <v>2032</v>
      </c>
      <c r="B17" s="5">
        <v>2.38</v>
      </c>
      <c r="C17" s="26">
        <f t="shared" si="0"/>
        <v>0.11034901072584424</v>
      </c>
      <c r="D17">
        <f t="shared" si="2"/>
        <v>13</v>
      </c>
    </row>
    <row r="18" spans="1:4">
      <c r="A18">
        <f t="shared" si="1"/>
        <v>2033</v>
      </c>
      <c r="B18" s="5">
        <v>2.5299999999999998</v>
      </c>
      <c r="C18" s="26">
        <f t="shared" si="0"/>
        <v>0.11730378030940584</v>
      </c>
      <c r="D18">
        <f t="shared" si="2"/>
        <v>14</v>
      </c>
    </row>
    <row r="19" spans="1:4">
      <c r="A19">
        <f t="shared" si="1"/>
        <v>2034</v>
      </c>
      <c r="B19" s="5">
        <v>2.69</v>
      </c>
      <c r="C19" s="26">
        <f t="shared" si="0"/>
        <v>0.12472220119853826</v>
      </c>
      <c r="D19">
        <f t="shared" si="2"/>
        <v>15</v>
      </c>
    </row>
    <row r="20" spans="1:4">
      <c r="A20">
        <f t="shared" si="1"/>
        <v>2035</v>
      </c>
      <c r="B20" s="5">
        <v>2.85</v>
      </c>
      <c r="C20" s="26">
        <f t="shared" si="0"/>
        <v>0.13214062208767066</v>
      </c>
      <c r="D20">
        <f t="shared" si="2"/>
        <v>16</v>
      </c>
    </row>
    <row r="21" spans="1:4">
      <c r="A21">
        <f t="shared" si="1"/>
        <v>2036</v>
      </c>
      <c r="B21" s="5">
        <v>3</v>
      </c>
      <c r="C21" s="26">
        <f t="shared" si="0"/>
        <v>0.13909539167123225</v>
      </c>
      <c r="D21">
        <f t="shared" si="2"/>
        <v>17</v>
      </c>
    </row>
    <row r="22" spans="1:4">
      <c r="A22">
        <f t="shared" si="1"/>
        <v>2037</v>
      </c>
      <c r="B22" s="5">
        <v>3.16</v>
      </c>
      <c r="C22" s="26">
        <f t="shared" si="0"/>
        <v>0.14651381256036464</v>
      </c>
      <c r="D22">
        <f t="shared" si="2"/>
        <v>18</v>
      </c>
    </row>
    <row r="23" spans="1:4">
      <c r="A23">
        <f t="shared" si="1"/>
        <v>2038</v>
      </c>
      <c r="B23" s="5">
        <v>3.32</v>
      </c>
      <c r="C23" s="26">
        <f t="shared" si="0"/>
        <v>0.153932233449497</v>
      </c>
      <c r="D23">
        <f t="shared" si="2"/>
        <v>19</v>
      </c>
    </row>
    <row r="24" spans="1:4">
      <c r="A24">
        <f t="shared" si="1"/>
        <v>2039</v>
      </c>
      <c r="B24" s="5">
        <v>3.47</v>
      </c>
      <c r="C24" s="26">
        <f t="shared" si="0"/>
        <v>0.16088700303305864</v>
      </c>
      <c r="D24">
        <f t="shared" si="2"/>
        <v>20</v>
      </c>
    </row>
    <row r="25" spans="1:4">
      <c r="A25">
        <f t="shared" si="1"/>
        <v>2040</v>
      </c>
      <c r="B25" s="5">
        <v>3.63</v>
      </c>
      <c r="C25" s="26">
        <f t="shared" si="0"/>
        <v>0.16830542392219106</v>
      </c>
      <c r="D25">
        <f t="shared" si="2"/>
        <v>21</v>
      </c>
    </row>
    <row r="27" spans="1:4">
      <c r="C27" s="25">
        <f>NPV(0.04,C5:C20)</f>
        <v>0.98351035393422492</v>
      </c>
      <c r="D27" t="s">
        <v>19</v>
      </c>
    </row>
    <row r="30" spans="1:4">
      <c r="C30" s="50"/>
    </row>
    <row r="31" spans="1:4">
      <c r="C31" s="50"/>
    </row>
    <row r="32" spans="1:4">
      <c r="C32" s="50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zoomScale="80" zoomScaleNormal="80" workbookViewId="0">
      <selection activeCell="E10" sqref="E10"/>
    </sheetView>
  </sheetViews>
  <sheetFormatPr defaultRowHeight="14.4"/>
  <cols>
    <col min="1" max="1" width="62.33203125" customWidth="1"/>
    <col min="2" max="2" width="14.5546875" bestFit="1" customWidth="1"/>
    <col min="3" max="3" width="13.88671875" bestFit="1" customWidth="1"/>
    <col min="8" max="8" width="14.88671875" bestFit="1" customWidth="1"/>
  </cols>
  <sheetData>
    <row r="3" spans="1:8">
      <c r="A3" t="s">
        <v>6</v>
      </c>
      <c r="B3" s="13">
        <v>2.7E-4</v>
      </c>
      <c r="C3" t="s">
        <v>52</v>
      </c>
    </row>
    <row r="4" spans="1:8">
      <c r="A4" t="s">
        <v>5</v>
      </c>
      <c r="B4" s="1">
        <v>26678919563.511066</v>
      </c>
      <c r="C4" t="s">
        <v>3</v>
      </c>
    </row>
    <row r="5" spans="1:8">
      <c r="A5" t="s">
        <v>7</v>
      </c>
      <c r="B5" s="12">
        <f>B4*B3</f>
        <v>7203308.2821479877</v>
      </c>
      <c r="C5" t="s">
        <v>8</v>
      </c>
    </row>
    <row r="6" spans="1:8">
      <c r="A6" t="s">
        <v>20</v>
      </c>
      <c r="B6" s="13">
        <f>B5/1000000000</f>
        <v>7.2033082821479875E-3</v>
      </c>
      <c r="D6" s="17">
        <f>-PV(0.04,16,B6)</f>
        <v>8.3935077458091145E-2</v>
      </c>
    </row>
    <row r="7" spans="1:8">
      <c r="A7" t="s">
        <v>10</v>
      </c>
      <c r="B7" s="1">
        <f>'Sum all ratepayer bens'!E13+'Sum all ratepayer bens'!F13</f>
        <v>149551083.19999999</v>
      </c>
    </row>
    <row r="8" spans="1:8">
      <c r="A8" t="s">
        <v>9</v>
      </c>
      <c r="B8" s="12">
        <f>B6*B7</f>
        <v>1077262.5562187626</v>
      </c>
    </row>
    <row r="9" spans="1:8">
      <c r="A9" t="s">
        <v>11</v>
      </c>
      <c r="B9" s="12">
        <f>-PV(0.04,16,B8)</f>
        <v>12552581.752333432</v>
      </c>
    </row>
    <row r="10" spans="1:8">
      <c r="A10" t="s">
        <v>21</v>
      </c>
      <c r="B10" s="14">
        <f>B9/B7</f>
        <v>8.3935077458091145E-2</v>
      </c>
    </row>
    <row r="14" spans="1:8">
      <c r="H14" s="11"/>
    </row>
    <row r="15" spans="1:8">
      <c r="C15" s="3"/>
      <c r="H15" s="3"/>
    </row>
    <row r="16" spans="1:8">
      <c r="C16" s="3"/>
      <c r="H16" s="3"/>
    </row>
    <row r="17" spans="3:3">
      <c r="C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6" sqref="F6:J6"/>
    </sheetView>
  </sheetViews>
  <sheetFormatPr defaultRowHeight="14.4"/>
  <cols>
    <col min="1" max="1" width="10.44140625" customWidth="1"/>
  </cols>
  <sheetData>
    <row r="1" spans="1:10" ht="15.6" customHeight="1">
      <c r="A1" s="52" t="s">
        <v>0</v>
      </c>
      <c r="B1" s="49"/>
      <c r="C1" s="18"/>
    </row>
    <row r="2" spans="1:10">
      <c r="A2" s="16"/>
      <c r="F2" s="10" t="s">
        <v>54</v>
      </c>
      <c r="G2" s="10" t="s">
        <v>23</v>
      </c>
      <c r="H2" s="10" t="s">
        <v>24</v>
      </c>
    </row>
    <row r="3" spans="1:10" ht="29.4" thickBot="1">
      <c r="A3" s="16"/>
      <c r="F3" s="22" t="s">
        <v>25</v>
      </c>
      <c r="G3" s="23" t="s">
        <v>26</v>
      </c>
      <c r="H3" s="10"/>
    </row>
    <row r="4" spans="1:10" ht="15" thickBot="1">
      <c r="A4" t="s">
        <v>27</v>
      </c>
      <c r="F4" s="19">
        <v>-1.2869999999999826E-3</v>
      </c>
      <c r="G4" s="20">
        <v>1.321300000000003E-2</v>
      </c>
      <c r="H4" s="21">
        <v>1.0812999999999989E-2</v>
      </c>
      <c r="I4" t="s">
        <v>52</v>
      </c>
    </row>
    <row r="5" spans="1:10">
      <c r="A5" t="s">
        <v>47</v>
      </c>
      <c r="F5" s="4">
        <f>'T&amp;D'!E25+'T&amp;D'!G25</f>
        <v>0.32800000000000001</v>
      </c>
      <c r="G5" s="4">
        <f>'T&amp;D'!D25</f>
        <v>0.61499999999999999</v>
      </c>
      <c r="H5" s="4">
        <f>'T&amp;D'!F25</f>
        <v>5.7000000000000002E-2</v>
      </c>
      <c r="I5" s="14">
        <f>SUMPRODUCT($F$4:$H$4,F5:H5)</f>
        <v>8.3202000000000241E-3</v>
      </c>
      <c r="J5" s="2">
        <f>-PV(0.04,16,I5)</f>
        <v>9.6949429916466906E-2</v>
      </c>
    </row>
    <row r="6" spans="1:10">
      <c r="A6" t="s">
        <v>1</v>
      </c>
      <c r="F6" s="4">
        <f>'T&amp;D'!$E$26+'T&amp;D'!$G$26</f>
        <v>0.71599999999999997</v>
      </c>
      <c r="G6" s="4">
        <f>'T&amp;D'!$D$26</f>
        <v>0.28399999999999997</v>
      </c>
      <c r="H6" s="4">
        <v>0</v>
      </c>
      <c r="I6" s="14">
        <f>SUMPRODUCT($F$4:$H$4,F6:H6)</f>
        <v>2.831000000000021E-3</v>
      </c>
      <c r="J6" s="2">
        <f>-PV(0.04,16,I6)</f>
        <v>3.2987648865834843E-2</v>
      </c>
    </row>
    <row r="9" spans="1:10" ht="15.6">
      <c r="A9" s="52" t="s">
        <v>1</v>
      </c>
    </row>
    <row r="11" spans="1:10">
      <c r="A11" s="16"/>
      <c r="F11" s="10" t="s">
        <v>55</v>
      </c>
      <c r="G11" s="10" t="s">
        <v>23</v>
      </c>
      <c r="H11" s="10" t="s">
        <v>24</v>
      </c>
    </row>
    <row r="12" spans="1:10" ht="29.4" thickBot="1">
      <c r="A12" s="16"/>
      <c r="F12" s="22" t="s">
        <v>25</v>
      </c>
      <c r="G12" s="23" t="s">
        <v>26</v>
      </c>
      <c r="H12" s="10"/>
    </row>
    <row r="13" spans="1:10" ht="15" thickBot="1">
      <c r="A13" t="s">
        <v>27</v>
      </c>
      <c r="F13" s="19">
        <f>AVERAGE(0.022,0.007)</f>
        <v>1.4499999999999999E-2</v>
      </c>
      <c r="G13" s="20">
        <f>AVERAGE(0.025,0.009)</f>
        <v>1.7000000000000001E-2</v>
      </c>
      <c r="H13" s="21">
        <v>0</v>
      </c>
      <c r="I13" t="s">
        <v>56</v>
      </c>
    </row>
    <row r="14" spans="1:10">
      <c r="A14" t="s">
        <v>47</v>
      </c>
      <c r="F14" s="4">
        <f>'T&amp;D'!$E$26+'T&amp;D'!$G$26</f>
        <v>0.71599999999999997</v>
      </c>
      <c r="G14" s="4">
        <f>'T&amp;D'!$D$26</f>
        <v>0.28399999999999997</v>
      </c>
      <c r="H14" s="4">
        <v>0</v>
      </c>
      <c r="I14" s="14">
        <f>SUMPRODUCT(F14:H14,F13:H13)</f>
        <v>1.5209999999999998E-2</v>
      </c>
      <c r="J14" s="2">
        <f>-PV(0.04,16,I14)</f>
        <v>0.17723141619545893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zoomScale="80" zoomScaleNormal="80" workbookViewId="0">
      <selection activeCell="J30" sqref="J30"/>
    </sheetView>
  </sheetViews>
  <sheetFormatPr defaultRowHeight="14.4"/>
  <sheetData>
    <row r="3" spans="1:11">
      <c r="A3" s="24"/>
    </row>
    <row r="4" spans="1:11">
      <c r="A4" s="24"/>
    </row>
    <row r="5" spans="1:11">
      <c r="A5" s="24"/>
    </row>
    <row r="6" spans="1:11">
      <c r="A6" s="24"/>
    </row>
    <row r="7" spans="1:11">
      <c r="A7" s="24"/>
      <c r="K7" s="24" t="s">
        <v>57</v>
      </c>
    </row>
    <row r="8" spans="1:11">
      <c r="A8" s="24"/>
      <c r="K8" s="24" t="s">
        <v>58</v>
      </c>
    </row>
    <row r="9" spans="1:11">
      <c r="A9" s="24"/>
    </row>
    <row r="15" spans="1:11">
      <c r="A15" s="24"/>
    </row>
    <row r="18" spans="1:9">
      <c r="D18" s="10" t="s">
        <v>23</v>
      </c>
      <c r="E18" s="10" t="s">
        <v>22</v>
      </c>
      <c r="F18" s="10" t="s">
        <v>28</v>
      </c>
      <c r="G18" s="10" t="s">
        <v>29</v>
      </c>
      <c r="H18" s="10" t="s">
        <v>30</v>
      </c>
    </row>
    <row r="19" spans="1:9">
      <c r="H19" s="10"/>
    </row>
    <row r="20" spans="1:9">
      <c r="B20" t="s">
        <v>31</v>
      </c>
      <c r="D20" s="10">
        <v>12.06</v>
      </c>
      <c r="E20" s="10">
        <v>3.28</v>
      </c>
      <c r="F20" s="10">
        <v>11.09</v>
      </c>
      <c r="G20" s="10">
        <v>3.45</v>
      </c>
    </row>
    <row r="21" spans="1:9">
      <c r="B21" t="s">
        <v>32</v>
      </c>
      <c r="D21" s="10">
        <f>D20*4</f>
        <v>48.24</v>
      </c>
      <c r="E21" s="10">
        <f>E20*4</f>
        <v>13.12</v>
      </c>
      <c r="F21" s="10">
        <f>F20*4</f>
        <v>44.36</v>
      </c>
      <c r="G21" s="10">
        <f>G20*4</f>
        <v>13.8</v>
      </c>
    </row>
    <row r="22" spans="1:9">
      <c r="B22" t="s">
        <v>33</v>
      </c>
      <c r="D22" s="26">
        <f>D21/1000</f>
        <v>4.8240000000000005E-2</v>
      </c>
      <c r="E22" s="26">
        <f>E21/1000</f>
        <v>1.312E-2</v>
      </c>
      <c r="F22" s="26">
        <f>F21/1000</f>
        <v>4.4359999999999997E-2</v>
      </c>
      <c r="G22" s="26">
        <f>G21/1000</f>
        <v>1.3800000000000002E-2</v>
      </c>
    </row>
    <row r="23" spans="1:9">
      <c r="B23" t="s">
        <v>34</v>
      </c>
      <c r="D23" s="25">
        <f>-PV($C$28,16,D22)</f>
        <v>0.49608489454913329</v>
      </c>
      <c r="E23" s="25">
        <f>-PV($C$28,16,E22)</f>
        <v>0.13492192820241763</v>
      </c>
      <c r="F23" s="25">
        <f>-PV($C$28,16,F22)</f>
        <v>0.4561842023673206</v>
      </c>
      <c r="G23" s="25">
        <f>-PV($C$28,16,G22)</f>
        <v>0.14191483301778687</v>
      </c>
      <c r="H23" s="8" t="s">
        <v>37</v>
      </c>
    </row>
    <row r="25" spans="1:9">
      <c r="A25" t="s">
        <v>35</v>
      </c>
      <c r="D25" s="27">
        <v>0.61499999999999999</v>
      </c>
      <c r="E25" s="27">
        <v>7.0999999999999994E-2</v>
      </c>
      <c r="F25" s="27">
        <v>5.7000000000000002E-2</v>
      </c>
      <c r="G25" s="27">
        <v>0.25700000000000001</v>
      </c>
      <c r="H25" s="25">
        <f>SUMPRODUCT($D$23:$G$23,D25:G25)</f>
        <v>0.37714627867059713</v>
      </c>
    </row>
    <row r="26" spans="1:9">
      <c r="A26" t="s">
        <v>46</v>
      </c>
      <c r="D26" s="40">
        <v>0.28399999999999997</v>
      </c>
      <c r="E26" s="40">
        <v>9.4E-2</v>
      </c>
      <c r="F26" s="40">
        <v>0</v>
      </c>
      <c r="G26" s="40">
        <v>0.622</v>
      </c>
      <c r="H26" s="25">
        <f>SUMPRODUCT($D$23:$G$23,D26:G26)</f>
        <v>0.24184179744004453</v>
      </c>
      <c r="I26" s="8"/>
    </row>
    <row r="28" spans="1:9">
      <c r="A28" t="s">
        <v>36</v>
      </c>
      <c r="C28" s="6">
        <f>(1.04*(1+'Sum all ratepayer bens'!$C$15))-1</f>
        <v>5.7471999999999968E-2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showGridLines="0" workbookViewId="0">
      <selection activeCell="I14" sqref="I14"/>
    </sheetView>
  </sheetViews>
  <sheetFormatPr defaultRowHeight="14.4"/>
  <cols>
    <col min="1" max="1" width="1.88671875" customWidth="1"/>
    <col min="2" max="2" width="31.33203125" customWidth="1"/>
    <col min="3" max="3" width="8.21875" customWidth="1"/>
    <col min="4" max="4" width="7.88671875" customWidth="1"/>
    <col min="5" max="5" width="10.109375" customWidth="1"/>
    <col min="6" max="8" width="9.88671875" customWidth="1"/>
  </cols>
  <sheetData>
    <row r="2" spans="1:8" ht="54.6" customHeight="1">
      <c r="A2" s="55" t="s">
        <v>39</v>
      </c>
      <c r="B2" s="56"/>
      <c r="C2" s="53" t="s">
        <v>44</v>
      </c>
      <c r="D2" s="59"/>
      <c r="E2" s="53" t="s">
        <v>43</v>
      </c>
      <c r="F2" s="54"/>
      <c r="G2" s="53" t="s">
        <v>48</v>
      </c>
      <c r="H2" s="59"/>
    </row>
    <row r="3" spans="1:8" ht="22.8" customHeight="1">
      <c r="A3" s="57"/>
      <c r="B3" s="58"/>
      <c r="C3" s="29" t="s">
        <v>0</v>
      </c>
      <c r="D3" s="30" t="s">
        <v>1</v>
      </c>
      <c r="E3" s="29" t="s">
        <v>0</v>
      </c>
      <c r="F3" s="43" t="s">
        <v>1</v>
      </c>
      <c r="G3" s="29" t="s">
        <v>0</v>
      </c>
      <c r="H3" s="47" t="s">
        <v>1</v>
      </c>
    </row>
    <row r="4" spans="1:8">
      <c r="A4" s="39">
        <v>1</v>
      </c>
      <c r="B4" s="31" t="s">
        <v>40</v>
      </c>
      <c r="C4" s="32">
        <f>GHG!C27</f>
        <v>0.98351035393422492</v>
      </c>
      <c r="D4" s="41">
        <f>C4</f>
        <v>0.98351035393422492</v>
      </c>
      <c r="E4" s="33">
        <f t="shared" ref="E4:F7" si="0">C4*E$13/1000000</f>
        <v>73.183202138316474</v>
      </c>
      <c r="F4" s="44">
        <f t="shared" si="0"/>
        <v>73.901836630962251</v>
      </c>
      <c r="G4" s="45">
        <f>E4*1000000/E$12</f>
        <v>1.0108281311968046</v>
      </c>
      <c r="H4" s="34">
        <f>F4*1000000/F$12</f>
        <v>1.2878107362272477</v>
      </c>
    </row>
    <row r="5" spans="1:8" ht="14.4" customHeight="1">
      <c r="A5" s="39">
        <v>2</v>
      </c>
      <c r="B5" s="31" t="s">
        <v>41</v>
      </c>
      <c r="C5" s="32">
        <f>DRIPE!B10</f>
        <v>8.3935077458091145E-2</v>
      </c>
      <c r="D5" s="41">
        <f>C5</f>
        <v>8.3935077458091145E-2</v>
      </c>
      <c r="E5" s="33">
        <f t="shared" si="0"/>
        <v>6.2456259006720538</v>
      </c>
      <c r="F5" s="33">
        <f t="shared" si="0"/>
        <v>6.3069558516613791</v>
      </c>
      <c r="G5" s="45">
        <f t="shared" ref="G5:H7" si="1">E5*1000000/E$12</f>
        <v>8.6266440561026864E-2</v>
      </c>
      <c r="H5" s="34">
        <f t="shared" si="1"/>
        <v>0.10990478490054048</v>
      </c>
    </row>
    <row r="6" spans="1:8" ht="14.4" customHeight="1">
      <c r="A6" s="39">
        <v>3</v>
      </c>
      <c r="B6" s="31" t="s">
        <v>45</v>
      </c>
      <c r="C6" s="32">
        <f>'marg vs avg'!J5</f>
        <v>9.6949429916466906E-2</v>
      </c>
      <c r="D6" s="41">
        <f>'marg vs avg'!J14</f>
        <v>0.17723141619545893</v>
      </c>
      <c r="E6" s="33">
        <f t="shared" si="0"/>
        <v>7.2140264699702863</v>
      </c>
      <c r="F6" s="33">
        <f t="shared" si="0"/>
        <v>13.317325143713568</v>
      </c>
      <c r="G6" s="45">
        <f t="shared" si="1"/>
        <v>9.9642276943036429E-2</v>
      </c>
      <c r="H6" s="34">
        <f t="shared" si="1"/>
        <v>0.23206722701013474</v>
      </c>
    </row>
    <row r="7" spans="1:8">
      <c r="A7" s="39">
        <v>4</v>
      </c>
      <c r="B7" s="31" t="s">
        <v>42</v>
      </c>
      <c r="C7" s="32">
        <f>'T&amp;D'!H25</f>
        <v>0.37714627867059713</v>
      </c>
      <c r="D7" s="41">
        <f>'T&amp;D'!H26</f>
        <v>0.24184179744004453</v>
      </c>
      <c r="E7" s="33">
        <f t="shared" si="0"/>
        <v>28.063530025134867</v>
      </c>
      <c r="F7" s="33">
        <f t="shared" si="0"/>
        <v>18.172206254320447</v>
      </c>
      <c r="G7" s="45">
        <f t="shared" si="1"/>
        <v>0.38762181458633099</v>
      </c>
      <c r="H7" s="34">
        <f t="shared" si="1"/>
        <v>0.31666820991354161</v>
      </c>
    </row>
    <row r="8" spans="1:8">
      <c r="A8" s="35"/>
      <c r="B8" s="36" t="s">
        <v>2</v>
      </c>
      <c r="C8" s="37">
        <f t="shared" ref="C8:H8" si="2">SUM(C4:C7)</f>
        <v>1.5415411399793801</v>
      </c>
      <c r="D8" s="37">
        <f t="shared" si="2"/>
        <v>1.4865186450278194</v>
      </c>
      <c r="E8" s="38">
        <f t="shared" si="2"/>
        <v>114.70638453409369</v>
      </c>
      <c r="F8" s="38">
        <f t="shared" si="2"/>
        <v>111.69832388065764</v>
      </c>
      <c r="G8" s="46">
        <f t="shared" si="2"/>
        <v>1.5843586632871991</v>
      </c>
      <c r="H8" s="42">
        <f t="shared" si="2"/>
        <v>1.9464509580514646</v>
      </c>
    </row>
    <row r="12" spans="1:8">
      <c r="B12" t="s">
        <v>49</v>
      </c>
      <c r="E12" s="28">
        <v>72399253.522622794</v>
      </c>
      <c r="F12" s="28">
        <v>57385634.823533177</v>
      </c>
      <c r="G12" s="28"/>
      <c r="H12" s="28"/>
    </row>
    <row r="13" spans="1:8">
      <c r="B13" t="s">
        <v>38</v>
      </c>
      <c r="E13" s="1">
        <v>74410200</v>
      </c>
      <c r="F13" s="1">
        <v>75140883.200000003</v>
      </c>
      <c r="G13" s="1"/>
      <c r="H13" s="1"/>
    </row>
    <row r="15" spans="1:8">
      <c r="B15" t="s">
        <v>12</v>
      </c>
      <c r="C15" s="9">
        <v>1.6799999999999999E-2</v>
      </c>
      <c r="D15" t="s">
        <v>53</v>
      </c>
    </row>
    <row r="19" spans="3:5">
      <c r="C19" s="48"/>
      <c r="D19" s="48"/>
      <c r="E19" s="10"/>
    </row>
    <row r="20" spans="3:5">
      <c r="C20" s="48"/>
      <c r="D20" s="48"/>
      <c r="E20" s="10"/>
    </row>
    <row r="21" spans="3:5">
      <c r="C21" s="10"/>
      <c r="D21" s="10"/>
      <c r="E21" s="10"/>
    </row>
    <row r="22" spans="3:5">
      <c r="C22" s="10"/>
      <c r="D22" s="10"/>
      <c r="E22" s="10"/>
    </row>
  </sheetData>
  <mergeCells count="4">
    <mergeCell ref="E2:F2"/>
    <mergeCell ref="A2:B3"/>
    <mergeCell ref="C2:D2"/>
    <mergeCell ref="G2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GHG</vt:lpstr>
      <vt:lpstr>DRIPE</vt:lpstr>
      <vt:lpstr>marg vs avg</vt:lpstr>
      <vt:lpstr>T&amp;D</vt:lpstr>
      <vt:lpstr>Sum all ratepayer bens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Neme</dc:creator>
  <cp:lastModifiedBy>Chris Neme</cp:lastModifiedBy>
  <dcterms:created xsi:type="dcterms:W3CDTF">2015-07-10T17:10:19Z</dcterms:created>
  <dcterms:modified xsi:type="dcterms:W3CDTF">2015-08-06T21:22:55Z</dcterms:modified>
</cp:coreProperties>
</file>