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160" windowHeight="9036"/>
  </bookViews>
  <sheets>
    <sheet name="Utility $ and m3 changes" sheetId="4" r:id="rId1"/>
  </sheets>
  <calcPr calcId="152511"/>
</workbook>
</file>

<file path=xl/calcChain.xml><?xml version="1.0" encoding="utf-8"?>
<calcChain xmlns="http://schemas.openxmlformats.org/spreadsheetml/2006/main">
  <c r="M23" i="4"/>
  <c r="G24"/>
  <c r="H24"/>
  <c r="I24"/>
  <c r="J24"/>
  <c r="K24"/>
  <c r="L9"/>
  <c r="L20"/>
  <c r="D17"/>
  <c r="F12"/>
  <c r="M10" l="1"/>
  <c r="C34"/>
  <c r="C37"/>
  <c r="F11" l="1"/>
  <c r="L7" l="1"/>
  <c r="E13" l="1"/>
  <c r="F13"/>
  <c r="F14" s="1"/>
  <c r="F4"/>
  <c r="G4"/>
  <c r="H4" s="1"/>
  <c r="I4" s="1"/>
  <c r="J4" s="1"/>
  <c r="K4" s="1"/>
  <c r="G12" l="1"/>
  <c r="H12" s="1"/>
  <c r="I12" s="1"/>
  <c r="J12" s="1"/>
  <c r="F26"/>
  <c r="H3"/>
  <c r="I3" s="1"/>
  <c r="J3" s="1"/>
  <c r="K3" s="1"/>
  <c r="G13" l="1"/>
  <c r="H13"/>
  <c r="I13"/>
  <c r="G26"/>
  <c r="K12"/>
  <c r="K13" s="1"/>
  <c r="J13"/>
  <c r="H26" l="1"/>
  <c r="L13"/>
  <c r="I26" l="1"/>
  <c r="J26" l="1"/>
  <c r="K26" l="1"/>
  <c r="M20" l="1"/>
  <c r="M7"/>
  <c r="E9"/>
  <c r="M9" l="1"/>
  <c r="L23"/>
  <c r="N23" s="1"/>
  <c r="L10"/>
  <c r="N10" s="1"/>
  <c r="K27" l="1"/>
  <c r="G27"/>
  <c r="J27"/>
  <c r="I27"/>
  <c r="H27"/>
  <c r="L27" l="1"/>
  <c r="E21" l="1"/>
  <c r="E24" s="1"/>
  <c r="E25" l="1"/>
  <c r="M24"/>
  <c r="E27"/>
  <c r="F36"/>
  <c r="F33" l="1"/>
  <c r="F32"/>
  <c r="E34"/>
  <c r="E37" s="1"/>
  <c r="H30"/>
  <c r="I30" s="1"/>
  <c r="J30" s="1"/>
  <c r="K30" s="1"/>
  <c r="F34" l="1"/>
  <c r="H16"/>
  <c r="I16" s="1"/>
  <c r="J16" l="1"/>
  <c r="K16" s="1"/>
  <c r="I15"/>
  <c r="F37"/>
  <c r="F18" s="1"/>
  <c r="E15"/>
  <c r="E16" s="1"/>
  <c r="E17" s="1"/>
  <c r="K37"/>
  <c r="K18" s="1"/>
  <c r="J37"/>
  <c r="J18" s="1"/>
  <c r="I37"/>
  <c r="I18" s="1"/>
  <c r="H37"/>
  <c r="H18" s="1"/>
  <c r="G37"/>
  <c r="G18" s="1"/>
  <c r="J15" l="1"/>
  <c r="K15" s="1"/>
  <c r="K19" s="1"/>
  <c r="E19"/>
  <c r="L18"/>
  <c r="F21"/>
  <c r="F24" s="1"/>
  <c r="F20"/>
  <c r="J21"/>
  <c r="G19"/>
  <c r="G21"/>
  <c r="M18"/>
  <c r="K21"/>
  <c r="F15"/>
  <c r="G16" s="1"/>
  <c r="H21"/>
  <c r="I21"/>
  <c r="I19"/>
  <c r="H19"/>
  <c r="J19" l="1"/>
  <c r="F25"/>
  <c r="F16"/>
  <c r="F19"/>
  <c r="L19" l="1"/>
  <c r="F27"/>
  <c r="F28" s="1"/>
  <c r="E22"/>
  <c r="F17"/>
  <c r="F2"/>
  <c r="G17" l="1"/>
  <c r="F22"/>
  <c r="G2"/>
  <c r="G11" l="1"/>
  <c r="G25"/>
  <c r="G14"/>
  <c r="G28"/>
  <c r="H17"/>
  <c r="G22"/>
  <c r="H2"/>
  <c r="H11" l="1"/>
  <c r="H25"/>
  <c r="H14"/>
  <c r="H28"/>
  <c r="I17"/>
  <c r="H22"/>
  <c r="I2"/>
  <c r="I11" l="1"/>
  <c r="I25"/>
  <c r="I14"/>
  <c r="I28"/>
  <c r="J17"/>
  <c r="I22"/>
  <c r="J2"/>
  <c r="J11" l="1"/>
  <c r="J25"/>
  <c r="J14"/>
  <c r="J28"/>
  <c r="K17"/>
  <c r="J22"/>
  <c r="K2"/>
  <c r="K11" l="1"/>
  <c r="L11" s="1"/>
  <c r="K25"/>
  <c r="M25" s="1"/>
  <c r="K14"/>
  <c r="L14" s="1"/>
  <c r="K28"/>
  <c r="L28" s="1"/>
  <c r="K22"/>
  <c r="L25" l="1"/>
  <c r="N25" s="1"/>
  <c r="N11"/>
  <c r="L22"/>
  <c r="E6" l="1"/>
  <c r="F5"/>
  <c r="G5" l="1"/>
  <c r="F6"/>
  <c r="E8"/>
  <c r="F8" l="1"/>
  <c r="H5"/>
  <c r="G6"/>
  <c r="I5" l="1"/>
  <c r="H6"/>
  <c r="G8"/>
  <c r="H8" l="1"/>
  <c r="J5"/>
  <c r="I6"/>
  <c r="K5" l="1"/>
  <c r="K6" s="1"/>
  <c r="J6"/>
  <c r="I8"/>
  <c r="J8" l="1"/>
  <c r="K8"/>
  <c r="L8" l="1"/>
</calcChain>
</file>

<file path=xl/comments1.xml><?xml version="1.0" encoding="utf-8"?>
<comments xmlns="http://schemas.openxmlformats.org/spreadsheetml/2006/main">
  <authors>
    <author>Kai Millyard</author>
    <author>Chris Neme</author>
  </authors>
  <commentList>
    <comment ref="B7" authorId="0">
      <text>
        <r>
          <rPr>
            <sz val="9"/>
            <color indexed="81"/>
            <rFont val="Tahoma"/>
            <family val="2"/>
          </rPr>
          <t xml:space="preserve">from I.T8.EGDI.GEC.34
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Kai Millyard: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B/T1/S2 Table 1</t>
        </r>
      </text>
    </comment>
    <comment ref="G15" authorId="0">
      <text>
        <r>
          <rPr>
            <sz val="9"/>
            <color indexed="81"/>
            <rFont val="Tahoma"/>
            <family val="2"/>
          </rPr>
          <t xml:space="preserve">2016 &amp; 2017 from 
B.T13.Union.GEC.23
</t>
        </r>
      </text>
    </comment>
    <comment ref="D17" authorId="1">
      <text>
        <r>
          <rPr>
            <b/>
            <sz val="9"/>
            <color indexed="81"/>
            <rFont val="Tahoma"/>
            <family val="2"/>
          </rPr>
          <t>Chris Neme: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adjusted down by forecast of power generation by Union in 2012-0337 Exh B5.1</t>
        </r>
      </text>
    </comment>
    <comment ref="B18" authorId="0">
      <text>
        <r>
          <rPr>
            <sz val="9"/>
            <color indexed="81"/>
            <rFont val="Tahoma"/>
            <family val="2"/>
          </rPr>
          <t xml:space="preserve">from B.T13.Union.GEC.1 Att 1
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Chris Neme:</t>
        </r>
        <r>
          <rPr>
            <sz val="9"/>
            <color indexed="81"/>
            <rFont val="Tahoma"/>
            <family val="2"/>
          </rPr>
          <t xml:space="preserve">
2015 plan CCM (43.5 million - Exh A/T2 p.18) divided by 2014 avg meas life</t>
        </r>
      </text>
    </comment>
  </commentList>
</comments>
</file>

<file path=xl/sharedStrings.xml><?xml version="1.0" encoding="utf-8"?>
<sst xmlns="http://schemas.openxmlformats.org/spreadsheetml/2006/main" count="58" uniqueCount="53">
  <si>
    <t>Enbridge</t>
  </si>
  <si>
    <t>Union</t>
  </si>
  <si>
    <t>Total</t>
  </si>
  <si>
    <t>Enbridge total throughput</t>
  </si>
  <si>
    <t>JT.1.18</t>
  </si>
  <si>
    <t>percent annual growth</t>
  </si>
  <si>
    <t>Annual DSM savings</t>
  </si>
  <si>
    <t>GEC.35 for 2015-2020</t>
  </si>
  <si>
    <t>percent of throughput</t>
  </si>
  <si>
    <t>Union total throughput</t>
  </si>
  <si>
    <t>Union Plan Volumes (annual)</t>
  </si>
  <si>
    <t xml:space="preserve">     Residential</t>
  </si>
  <si>
    <t xml:space="preserve">     C/I</t>
  </si>
  <si>
    <t xml:space="preserve">     Perf Based</t>
  </si>
  <si>
    <t xml:space="preserve">     LI</t>
  </si>
  <si>
    <t>GEC.1</t>
  </si>
  <si>
    <t xml:space="preserve">     lg industrials T1</t>
  </si>
  <si>
    <t xml:space="preserve">     lg industrials T2/R100</t>
  </si>
  <si>
    <t>2014 m3</t>
  </si>
  <si>
    <t>2014 incentive &amp; promo $</t>
  </si>
  <si>
    <t>2015 $</t>
  </si>
  <si>
    <t>RA</t>
  </si>
  <si>
    <t>T1</t>
  </si>
  <si>
    <t>T2/R100</t>
  </si>
  <si>
    <t>2015 yield improvemt</t>
  </si>
  <si>
    <t xml:space="preserve"> 2015 est</t>
  </si>
  <si>
    <t>Union throughput w/o elec gen</t>
  </si>
  <si>
    <t>Annual DSM savings w/o elec gen</t>
  </si>
  <si>
    <t>Union DSM spending (millions $)</t>
  </si>
  <si>
    <t>Enbridge DSM spending (millions $)</t>
  </si>
  <si>
    <t>JT.2.13 &amp; GEC.1</t>
  </si>
  <si>
    <t>Union DSM Spending w/o elec gen</t>
  </si>
  <si>
    <t>Ex. B/T1/S2 p.2</t>
  </si>
  <si>
    <t>CCM savings</t>
  </si>
  <si>
    <t>2020 vs. 2014</t>
  </si>
  <si>
    <t>percent of total throughput</t>
  </si>
  <si>
    <t>2016-2020 avg</t>
  </si>
  <si>
    <t>Total CCM Savings</t>
  </si>
  <si>
    <t>Enbridge totals w/o Rate 125 (est.)</t>
  </si>
  <si>
    <t>Rate 125 (est)</t>
  </si>
  <si>
    <t>percent of throughput (w/o elec gen)</t>
  </si>
  <si>
    <t>number of residential customers</t>
  </si>
  <si>
    <t>spending per residential customer</t>
  </si>
  <si>
    <t>Residential customers</t>
  </si>
  <si>
    <t>Spending per Residential customer</t>
  </si>
  <si>
    <t>Ex.A/T1/Appdx.A/S5</t>
  </si>
  <si>
    <t>Spending per Res customer 2015 $</t>
  </si>
  <si>
    <t>inflation rate</t>
  </si>
  <si>
    <t>spending per Res customer 2015 $</t>
  </si>
  <si>
    <t>Enbridge spending (Millions 2015 $)</t>
  </si>
  <si>
    <t>Union DSM spending (millions 2015 $)</t>
  </si>
  <si>
    <t>$ vs. OEB Guidelines</t>
  </si>
  <si>
    <t>Audit Sum Repts (for 12-14)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</si>
</sst>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;[Red]\-&quot;$&quot;#,##0"/>
    <numFmt numFmtId="166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sz val="11"/>
      <color rgb="FF0070C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164" fontId="0" fillId="0" borderId="0" xfId="1" applyNumberFormat="1" applyFont="1"/>
    <xf numFmtId="0" fontId="0" fillId="33" borderId="0" xfId="0" applyFill="1"/>
    <xf numFmtId="0" fontId="0" fillId="0" borderId="0" xfId="0" applyAlignment="1">
      <alignment horizontal="center" wrapText="1"/>
    </xf>
    <xf numFmtId="10" fontId="0" fillId="0" borderId="0" xfId="3" applyNumberFormat="1" applyFont="1"/>
    <xf numFmtId="0" fontId="0" fillId="0" borderId="0" xfId="0" applyAlignment="1">
      <alignment horizontal="center"/>
    </xf>
    <xf numFmtId="0" fontId="0" fillId="0" borderId="10" xfId="0" applyBorder="1"/>
    <xf numFmtId="164" fontId="0" fillId="0" borderId="10" xfId="1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5" fontId="0" fillId="0" borderId="0" xfId="2" applyNumberFormat="1" applyFont="1"/>
    <xf numFmtId="5" fontId="0" fillId="0" borderId="10" xfId="2" applyNumberFormat="1" applyFont="1" applyBorder="1"/>
    <xf numFmtId="9" fontId="0" fillId="0" borderId="0" xfId="0" applyNumberFormat="1"/>
    <xf numFmtId="0" fontId="0" fillId="34" borderId="0" xfId="0" applyFill="1"/>
    <xf numFmtId="164" fontId="0" fillId="34" borderId="0" xfId="1" applyNumberFormat="1" applyFont="1" applyFill="1"/>
    <xf numFmtId="0" fontId="21" fillId="34" borderId="0" xfId="0" applyFont="1" applyFill="1" applyAlignment="1">
      <alignment wrapText="1"/>
    </xf>
    <xf numFmtId="166" fontId="0" fillId="34" borderId="0" xfId="3" applyNumberFormat="1" applyFont="1" applyFill="1"/>
    <xf numFmtId="9" fontId="0" fillId="34" borderId="0" xfId="3" applyFont="1" applyFill="1"/>
    <xf numFmtId="10" fontId="0" fillId="34" borderId="0" xfId="3" applyNumberFormat="1" applyFont="1" applyFill="1"/>
    <xf numFmtId="165" fontId="0" fillId="34" borderId="0" xfId="0" applyNumberFormat="1" applyFill="1" applyBorder="1"/>
    <xf numFmtId="165" fontId="0" fillId="34" borderId="0" xfId="0" applyNumberFormat="1" applyFill="1"/>
    <xf numFmtId="0" fontId="0" fillId="35" borderId="0" xfId="0" applyFill="1"/>
    <xf numFmtId="164" fontId="0" fillId="35" borderId="0" xfId="1" applyNumberFormat="1" applyFont="1" applyFill="1"/>
    <xf numFmtId="0" fontId="21" fillId="35" borderId="0" xfId="0" applyFont="1" applyFill="1" applyAlignment="1">
      <alignment wrapText="1"/>
    </xf>
    <xf numFmtId="166" fontId="0" fillId="35" borderId="0" xfId="3" applyNumberFormat="1" applyFont="1" applyFill="1"/>
    <xf numFmtId="9" fontId="0" fillId="35" borderId="0" xfId="3" applyFont="1" applyFill="1"/>
    <xf numFmtId="10" fontId="0" fillId="35" borderId="0" xfId="3" applyNumberFormat="1" applyFont="1" applyFill="1"/>
    <xf numFmtId="0" fontId="21" fillId="35" borderId="0" xfId="0" applyFont="1" applyFill="1"/>
    <xf numFmtId="0" fontId="21" fillId="35" borderId="0" xfId="0" applyFont="1" applyFill="1" applyAlignment="1"/>
    <xf numFmtId="165" fontId="0" fillId="35" borderId="0" xfId="0" applyNumberFormat="1" applyFill="1" applyBorder="1"/>
    <xf numFmtId="165" fontId="0" fillId="35" borderId="0" xfId="0" applyNumberFormat="1" applyFill="1"/>
    <xf numFmtId="164" fontId="14" fillId="34" borderId="0" xfId="1" applyNumberFormat="1" applyFont="1" applyFill="1"/>
    <xf numFmtId="164" fontId="0" fillId="34" borderId="0" xfId="0" applyNumberFormat="1" applyFill="1"/>
    <xf numFmtId="10" fontId="0" fillId="34" borderId="0" xfId="0" applyNumberFormat="1" applyFill="1"/>
    <xf numFmtId="0" fontId="0" fillId="0" borderId="0" xfId="0" applyAlignment="1">
      <alignment horizontal="center"/>
    </xf>
    <xf numFmtId="0" fontId="16" fillId="34" borderId="0" xfId="0" applyFont="1" applyFill="1" applyAlignment="1">
      <alignment horizontal="center" vertical="center" textRotation="90" wrapText="1"/>
    </xf>
    <xf numFmtId="0" fontId="16" fillId="35" borderId="0" xfId="0" applyFont="1" applyFill="1" applyAlignment="1">
      <alignment horizontal="center" vertical="center" textRotation="90" wrapText="1"/>
    </xf>
    <xf numFmtId="164" fontId="14" fillId="35" borderId="0" xfId="1" applyNumberFormat="1" applyFont="1" applyFill="1"/>
    <xf numFmtId="166" fontId="14" fillId="34" borderId="0" xfId="3" applyNumberFormat="1" applyFont="1" applyFill="1"/>
    <xf numFmtId="166" fontId="14" fillId="35" borderId="0" xfId="3" applyNumberFormat="1" applyFont="1" applyFill="1"/>
    <xf numFmtId="165" fontId="0" fillId="34" borderId="0" xfId="3" applyNumberFormat="1" applyFont="1" applyFill="1"/>
    <xf numFmtId="165" fontId="0" fillId="35" borderId="0" xfId="3" applyNumberFormat="1" applyFont="1" applyFill="1"/>
    <xf numFmtId="164" fontId="0" fillId="35" borderId="0" xfId="0" applyNumberFormat="1" applyFill="1"/>
    <xf numFmtId="0" fontId="16" fillId="34" borderId="0" xfId="0" applyFont="1" applyFill="1" applyAlignment="1">
      <alignment horizontal="center" vertical="center" textRotation="90" wrapText="1"/>
    </xf>
    <xf numFmtId="0" fontId="16" fillId="35" borderId="0" xfId="0" applyFont="1" applyFill="1" applyAlignment="1">
      <alignment horizontal="center" vertical="center" textRotation="90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33" borderId="0" xfId="0" applyNumberFormat="1" applyFill="1"/>
    <xf numFmtId="0" fontId="16" fillId="34" borderId="0" xfId="0" applyFont="1" applyFill="1" applyAlignment="1">
      <alignment horizontal="center" vertical="center" textRotation="90" wrapText="1"/>
    </xf>
    <xf numFmtId="0" fontId="16" fillId="35" borderId="0" xfId="0" applyFont="1" applyFill="1" applyAlignment="1">
      <alignment horizontal="center" vertical="center" textRotation="90" wrapText="1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urrency" xfId="2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8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5" sqref="A5"/>
      <selection pane="bottomRight"/>
    </sheetView>
  </sheetViews>
  <sheetFormatPr defaultRowHeight="14.4"/>
  <cols>
    <col min="1" max="1" width="7.77734375" style="8" customWidth="1"/>
    <col min="2" max="2" width="33.5546875" customWidth="1"/>
    <col min="3" max="3" width="20.5546875" customWidth="1"/>
    <col min="4" max="4" width="15.77734375" customWidth="1"/>
    <col min="5" max="5" width="12" customWidth="1"/>
    <col min="6" max="6" width="12.6640625" customWidth="1"/>
    <col min="7" max="7" width="13.21875" customWidth="1"/>
    <col min="8" max="8" width="12.5546875" bestFit="1" customWidth="1"/>
    <col min="9" max="11" width="13.6640625" bestFit="1" customWidth="1"/>
    <col min="12" max="12" width="12.6640625" customWidth="1"/>
    <col min="13" max="13" width="12.5546875" customWidth="1"/>
    <col min="14" max="14" width="12.33203125" customWidth="1"/>
  </cols>
  <sheetData>
    <row r="1" spans="1:15">
      <c r="A1" s="46"/>
    </row>
    <row r="2" spans="1:15" ht="28.8">
      <c r="D2" s="34">
        <v>2013</v>
      </c>
      <c r="E2" s="34">
        <v>2014</v>
      </c>
      <c r="F2" s="34">
        <f t="shared" ref="F2:K2" si="0">E2+1</f>
        <v>2015</v>
      </c>
      <c r="G2" s="34">
        <f t="shared" si="0"/>
        <v>2016</v>
      </c>
      <c r="H2" s="34">
        <f t="shared" si="0"/>
        <v>2017</v>
      </c>
      <c r="I2" s="34">
        <f t="shared" si="0"/>
        <v>2018</v>
      </c>
      <c r="J2" s="34">
        <f t="shared" si="0"/>
        <v>2019</v>
      </c>
      <c r="K2" s="34">
        <f t="shared" si="0"/>
        <v>2020</v>
      </c>
      <c r="L2" s="34" t="s">
        <v>36</v>
      </c>
      <c r="M2" s="34" t="s">
        <v>34</v>
      </c>
      <c r="N2" s="45" t="s">
        <v>51</v>
      </c>
    </row>
    <row r="3" spans="1:15" s="21" customFormat="1">
      <c r="A3" s="49" t="s">
        <v>0</v>
      </c>
      <c r="B3" s="21" t="s">
        <v>3</v>
      </c>
      <c r="C3" s="23" t="s">
        <v>4</v>
      </c>
      <c r="D3" s="23"/>
      <c r="E3" s="22">
        <v>13286700</v>
      </c>
      <c r="F3" s="22">
        <v>12184100</v>
      </c>
      <c r="G3" s="22">
        <v>12228300</v>
      </c>
      <c r="H3" s="37">
        <f>G3*(1+H4)</f>
        <v>12272660.343398364</v>
      </c>
      <c r="I3" s="37">
        <f>H3*(1+I4)</f>
        <v>12317181.611869421</v>
      </c>
      <c r="J3" s="37">
        <f>I3*(1+J4)</f>
        <v>12361864.389197629</v>
      </c>
      <c r="K3" s="37">
        <f>J3*(1+K4)</f>
        <v>12406709.261285229</v>
      </c>
    </row>
    <row r="4" spans="1:15" s="21" customFormat="1">
      <c r="A4" s="49"/>
      <c r="B4" s="21" t="s">
        <v>5</v>
      </c>
      <c r="E4" s="24"/>
      <c r="F4" s="24">
        <f>(F3-E3)/E3</f>
        <v>-8.2985240879977717E-2</v>
      </c>
      <c r="G4" s="24">
        <f>(G3-F3)/F3</f>
        <v>3.6276786960054495E-3</v>
      </c>
      <c r="H4" s="39">
        <f>G4</f>
        <v>3.6276786960054495E-3</v>
      </c>
      <c r="I4" s="39">
        <f>H4</f>
        <v>3.6276786960054495E-3</v>
      </c>
      <c r="J4" s="39">
        <f>I4</f>
        <v>3.6276786960054495E-3</v>
      </c>
      <c r="K4" s="39">
        <f>J4</f>
        <v>3.6276786960054495E-3</v>
      </c>
    </row>
    <row r="5" spans="1:15" s="21" customFormat="1">
      <c r="A5" s="49"/>
      <c r="B5" s="21" t="s">
        <v>39</v>
      </c>
      <c r="E5" s="22">
        <v>1354054.1871921183</v>
      </c>
      <c r="F5" s="22">
        <f t="shared" ref="F5:K5" si="1">E5*(1+F4)</f>
        <v>1241687.6743034378</v>
      </c>
      <c r="G5" s="22">
        <f t="shared" si="1"/>
        <v>1246192.118226601</v>
      </c>
      <c r="H5" s="22">
        <f t="shared" si="1"/>
        <v>1250712.9028250217</v>
      </c>
      <c r="I5" s="22">
        <f t="shared" si="1"/>
        <v>1255250.087377419</v>
      </c>
      <c r="J5" s="22">
        <f t="shared" si="1"/>
        <v>1259803.7313775569</v>
      </c>
      <c r="K5" s="22">
        <f t="shared" si="1"/>
        <v>1264373.8945350235</v>
      </c>
    </row>
    <row r="6" spans="1:15" s="21" customFormat="1">
      <c r="A6" s="49"/>
      <c r="B6" s="21" t="s">
        <v>38</v>
      </c>
      <c r="E6" s="22">
        <f t="shared" ref="E6:K6" si="2">E3-E5</f>
        <v>11932645.812807882</v>
      </c>
      <c r="F6" s="22">
        <f t="shared" si="2"/>
        <v>10942412.325696561</v>
      </c>
      <c r="G6" s="22">
        <f t="shared" si="2"/>
        <v>10982107.881773399</v>
      </c>
      <c r="H6" s="22">
        <f t="shared" si="2"/>
        <v>11021947.440573342</v>
      </c>
      <c r="I6" s="22">
        <f t="shared" si="2"/>
        <v>11061931.524492001</v>
      </c>
      <c r="J6" s="22">
        <f t="shared" si="2"/>
        <v>11102060.657820072</v>
      </c>
      <c r="K6" s="22">
        <f t="shared" si="2"/>
        <v>11142335.366750205</v>
      </c>
    </row>
    <row r="7" spans="1:15" s="21" customFormat="1">
      <c r="A7" s="49"/>
      <c r="B7" s="21" t="s">
        <v>6</v>
      </c>
      <c r="C7" s="27" t="s">
        <v>7</v>
      </c>
      <c r="D7" s="27"/>
      <c r="E7" s="22">
        <v>43540</v>
      </c>
      <c r="F7" s="22">
        <v>51624</v>
      </c>
      <c r="G7" s="22">
        <v>66783</v>
      </c>
      <c r="H7" s="22">
        <v>72204</v>
      </c>
      <c r="I7" s="22">
        <v>76527</v>
      </c>
      <c r="J7" s="22">
        <v>77718</v>
      </c>
      <c r="K7" s="22">
        <v>78819</v>
      </c>
      <c r="L7" s="42">
        <f>AVERAGE(G7:K7)</f>
        <v>74410.2</v>
      </c>
      <c r="M7" s="25">
        <f>K7/E7</f>
        <v>1.8102664216812128</v>
      </c>
    </row>
    <row r="8" spans="1:15" s="21" customFormat="1">
      <c r="A8" s="49"/>
      <c r="B8" s="21" t="s">
        <v>40</v>
      </c>
      <c r="E8" s="26">
        <f t="shared" ref="E8:K8" si="3">E7/E6</f>
        <v>3.6488135727004004E-3</v>
      </c>
      <c r="F8" s="26">
        <f t="shared" si="3"/>
        <v>4.7177896850741979E-3</v>
      </c>
      <c r="G8" s="26">
        <f t="shared" si="3"/>
        <v>6.0810730252283621E-3</v>
      </c>
      <c r="H8" s="26">
        <f t="shared" si="3"/>
        <v>6.5509294423058938E-3</v>
      </c>
      <c r="I8" s="26">
        <f t="shared" si="3"/>
        <v>6.9180504173763056E-3</v>
      </c>
      <c r="J8" s="26">
        <f t="shared" si="3"/>
        <v>7.0003220478945033E-3</v>
      </c>
      <c r="K8" s="26">
        <f t="shared" si="3"/>
        <v>7.0738312396522764E-3</v>
      </c>
      <c r="L8" s="26">
        <f>AVERAGE(G8:K8)</f>
        <v>6.7248412344914684E-3</v>
      </c>
    </row>
    <row r="9" spans="1:15" s="21" customFormat="1">
      <c r="A9" s="49"/>
      <c r="B9" s="21" t="s">
        <v>33</v>
      </c>
      <c r="C9" s="28" t="s">
        <v>52</v>
      </c>
      <c r="D9" s="28"/>
      <c r="E9" s="22">
        <f>664368+55475</f>
        <v>719843</v>
      </c>
      <c r="F9" s="22">
        <v>774359</v>
      </c>
      <c r="G9" s="22">
        <v>1001744</v>
      </c>
      <c r="H9" s="22">
        <v>1083061</v>
      </c>
      <c r="I9" s="22">
        <v>1147903</v>
      </c>
      <c r="J9" s="22">
        <v>1165771</v>
      </c>
      <c r="K9" s="22">
        <v>1182290</v>
      </c>
      <c r="L9" s="42">
        <f>AVERAGE(G9:K9)</f>
        <v>1116153.8</v>
      </c>
      <c r="M9" s="25">
        <f>K9/E9</f>
        <v>1.6424275849039305</v>
      </c>
    </row>
    <row r="10" spans="1:15" s="21" customFormat="1">
      <c r="A10" s="49"/>
      <c r="B10" s="21" t="s">
        <v>29</v>
      </c>
      <c r="C10" s="28" t="s">
        <v>32</v>
      </c>
      <c r="D10" s="28"/>
      <c r="E10" s="29">
        <v>32511266</v>
      </c>
      <c r="F10" s="29">
        <v>37722230</v>
      </c>
      <c r="G10" s="29">
        <v>63535727</v>
      </c>
      <c r="H10" s="29">
        <v>73826882</v>
      </c>
      <c r="I10" s="29">
        <v>79680131</v>
      </c>
      <c r="J10" s="29">
        <v>81273733</v>
      </c>
      <c r="K10" s="29">
        <v>82899208</v>
      </c>
      <c r="L10" s="30">
        <f>AVERAGE(G10:K10)</f>
        <v>76243136.200000003</v>
      </c>
      <c r="M10" s="25">
        <f>K10/E10</f>
        <v>2.5498609620431267</v>
      </c>
      <c r="N10" s="24">
        <f>L10/75000000</f>
        <v>1.0165751493333335</v>
      </c>
    </row>
    <row r="11" spans="1:15" s="21" customFormat="1">
      <c r="A11" s="44"/>
      <c r="B11" s="21" t="s">
        <v>49</v>
      </c>
      <c r="F11" s="29">
        <f>F10</f>
        <v>37722230</v>
      </c>
      <c r="G11" s="29">
        <f>G10/((1+$A$40)^(G2-$F$2))</f>
        <v>62485962.824547604</v>
      </c>
      <c r="H11" s="29">
        <f>H10/((1+$A$40)^(H2-$F$2))</f>
        <v>71407438.046329156</v>
      </c>
      <c r="I11" s="29">
        <f>I10/((1+$A$40)^(I2-$F$2))</f>
        <v>75795500.798925668</v>
      </c>
      <c r="J11" s="29">
        <f>J10/((1+$A$40)^(J2-$F$2))</f>
        <v>76034038.380341187</v>
      </c>
      <c r="K11" s="29">
        <f>K10/((1+$A$40)^(K2-$F$2))</f>
        <v>76273327.5629704</v>
      </c>
      <c r="L11" s="30">
        <f>AVERAGE(G11:K11)</f>
        <v>72399253.522622794</v>
      </c>
      <c r="N11" s="24">
        <f>L11/75000000</f>
        <v>0.96532338030163722</v>
      </c>
    </row>
    <row r="12" spans="1:15" s="21" customFormat="1">
      <c r="A12" s="36"/>
      <c r="B12" s="21" t="s">
        <v>41</v>
      </c>
      <c r="C12" s="27" t="s">
        <v>15</v>
      </c>
      <c r="D12" s="22">
        <v>1866534</v>
      </c>
      <c r="E12" s="22">
        <v>1899632</v>
      </c>
      <c r="F12" s="22">
        <f>E12*(E12/D12)</f>
        <v>1933316.9047142991</v>
      </c>
      <c r="G12" s="22">
        <f t="shared" ref="G12:K12" si="4">F12*(F12/E12)</f>
        <v>1967599.1213319625</v>
      </c>
      <c r="H12" s="22">
        <f t="shared" si="4"/>
        <v>2002489.2415857832</v>
      </c>
      <c r="I12" s="22">
        <f t="shared" si="4"/>
        <v>2037998.0450246737</v>
      </c>
      <c r="J12" s="22">
        <f t="shared" si="4"/>
        <v>2074136.502344083</v>
      </c>
      <c r="K12" s="22">
        <f t="shared" si="4"/>
        <v>2110915.7787754708</v>
      </c>
      <c r="L12" s="25"/>
      <c r="O12" s="26"/>
    </row>
    <row r="13" spans="1:15" s="21" customFormat="1">
      <c r="A13" s="36"/>
      <c r="B13" s="21" t="s">
        <v>42</v>
      </c>
      <c r="E13" s="29">
        <f t="shared" ref="E13:K13" si="5">E10/E12</f>
        <v>17.11450744144129</v>
      </c>
      <c r="F13" s="29">
        <f t="shared" si="5"/>
        <v>19.51166407742889</v>
      </c>
      <c r="G13" s="29">
        <f t="shared" si="5"/>
        <v>32.290991752928619</v>
      </c>
      <c r="H13" s="29">
        <f t="shared" si="5"/>
        <v>36.867554874619977</v>
      </c>
      <c r="I13" s="29">
        <f t="shared" si="5"/>
        <v>39.097255855824592</v>
      </c>
      <c r="J13" s="29">
        <f t="shared" si="5"/>
        <v>39.184370415422798</v>
      </c>
      <c r="K13" s="29">
        <f t="shared" si="5"/>
        <v>39.271679540000086</v>
      </c>
      <c r="L13" s="41">
        <f>AVERAGE(G13:K13)</f>
        <v>37.342370487759212</v>
      </c>
    </row>
    <row r="14" spans="1:15" s="21" customFormat="1">
      <c r="A14" s="36"/>
      <c r="B14" s="21" t="s">
        <v>48</v>
      </c>
      <c r="E14" s="29"/>
      <c r="F14" s="29">
        <f>F13</f>
        <v>19.51166407742889</v>
      </c>
      <c r="G14" s="29">
        <f>G13/((1+$A$40)^(G2-$F$2))</f>
        <v>31.757466318773233</v>
      </c>
      <c r="H14" s="29">
        <f>H13/((1+$A$40)^(H2-$F$2))</f>
        <v>35.65933667128278</v>
      </c>
      <c r="I14" s="29">
        <f>I13/((1+$A$40)^(I2-$F$2))</f>
        <v>37.191154811931142</v>
      </c>
      <c r="J14" s="29">
        <f>J13/((1+$A$40)^(J2-$F$2))</f>
        <v>36.658165118067885</v>
      </c>
      <c r="K14" s="29">
        <f>K13/((1+$A$40)^(K2-$F$2))</f>
        <v>36.132814169978914</v>
      </c>
      <c r="L14" s="41">
        <f>AVERAGE(G14:K14)</f>
        <v>35.479787418006786</v>
      </c>
      <c r="N14" s="22"/>
    </row>
    <row r="15" spans="1:15" s="13" customFormat="1">
      <c r="A15" s="48" t="s">
        <v>1</v>
      </c>
      <c r="B15" s="13" t="s">
        <v>9</v>
      </c>
      <c r="C15" s="15" t="s">
        <v>30</v>
      </c>
      <c r="D15" s="14">
        <v>14545000</v>
      </c>
      <c r="E15" s="14">
        <f>14747000</f>
        <v>14747000</v>
      </c>
      <c r="F15" s="14">
        <f>(G15+E15)/2</f>
        <v>15061932</v>
      </c>
      <c r="G15" s="14">
        <v>15376864</v>
      </c>
      <c r="H15" s="14">
        <v>15495928</v>
      </c>
      <c r="I15" s="31">
        <f>H15*(1+I16)</f>
        <v>15615913.919846335</v>
      </c>
      <c r="J15" s="31">
        <f>I15*(1+J16)</f>
        <v>15736828.898020858</v>
      </c>
      <c r="K15" s="31">
        <f>J15*(1+K16)</f>
        <v>15858680.128279118</v>
      </c>
    </row>
    <row r="16" spans="1:15" s="13" customFormat="1">
      <c r="A16" s="48"/>
      <c r="B16" s="13" t="s">
        <v>5</v>
      </c>
      <c r="E16" s="16">
        <f>(E15-D15)/D15</f>
        <v>1.3887933997937436E-2</v>
      </c>
      <c r="F16" s="16">
        <f>(F15-E15)/E15</f>
        <v>2.1355665559096765E-2</v>
      </c>
      <c r="G16" s="16">
        <f>(G15-F15)/F15</f>
        <v>2.0909137021731344E-2</v>
      </c>
      <c r="H16" s="16">
        <f>(H15-G15)/G15</f>
        <v>7.7430612639872477E-3</v>
      </c>
      <c r="I16" s="38">
        <f>H16</f>
        <v>7.7430612639872477E-3</v>
      </c>
      <c r="J16" s="38">
        <f>I16</f>
        <v>7.7430612639872477E-3</v>
      </c>
      <c r="K16" s="38">
        <f>J16</f>
        <v>7.7430612639872477E-3</v>
      </c>
    </row>
    <row r="17" spans="1:14" s="13" customFormat="1">
      <c r="A17" s="48"/>
      <c r="B17" s="13" t="s">
        <v>26</v>
      </c>
      <c r="D17" s="14">
        <f>D15-1573221.4-915517</f>
        <v>12056261.6</v>
      </c>
      <c r="E17" s="14">
        <f t="shared" ref="E17:K17" si="6">D17*(1+E16)</f>
        <v>12223698.165362667</v>
      </c>
      <c r="F17" s="14">
        <f t="shared" si="6"/>
        <v>12484743.375277497</v>
      </c>
      <c r="G17" s="14">
        <f t="shared" si="6"/>
        <v>12745788.585192326</v>
      </c>
      <c r="H17" s="14">
        <f t="shared" si="6"/>
        <v>12844480.0070653</v>
      </c>
      <c r="I17" s="14">
        <f t="shared" si="6"/>
        <v>12943935.602664066</v>
      </c>
      <c r="J17" s="14">
        <f t="shared" si="6"/>
        <v>13044161.289032601</v>
      </c>
      <c r="K17" s="14">
        <f t="shared" si="6"/>
        <v>13145163.029030912</v>
      </c>
    </row>
    <row r="18" spans="1:14" s="13" customFormat="1">
      <c r="A18" s="48"/>
      <c r="B18" s="13" t="s">
        <v>6</v>
      </c>
      <c r="E18" s="14">
        <v>149764</v>
      </c>
      <c r="F18" s="32">
        <f t="shared" ref="F18:K18" si="7">F37/1000</f>
        <v>138083.73806261382</v>
      </c>
      <c r="G18" s="32">
        <f t="shared" si="7"/>
        <v>67332.350000000006</v>
      </c>
      <c r="H18" s="32">
        <f t="shared" si="7"/>
        <v>73857.061000000002</v>
      </c>
      <c r="I18" s="32">
        <f t="shared" si="7"/>
        <v>77530.400999999998</v>
      </c>
      <c r="J18" s="32">
        <f t="shared" si="7"/>
        <v>78075.906000000003</v>
      </c>
      <c r="K18" s="32">
        <f t="shared" si="7"/>
        <v>78908.698000000004</v>
      </c>
      <c r="L18" s="32">
        <f>AVERAGE(G18:K18)</f>
        <v>75140.883200000011</v>
      </c>
      <c r="M18" s="17">
        <f>K18/E18</f>
        <v>0.52688695547661657</v>
      </c>
    </row>
    <row r="19" spans="1:14" s="13" customFormat="1">
      <c r="A19" s="48"/>
      <c r="B19" s="13" t="s">
        <v>35</v>
      </c>
      <c r="E19" s="18">
        <f t="shared" ref="E19:K19" si="8">E18/E15</f>
        <v>1.015555706245338E-2</v>
      </c>
      <c r="F19" s="18">
        <f t="shared" si="8"/>
        <v>9.1677308105370427E-3</v>
      </c>
      <c r="G19" s="18">
        <f t="shared" si="8"/>
        <v>4.3788089691109968E-3</v>
      </c>
      <c r="H19" s="18">
        <f t="shared" si="8"/>
        <v>4.7662238105391297E-3</v>
      </c>
      <c r="I19" s="18">
        <f t="shared" si="8"/>
        <v>4.9648327595777962E-3</v>
      </c>
      <c r="J19" s="18">
        <f t="shared" si="8"/>
        <v>4.9613493611676248E-3</v>
      </c>
      <c r="K19" s="18">
        <f t="shared" si="8"/>
        <v>4.975741824774586E-3</v>
      </c>
      <c r="L19" s="33">
        <f>AVERAGE(G19:K19)</f>
        <v>4.8093913450340271E-3</v>
      </c>
    </row>
    <row r="20" spans="1:14" s="13" customFormat="1">
      <c r="A20" s="48"/>
      <c r="B20" s="13" t="s">
        <v>37</v>
      </c>
      <c r="E20" s="14">
        <v>2257093</v>
      </c>
      <c r="F20" s="14">
        <f>(F18/E18)*E20</f>
        <v>2081059.7913714859</v>
      </c>
      <c r="G20" s="14">
        <v>1161000</v>
      </c>
      <c r="H20" s="14">
        <v>1203000</v>
      </c>
      <c r="I20" s="14">
        <v>1249000</v>
      </c>
      <c r="J20" s="14">
        <v>1264000</v>
      </c>
      <c r="K20" s="14">
        <v>1280000</v>
      </c>
      <c r="L20" s="32">
        <f>AVERAGE(G20:K20)</f>
        <v>1231400</v>
      </c>
      <c r="M20" s="17">
        <f>K20/E20</f>
        <v>0.56710113406935381</v>
      </c>
    </row>
    <row r="21" spans="1:14" s="13" customFormat="1">
      <c r="A21" s="48"/>
      <c r="B21" s="13" t="s">
        <v>27</v>
      </c>
      <c r="E21" s="32">
        <f>E18-15499</f>
        <v>134265</v>
      </c>
      <c r="F21" s="32">
        <f>F18-(((E18-E21)/82000)*((F34+F33)/1000))</f>
        <v>122589.09601173835</v>
      </c>
      <c r="G21" s="32">
        <f>G18</f>
        <v>67332.350000000006</v>
      </c>
      <c r="H21" s="32">
        <f>H18</f>
        <v>73857.061000000002</v>
      </c>
      <c r="I21" s="32">
        <f>I18</f>
        <v>77530.400999999998</v>
      </c>
      <c r="J21" s="32">
        <f>J18</f>
        <v>78075.906000000003</v>
      </c>
      <c r="K21" s="32">
        <f>K18</f>
        <v>78908.698000000004</v>
      </c>
    </row>
    <row r="22" spans="1:14" s="13" customFormat="1">
      <c r="A22" s="48"/>
      <c r="B22" s="13" t="s">
        <v>8</v>
      </c>
      <c r="E22" s="18">
        <f t="shared" ref="E22:K22" si="9">E21/E17</f>
        <v>1.0983991766129842E-2</v>
      </c>
      <c r="F22" s="18">
        <f t="shared" si="9"/>
        <v>9.8191122017366721E-3</v>
      </c>
      <c r="G22" s="18">
        <f t="shared" si="9"/>
        <v>5.2827135449449317E-3</v>
      </c>
      <c r="H22" s="18">
        <f t="shared" si="9"/>
        <v>5.7501012854840224E-3</v>
      </c>
      <c r="I22" s="18">
        <f t="shared" si="9"/>
        <v>5.9897084920634974E-3</v>
      </c>
      <c r="J22" s="18">
        <f t="shared" si="9"/>
        <v>5.9855060260290893E-3</v>
      </c>
      <c r="K22" s="18">
        <f t="shared" si="9"/>
        <v>6.0028694833020504E-3</v>
      </c>
      <c r="L22" s="33">
        <f>AVERAGE(G22:K22)</f>
        <v>5.8021797663647175E-3</v>
      </c>
    </row>
    <row r="23" spans="1:14" s="13" customFormat="1">
      <c r="A23" s="48"/>
      <c r="B23" s="13" t="s">
        <v>28</v>
      </c>
      <c r="E23" s="19">
        <v>33713796</v>
      </c>
      <c r="F23" s="19">
        <v>33988000</v>
      </c>
      <c r="G23" s="19">
        <v>57254000</v>
      </c>
      <c r="H23" s="19">
        <v>56049000</v>
      </c>
      <c r="I23" s="19">
        <v>61424000</v>
      </c>
      <c r="J23" s="19">
        <v>62464000</v>
      </c>
      <c r="K23" s="19">
        <v>64714000</v>
      </c>
      <c r="L23" s="20">
        <f>AVERAGE(G23:K23)</f>
        <v>60381000</v>
      </c>
      <c r="M23" s="17">
        <f>K23/E23</f>
        <v>1.9195109325571051</v>
      </c>
      <c r="N23" s="16">
        <f>L23/60000000</f>
        <v>1.0063500000000001</v>
      </c>
    </row>
    <row r="24" spans="1:14" s="13" customFormat="1">
      <c r="A24" s="48"/>
      <c r="B24" s="13" t="s">
        <v>31</v>
      </c>
      <c r="E24" s="19">
        <f>E23-(((E18-E21)/83299)*4101725)</f>
        <v>32950609.938042473</v>
      </c>
      <c r="F24" s="19">
        <f>F23-(((F18-F21)/((F33+F34)/1000))*4534000)</f>
        <v>33131018.707317073</v>
      </c>
      <c r="G24" s="19">
        <f>G23</f>
        <v>57254000</v>
      </c>
      <c r="H24" s="19">
        <f>H23</f>
        <v>56049000</v>
      </c>
      <c r="I24" s="19">
        <f>I23</f>
        <v>61424000</v>
      </c>
      <c r="J24" s="19">
        <f>J23</f>
        <v>62464000</v>
      </c>
      <c r="K24" s="19">
        <f>K23</f>
        <v>64714000</v>
      </c>
      <c r="L24" s="17"/>
      <c r="M24" s="17">
        <f t="shared" ref="M24:M25" si="10">K24/E24</f>
        <v>1.963969714724028</v>
      </c>
    </row>
    <row r="25" spans="1:14" s="13" customFormat="1">
      <c r="A25" s="43"/>
      <c r="B25" s="13" t="s">
        <v>50</v>
      </c>
      <c r="E25" s="19">
        <f>E24*(1+A40)</f>
        <v>33504180.185001586</v>
      </c>
      <c r="F25" s="19">
        <f>F24</f>
        <v>33131018.707317073</v>
      </c>
      <c r="G25" s="19">
        <f>G24/((1+$A$40)^(G2-$F$2))</f>
        <v>56308025.177025966</v>
      </c>
      <c r="H25" s="19">
        <f>H24/((1+$A$40)^(H2-$F$2))</f>
        <v>54212170.237105541</v>
      </c>
      <c r="I25" s="19">
        <f>I24/((1+$A$40)^(I2-$F$2))</f>
        <v>58429407.465120882</v>
      </c>
      <c r="J25" s="19">
        <f>J24/((1+$A$40)^(J2-$F$2))</f>
        <v>58436963.556105286</v>
      </c>
      <c r="K25" s="19">
        <f>K24/((1+$A$40)^(K2-$F$2))</f>
        <v>59541607.682308219</v>
      </c>
      <c r="L25" s="20">
        <f>AVERAGE(G25:K25)</f>
        <v>57385634.823533177</v>
      </c>
      <c r="M25" s="17">
        <f t="shared" si="10"/>
        <v>1.7771396689468169</v>
      </c>
      <c r="N25" s="16">
        <f>L25/60000000</f>
        <v>0.95642724705888627</v>
      </c>
    </row>
    <row r="26" spans="1:14" s="13" customFormat="1">
      <c r="A26" s="35"/>
      <c r="B26" s="13" t="s">
        <v>43</v>
      </c>
      <c r="C26" s="15" t="s">
        <v>45</v>
      </c>
      <c r="E26" s="14">
        <v>1299273</v>
      </c>
      <c r="F26" s="14">
        <f t="shared" ref="F26:K26" si="11">E26*(F12/E12)</f>
        <v>1322312.1397927923</v>
      </c>
      <c r="G26" s="14">
        <f t="shared" si="11"/>
        <v>1345759.8172542593</v>
      </c>
      <c r="H26" s="14">
        <f t="shared" si="11"/>
        <v>1369623.2767098499</v>
      </c>
      <c r="I26" s="14">
        <f t="shared" si="11"/>
        <v>1393909.890943795</v>
      </c>
      <c r="J26" s="14">
        <f t="shared" si="11"/>
        <v>1418627.1634769808</v>
      </c>
      <c r="K26" s="14">
        <f t="shared" si="11"/>
        <v>1443782.7308852149</v>
      </c>
      <c r="L26" s="17"/>
    </row>
    <row r="27" spans="1:14" s="13" customFormat="1">
      <c r="A27" s="35"/>
      <c r="B27" s="13" t="s">
        <v>44</v>
      </c>
      <c r="E27" s="19">
        <f t="shared" ref="E27:K27" si="12">E24/E26</f>
        <v>25.360805572071822</v>
      </c>
      <c r="F27" s="19">
        <f t="shared" si="12"/>
        <v>25.055369084419613</v>
      </c>
      <c r="G27" s="19">
        <f t="shared" si="12"/>
        <v>42.543995790285059</v>
      </c>
      <c r="H27" s="19">
        <f t="shared" si="12"/>
        <v>40.9229318405296</v>
      </c>
      <c r="I27" s="19">
        <f t="shared" si="12"/>
        <v>44.065976143128417</v>
      </c>
      <c r="J27" s="19">
        <f t="shared" si="12"/>
        <v>44.031301252475679</v>
      </c>
      <c r="K27" s="19">
        <f t="shared" si="12"/>
        <v>44.822533623409129</v>
      </c>
      <c r="L27" s="40">
        <f>AVERAGE(G27:K27)</f>
        <v>43.277347729965577</v>
      </c>
    </row>
    <row r="28" spans="1:14" s="13" customFormat="1">
      <c r="A28" s="35"/>
      <c r="B28" s="13" t="s">
        <v>46</v>
      </c>
      <c r="E28" s="19"/>
      <c r="F28" s="19">
        <f>F27</f>
        <v>25.055369084419613</v>
      </c>
      <c r="G28" s="19">
        <f>G27/((1+$A$40)^(G2-$F$2))</f>
        <v>41.841065883443214</v>
      </c>
      <c r="H28" s="19">
        <f>H27/((1+$A$40)^(H2-$F$2))</f>
        <v>39.581811406809351</v>
      </c>
      <c r="I28" s="19">
        <f>I27/((1+$A$40)^(I2-$F$2))</f>
        <v>41.91763602850915</v>
      </c>
      <c r="J28" s="19">
        <f>J27/((1+$A$40)^(J2-$F$2))</f>
        <v>41.192615692539931</v>
      </c>
      <c r="K28" s="19">
        <f>K27/((1+$A$40)^(K2-$F$2))</f>
        <v>41.240005444449352</v>
      </c>
      <c r="L28" s="40">
        <f>AVERAGE(G28:K28)</f>
        <v>41.154626891150201</v>
      </c>
    </row>
    <row r="29" spans="1:14">
      <c r="E29" s="4"/>
      <c r="F29" s="4"/>
      <c r="G29" s="4"/>
      <c r="H29" s="4"/>
      <c r="I29" s="4"/>
      <c r="J29" s="4"/>
      <c r="K29" s="4"/>
    </row>
    <row r="30" spans="1:14" ht="28.8">
      <c r="A30"/>
      <c r="B30" t="s">
        <v>10</v>
      </c>
      <c r="C30" s="3" t="s">
        <v>19</v>
      </c>
      <c r="D30" s="45"/>
      <c r="E30" s="5" t="s">
        <v>18</v>
      </c>
      <c r="F30" s="9" t="s">
        <v>25</v>
      </c>
      <c r="G30" s="5">
        <v>2016</v>
      </c>
      <c r="H30" s="5">
        <f>G30+1</f>
        <v>2017</v>
      </c>
      <c r="I30" s="5">
        <f>H30+1</f>
        <v>2018</v>
      </c>
      <c r="J30" s="5">
        <f>I30+1</f>
        <v>2019</v>
      </c>
      <c r="K30" s="5">
        <f>J30+1</f>
        <v>2020</v>
      </c>
    </row>
    <row r="31" spans="1:14">
      <c r="A31"/>
      <c r="B31" t="s">
        <v>11</v>
      </c>
      <c r="E31" s="1"/>
      <c r="G31" s="1">
        <v>4278603</v>
      </c>
      <c r="H31" s="1">
        <v>9387884</v>
      </c>
      <c r="I31" s="1">
        <v>11938314</v>
      </c>
      <c r="J31" s="1">
        <v>12191501</v>
      </c>
      <c r="K31" s="1">
        <v>12191501</v>
      </c>
    </row>
    <row r="32" spans="1:14">
      <c r="A32"/>
      <c r="B32" t="s">
        <v>12</v>
      </c>
      <c r="C32" s="10">
        <v>12832956</v>
      </c>
      <c r="D32" s="10"/>
      <c r="E32" s="1">
        <v>63635377</v>
      </c>
      <c r="F32" s="1">
        <f>(E32/C32)*F41*(1+I41)</f>
        <v>54038833.704826854</v>
      </c>
      <c r="G32" s="1">
        <v>60646597</v>
      </c>
      <c r="H32" s="1">
        <v>61199868</v>
      </c>
      <c r="I32" s="1">
        <v>61805922</v>
      </c>
      <c r="J32" s="1">
        <v>61805922</v>
      </c>
      <c r="K32" s="1">
        <v>61805922</v>
      </c>
    </row>
    <row r="33" spans="1:11">
      <c r="A33"/>
      <c r="B33" t="s">
        <v>16</v>
      </c>
      <c r="C33" s="10">
        <v>667373</v>
      </c>
      <c r="D33" s="10"/>
      <c r="E33" s="1">
        <v>5893002</v>
      </c>
      <c r="F33" s="1">
        <f>(E33/C33)*F42*(1+I42)</f>
        <v>9748482.7944792509</v>
      </c>
      <c r="G33" s="1"/>
      <c r="H33" s="1"/>
      <c r="I33" s="1"/>
      <c r="J33" s="1"/>
      <c r="K33" s="1"/>
    </row>
    <row r="34" spans="1:11">
      <c r="A34"/>
      <c r="B34" t="s">
        <v>17</v>
      </c>
      <c r="C34" s="10">
        <f>1649050+904784</f>
        <v>2553834</v>
      </c>
      <c r="D34" s="10"/>
      <c r="E34" s="1">
        <f>47045453+30360967</f>
        <v>77406420</v>
      </c>
      <c r="F34" s="1">
        <f>(E34/C34)*F43*(1+I43)</f>
        <v>72228460.76134941</v>
      </c>
      <c r="G34" s="1"/>
      <c r="H34" s="1"/>
      <c r="I34" s="1"/>
      <c r="J34" s="1"/>
      <c r="K34" s="1"/>
    </row>
    <row r="35" spans="1:11">
      <c r="A35"/>
      <c r="B35" t="s">
        <v>13</v>
      </c>
      <c r="C35" s="10"/>
      <c r="D35" s="10"/>
      <c r="E35" s="1"/>
      <c r="F35" s="1"/>
      <c r="G35" s="1">
        <v>0</v>
      </c>
      <c r="H35" s="1">
        <v>250000</v>
      </c>
      <c r="I35" s="1">
        <v>650000</v>
      </c>
      <c r="J35" s="1">
        <v>1250000</v>
      </c>
      <c r="K35" s="1">
        <v>2050000</v>
      </c>
    </row>
    <row r="36" spans="1:11">
      <c r="A36"/>
      <c r="B36" s="6" t="s">
        <v>14</v>
      </c>
      <c r="C36" s="11">
        <v>8529346</v>
      </c>
      <c r="D36" s="11"/>
      <c r="E36" s="7">
        <v>2829460</v>
      </c>
      <c r="F36" s="7">
        <f>43600000/(59655123/E36)</f>
        <v>2067960.8019582829</v>
      </c>
      <c r="G36" s="7">
        <v>2407150</v>
      </c>
      <c r="H36" s="7">
        <v>3019309</v>
      </c>
      <c r="I36" s="7">
        <v>3136165</v>
      </c>
      <c r="J36" s="7">
        <v>2828483</v>
      </c>
      <c r="K36" s="7">
        <v>2861275</v>
      </c>
    </row>
    <row r="37" spans="1:11">
      <c r="A37"/>
      <c r="B37" t="s">
        <v>2</v>
      </c>
      <c r="C37" s="10">
        <f>SUM(C32:C36)</f>
        <v>24583509</v>
      </c>
      <c r="D37" s="10"/>
      <c r="E37" s="1">
        <f t="shared" ref="E37:K37" si="13">SUM(E31:E36)</f>
        <v>149764259</v>
      </c>
      <c r="F37" s="1">
        <f t="shared" si="13"/>
        <v>138083738.06261382</v>
      </c>
      <c r="G37" s="1">
        <f t="shared" si="13"/>
        <v>67332350</v>
      </c>
      <c r="H37" s="1">
        <f t="shared" si="13"/>
        <v>73857061</v>
      </c>
      <c r="I37" s="1">
        <f t="shared" si="13"/>
        <v>77530401</v>
      </c>
      <c r="J37" s="1">
        <f t="shared" si="13"/>
        <v>78075906</v>
      </c>
      <c r="K37" s="1">
        <f t="shared" si="13"/>
        <v>78908698</v>
      </c>
    </row>
    <row r="40" spans="1:11" ht="28.8">
      <c r="A40" s="47">
        <v>1.6799999999999999E-2</v>
      </c>
      <c r="B40" s="2" t="s">
        <v>47</v>
      </c>
      <c r="F40" s="9" t="s">
        <v>20</v>
      </c>
      <c r="I40" s="8" t="s">
        <v>24</v>
      </c>
    </row>
    <row r="41" spans="1:11">
      <c r="A41"/>
      <c r="E41" t="s">
        <v>21</v>
      </c>
      <c r="F41" s="10">
        <v>10684000</v>
      </c>
      <c r="H41" t="s">
        <v>21</v>
      </c>
      <c r="I41" s="12">
        <v>0.02</v>
      </c>
    </row>
    <row r="42" spans="1:11">
      <c r="A42"/>
      <c r="E42" t="s">
        <v>22</v>
      </c>
      <c r="F42" s="10">
        <v>1104000</v>
      </c>
      <c r="H42" t="s">
        <v>22</v>
      </c>
      <c r="I42" s="12">
        <v>0</v>
      </c>
    </row>
    <row r="43" spans="1:11">
      <c r="A43"/>
      <c r="E43" t="s">
        <v>23</v>
      </c>
      <c r="F43" s="10">
        <v>2383000</v>
      </c>
      <c r="H43" t="s">
        <v>23</v>
      </c>
      <c r="I43" s="12">
        <v>0</v>
      </c>
    </row>
    <row r="45" spans="1:11">
      <c r="A45"/>
    </row>
    <row r="46" spans="1:11">
      <c r="A46"/>
    </row>
    <row r="47" spans="1:11">
      <c r="A47"/>
    </row>
    <row r="48" spans="1:11">
      <c r="A48"/>
    </row>
  </sheetData>
  <mergeCells count="2">
    <mergeCell ref="A15:A24"/>
    <mergeCell ref="A3:A10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Utility $ and m3 changes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Neme</dc:creator>
  <cp:lastModifiedBy>Kai Millyard</cp:lastModifiedBy>
  <dcterms:created xsi:type="dcterms:W3CDTF">2015-07-10T17:10:19Z</dcterms:created>
  <dcterms:modified xsi:type="dcterms:W3CDTF">2015-08-09T01:22:05Z</dcterms:modified>
</cp:coreProperties>
</file>