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420" windowWidth="28800" windowHeight="12015" tabRatio="826"/>
  </bookViews>
  <sheets>
    <sheet name="Union Offering Analysis" sheetId="15" r:id="rId1"/>
    <sheet name="Union Cost-Effectiveness" sheetId="21" r:id="rId2"/>
    <sheet name="Customers &amp; Sales" sheetId="7" r:id="rId3"/>
  </sheets>
  <definedNames>
    <definedName name="_xlnm._FilterDatabase" localSheetId="2" hidden="1">'Customers &amp; Sales'!$B$11:$O$11</definedName>
    <definedName name="_xlnm.Print_Area" localSheetId="2">'Customers &amp; Sales'!$B$2:$P$20</definedName>
    <definedName name="_xlnm.Print_Area" localSheetId="1">'Union Cost-Effectiveness'!$B$2:$Q$27</definedName>
    <definedName name="_xlnm.Print_Area" localSheetId="0">'Union Offering Analysis'!$B$2:$U$136</definedName>
    <definedName name="_xlnm.Print_Titles" localSheetId="0">'Union Offering Analysis'!$2:$5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1" l="1"/>
  <c r="G23" i="21"/>
  <c r="H23" i="21"/>
  <c r="F11" i="21"/>
  <c r="G11" i="21"/>
  <c r="H11" i="21"/>
  <c r="R70" i="15" l="1"/>
  <c r="Q70" i="15"/>
  <c r="P70" i="15"/>
  <c r="O70" i="15"/>
  <c r="R69" i="15"/>
  <c r="Q69" i="15"/>
  <c r="P69" i="15"/>
  <c r="O69" i="15"/>
  <c r="N70" i="15"/>
  <c r="N69" i="15"/>
  <c r="R66" i="15"/>
  <c r="Q66" i="15"/>
  <c r="O66" i="15"/>
  <c r="N66" i="15"/>
  <c r="F24" i="21"/>
  <c r="G24" i="21"/>
  <c r="H24" i="21"/>
  <c r="D24" i="21"/>
  <c r="E24" i="21"/>
  <c r="D23" i="21"/>
  <c r="M26" i="21"/>
  <c r="P26" i="21" s="1"/>
  <c r="M24" i="21"/>
  <c r="M23" i="21"/>
  <c r="O25" i="21"/>
  <c r="N25" i="21"/>
  <c r="L25" i="21"/>
  <c r="L27" i="21" s="1"/>
  <c r="D25" i="21" s="1"/>
  <c r="F12" i="21"/>
  <c r="G12" i="21"/>
  <c r="D12" i="21"/>
  <c r="M14" i="21"/>
  <c r="E12" i="21" s="1"/>
  <c r="M12" i="21"/>
  <c r="N13" i="21"/>
  <c r="O13" i="21"/>
  <c r="L13" i="21"/>
  <c r="L15" i="21" s="1"/>
  <c r="D13" i="21" s="1"/>
  <c r="M11" i="21"/>
  <c r="M13" i="21" s="1"/>
  <c r="E11" i="21" s="1"/>
  <c r="B3" i="21"/>
  <c r="B3" i="15"/>
  <c r="O27" i="21" l="1"/>
  <c r="G25" i="21" s="1"/>
  <c r="D11" i="21"/>
  <c r="N27" i="21"/>
  <c r="F25" i="21" s="1"/>
  <c r="M25" i="21"/>
  <c r="O15" i="21"/>
  <c r="G13" i="21" s="1"/>
  <c r="P25" i="21"/>
  <c r="M15" i="21"/>
  <c r="E13" i="21" s="1"/>
  <c r="P13" i="21"/>
  <c r="N15" i="21"/>
  <c r="F13" i="21" s="1"/>
  <c r="P14" i="21"/>
  <c r="H12" i="21" s="1"/>
  <c r="M27" i="21" l="1"/>
  <c r="E25" i="21" s="1"/>
  <c r="E23" i="21"/>
  <c r="P15" i="21"/>
  <c r="H13" i="21" s="1"/>
  <c r="P27" i="21" l="1"/>
  <c r="H25" i="21" s="1"/>
  <c r="N13" i="7" l="1"/>
  <c r="F13" i="7" s="1"/>
  <c r="N12" i="7"/>
  <c r="F12" i="7" s="1"/>
  <c r="O13" i="7"/>
  <c r="D13" i="7" s="1"/>
  <c r="D12" i="7"/>
  <c r="F14" i="7" l="1"/>
  <c r="H13" i="7"/>
  <c r="D14" i="7"/>
  <c r="H12" i="7"/>
  <c r="G13" i="7" l="1"/>
  <c r="H14" i="7"/>
  <c r="G12" i="7"/>
  <c r="E12" i="7"/>
  <c r="E13" i="7"/>
  <c r="G14" i="7" l="1"/>
  <c r="E14" i="7"/>
  <c r="Q121" i="15" l="1"/>
  <c r="Q119" i="15"/>
  <c r="O121" i="15"/>
  <c r="O119" i="15"/>
  <c r="P120" i="15"/>
  <c r="Q120" i="15" s="1"/>
  <c r="N120" i="15"/>
  <c r="O120" i="15" s="1"/>
  <c r="O107" i="15"/>
  <c r="P107" i="15"/>
  <c r="Q107" i="15"/>
  <c r="R107" i="15"/>
  <c r="N107" i="15"/>
  <c r="M115" i="15" l="1"/>
  <c r="M114" i="15"/>
  <c r="M113" i="15"/>
  <c r="N79" i="15" l="1"/>
  <c r="O79" i="15"/>
  <c r="Q23" i="15" l="1"/>
  <c r="R23" i="15"/>
  <c r="N68" i="15" l="1"/>
  <c r="S70" i="15"/>
  <c r="L70" i="15"/>
  <c r="S69" i="15"/>
  <c r="R68" i="15"/>
  <c r="Q68" i="15"/>
  <c r="P68" i="15"/>
  <c r="O68" i="15"/>
  <c r="O23" i="15"/>
  <c r="P23" i="15"/>
  <c r="N23" i="15"/>
  <c r="L25" i="15"/>
  <c r="S68" i="15" l="1"/>
  <c r="S24" i="15"/>
  <c r="E23" i="15" l="1"/>
  <c r="I23" i="15" s="1"/>
  <c r="E68" i="15"/>
  <c r="S25" i="15"/>
  <c r="E69" i="15" l="1"/>
  <c r="I69" i="15" s="1"/>
  <c r="S23" i="15"/>
  <c r="I68" i="15"/>
  <c r="E24" i="15"/>
  <c r="I24" i="15" l="1"/>
  <c r="O14" i="7" l="1"/>
  <c r="N14" i="7"/>
  <c r="C56" i="15" l="1"/>
  <c r="C9" i="15"/>
  <c r="L86" i="15"/>
  <c r="L96" i="15"/>
  <c r="L92" i="15"/>
  <c r="L89" i="15"/>
  <c r="L90" i="15" s="1"/>
  <c r="L73" i="15"/>
  <c r="L83" i="15"/>
  <c r="S81" i="15"/>
  <c r="G64" i="15" s="1"/>
  <c r="L79" i="15"/>
  <c r="S77" i="15"/>
  <c r="G60" i="15" s="1"/>
  <c r="L76" i="15"/>
  <c r="L77" i="15" s="1"/>
  <c r="C66" i="15"/>
  <c r="C62" i="15"/>
  <c r="C59" i="15"/>
  <c r="C60" i="15" s="1"/>
  <c r="G14" i="15"/>
  <c r="L56" i="15"/>
  <c r="L66" i="15"/>
  <c r="L62" i="15"/>
  <c r="L59" i="15"/>
  <c r="L41" i="15"/>
  <c r="L49" i="15"/>
  <c r="L47" i="15"/>
  <c r="L44" i="15"/>
  <c r="L29" i="15"/>
  <c r="L37" i="15"/>
  <c r="N36" i="15" s="1"/>
  <c r="L35" i="15"/>
  <c r="L32" i="15"/>
  <c r="L21" i="15"/>
  <c r="L19" i="15"/>
  <c r="O63" i="15" s="1"/>
  <c r="L17" i="15"/>
  <c r="L15" i="15"/>
  <c r="P60" i="15" s="1"/>
  <c r="P90" i="15" s="1"/>
  <c r="L12" i="15"/>
  <c r="R59" i="15" s="1"/>
  <c r="L9" i="15"/>
  <c r="Q65" i="15" l="1"/>
  <c r="Q106" i="15" s="1"/>
  <c r="L69" i="15"/>
  <c r="R20" i="15"/>
  <c r="L24" i="15"/>
  <c r="N80" i="15"/>
  <c r="N78" i="15" s="1"/>
  <c r="N115" i="15" s="1"/>
  <c r="Q59" i="15"/>
  <c r="P59" i="15"/>
  <c r="L60" i="15"/>
  <c r="O60" i="15"/>
  <c r="O90" i="15" s="1"/>
  <c r="Q60" i="15"/>
  <c r="Q90" i="15" s="1"/>
  <c r="L45" i="15"/>
  <c r="L33" i="15"/>
  <c r="R60" i="15"/>
  <c r="P63" i="15"/>
  <c r="N59" i="15"/>
  <c r="O59" i="15"/>
  <c r="Q63" i="15"/>
  <c r="R63" i="15"/>
  <c r="P66" i="15"/>
  <c r="N64" i="15"/>
  <c r="N94" i="15" s="1"/>
  <c r="O64" i="15"/>
  <c r="O94" i="15" s="1"/>
  <c r="P64" i="15"/>
  <c r="P94" i="15" s="1"/>
  <c r="Q64" i="15"/>
  <c r="Q94" i="15" s="1"/>
  <c r="L13" i="15"/>
  <c r="O18" i="15"/>
  <c r="N63" i="15" l="1"/>
  <c r="N93" i="15" s="1"/>
  <c r="N49" i="15"/>
  <c r="R64" i="15"/>
  <c r="R94" i="15" s="1"/>
  <c r="P58" i="15"/>
  <c r="P105" i="15" s="1"/>
  <c r="R58" i="15"/>
  <c r="R105" i="15" s="1"/>
  <c r="R90" i="15"/>
  <c r="O65" i="15"/>
  <c r="O106" i="15" s="1"/>
  <c r="P65" i="15"/>
  <c r="P106" i="15" s="1"/>
  <c r="R65" i="15"/>
  <c r="R106" i="15" s="1"/>
  <c r="Q58" i="15"/>
  <c r="Q105" i="15" s="1"/>
  <c r="O58" i="15"/>
  <c r="O105" i="15" s="1"/>
  <c r="N60" i="15"/>
  <c r="N90" i="15" s="1"/>
  <c r="Q16" i="15"/>
  <c r="P18" i="15"/>
  <c r="R18" i="15"/>
  <c r="N20" i="15"/>
  <c r="Q20" i="15"/>
  <c r="P20" i="15"/>
  <c r="Q18" i="15"/>
  <c r="N18" i="15"/>
  <c r="N48" i="15" s="1"/>
  <c r="O20" i="15"/>
  <c r="S59" i="15"/>
  <c r="S66" i="15"/>
  <c r="N65" i="15"/>
  <c r="N106" i="15" s="1"/>
  <c r="S21" i="15"/>
  <c r="E21" i="15" s="1"/>
  <c r="E20" i="15" s="1"/>
  <c r="P62" i="15"/>
  <c r="Q62" i="15"/>
  <c r="R62" i="15"/>
  <c r="S19" i="15"/>
  <c r="E19" i="15" s="1"/>
  <c r="S12" i="15"/>
  <c r="E12" i="15" s="1"/>
  <c r="S15" i="15"/>
  <c r="E15" i="15" s="1"/>
  <c r="P14" i="15"/>
  <c r="Q14" i="15"/>
  <c r="O14" i="15"/>
  <c r="R14" i="15"/>
  <c r="O16" i="15"/>
  <c r="R16" i="15"/>
  <c r="S17" i="15"/>
  <c r="E17" i="15" s="1"/>
  <c r="N16" i="15"/>
  <c r="P16" i="15"/>
  <c r="S63" i="15" l="1"/>
  <c r="E63" i="15" s="1"/>
  <c r="O62" i="15"/>
  <c r="O45" i="15"/>
  <c r="S64" i="15"/>
  <c r="S94" i="15" s="1"/>
  <c r="E66" i="15"/>
  <c r="E59" i="15"/>
  <c r="R61" i="15"/>
  <c r="Q61" i="15"/>
  <c r="P61" i="15"/>
  <c r="I21" i="15"/>
  <c r="E16" i="15"/>
  <c r="I15" i="15"/>
  <c r="E14" i="15"/>
  <c r="E18" i="15"/>
  <c r="O61" i="15"/>
  <c r="S18" i="15"/>
  <c r="R11" i="15"/>
  <c r="R26" i="15" s="1"/>
  <c r="S20" i="15"/>
  <c r="Q11" i="15"/>
  <c r="Q26" i="15" s="1"/>
  <c r="P11" i="15"/>
  <c r="P26" i="15" s="1"/>
  <c r="O11" i="15"/>
  <c r="O26" i="15" s="1"/>
  <c r="S60" i="15"/>
  <c r="N58" i="15"/>
  <c r="N105" i="15" s="1"/>
  <c r="S65" i="15"/>
  <c r="N14" i="15"/>
  <c r="S16" i="15"/>
  <c r="O67" i="15" l="1"/>
  <c r="O71" i="15" s="1"/>
  <c r="O108" i="15"/>
  <c r="O109" i="15" s="1"/>
  <c r="Q67" i="15"/>
  <c r="Q71" i="15" s="1"/>
  <c r="Q108" i="15"/>
  <c r="Q109" i="15" s="1"/>
  <c r="R67" i="15"/>
  <c r="R71" i="15" s="1"/>
  <c r="R108" i="15"/>
  <c r="R109" i="15" s="1"/>
  <c r="P67" i="15"/>
  <c r="P71" i="15" s="1"/>
  <c r="P108" i="15"/>
  <c r="P109" i="15" s="1"/>
  <c r="E65" i="15"/>
  <c r="E64" i="15"/>
  <c r="P22" i="15"/>
  <c r="O22" i="15"/>
  <c r="R22" i="15"/>
  <c r="Q22" i="15"/>
  <c r="E60" i="15"/>
  <c r="S90" i="15"/>
  <c r="I20" i="15"/>
  <c r="I14" i="15"/>
  <c r="P27" i="15"/>
  <c r="S58" i="15"/>
  <c r="R27" i="15"/>
  <c r="Q27" i="15"/>
  <c r="S14" i="15"/>
  <c r="I64" i="15" l="1"/>
  <c r="I60" i="15"/>
  <c r="E58" i="15"/>
  <c r="R80" i="15" l="1"/>
  <c r="R93" i="15" s="1"/>
  <c r="Q80" i="15"/>
  <c r="Q93" i="15" s="1"/>
  <c r="P80" i="15"/>
  <c r="P93" i="15" s="1"/>
  <c r="O49" i="15" l="1"/>
  <c r="O80" i="15"/>
  <c r="O78" i="15" s="1"/>
  <c r="O115" i="15" s="1"/>
  <c r="Q34" i="15"/>
  <c r="Q36" i="15"/>
  <c r="Q48" i="15" s="1"/>
  <c r="Q49" i="15"/>
  <c r="R36" i="15"/>
  <c r="R48" i="15" s="1"/>
  <c r="R49" i="15"/>
  <c r="P36" i="15"/>
  <c r="P48" i="15" s="1"/>
  <c r="P49" i="15"/>
  <c r="O36" i="15"/>
  <c r="S37" i="15"/>
  <c r="O34" i="15" l="1"/>
  <c r="O46" i="15" s="1"/>
  <c r="O83" i="15"/>
  <c r="R34" i="15"/>
  <c r="R46" i="15" s="1"/>
  <c r="R83" i="15"/>
  <c r="P47" i="15"/>
  <c r="P83" i="15"/>
  <c r="N47" i="15"/>
  <c r="N83" i="15"/>
  <c r="Q46" i="15"/>
  <c r="Q83" i="15"/>
  <c r="O93" i="15"/>
  <c r="S80" i="15"/>
  <c r="S49" i="15"/>
  <c r="G19" i="15"/>
  <c r="P34" i="15"/>
  <c r="N34" i="15"/>
  <c r="O47" i="15"/>
  <c r="R47" i="15"/>
  <c r="S35" i="15"/>
  <c r="Q47" i="15"/>
  <c r="S36" i="15"/>
  <c r="O48" i="15"/>
  <c r="N45" i="15"/>
  <c r="P82" i="15" l="1"/>
  <c r="P114" i="15" s="1"/>
  <c r="P96" i="15"/>
  <c r="R82" i="15"/>
  <c r="R114" i="15" s="1"/>
  <c r="R96" i="15"/>
  <c r="Q96" i="15"/>
  <c r="Q82" i="15"/>
  <c r="Q114" i="15" s="1"/>
  <c r="O82" i="15"/>
  <c r="O114" i="15" s="1"/>
  <c r="O96" i="15"/>
  <c r="N82" i="15"/>
  <c r="N114" i="15" s="1"/>
  <c r="S83" i="15"/>
  <c r="N96" i="15"/>
  <c r="G63" i="15"/>
  <c r="S93" i="15"/>
  <c r="S47" i="15"/>
  <c r="G17" i="15"/>
  <c r="S48" i="15"/>
  <c r="G18" i="15"/>
  <c r="I19" i="15"/>
  <c r="P46" i="15"/>
  <c r="S34" i="15"/>
  <c r="N46" i="15"/>
  <c r="N62" i="15"/>
  <c r="N11" i="15"/>
  <c r="S13" i="15"/>
  <c r="E13" i="15" s="1"/>
  <c r="R95" i="15" l="1"/>
  <c r="P95" i="15"/>
  <c r="O95" i="15"/>
  <c r="Q95" i="15"/>
  <c r="N26" i="15"/>
  <c r="N22" i="15"/>
  <c r="S22" i="15" s="1"/>
  <c r="G66" i="15"/>
  <c r="S96" i="15"/>
  <c r="N95" i="15"/>
  <c r="S82" i="15"/>
  <c r="S95" i="15" s="1"/>
  <c r="P45" i="15"/>
  <c r="P79" i="15"/>
  <c r="P44" i="15"/>
  <c r="P76" i="15"/>
  <c r="Q44" i="15"/>
  <c r="Q76" i="15"/>
  <c r="R45" i="15"/>
  <c r="R79" i="15"/>
  <c r="N44" i="15"/>
  <c r="N76" i="15"/>
  <c r="R44" i="15"/>
  <c r="R76" i="15"/>
  <c r="O44" i="15"/>
  <c r="O76" i="15"/>
  <c r="I63" i="15"/>
  <c r="I18" i="15"/>
  <c r="E11" i="15"/>
  <c r="S46" i="15"/>
  <c r="G16" i="15"/>
  <c r="I17" i="15"/>
  <c r="O31" i="15"/>
  <c r="R31" i="15"/>
  <c r="R38" i="15" s="1"/>
  <c r="N31" i="15"/>
  <c r="N38" i="15" s="1"/>
  <c r="N61" i="15"/>
  <c r="S62" i="15"/>
  <c r="S32" i="15"/>
  <c r="G12" i="15" s="1"/>
  <c r="P31" i="15"/>
  <c r="P38" i="15" s="1"/>
  <c r="S11" i="15"/>
  <c r="S26" i="15" s="1"/>
  <c r="N67" i="15" l="1"/>
  <c r="S67" i="15" s="1"/>
  <c r="N108" i="15"/>
  <c r="N109" i="15" s="1"/>
  <c r="E22" i="15"/>
  <c r="E25" i="15" s="1"/>
  <c r="F18" i="15" s="1"/>
  <c r="T22" i="15"/>
  <c r="T23" i="15"/>
  <c r="T69" i="15"/>
  <c r="T70" i="15"/>
  <c r="T68" i="15"/>
  <c r="G65" i="15"/>
  <c r="I65" i="15" s="1"/>
  <c r="I66" i="15"/>
  <c r="E62" i="15"/>
  <c r="N91" i="15"/>
  <c r="N92" i="15"/>
  <c r="Q31" i="15"/>
  <c r="Q79" i="15"/>
  <c r="P75" i="15"/>
  <c r="P113" i="15" s="1"/>
  <c r="P89" i="15"/>
  <c r="P78" i="15"/>
  <c r="P115" i="15" s="1"/>
  <c r="P92" i="15"/>
  <c r="R75" i="15"/>
  <c r="R113" i="15" s="1"/>
  <c r="R89" i="15"/>
  <c r="Q75" i="15"/>
  <c r="Q113" i="15" s="1"/>
  <c r="Q89" i="15"/>
  <c r="O75" i="15"/>
  <c r="O113" i="15" s="1"/>
  <c r="O89" i="15"/>
  <c r="N75" i="15"/>
  <c r="N113" i="15" s="1"/>
  <c r="S76" i="15"/>
  <c r="N89" i="15"/>
  <c r="O92" i="15"/>
  <c r="R78" i="15"/>
  <c r="R115" i="15" s="1"/>
  <c r="R92" i="15"/>
  <c r="S44" i="15"/>
  <c r="I16" i="15"/>
  <c r="O38" i="15"/>
  <c r="O50" i="15" s="1"/>
  <c r="R50" i="15"/>
  <c r="O43" i="15"/>
  <c r="P43" i="15"/>
  <c r="N43" i="15"/>
  <c r="Q45" i="15"/>
  <c r="S61" i="15"/>
  <c r="R43" i="15"/>
  <c r="S33" i="15"/>
  <c r="O27" i="15"/>
  <c r="T24" i="15"/>
  <c r="O88" i="15" l="1"/>
  <c r="P88" i="15"/>
  <c r="R88" i="15"/>
  <c r="N71" i="15"/>
  <c r="Q88" i="15"/>
  <c r="Q38" i="15"/>
  <c r="S38" i="15" s="1"/>
  <c r="S79" i="15"/>
  <c r="G13" i="15"/>
  <c r="G11" i="15" s="1"/>
  <c r="G22" i="15" s="1"/>
  <c r="I22" i="15" s="1"/>
  <c r="E61" i="15"/>
  <c r="F11" i="15"/>
  <c r="F22" i="15"/>
  <c r="T67" i="15"/>
  <c r="S71" i="15"/>
  <c r="T71" i="15" s="1"/>
  <c r="E67" i="15"/>
  <c r="F23" i="15"/>
  <c r="F24" i="15"/>
  <c r="T25" i="15"/>
  <c r="S31" i="15"/>
  <c r="S43" i="15" s="1"/>
  <c r="Q43" i="15"/>
  <c r="Q78" i="15"/>
  <c r="Q115" i="15" s="1"/>
  <c r="Q92" i="15"/>
  <c r="O84" i="15"/>
  <c r="O97" i="15" s="1"/>
  <c r="O91" i="15"/>
  <c r="R84" i="15"/>
  <c r="R97" i="15" s="1"/>
  <c r="R91" i="15"/>
  <c r="P84" i="15"/>
  <c r="P97" i="15" s="1"/>
  <c r="P91" i="15"/>
  <c r="P39" i="15"/>
  <c r="G59" i="15"/>
  <c r="S89" i="15"/>
  <c r="S75" i="15"/>
  <c r="N88" i="15"/>
  <c r="N84" i="15"/>
  <c r="S45" i="15"/>
  <c r="F25" i="15"/>
  <c r="F21" i="15"/>
  <c r="F12" i="15"/>
  <c r="F19" i="15"/>
  <c r="F17" i="15"/>
  <c r="F15" i="15"/>
  <c r="F16" i="15"/>
  <c r="F14" i="15"/>
  <c r="F20" i="15"/>
  <c r="F13" i="15"/>
  <c r="I12" i="15"/>
  <c r="P50" i="15"/>
  <c r="P51" i="15" s="1"/>
  <c r="O39" i="15"/>
  <c r="N50" i="15"/>
  <c r="O51" i="15" s="1"/>
  <c r="T21" i="15"/>
  <c r="T20" i="15"/>
  <c r="T16" i="15"/>
  <c r="T15" i="15"/>
  <c r="T19" i="15"/>
  <c r="T17" i="15"/>
  <c r="T14" i="15"/>
  <c r="T18" i="15"/>
  <c r="T26" i="15"/>
  <c r="T12" i="15"/>
  <c r="T13" i="15"/>
  <c r="T11" i="15"/>
  <c r="Q50" i="15" l="1"/>
  <c r="Q51" i="15" s="1"/>
  <c r="Q39" i="15"/>
  <c r="R39" i="15"/>
  <c r="S78" i="15"/>
  <c r="S91" i="15" s="1"/>
  <c r="E70" i="15"/>
  <c r="F67" i="15" s="1"/>
  <c r="N97" i="15"/>
  <c r="G62" i="15"/>
  <c r="G61" i="15" s="1"/>
  <c r="S92" i="15"/>
  <c r="I59" i="15"/>
  <c r="G58" i="15"/>
  <c r="T61" i="15"/>
  <c r="S88" i="15"/>
  <c r="Q84" i="15"/>
  <c r="Q97" i="15" s="1"/>
  <c r="Q91" i="15"/>
  <c r="T38" i="15"/>
  <c r="T37" i="15"/>
  <c r="T35" i="15"/>
  <c r="T36" i="15"/>
  <c r="T34" i="15"/>
  <c r="T32" i="15"/>
  <c r="T33" i="15"/>
  <c r="I13" i="15"/>
  <c r="T59" i="15"/>
  <c r="T66" i="15"/>
  <c r="T64" i="15"/>
  <c r="T63" i="15"/>
  <c r="T60" i="15"/>
  <c r="T65" i="15"/>
  <c r="T58" i="15"/>
  <c r="T62" i="15"/>
  <c r="I11" i="15"/>
  <c r="G25" i="15"/>
  <c r="T31" i="15"/>
  <c r="S50" i="15"/>
  <c r="R51" i="15" l="1"/>
  <c r="F61" i="15"/>
  <c r="F69" i="15"/>
  <c r="F68" i="15"/>
  <c r="F70" i="15"/>
  <c r="F63" i="15"/>
  <c r="F59" i="15"/>
  <c r="F66" i="15"/>
  <c r="F65" i="15"/>
  <c r="F64" i="15"/>
  <c r="F60" i="15"/>
  <c r="F58" i="15"/>
  <c r="F62" i="15"/>
  <c r="I61" i="15"/>
  <c r="G67" i="15"/>
  <c r="H22" i="15"/>
  <c r="I58" i="15"/>
  <c r="I62" i="15"/>
  <c r="S84" i="15"/>
  <c r="H11" i="15"/>
  <c r="H15" i="15"/>
  <c r="H20" i="15"/>
  <c r="H25" i="15"/>
  <c r="H14" i="15"/>
  <c r="H21" i="15"/>
  <c r="H19" i="15"/>
  <c r="H18" i="15"/>
  <c r="H17" i="15"/>
  <c r="H16" i="15"/>
  <c r="I25" i="15"/>
  <c r="H12" i="15"/>
  <c r="H13" i="15"/>
  <c r="G70" i="15" l="1"/>
  <c r="I67" i="15"/>
  <c r="T84" i="15"/>
  <c r="T77" i="15"/>
  <c r="T81" i="15"/>
  <c r="T83" i="15"/>
  <c r="T82" i="15"/>
  <c r="T80" i="15"/>
  <c r="T76" i="15"/>
  <c r="T79" i="15"/>
  <c r="T78" i="15"/>
  <c r="T75" i="15"/>
  <c r="S97" i="15"/>
  <c r="H63" i="15" l="1"/>
  <c r="H66" i="15"/>
  <c r="H62" i="15"/>
  <c r="H65" i="15"/>
  <c r="H61" i="15"/>
  <c r="H70" i="15"/>
  <c r="H64" i="15"/>
  <c r="H60" i="15"/>
  <c r="H59" i="15"/>
  <c r="H58" i="15"/>
  <c r="H67" i="15"/>
  <c r="I70" i="15"/>
</calcChain>
</file>

<file path=xl/sharedStrings.xml><?xml version="1.0" encoding="utf-8"?>
<sst xmlns="http://schemas.openxmlformats.org/spreadsheetml/2006/main" count="276" uniqueCount="95">
  <si>
    <t>Customer Sector</t>
  </si>
  <si>
    <t>Resource Acquisition</t>
  </si>
  <si>
    <t>Low Income</t>
  </si>
  <si>
    <t>Residential</t>
  </si>
  <si>
    <t>C&amp;I</t>
  </si>
  <si>
    <t>Year</t>
  </si>
  <si>
    <t>Utility</t>
  </si>
  <si>
    <t>Union</t>
  </si>
  <si>
    <t>Source</t>
  </si>
  <si>
    <t>Performance Based</t>
  </si>
  <si>
    <t>Large Volume</t>
  </si>
  <si>
    <t>Market Transformation</t>
  </si>
  <si>
    <t>Lifetime Savings (M3)</t>
  </si>
  <si>
    <t>Low Income Total</t>
  </si>
  <si>
    <t>Performance Based Total</t>
  </si>
  <si>
    <t>Customers</t>
  </si>
  <si>
    <t>Total</t>
  </si>
  <si>
    <t>Portfolio Total</t>
  </si>
  <si>
    <t>Program / Sector</t>
  </si>
  <si>
    <t>2016-2020</t>
  </si>
  <si>
    <t>% of Total</t>
  </si>
  <si>
    <t>All Programs &amp; Sectors</t>
  </si>
  <si>
    <t>Commercial &amp; Industrial</t>
  </si>
  <si>
    <t>BY PROGRAM</t>
  </si>
  <si>
    <t>Sector / Program</t>
  </si>
  <si>
    <t>% of Total Costs</t>
  </si>
  <si>
    <t>% of Total Savings</t>
  </si>
  <si>
    <t>UNION</t>
  </si>
  <si>
    <t>Residential Total</t>
  </si>
  <si>
    <t>C&amp;I Total</t>
  </si>
  <si>
    <t>Year-to-Year Change</t>
  </si>
  <si>
    <t xml:space="preserve">Low Income </t>
  </si>
  <si>
    <t>Cost of Saved Energy ($/M3)</t>
  </si>
  <si>
    <t>Total Utility Costs ($)</t>
  </si>
  <si>
    <t>Exh. A, Tab 1, App. A, Sch. 4-5.</t>
  </si>
  <si>
    <t>Net Benefits</t>
  </si>
  <si>
    <t>BCR</t>
  </si>
  <si>
    <t>Other Costs</t>
  </si>
  <si>
    <t>Inflation</t>
  </si>
  <si>
    <t>Portfolio Subtotal</t>
  </si>
  <si>
    <t>PAC Costs</t>
  </si>
  <si>
    <t xml:space="preserve">Net Benefits </t>
  </si>
  <si>
    <t>Unassigned Costs</t>
  </si>
  <si>
    <t>Spending ($M)</t>
  </si>
  <si>
    <t>Spending</t>
  </si>
  <si>
    <t>Savings (million M3)</t>
  </si>
  <si>
    <t>% of Sales</t>
  </si>
  <si>
    <t>% of Customers</t>
  </si>
  <si>
    <t>Sales 
(million M3)</t>
  </si>
  <si>
    <t>Usage per Customer (M3)</t>
  </si>
  <si>
    <t>Union 2014 Customer Sectors</t>
  </si>
  <si>
    <t>TRC Plus Costs</t>
  </si>
  <si>
    <t>Benefits</t>
  </si>
  <si>
    <t>Union 2016 TRC Plus Test</t>
  </si>
  <si>
    <t>Union 2016 PAC Test</t>
  </si>
  <si>
    <t>Ontario Gas DSM Data Review</t>
  </si>
  <si>
    <t>Customer &amp; Sales Data</t>
  </si>
  <si>
    <t>Sales (Million m3)</t>
  </si>
  <si>
    <t>Total Resource Cost Test</t>
  </si>
  <si>
    <t>Program Administrator Cost Test</t>
  </si>
  <si>
    <t>TABLE FOR REPORT</t>
  </si>
  <si>
    <t>SUPPORTING ANALYSIS</t>
  </si>
  <si>
    <t>BY CUSTOMER SECTOR, 2016-2018 TOTAL</t>
  </si>
  <si>
    <t>BY CUSTOMER SECTOR, 2016-2018 ANNUALLY</t>
  </si>
  <si>
    <t>FIGURES FOR REPORT</t>
  </si>
  <si>
    <t>2012 Comparison</t>
  </si>
  <si>
    <t>Savings</t>
  </si>
  <si>
    <t>Source: estimated from the figures below, from 2015-2020 DSM Framework, December 2014, pages 10, 14.</t>
  </si>
  <si>
    <t>Residential Resource Acquisition</t>
  </si>
  <si>
    <t>C&amp;I Resource Acquisition</t>
  </si>
  <si>
    <t>Total Resource Acquisition</t>
  </si>
  <si>
    <t>Exh. A, Tab 3, App. A, p. 23.</t>
  </si>
  <si>
    <t>Exh. A, Tab 3, App. A, pp. 48-49.</t>
  </si>
  <si>
    <t>Sum of residential and C&amp;I</t>
  </si>
  <si>
    <t>Low-Income Total</t>
  </si>
  <si>
    <t>Exh. A, Tab 3, App. A, p. 96.</t>
  </si>
  <si>
    <t>Sum of Resource Acquisition and Low Income</t>
  </si>
  <si>
    <t>Exh. A, Tab 3, App. A, p. 24</t>
  </si>
  <si>
    <t>Exh. A, Tab 3, App. A, pp. 50-51.</t>
  </si>
  <si>
    <t>Exh. A, Tab 3, App. A, p. 97.</t>
  </si>
  <si>
    <t>Sum of Res and C&amp;I</t>
  </si>
  <si>
    <t>Exh. A, Tab 3, p 6, Table 2</t>
  </si>
  <si>
    <t>Equal to Res</t>
  </si>
  <si>
    <t>Equal to Low Income</t>
  </si>
  <si>
    <t>Equal to C&amp;I</t>
  </si>
  <si>
    <t>Sum of programs</t>
  </si>
  <si>
    <t>Sum of other costs and inflation</t>
  </si>
  <si>
    <t>Sum of programs and all costs</t>
  </si>
  <si>
    <t>Exh. A, Tab 3, App. A p 15, Table 6</t>
  </si>
  <si>
    <t>Exh. A, Tab 3, App. A p 43, Table 13</t>
  </si>
  <si>
    <t>Exh. A, Tab 3, App. A p 60, Table 22</t>
  </si>
  <si>
    <t>Exh. A, Tab 3, App. A p 89, Table 31</t>
  </si>
  <si>
    <t>Enbridge &amp; Union Customer and Sales Data</t>
  </si>
  <si>
    <t>Customer &amp; Sales</t>
  </si>
  <si>
    <t>August 12,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</si>
</sst>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.0000"/>
    <numFmt numFmtId="167" formatCode="0.000"/>
    <numFmt numFmtId="168" formatCode="_(* #,##0_);_(* \(#,##0\);_(* &quot;-&quot;??_);_(@_)"/>
    <numFmt numFmtId="169" formatCode="_-* #,##0.000000_-;\-* #,##0.000000_-;_-* &quot;-&quot;??_-;_-@_-"/>
  </numFmts>
  <fonts count="21">
    <font>
      <sz val="11"/>
      <color theme="1"/>
      <name val="Gill Sans MT"/>
      <family val="2"/>
      <scheme val="minor"/>
    </font>
    <font>
      <b/>
      <i/>
      <sz val="14"/>
      <color theme="1"/>
      <name val="Gill Sans MT"/>
      <family val="2"/>
      <scheme val="minor"/>
    </font>
    <font>
      <i/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0" tint="-4.9989318521683403E-2"/>
      <name val="Calibri"/>
      <family val="2"/>
    </font>
    <font>
      <sz val="11"/>
      <color theme="1"/>
      <name val="Calibri"/>
      <family val="2"/>
    </font>
    <font>
      <b/>
      <i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b/>
      <u/>
      <sz val="16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quotePrefix="1" applyFont="1"/>
    <xf numFmtId="0" fontId="4" fillId="0" borderId="0" xfId="0" applyNumberFormat="1" applyFont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2" borderId="5" xfId="0" applyFont="1" applyFill="1" applyBorder="1"/>
    <xf numFmtId="0" fontId="9" fillId="2" borderId="0" xfId="0" applyFont="1" applyFill="1" applyBorder="1"/>
    <xf numFmtId="164" fontId="9" fillId="2" borderId="0" xfId="1" applyNumberFormat="1" applyFont="1" applyFill="1" applyBorder="1"/>
    <xf numFmtId="9" fontId="9" fillId="2" borderId="6" xfId="2" applyFont="1" applyFill="1" applyBorder="1"/>
    <xf numFmtId="0" fontId="10" fillId="0" borderId="5" xfId="0" applyFont="1" applyBorder="1"/>
    <xf numFmtId="0" fontId="5" fillId="0" borderId="0" xfId="0" applyFont="1" applyBorder="1"/>
    <xf numFmtId="164" fontId="5" fillId="0" borderId="0" xfId="1" applyNumberFormat="1" applyFont="1" applyBorder="1"/>
    <xf numFmtId="9" fontId="5" fillId="0" borderId="6" xfId="2" applyFont="1" applyBorder="1"/>
    <xf numFmtId="0" fontId="9" fillId="2" borderId="7" xfId="0" applyFont="1" applyFill="1" applyBorder="1"/>
    <xf numFmtId="0" fontId="9" fillId="2" borderId="1" xfId="0" applyFont="1" applyFill="1" applyBorder="1"/>
    <xf numFmtId="164" fontId="9" fillId="2" borderId="1" xfId="1" applyNumberFormat="1" applyFont="1" applyFill="1" applyBorder="1"/>
    <xf numFmtId="9" fontId="9" fillId="2" borderId="10" xfId="2" applyFont="1" applyFill="1" applyBorder="1"/>
    <xf numFmtId="164" fontId="5" fillId="0" borderId="0" xfId="1" applyNumberFormat="1" applyFont="1" applyFill="1" applyBorder="1"/>
    <xf numFmtId="0" fontId="11" fillId="0" borderId="0" xfId="0" applyFont="1"/>
    <xf numFmtId="43" fontId="9" fillId="2" borderId="0" xfId="1" applyFont="1" applyFill="1" applyBorder="1"/>
    <xf numFmtId="43" fontId="5" fillId="0" borderId="0" xfId="1" applyFont="1" applyBorder="1"/>
    <xf numFmtId="43" fontId="9" fillId="2" borderId="1" xfId="1" applyFont="1" applyFill="1" applyBorder="1"/>
    <xf numFmtId="0" fontId="9" fillId="0" borderId="10" xfId="0" applyFont="1" applyBorder="1" applyAlignment="1">
      <alignment horizontal="center" vertical="center"/>
    </xf>
    <xf numFmtId="43" fontId="9" fillId="2" borderId="6" xfId="1" applyFont="1" applyFill="1" applyBorder="1"/>
    <xf numFmtId="43" fontId="5" fillId="0" borderId="6" xfId="1" applyFont="1" applyBorder="1"/>
    <xf numFmtId="43" fontId="9" fillId="2" borderId="10" xfId="1" applyFont="1" applyFill="1" applyBorder="1"/>
    <xf numFmtId="164" fontId="9" fillId="2" borderId="0" xfId="0" applyNumberFormat="1" applyFont="1" applyFill="1" applyBorder="1"/>
    <xf numFmtId="43" fontId="9" fillId="2" borderId="0" xfId="1" applyNumberFormat="1" applyFont="1" applyFill="1" applyBorder="1"/>
    <xf numFmtId="0" fontId="12" fillId="0" borderId="0" xfId="0" applyFont="1"/>
    <xf numFmtId="0" fontId="4" fillId="0" borderId="0" xfId="0" applyFont="1" applyFill="1"/>
    <xf numFmtId="0" fontId="5" fillId="0" borderId="0" xfId="0" applyFont="1" applyFill="1"/>
    <xf numFmtId="164" fontId="9" fillId="0" borderId="0" xfId="1" applyNumberFormat="1" applyFont="1" applyFill="1" applyBorder="1"/>
    <xf numFmtId="9" fontId="9" fillId="2" borderId="0" xfId="2" applyFont="1" applyFill="1" applyBorder="1" applyAlignment="1">
      <alignment horizontal="center"/>
    </xf>
    <xf numFmtId="9" fontId="5" fillId="0" borderId="0" xfId="2" applyFont="1" applyBorder="1" applyAlignment="1">
      <alignment horizontal="center"/>
    </xf>
    <xf numFmtId="164" fontId="9" fillId="2" borderId="5" xfId="1" applyNumberFormat="1" applyFont="1" applyFill="1" applyBorder="1"/>
    <xf numFmtId="9" fontId="9" fillId="2" borderId="6" xfId="2" applyFont="1" applyFill="1" applyBorder="1" applyAlignment="1">
      <alignment horizontal="center"/>
    </xf>
    <xf numFmtId="164" fontId="5" fillId="0" borderId="5" xfId="1" applyNumberFormat="1" applyFont="1" applyBorder="1"/>
    <xf numFmtId="9" fontId="5" fillId="0" borderId="6" xfId="2" applyFont="1" applyBorder="1" applyAlignment="1">
      <alignment horizontal="center"/>
    </xf>
    <xf numFmtId="164" fontId="5" fillId="0" borderId="0" xfId="1" applyNumberFormat="1" applyFont="1"/>
    <xf numFmtId="164" fontId="5" fillId="0" borderId="0" xfId="0" applyNumberFormat="1" applyFont="1"/>
    <xf numFmtId="0" fontId="5" fillId="0" borderId="0" xfId="0" applyFont="1" applyFill="1" applyBorder="1"/>
    <xf numFmtId="9" fontId="5" fillId="0" borderId="0" xfId="2" applyFont="1" applyFill="1" applyBorder="1"/>
    <xf numFmtId="164" fontId="9" fillId="2" borderId="5" xfId="0" applyNumberFormat="1" applyFont="1" applyFill="1" applyBorder="1"/>
    <xf numFmtId="164" fontId="5" fillId="0" borderId="5" xfId="0" applyNumberFormat="1" applyFont="1" applyBorder="1"/>
    <xf numFmtId="43" fontId="5" fillId="0" borderId="0" xfId="1" applyNumberFormat="1" applyFont="1" applyBorder="1"/>
    <xf numFmtId="43" fontId="9" fillId="2" borderId="1" xfId="1" applyNumberFormat="1" applyFont="1" applyFill="1" applyBorder="1"/>
    <xf numFmtId="43" fontId="9" fillId="2" borderId="6" xfId="1" applyNumberFormat="1" applyFont="1" applyFill="1" applyBorder="1"/>
    <xf numFmtId="43" fontId="5" fillId="0" borderId="6" xfId="1" applyNumberFormat="1" applyFont="1" applyBorder="1"/>
    <xf numFmtId="43" fontId="9" fillId="2" borderId="10" xfId="1" applyNumberFormat="1" applyFont="1" applyFill="1" applyBorder="1"/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9" fillId="2" borderId="6" xfId="2" applyNumberFormat="1" applyFont="1" applyFill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166" fontId="5" fillId="0" borderId="14" xfId="1" applyNumberFormat="1" applyFont="1" applyBorder="1" applyAlignment="1">
      <alignment horizontal="center"/>
    </xf>
    <xf numFmtId="0" fontId="9" fillId="2" borderId="13" xfId="0" applyFont="1" applyFill="1" applyBorder="1"/>
    <xf numFmtId="0" fontId="9" fillId="2" borderId="4" xfId="0" applyFont="1" applyFill="1" applyBorder="1"/>
    <xf numFmtId="164" fontId="9" fillId="2" borderId="4" xfId="1" applyNumberFormat="1" applyFont="1" applyFill="1" applyBorder="1"/>
    <xf numFmtId="9" fontId="9" fillId="2" borderId="11" xfId="2" applyFont="1" applyFill="1" applyBorder="1"/>
    <xf numFmtId="0" fontId="9" fillId="2" borderId="8" xfId="0" applyFont="1" applyFill="1" applyBorder="1"/>
    <xf numFmtId="0" fontId="9" fillId="2" borderId="3" xfId="0" applyFont="1" applyFill="1" applyBorder="1"/>
    <xf numFmtId="164" fontId="9" fillId="2" borderId="3" xfId="1" applyNumberFormat="1" applyFont="1" applyFill="1" applyBorder="1"/>
    <xf numFmtId="9" fontId="9" fillId="2" borderId="9" xfId="2" applyFont="1" applyFill="1" applyBorder="1"/>
    <xf numFmtId="0" fontId="13" fillId="2" borderId="8" xfId="0" applyFont="1" applyFill="1" applyBorder="1"/>
    <xf numFmtId="0" fontId="13" fillId="2" borderId="3" xfId="0" applyFont="1" applyFill="1" applyBorder="1"/>
    <xf numFmtId="164" fontId="13" fillId="2" borderId="3" xfId="1" applyNumberFormat="1" applyFont="1" applyFill="1" applyBorder="1"/>
    <xf numFmtId="9" fontId="13" fillId="2" borderId="9" xfId="2" applyFont="1" applyFill="1" applyBorder="1"/>
    <xf numFmtId="0" fontId="13" fillId="2" borderId="7" xfId="0" applyFont="1" applyFill="1" applyBorder="1"/>
    <xf numFmtId="0" fontId="13" fillId="2" borderId="1" xfId="0" applyFont="1" applyFill="1" applyBorder="1"/>
    <xf numFmtId="164" fontId="13" fillId="2" borderId="7" xfId="1" applyNumberFormat="1" applyFont="1" applyFill="1" applyBorder="1"/>
    <xf numFmtId="9" fontId="13" fillId="2" borderId="10" xfId="2" applyFont="1" applyFill="1" applyBorder="1" applyAlignment="1">
      <alignment horizontal="center"/>
    </xf>
    <xf numFmtId="164" fontId="13" fillId="2" borderId="1" xfId="1" applyNumberFormat="1" applyFont="1" applyFill="1" applyBorder="1"/>
    <xf numFmtId="9" fontId="13" fillId="2" borderId="1" xfId="2" applyFont="1" applyFill="1" applyBorder="1" applyAlignment="1">
      <alignment horizontal="center"/>
    </xf>
    <xf numFmtId="0" fontId="5" fillId="3" borderId="5" xfId="0" applyFont="1" applyFill="1" applyBorder="1"/>
    <xf numFmtId="0" fontId="5" fillId="3" borderId="0" xfId="0" applyFont="1" applyFill="1" applyBorder="1"/>
    <xf numFmtId="164" fontId="5" fillId="3" borderId="5" xfId="1" applyNumberFormat="1" applyFont="1" applyFill="1" applyBorder="1"/>
    <xf numFmtId="9" fontId="5" fillId="3" borderId="6" xfId="2" applyFont="1" applyFill="1" applyBorder="1" applyAlignment="1">
      <alignment horizontal="center"/>
    </xf>
    <xf numFmtId="164" fontId="5" fillId="3" borderId="0" xfId="1" applyNumberFormat="1" applyFont="1" applyFill="1" applyBorder="1"/>
    <xf numFmtId="9" fontId="5" fillId="3" borderId="0" xfId="2" applyFont="1" applyFill="1" applyBorder="1" applyAlignment="1">
      <alignment horizontal="center"/>
    </xf>
    <xf numFmtId="166" fontId="9" fillId="2" borderId="14" xfId="1" applyNumberFormat="1" applyFont="1" applyFill="1" applyBorder="1" applyAlignment="1">
      <alignment horizontal="center"/>
    </xf>
    <xf numFmtId="166" fontId="13" fillId="2" borderId="2" xfId="1" applyNumberFormat="1" applyFont="1" applyFill="1" applyBorder="1" applyAlignment="1">
      <alignment horizontal="center"/>
    </xf>
    <xf numFmtId="166" fontId="5" fillId="3" borderId="14" xfId="1" applyNumberFormat="1" applyFont="1" applyFill="1" applyBorder="1" applyAlignment="1">
      <alignment horizontal="center"/>
    </xf>
    <xf numFmtId="166" fontId="9" fillId="2" borderId="6" xfId="1" applyNumberFormat="1" applyFont="1" applyFill="1" applyBorder="1" applyAlignment="1">
      <alignment horizontal="center"/>
    </xf>
    <xf numFmtId="166" fontId="5" fillId="0" borderId="6" xfId="1" applyNumberFormat="1" applyFont="1" applyBorder="1" applyAlignment="1">
      <alignment horizontal="center"/>
    </xf>
    <xf numFmtId="166" fontId="9" fillId="2" borderId="6" xfId="0" applyNumberFormat="1" applyFont="1" applyFill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14" fillId="0" borderId="0" xfId="1" applyNumberFormat="1" applyFont="1" applyBorder="1"/>
    <xf numFmtId="164" fontId="15" fillId="2" borderId="0" xfId="1" applyNumberFormat="1" applyFont="1" applyFill="1" applyBorder="1"/>
    <xf numFmtId="168" fontId="5" fillId="0" borderId="0" xfId="0" applyNumberFormat="1" applyFont="1"/>
    <xf numFmtId="0" fontId="5" fillId="0" borderId="5" xfId="0" applyFont="1" applyBorder="1"/>
    <xf numFmtId="9" fontId="5" fillId="0" borderId="0" xfId="2" applyFont="1" applyBorder="1"/>
    <xf numFmtId="0" fontId="5" fillId="0" borderId="7" xfId="0" applyFont="1" applyBorder="1"/>
    <xf numFmtId="164" fontId="5" fillId="0" borderId="7" xfId="1" applyNumberFormat="1" applyFont="1" applyBorder="1"/>
    <xf numFmtId="9" fontId="5" fillId="0" borderId="10" xfId="2" applyFont="1" applyBorder="1"/>
    <xf numFmtId="9" fontId="5" fillId="0" borderId="1" xfId="2" applyFont="1" applyBorder="1"/>
    <xf numFmtId="0" fontId="5" fillId="0" borderId="14" xfId="0" applyFont="1" applyBorder="1"/>
    <xf numFmtId="0" fontId="9" fillId="0" borderId="3" xfId="0" applyFont="1" applyBorder="1" applyAlignment="1">
      <alignment horizontal="center" vertical="center" wrapText="1"/>
    </xf>
    <xf numFmtId="164" fontId="5" fillId="0" borderId="14" xfId="1" applyNumberFormat="1" applyFont="1" applyBorder="1"/>
    <xf numFmtId="0" fontId="5" fillId="0" borderId="2" xfId="0" applyFont="1" applyBorder="1"/>
    <xf numFmtId="164" fontId="5" fillId="0" borderId="1" xfId="1" applyNumberFormat="1" applyFont="1" applyBorder="1"/>
    <xf numFmtId="164" fontId="5" fillId="0" borderId="2" xfId="1" applyNumberFormat="1" applyFont="1" applyBorder="1"/>
    <xf numFmtId="9" fontId="5" fillId="0" borderId="0" xfId="2" applyNumberFormat="1" applyFont="1" applyBorder="1"/>
    <xf numFmtId="0" fontId="14" fillId="0" borderId="0" xfId="0" applyFont="1"/>
    <xf numFmtId="0" fontId="14" fillId="0" borderId="0" xfId="0" applyFont="1" applyFill="1"/>
    <xf numFmtId="9" fontId="5" fillId="0" borderId="6" xfId="2" applyNumberFormat="1" applyFont="1" applyBorder="1" applyAlignment="1">
      <alignment horizontal="center"/>
    </xf>
    <xf numFmtId="0" fontId="14" fillId="0" borderId="5" xfId="0" applyFont="1" applyFill="1" applyBorder="1"/>
    <xf numFmtId="164" fontId="14" fillId="0" borderId="0" xfId="1" applyNumberFormat="1" applyFont="1" applyFill="1" applyBorder="1"/>
    <xf numFmtId="167" fontId="14" fillId="0" borderId="14" xfId="1" applyNumberFormat="1" applyFont="1" applyFill="1" applyBorder="1" applyAlignment="1">
      <alignment horizontal="center"/>
    </xf>
    <xf numFmtId="0" fontId="13" fillId="0" borderId="7" xfId="0" applyFont="1" applyFill="1" applyBorder="1"/>
    <xf numFmtId="0" fontId="5" fillId="0" borderId="5" xfId="0" applyFont="1" applyFill="1" applyBorder="1"/>
    <xf numFmtId="0" fontId="18" fillId="0" borderId="0" xfId="0" applyFont="1"/>
    <xf numFmtId="0" fontId="15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0" xfId="0" applyFont="1" applyAlignment="1">
      <alignment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168" fontId="5" fillId="0" borderId="0" xfId="0" applyNumberFormat="1" applyFont="1" applyBorder="1"/>
    <xf numFmtId="168" fontId="5" fillId="0" borderId="6" xfId="0" applyNumberFormat="1" applyFont="1" applyBorder="1"/>
    <xf numFmtId="168" fontId="5" fillId="0" borderId="1" xfId="0" applyNumberFormat="1" applyFont="1" applyBorder="1"/>
    <xf numFmtId="168" fontId="5" fillId="0" borderId="10" xfId="0" applyNumberFormat="1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10" xfId="0" applyFont="1" applyBorder="1"/>
    <xf numFmtId="0" fontId="9" fillId="0" borderId="12" xfId="0" applyFont="1" applyBorder="1"/>
    <xf numFmtId="0" fontId="5" fillId="0" borderId="15" xfId="0" applyFont="1" applyBorder="1"/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7" xfId="0" applyFont="1" applyFill="1" applyBorder="1"/>
    <xf numFmtId="164" fontId="16" fillId="0" borderId="1" xfId="1" applyNumberFormat="1" applyFont="1" applyFill="1" applyBorder="1"/>
    <xf numFmtId="167" fontId="16" fillId="0" borderId="2" xfId="1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9" fontId="14" fillId="0" borderId="0" xfId="2" applyFont="1" applyFill="1" applyBorder="1"/>
    <xf numFmtId="0" fontId="20" fillId="0" borderId="0" xfId="0" applyFont="1" applyFill="1"/>
    <xf numFmtId="0" fontId="15" fillId="0" borderId="8" xfId="0" applyFont="1" applyBorder="1" applyAlignment="1">
      <alignment horizontal="center" vertical="center"/>
    </xf>
    <xf numFmtId="164" fontId="14" fillId="0" borderId="0" xfId="1" applyNumberFormat="1" applyFont="1" applyFill="1"/>
    <xf numFmtId="0" fontId="11" fillId="0" borderId="0" xfId="0" applyFont="1" applyFill="1"/>
    <xf numFmtId="164" fontId="5" fillId="0" borderId="0" xfId="0" applyNumberFormat="1" applyFont="1" applyFill="1"/>
    <xf numFmtId="43" fontId="5" fillId="0" borderId="0" xfId="0" applyNumberFormat="1" applyFont="1" applyFill="1"/>
    <xf numFmtId="164" fontId="0" fillId="0" borderId="0" xfId="0" applyNumberForma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43" fontId="5" fillId="0" borderId="14" xfId="1" applyNumberFormat="1" applyFont="1" applyFill="1" applyBorder="1"/>
    <xf numFmtId="0" fontId="9" fillId="0" borderId="5" xfId="0" applyFont="1" applyFill="1" applyBorder="1"/>
    <xf numFmtId="43" fontId="9" fillId="0" borderId="14" xfId="1" applyNumberFormat="1" applyFont="1" applyFill="1" applyBorder="1"/>
    <xf numFmtId="0" fontId="9" fillId="0" borderId="7" xfId="0" applyFont="1" applyFill="1" applyBorder="1"/>
    <xf numFmtId="164" fontId="9" fillId="0" borderId="1" xfId="1" applyNumberFormat="1" applyFont="1" applyFill="1" applyBorder="1"/>
    <xf numFmtId="43" fontId="9" fillId="0" borderId="2" xfId="1" applyNumberFormat="1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" fillId="0" borderId="0" xfId="0" applyFont="1" applyFill="1"/>
    <xf numFmtId="169" fontId="0" fillId="0" borderId="0" xfId="0" applyNumberFormat="1" applyFill="1"/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0"/>
          <c:tx>
            <c:strRef>
              <c:f>'Union Offering Analysis'!$M$107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'Union Offering Analysis'!$N$107:$R$107</c:f>
              <c:numCache>
                <c:formatCode>_(* #,##0_);_(* \(#,##0\);_(* "-"??_);_(@_)</c:formatCode>
                <c:ptCount val="5"/>
                <c:pt idx="0">
                  <c:v>12.680999999999999</c:v>
                </c:pt>
                <c:pt idx="1">
                  <c:v>7.9790000000000001</c:v>
                </c:pt>
                <c:pt idx="2">
                  <c:v>8.6370000000000005</c:v>
                </c:pt>
                <c:pt idx="3">
                  <c:v>9.6690000000000005</c:v>
                </c:pt>
                <c:pt idx="4">
                  <c:v>10.814</c:v>
                </c:pt>
              </c:numCache>
            </c:numRef>
          </c:val>
        </c:ser>
        <c:ser>
          <c:idx val="0"/>
          <c:order val="1"/>
          <c:tx>
            <c:strRef>
              <c:f>'Union Offering Analysis'!$M$105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'Union Offering Analysis'!$N$104:$R$104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'Union Offering Analysis'!$N$105:$R$105</c:f>
              <c:numCache>
                <c:formatCode>_(* #,##0_);_(* \(#,##0\);_(* "-"??_);_(@_)</c:formatCode>
                <c:ptCount val="5"/>
                <c:pt idx="0">
                  <c:v>13.186999999999999</c:v>
                </c:pt>
                <c:pt idx="1">
                  <c:v>15.349</c:v>
                </c:pt>
                <c:pt idx="2">
                  <c:v>17.844999999999999</c:v>
                </c:pt>
                <c:pt idx="3">
                  <c:v>17.844999999999999</c:v>
                </c:pt>
                <c:pt idx="4">
                  <c:v>17.844999999999999</c:v>
                </c:pt>
              </c:numCache>
            </c:numRef>
          </c:val>
        </c:ser>
        <c:ser>
          <c:idx val="2"/>
          <c:order val="2"/>
          <c:tx>
            <c:strRef>
              <c:f>'Union Offering Analysis'!$M$106</c:f>
              <c:strCache>
                <c:ptCount val="1"/>
                <c:pt idx="0">
                  <c:v>Low Income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'Union Offering Analysis'!$N$104:$R$104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'Union Offering Analysis'!$N$106:$R$106</c:f>
              <c:numCache>
                <c:formatCode>_(* #,##0_);_(* \(#,##0\);_(* "-"??_);_(@_)</c:formatCode>
                <c:ptCount val="5"/>
                <c:pt idx="0">
                  <c:v>11.349</c:v>
                </c:pt>
                <c:pt idx="1">
                  <c:v>12.284000000000001</c:v>
                </c:pt>
                <c:pt idx="2">
                  <c:v>13.513999999999999</c:v>
                </c:pt>
                <c:pt idx="3">
                  <c:v>14.087999999999999</c:v>
                </c:pt>
                <c:pt idx="4">
                  <c:v>14.948</c:v>
                </c:pt>
              </c:numCache>
            </c:numRef>
          </c:val>
        </c:ser>
        <c:ser>
          <c:idx val="1"/>
          <c:order val="3"/>
          <c:tx>
            <c:strRef>
              <c:f>'Union Offering Analysis'!$M$108</c:f>
              <c:strCache>
                <c:ptCount val="1"/>
                <c:pt idx="0">
                  <c:v>C&amp;I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'Union Offering Analysis'!$N$104:$R$104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'Union Offering Analysis'!$N$108:$R$108</c:f>
              <c:numCache>
                <c:formatCode>_(* #,##0_);_(* \(#,##0\);_(* "-"??_);_(@_)</c:formatCode>
                <c:ptCount val="5"/>
                <c:pt idx="0">
                  <c:v>20.036999999999999</c:v>
                </c:pt>
                <c:pt idx="1">
                  <c:v>20.437000000000001</c:v>
                </c:pt>
                <c:pt idx="2">
                  <c:v>21.428999999999998</c:v>
                </c:pt>
                <c:pt idx="3">
                  <c:v>20.861999999999998</c:v>
                </c:pt>
                <c:pt idx="4">
                  <c:v>21.106000000000002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82560"/>
        <c:axId val="84884096"/>
      </c:areaChart>
      <c:catAx>
        <c:axId val="8488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84096"/>
        <c:crosses val="autoZero"/>
        <c:auto val="1"/>
        <c:lblAlgn val="ctr"/>
        <c:lblOffset val="100"/>
        <c:noMultiLvlLbl val="0"/>
      </c:catAx>
      <c:valAx>
        <c:axId val="84884096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Spending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82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'Union Offering Analysis'!$M$113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'Union Offering Analysis'!$N$104:$R$104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'Union Offering Analysis'!$N$113:$R$113</c:f>
              <c:numCache>
                <c:formatCode>_(* #,##0_);_(* \(#,##0\);_(* "-"??_);_(@_)</c:formatCode>
                <c:ptCount val="5"/>
                <c:pt idx="0">
                  <c:v>89.941084000000004</c:v>
                </c:pt>
                <c:pt idx="1">
                  <c:v>120.07493100000001</c:v>
                </c:pt>
                <c:pt idx="2">
                  <c:v>147.587176</c:v>
                </c:pt>
                <c:pt idx="3">
                  <c:v>147.84036399999999</c:v>
                </c:pt>
                <c:pt idx="4">
                  <c:v>147.84036399999999</c:v>
                </c:pt>
              </c:numCache>
            </c:numRef>
          </c:val>
        </c:ser>
        <c:ser>
          <c:idx val="2"/>
          <c:order val="1"/>
          <c:tx>
            <c:strRef>
              <c:f>'Union Offering Analysis'!$M$114</c:f>
              <c:strCache>
                <c:ptCount val="1"/>
                <c:pt idx="0">
                  <c:v>Low Income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'Union Offering Analysis'!$N$104:$R$104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'Union Offering Analysis'!$N$114:$R$114</c:f>
              <c:numCache>
                <c:formatCode>_(* #,##0_);_(* \(#,##0\);_(* "-"??_);_(@_)</c:formatCode>
                <c:ptCount val="5"/>
                <c:pt idx="0">
                  <c:v>51.492896999999999</c:v>
                </c:pt>
                <c:pt idx="1">
                  <c:v>53.397573999999999</c:v>
                </c:pt>
                <c:pt idx="2">
                  <c:v>55.907553999999998</c:v>
                </c:pt>
                <c:pt idx="3">
                  <c:v>60.062460000000002</c:v>
                </c:pt>
                <c:pt idx="4">
                  <c:v>61.263010000000001</c:v>
                </c:pt>
              </c:numCache>
            </c:numRef>
          </c:val>
        </c:ser>
        <c:ser>
          <c:idx val="1"/>
          <c:order val="2"/>
          <c:tx>
            <c:strRef>
              <c:f>'Union Offering Analysis'!$M$115</c:f>
              <c:strCache>
                <c:ptCount val="1"/>
                <c:pt idx="0">
                  <c:v>C&amp;I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'Union Offering Analysis'!$N$104:$R$104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'Union Offering Analysis'!$N$115:$R$115</c:f>
              <c:numCache>
                <c:formatCode>_(* #,##0_);_(* \(#,##0\);_(* "-"??_);_(@_)</c:formatCode>
                <c:ptCount val="5"/>
                <c:pt idx="0">
                  <c:v>1019.690572</c:v>
                </c:pt>
                <c:pt idx="1">
                  <c:v>1029.6941690000001</c:v>
                </c:pt>
                <c:pt idx="2">
                  <c:v>1045.9556230000001</c:v>
                </c:pt>
                <c:pt idx="3">
                  <c:v>1056.4556230000001</c:v>
                </c:pt>
                <c:pt idx="4">
                  <c:v>1070.9556230000001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30944"/>
        <c:axId val="84932480"/>
      </c:areaChart>
      <c:catAx>
        <c:axId val="849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32480"/>
        <c:crosses val="autoZero"/>
        <c:auto val="1"/>
        <c:lblAlgn val="ctr"/>
        <c:lblOffset val="100"/>
        <c:noMultiLvlLbl val="0"/>
      </c:catAx>
      <c:valAx>
        <c:axId val="84932480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Savings (million 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3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102</xdr:row>
      <xdr:rowOff>47625</xdr:rowOff>
    </xdr:from>
    <xdr:to>
      <xdr:col>4</xdr:col>
      <xdr:colOff>981074</xdr:colOff>
      <xdr:row>114</xdr:row>
      <xdr:rowOff>47626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130968</xdr:colOff>
      <xdr:row>102</xdr:row>
      <xdr:rowOff>47625</xdr:rowOff>
    </xdr:from>
    <xdr:to>
      <xdr:col>7</xdr:col>
      <xdr:colOff>850106</xdr:colOff>
      <xdr:row>114</xdr:row>
      <xdr:rowOff>47626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71438</xdr:colOff>
      <xdr:row>122</xdr:row>
      <xdr:rowOff>95250</xdr:rowOff>
    </xdr:from>
    <xdr:to>
      <xdr:col>14</xdr:col>
      <xdr:colOff>866510</xdr:colOff>
      <xdr:row>135</xdr:row>
      <xdr:rowOff>18626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1469" y="24288750"/>
          <a:ext cx="3369469" cy="239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95251</xdr:colOff>
      <xdr:row>122</xdr:row>
      <xdr:rowOff>107156</xdr:rowOff>
    </xdr:from>
    <xdr:to>
      <xdr:col>18</xdr:col>
      <xdr:colOff>202282</xdr:colOff>
      <xdr:row>135</xdr:row>
      <xdr:rowOff>23812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626" y="24300656"/>
          <a:ext cx="3365375" cy="2393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W122"/>
  <sheetViews>
    <sheetView showGridLines="0" tabSelected="1" zoomScale="90" zoomScaleNormal="90" workbookViewId="0">
      <selection activeCell="H41" sqref="H41"/>
    </sheetView>
  </sheetViews>
  <sheetFormatPr defaultRowHeight="15"/>
  <cols>
    <col min="1" max="1" width="2.625" style="3" customWidth="1"/>
    <col min="2" max="3" width="2.625" style="4" customWidth="1"/>
    <col min="4" max="4" width="21.125" style="4" bestFit="1" customWidth="1"/>
    <col min="5" max="6" width="13.25" style="4" customWidth="1"/>
    <col min="7" max="7" width="14.5" style="4" customWidth="1"/>
    <col min="8" max="8" width="13.25" style="4" customWidth="1"/>
    <col min="9" max="9" width="13.125" style="4" bestFit="1" customWidth="1"/>
    <col min="10" max="12" width="2.625" style="4" customWidth="1"/>
    <col min="13" max="13" width="19.5" style="4" customWidth="1"/>
    <col min="14" max="19" width="14.125" style="4" customWidth="1"/>
    <col min="20" max="20" width="8.875" style="4" bestFit="1" customWidth="1"/>
    <col min="21" max="21" width="29.625" style="4" customWidth="1"/>
    <col min="22" max="22" width="13.25" style="4" customWidth="1"/>
    <col min="23" max="23" width="13.125" style="4" bestFit="1" customWidth="1"/>
    <col min="24" max="16384" width="9" style="4"/>
  </cols>
  <sheetData>
    <row r="1" spans="1:21">
      <c r="A1" s="3" t="s">
        <v>27</v>
      </c>
    </row>
    <row r="2" spans="1:21" ht="21.75">
      <c r="B2" s="1" t="s">
        <v>55</v>
      </c>
      <c r="C2" s="1"/>
      <c r="D2" s="1"/>
      <c r="E2" s="1"/>
      <c r="F2" s="1"/>
      <c r="G2" s="1"/>
      <c r="H2" s="1"/>
      <c r="I2" s="1"/>
      <c r="J2" s="1"/>
      <c r="K2" s="1"/>
      <c r="L2" s="5"/>
      <c r="P2" s="24"/>
    </row>
    <row r="3" spans="1:21" ht="15.75">
      <c r="B3" s="6" t="str">
        <f>$A$1&amp;" Budget &amp; Savings Analysis"</f>
        <v>UNION Budget &amp; Savings Analysis</v>
      </c>
      <c r="C3" s="6"/>
      <c r="D3" s="6"/>
      <c r="E3" s="6"/>
      <c r="F3" s="6"/>
      <c r="G3" s="6"/>
      <c r="H3" s="6"/>
      <c r="I3" s="6"/>
      <c r="J3" s="6"/>
      <c r="K3" s="6"/>
      <c r="L3" s="6"/>
      <c r="M3" s="111"/>
    </row>
    <row r="4" spans="1:21" ht="15.75">
      <c r="B4" s="7" t="s">
        <v>94</v>
      </c>
      <c r="C4" s="7"/>
      <c r="D4" s="7"/>
      <c r="E4" s="7"/>
      <c r="F4" s="7"/>
      <c r="G4" s="7"/>
      <c r="H4" s="7"/>
      <c r="I4" s="7"/>
      <c r="J4" s="7"/>
      <c r="K4" s="7"/>
      <c r="L4" s="6"/>
      <c r="M4" s="148"/>
    </row>
    <row r="5" spans="1:21">
      <c r="L5" s="7"/>
      <c r="N5" s="45"/>
    </row>
    <row r="6" spans="1:21" ht="21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7"/>
    </row>
    <row r="7" spans="1:21">
      <c r="L7" s="7"/>
    </row>
    <row r="8" spans="1:21" ht="18.75">
      <c r="A8" s="8"/>
      <c r="C8" s="127" t="s">
        <v>60</v>
      </c>
      <c r="D8" s="36"/>
      <c r="E8" s="36"/>
      <c r="F8" s="36"/>
      <c r="G8" s="36"/>
      <c r="H8" s="36"/>
      <c r="I8" s="36"/>
      <c r="L8" s="127" t="s">
        <v>61</v>
      </c>
    </row>
    <row r="9" spans="1:21" ht="15.75">
      <c r="A9" s="8"/>
      <c r="C9" s="170" t="str">
        <f>$A$1&amp;" 2016-2020 TOTAL"</f>
        <v>UNION 2016-2020 TOTAL</v>
      </c>
      <c r="D9" s="171"/>
      <c r="E9" s="171"/>
      <c r="F9" s="171"/>
      <c r="G9" s="171"/>
      <c r="H9" s="171"/>
      <c r="I9" s="172"/>
      <c r="L9" s="167" t="str">
        <f>A1&amp;" TOTAL UTILITY COSTS"</f>
        <v>UNION TOTAL UTILITY COSTS</v>
      </c>
      <c r="M9" s="168"/>
      <c r="N9" s="168"/>
      <c r="O9" s="168"/>
      <c r="P9" s="168"/>
      <c r="Q9" s="168"/>
      <c r="R9" s="168"/>
      <c r="S9" s="168"/>
      <c r="T9" s="169"/>
    </row>
    <row r="10" spans="1:21" ht="30">
      <c r="C10" s="165" t="s">
        <v>18</v>
      </c>
      <c r="D10" s="166"/>
      <c r="E10" s="55" t="s">
        <v>33</v>
      </c>
      <c r="F10" s="56" t="s">
        <v>25</v>
      </c>
      <c r="G10" s="57" t="s">
        <v>12</v>
      </c>
      <c r="H10" s="57" t="s">
        <v>26</v>
      </c>
      <c r="I10" s="58" t="s">
        <v>32</v>
      </c>
      <c r="L10" s="165" t="s">
        <v>18</v>
      </c>
      <c r="M10" s="166"/>
      <c r="N10" s="9">
        <v>2016</v>
      </c>
      <c r="O10" s="9">
        <v>2017</v>
      </c>
      <c r="P10" s="9">
        <v>2018</v>
      </c>
      <c r="Q10" s="9">
        <v>2019</v>
      </c>
      <c r="R10" s="9">
        <v>2020</v>
      </c>
      <c r="S10" s="9" t="s">
        <v>19</v>
      </c>
      <c r="T10" s="10" t="s">
        <v>20</v>
      </c>
      <c r="U10" s="142" t="s">
        <v>8</v>
      </c>
    </row>
    <row r="11" spans="1:21">
      <c r="C11" s="11" t="s">
        <v>1</v>
      </c>
      <c r="D11" s="12"/>
      <c r="E11" s="40">
        <f>SUM(E12:E13)</f>
        <v>176547000</v>
      </c>
      <c r="F11" s="41">
        <f t="shared" ref="F11:F25" si="0">E11/E$25</f>
        <v>0.58477666815720175</v>
      </c>
      <c r="G11" s="13">
        <f>SUM(G12:G13)</f>
        <v>5816035529</v>
      </c>
      <c r="H11" s="38">
        <f t="shared" ref="H11:H22" si="1">G11/G$25</f>
        <v>0.94444386809975955</v>
      </c>
      <c r="I11" s="86">
        <f t="shared" ref="I11:I25" si="2">IFERROR(E11/G11,"")</f>
        <v>3.0355213464515272E-2</v>
      </c>
      <c r="L11" s="11" t="s">
        <v>1</v>
      </c>
      <c r="M11" s="12"/>
      <c r="N11" s="13">
        <f>SUM(N12:N13)</f>
        <v>30825000</v>
      </c>
      <c r="O11" s="13">
        <f>SUM(O12:O13)</f>
        <v>34185000</v>
      </c>
      <c r="P11" s="13">
        <f>SUM(P12:P13)</f>
        <v>37403000</v>
      </c>
      <c r="Q11" s="13">
        <f>SUM(Q12:Q13)</f>
        <v>37067000</v>
      </c>
      <c r="R11" s="13">
        <f>SUM(R12:R13)</f>
        <v>37067000</v>
      </c>
      <c r="S11" s="13">
        <f t="shared" ref="S11:S22" si="3">SUM(N11:R11)</f>
        <v>176547000</v>
      </c>
      <c r="T11" s="14">
        <f t="shared" ref="T11:T26" si="4">IFERROR(S11/$S$26,"")</f>
        <v>0.58477666815720175</v>
      </c>
      <c r="U11" s="4" t="s">
        <v>80</v>
      </c>
    </row>
    <row r="12" spans="1:21">
      <c r="C12" s="15"/>
      <c r="D12" s="16" t="s">
        <v>3</v>
      </c>
      <c r="E12" s="42">
        <f>S12</f>
        <v>81029000</v>
      </c>
      <c r="F12" s="43">
        <f t="shared" si="0"/>
        <v>0.26839237508487768</v>
      </c>
      <c r="G12" s="17">
        <f>S32</f>
        <v>653283919</v>
      </c>
      <c r="H12" s="39">
        <f t="shared" si="1"/>
        <v>0.10608428857617627</v>
      </c>
      <c r="I12" s="61">
        <f t="shared" si="2"/>
        <v>0.12403336075382562</v>
      </c>
      <c r="L12" s="15" t="str">
        <f>L11</f>
        <v>Resource Acquisition</v>
      </c>
      <c r="M12" s="16" t="s">
        <v>28</v>
      </c>
      <c r="N12" s="23">
        <v>12145000</v>
      </c>
      <c r="O12" s="23">
        <v>15349000</v>
      </c>
      <c r="P12" s="23">
        <v>17845000</v>
      </c>
      <c r="Q12" s="23">
        <v>17845000</v>
      </c>
      <c r="R12" s="23">
        <v>17845000</v>
      </c>
      <c r="S12" s="17">
        <f t="shared" si="3"/>
        <v>81029000</v>
      </c>
      <c r="T12" s="18">
        <f t="shared" si="4"/>
        <v>0.26839237508487768</v>
      </c>
      <c r="U12" s="142" t="s">
        <v>81</v>
      </c>
    </row>
    <row r="13" spans="1:21">
      <c r="C13" s="15"/>
      <c r="D13" s="16" t="s">
        <v>29</v>
      </c>
      <c r="E13" s="42">
        <f>S13</f>
        <v>95518000</v>
      </c>
      <c r="F13" s="43">
        <f t="shared" si="0"/>
        <v>0.31638429307232407</v>
      </c>
      <c r="G13" s="17">
        <f>S33</f>
        <v>5162751610</v>
      </c>
      <c r="H13" s="39">
        <f t="shared" si="1"/>
        <v>0.83835957952358331</v>
      </c>
      <c r="I13" s="61">
        <f t="shared" si="2"/>
        <v>1.8501374308805843E-2</v>
      </c>
      <c r="L13" s="15" t="str">
        <f>L12</f>
        <v>Resource Acquisition</v>
      </c>
      <c r="M13" s="16" t="s">
        <v>29</v>
      </c>
      <c r="N13" s="23">
        <v>18680000</v>
      </c>
      <c r="O13" s="23">
        <v>18836000</v>
      </c>
      <c r="P13" s="23">
        <v>19558000</v>
      </c>
      <c r="Q13" s="23">
        <v>19222000</v>
      </c>
      <c r="R13" s="23">
        <v>19222000</v>
      </c>
      <c r="S13" s="17">
        <f t="shared" si="3"/>
        <v>95518000</v>
      </c>
      <c r="T13" s="18">
        <f t="shared" si="4"/>
        <v>0.31638429307232407</v>
      </c>
      <c r="U13" s="142" t="s">
        <v>81</v>
      </c>
    </row>
    <row r="14" spans="1:21">
      <c r="C14" s="11" t="s">
        <v>11</v>
      </c>
      <c r="D14" s="12"/>
      <c r="E14" s="40">
        <f>SUM(E15:E15)</f>
        <v>1042000</v>
      </c>
      <c r="F14" s="59">
        <f t="shared" si="0"/>
        <v>3.4514168364220533E-3</v>
      </c>
      <c r="G14" s="13">
        <f>SUM(G15:G15)</f>
        <v>0</v>
      </c>
      <c r="H14" s="38">
        <f t="shared" si="1"/>
        <v>0</v>
      </c>
      <c r="I14" s="86" t="str">
        <f t="shared" si="2"/>
        <v/>
      </c>
      <c r="L14" s="11" t="s">
        <v>11</v>
      </c>
      <c r="M14" s="12"/>
      <c r="N14" s="13">
        <f>SUM(N15:N15)</f>
        <v>1042000</v>
      </c>
      <c r="O14" s="13">
        <f>SUM(O15:O15)</f>
        <v>0</v>
      </c>
      <c r="P14" s="13">
        <f>SUM(P15:P15)</f>
        <v>0</v>
      </c>
      <c r="Q14" s="13">
        <f>SUM(Q15:Q15)</f>
        <v>0</v>
      </c>
      <c r="R14" s="13">
        <f>SUM(R15:R15)</f>
        <v>0</v>
      </c>
      <c r="S14" s="13">
        <f t="shared" si="3"/>
        <v>1042000</v>
      </c>
      <c r="T14" s="14">
        <f t="shared" si="4"/>
        <v>3.4514168364220533E-3</v>
      </c>
      <c r="U14" s="4" t="s">
        <v>82</v>
      </c>
    </row>
    <row r="15" spans="1:21">
      <c r="C15" s="15"/>
      <c r="D15" s="16" t="s">
        <v>3</v>
      </c>
      <c r="E15" s="42">
        <f>S15</f>
        <v>1042000</v>
      </c>
      <c r="F15" s="60">
        <f t="shared" si="0"/>
        <v>3.4514168364220533E-3</v>
      </c>
      <c r="G15" s="17">
        <v>0</v>
      </c>
      <c r="H15" s="39">
        <f t="shared" si="1"/>
        <v>0</v>
      </c>
      <c r="I15" s="61" t="str">
        <f t="shared" si="2"/>
        <v/>
      </c>
      <c r="L15" s="15" t="str">
        <f>L14</f>
        <v>Market Transformation</v>
      </c>
      <c r="M15" s="16" t="s">
        <v>3</v>
      </c>
      <c r="N15" s="23">
        <v>1042000</v>
      </c>
      <c r="O15" s="23">
        <v>0</v>
      </c>
      <c r="P15" s="23">
        <v>0</v>
      </c>
      <c r="Q15" s="23">
        <v>0</v>
      </c>
      <c r="R15" s="23">
        <v>0</v>
      </c>
      <c r="S15" s="17">
        <f t="shared" si="3"/>
        <v>1042000</v>
      </c>
      <c r="T15" s="18">
        <f t="shared" si="4"/>
        <v>3.4514168364220533E-3</v>
      </c>
      <c r="U15" s="142" t="s">
        <v>81</v>
      </c>
    </row>
    <row r="16" spans="1:21">
      <c r="C16" s="11" t="s">
        <v>31</v>
      </c>
      <c r="D16" s="12"/>
      <c r="E16" s="40">
        <f>E17</f>
        <v>66183000</v>
      </c>
      <c r="F16" s="41">
        <f t="shared" si="0"/>
        <v>0.21921796591643067</v>
      </c>
      <c r="G16" s="13">
        <f>G17</f>
        <v>282123495</v>
      </c>
      <c r="H16" s="38">
        <f t="shared" si="1"/>
        <v>4.581296031825241E-2</v>
      </c>
      <c r="I16" s="86">
        <f t="shared" si="2"/>
        <v>0.23458875695553114</v>
      </c>
      <c r="L16" s="11" t="s">
        <v>13</v>
      </c>
      <c r="M16" s="12"/>
      <c r="N16" s="13">
        <f>N17</f>
        <v>11349000</v>
      </c>
      <c r="O16" s="13">
        <f>O17</f>
        <v>12284000</v>
      </c>
      <c r="P16" s="13">
        <f>P17</f>
        <v>13514000</v>
      </c>
      <c r="Q16" s="13">
        <f>Q17</f>
        <v>14088000</v>
      </c>
      <c r="R16" s="13">
        <f>R17</f>
        <v>14948000</v>
      </c>
      <c r="S16" s="13">
        <f t="shared" si="3"/>
        <v>66183000</v>
      </c>
      <c r="T16" s="14">
        <f t="shared" si="4"/>
        <v>0.21921796591643067</v>
      </c>
      <c r="U16" s="4" t="s">
        <v>83</v>
      </c>
    </row>
    <row r="17" spans="1:21">
      <c r="C17" s="15"/>
      <c r="D17" s="16" t="s">
        <v>2</v>
      </c>
      <c r="E17" s="42">
        <f>S17</f>
        <v>66183000</v>
      </c>
      <c r="F17" s="43">
        <f t="shared" si="0"/>
        <v>0.21921796591643067</v>
      </c>
      <c r="G17" s="17">
        <f>S35</f>
        <v>282123495</v>
      </c>
      <c r="H17" s="39">
        <f t="shared" si="1"/>
        <v>4.581296031825241E-2</v>
      </c>
      <c r="I17" s="61">
        <f t="shared" si="2"/>
        <v>0.23458875695553114</v>
      </c>
      <c r="L17" s="15" t="str">
        <f>L16</f>
        <v>Low Income Total</v>
      </c>
      <c r="M17" s="16" t="s">
        <v>2</v>
      </c>
      <c r="N17" s="23">
        <v>11349000</v>
      </c>
      <c r="O17" s="23">
        <v>12284000</v>
      </c>
      <c r="P17" s="23">
        <v>13514000</v>
      </c>
      <c r="Q17" s="23">
        <v>14088000</v>
      </c>
      <c r="R17" s="23">
        <v>14948000</v>
      </c>
      <c r="S17" s="17">
        <f t="shared" si="3"/>
        <v>66183000</v>
      </c>
      <c r="T17" s="18">
        <f t="shared" si="4"/>
        <v>0.21921796591643067</v>
      </c>
      <c r="U17" s="142" t="s">
        <v>81</v>
      </c>
    </row>
    <row r="18" spans="1:21">
      <c r="C18" s="11" t="s">
        <v>14</v>
      </c>
      <c r="D18" s="12"/>
      <c r="E18" s="40">
        <f>E19</f>
        <v>4365000</v>
      </c>
      <c r="F18" s="59">
        <f t="shared" si="0"/>
        <v>1.4458190490386049E-2</v>
      </c>
      <c r="G18" s="13">
        <f>G19</f>
        <v>60000000</v>
      </c>
      <c r="H18" s="38">
        <f t="shared" si="1"/>
        <v>9.7431715819880395E-3</v>
      </c>
      <c r="I18" s="86">
        <f t="shared" si="2"/>
        <v>7.2749999999999995E-2</v>
      </c>
      <c r="L18" s="11" t="s">
        <v>14</v>
      </c>
      <c r="M18" s="12"/>
      <c r="N18" s="13">
        <f>N19</f>
        <v>548000</v>
      </c>
      <c r="O18" s="13">
        <f>O19</f>
        <v>843000</v>
      </c>
      <c r="P18" s="13">
        <f>P19</f>
        <v>1088000</v>
      </c>
      <c r="Q18" s="13">
        <f>Q19</f>
        <v>833000</v>
      </c>
      <c r="R18" s="13">
        <f>R19</f>
        <v>1053000</v>
      </c>
      <c r="S18" s="13">
        <f t="shared" si="3"/>
        <v>4365000</v>
      </c>
      <c r="T18" s="14">
        <f t="shared" si="4"/>
        <v>1.4458190490386049E-2</v>
      </c>
      <c r="U18" s="4" t="s">
        <v>84</v>
      </c>
    </row>
    <row r="19" spans="1:21">
      <c r="C19" s="15"/>
      <c r="D19" s="16" t="s">
        <v>4</v>
      </c>
      <c r="E19" s="42">
        <f>S19</f>
        <v>4365000</v>
      </c>
      <c r="F19" s="60">
        <f t="shared" si="0"/>
        <v>1.4458190490386049E-2</v>
      </c>
      <c r="G19" s="17">
        <f>S37</f>
        <v>60000000</v>
      </c>
      <c r="H19" s="39">
        <f t="shared" si="1"/>
        <v>9.7431715819880395E-3</v>
      </c>
      <c r="I19" s="61">
        <f t="shared" si="2"/>
        <v>7.2749999999999995E-2</v>
      </c>
      <c r="L19" s="15" t="str">
        <f>L18</f>
        <v>Performance Based Total</v>
      </c>
      <c r="M19" s="16" t="s">
        <v>4</v>
      </c>
      <c r="N19" s="23">
        <v>548000</v>
      </c>
      <c r="O19" s="23">
        <v>843000</v>
      </c>
      <c r="P19" s="23">
        <v>1088000</v>
      </c>
      <c r="Q19" s="23">
        <v>833000</v>
      </c>
      <c r="R19" s="23">
        <v>1053000</v>
      </c>
      <c r="S19" s="17">
        <f t="shared" si="3"/>
        <v>4365000</v>
      </c>
      <c r="T19" s="18">
        <f t="shared" si="4"/>
        <v>1.4458190490386049E-2</v>
      </c>
      <c r="U19" s="142" t="s">
        <v>81</v>
      </c>
    </row>
    <row r="20" spans="1:21">
      <c r="C20" s="11" t="s">
        <v>10</v>
      </c>
      <c r="D20" s="12"/>
      <c r="E20" s="40">
        <f>E21</f>
        <v>3988000</v>
      </c>
      <c r="F20" s="59">
        <f t="shared" si="0"/>
        <v>1.3209453304847551E-2</v>
      </c>
      <c r="G20" s="13">
        <v>0</v>
      </c>
      <c r="H20" s="38">
        <f t="shared" si="1"/>
        <v>0</v>
      </c>
      <c r="I20" s="86" t="str">
        <f t="shared" si="2"/>
        <v/>
      </c>
      <c r="L20" s="11" t="s">
        <v>10</v>
      </c>
      <c r="M20" s="12"/>
      <c r="N20" s="13">
        <f>N21</f>
        <v>809000</v>
      </c>
      <c r="O20" s="13">
        <f>O21</f>
        <v>758000</v>
      </c>
      <c r="P20" s="13">
        <f>P21</f>
        <v>783000</v>
      </c>
      <c r="Q20" s="13">
        <f>Q21</f>
        <v>807000</v>
      </c>
      <c r="R20" s="13">
        <f>R21</f>
        <v>831000</v>
      </c>
      <c r="S20" s="13">
        <f t="shared" si="3"/>
        <v>3988000</v>
      </c>
      <c r="T20" s="14">
        <f t="shared" si="4"/>
        <v>1.3209453304847551E-2</v>
      </c>
      <c r="U20" s="4" t="s">
        <v>84</v>
      </c>
    </row>
    <row r="21" spans="1:21">
      <c r="C21" s="15"/>
      <c r="D21" s="16" t="s">
        <v>4</v>
      </c>
      <c r="E21" s="42">
        <f>S21</f>
        <v>3988000</v>
      </c>
      <c r="F21" s="60">
        <f t="shared" si="0"/>
        <v>1.3209453304847551E-2</v>
      </c>
      <c r="G21" s="17">
        <v>0</v>
      </c>
      <c r="H21" s="39">
        <f t="shared" si="1"/>
        <v>0</v>
      </c>
      <c r="I21" s="61" t="str">
        <f t="shared" si="2"/>
        <v/>
      </c>
      <c r="L21" s="15" t="str">
        <f>L20</f>
        <v>Large Volume</v>
      </c>
      <c r="M21" s="16" t="s">
        <v>4</v>
      </c>
      <c r="N21" s="23">
        <v>809000</v>
      </c>
      <c r="O21" s="23">
        <v>758000</v>
      </c>
      <c r="P21" s="23">
        <v>783000</v>
      </c>
      <c r="Q21" s="23">
        <v>807000</v>
      </c>
      <c r="R21" s="23">
        <v>831000</v>
      </c>
      <c r="S21" s="17">
        <f t="shared" si="3"/>
        <v>3988000</v>
      </c>
      <c r="T21" s="18">
        <f t="shared" si="4"/>
        <v>1.3209453304847551E-2</v>
      </c>
      <c r="U21" s="142" t="s">
        <v>81</v>
      </c>
    </row>
    <row r="22" spans="1:21">
      <c r="C22" s="11" t="s">
        <v>39</v>
      </c>
      <c r="D22" s="12"/>
      <c r="E22" s="40">
        <f>SUM(E14,E20,E11,E16,E18)</f>
        <v>252125000</v>
      </c>
      <c r="F22" s="59">
        <f t="shared" si="0"/>
        <v>0.83511369470528807</v>
      </c>
      <c r="G22" s="13">
        <f>SUM(G14,G20,G11,G16,G18)</f>
        <v>6158159024</v>
      </c>
      <c r="H22" s="38">
        <f t="shared" si="1"/>
        <v>1</v>
      </c>
      <c r="I22" s="86">
        <f t="shared" si="2"/>
        <v>4.094161891847891E-2</v>
      </c>
      <c r="L22" s="66" t="s">
        <v>39</v>
      </c>
      <c r="M22" s="67"/>
      <c r="N22" s="68">
        <f>N20+N18+N16+N14+N11</f>
        <v>44573000</v>
      </c>
      <c r="O22" s="68">
        <f>O20+O18+O16+O14+O11</f>
        <v>48070000</v>
      </c>
      <c r="P22" s="68">
        <f>P20+P18+P16+P14+P11</f>
        <v>52788000</v>
      </c>
      <c r="Q22" s="68">
        <f>Q20+Q18+Q16+Q14+Q11</f>
        <v>52795000</v>
      </c>
      <c r="R22" s="68">
        <f>R20+R18+R16+R14+R11</f>
        <v>53899000</v>
      </c>
      <c r="S22" s="68">
        <f t="shared" si="3"/>
        <v>252125000</v>
      </c>
      <c r="T22" s="69">
        <f t="shared" si="4"/>
        <v>0.83511369470528807</v>
      </c>
      <c r="U22" s="4" t="s">
        <v>85</v>
      </c>
    </row>
    <row r="23" spans="1:21">
      <c r="C23" s="15"/>
      <c r="D23" s="16" t="s">
        <v>37</v>
      </c>
      <c r="E23" s="42">
        <f>S24</f>
        <v>34803000</v>
      </c>
      <c r="F23" s="112">
        <f t="shared" si="0"/>
        <v>0.11527798479654196</v>
      </c>
      <c r="G23" s="17">
        <v>0</v>
      </c>
      <c r="H23" s="39"/>
      <c r="I23" s="61" t="str">
        <f t="shared" si="2"/>
        <v/>
      </c>
      <c r="L23" s="62" t="s">
        <v>21</v>
      </c>
      <c r="M23" s="63"/>
      <c r="N23" s="64">
        <f t="shared" ref="N23:S23" si="5">N25+N24</f>
        <v>12681000</v>
      </c>
      <c r="O23" s="64">
        <f t="shared" si="5"/>
        <v>7979000</v>
      </c>
      <c r="P23" s="64">
        <f t="shared" si="5"/>
        <v>8637000</v>
      </c>
      <c r="Q23" s="64">
        <f t="shared" si="5"/>
        <v>9669000</v>
      </c>
      <c r="R23" s="64">
        <f t="shared" si="5"/>
        <v>10814000</v>
      </c>
      <c r="S23" s="64">
        <f t="shared" si="5"/>
        <v>49780000</v>
      </c>
      <c r="T23" s="65">
        <f t="shared" si="4"/>
        <v>0.1648863052947119</v>
      </c>
      <c r="U23" s="4" t="s">
        <v>86</v>
      </c>
    </row>
    <row r="24" spans="1:21">
      <c r="C24" s="15"/>
      <c r="D24" s="16" t="s">
        <v>38</v>
      </c>
      <c r="E24" s="42">
        <f>S25</f>
        <v>14977000</v>
      </c>
      <c r="F24" s="112">
        <f t="shared" si="0"/>
        <v>4.9608320498169954E-2</v>
      </c>
      <c r="G24" s="17">
        <v>0</v>
      </c>
      <c r="H24" s="39"/>
      <c r="I24" s="61" t="str">
        <f t="shared" si="2"/>
        <v/>
      </c>
      <c r="L24" s="15" t="str">
        <f>L21</f>
        <v>Large Volume</v>
      </c>
      <c r="M24" s="16" t="s">
        <v>37</v>
      </c>
      <c r="N24" s="94">
        <v>11735000</v>
      </c>
      <c r="O24" s="94">
        <v>6142000</v>
      </c>
      <c r="P24" s="94">
        <v>5642000</v>
      </c>
      <c r="Q24" s="94">
        <v>5642000</v>
      </c>
      <c r="R24" s="94">
        <v>5642000</v>
      </c>
      <c r="S24" s="17">
        <f>SUM(N24:R24)</f>
        <v>34803000</v>
      </c>
      <c r="T24" s="18">
        <f t="shared" si="4"/>
        <v>0.11527798479654196</v>
      </c>
      <c r="U24" s="142" t="s">
        <v>81</v>
      </c>
    </row>
    <row r="25" spans="1:21">
      <c r="C25" s="74" t="s">
        <v>17</v>
      </c>
      <c r="D25" s="75"/>
      <c r="E25" s="76">
        <f>SUM(E22,E23,E24)</f>
        <v>301905000</v>
      </c>
      <c r="F25" s="77">
        <f t="shared" si="0"/>
        <v>1</v>
      </c>
      <c r="G25" s="78">
        <f>SUM(G16,G14,G11,G18,G20)</f>
        <v>6158159024</v>
      </c>
      <c r="H25" s="79">
        <f>G25/G$25</f>
        <v>1</v>
      </c>
      <c r="I25" s="87">
        <f t="shared" si="2"/>
        <v>4.9025203607668315E-2</v>
      </c>
      <c r="L25" s="15" t="str">
        <f>L23</f>
        <v>All Programs &amp; Sectors</v>
      </c>
      <c r="M25" s="16" t="s">
        <v>38</v>
      </c>
      <c r="N25" s="94">
        <v>946000</v>
      </c>
      <c r="O25" s="94">
        <v>1837000</v>
      </c>
      <c r="P25" s="94">
        <v>2995000</v>
      </c>
      <c r="Q25" s="94">
        <v>4027000</v>
      </c>
      <c r="R25" s="94">
        <v>5172000</v>
      </c>
      <c r="S25" s="17">
        <f>SUM(N25:R25)</f>
        <v>14977000</v>
      </c>
      <c r="T25" s="18">
        <f t="shared" si="4"/>
        <v>4.9608320498169954E-2</v>
      </c>
      <c r="U25" s="142" t="s">
        <v>81</v>
      </c>
    </row>
    <row r="26" spans="1:21">
      <c r="A26" s="8"/>
      <c r="L26" s="70" t="s">
        <v>17</v>
      </c>
      <c r="M26" s="71"/>
      <c r="N26" s="72">
        <f t="shared" ref="N26:S26" si="6">SUM(N16,N14,N11,N18,N20,N23)</f>
        <v>57254000</v>
      </c>
      <c r="O26" s="72">
        <f t="shared" si="6"/>
        <v>56049000</v>
      </c>
      <c r="P26" s="72">
        <f t="shared" si="6"/>
        <v>61425000</v>
      </c>
      <c r="Q26" s="72">
        <f t="shared" si="6"/>
        <v>62464000</v>
      </c>
      <c r="R26" s="72">
        <f t="shared" si="6"/>
        <v>64713000</v>
      </c>
      <c r="S26" s="72">
        <f t="shared" si="6"/>
        <v>301905000</v>
      </c>
      <c r="T26" s="73">
        <f t="shared" si="4"/>
        <v>1</v>
      </c>
      <c r="U26" s="4" t="s">
        <v>87</v>
      </c>
    </row>
    <row r="27" spans="1:21">
      <c r="A27" s="8"/>
      <c r="M27" s="46" t="s">
        <v>30</v>
      </c>
      <c r="N27" s="23"/>
      <c r="O27" s="47">
        <f>O26/N26-1</f>
        <v>-2.1046564432179449E-2</v>
      </c>
      <c r="P27" s="47">
        <f>P26/O26-1</f>
        <v>9.591607343574382E-2</v>
      </c>
      <c r="Q27" s="47">
        <f>Q26/P26-1</f>
        <v>1.691493691493684E-2</v>
      </c>
      <c r="R27" s="47">
        <f>R26/Q26-1</f>
        <v>3.6004738729508157E-2</v>
      </c>
    </row>
    <row r="28" spans="1:21">
      <c r="N28" s="44"/>
      <c r="O28" s="44"/>
      <c r="P28" s="44"/>
      <c r="Q28" s="44"/>
      <c r="R28" s="44"/>
      <c r="S28" s="44"/>
    </row>
    <row r="29" spans="1:21" ht="15.75">
      <c r="L29" s="167" t="str">
        <f>A17&amp;" LIFETIME SAVINGS (M3)"</f>
        <v xml:space="preserve"> LIFETIME SAVINGS (M3)</v>
      </c>
      <c r="M29" s="168"/>
      <c r="N29" s="168"/>
      <c r="O29" s="168"/>
      <c r="P29" s="168"/>
      <c r="Q29" s="168"/>
      <c r="R29" s="168"/>
      <c r="S29" s="168"/>
      <c r="T29" s="169"/>
    </row>
    <row r="30" spans="1:21">
      <c r="L30" s="165" t="s">
        <v>18</v>
      </c>
      <c r="M30" s="166"/>
      <c r="N30" s="9">
        <v>2016</v>
      </c>
      <c r="O30" s="9">
        <v>2017</v>
      </c>
      <c r="P30" s="9">
        <v>2018</v>
      </c>
      <c r="Q30" s="9">
        <v>2019</v>
      </c>
      <c r="R30" s="9">
        <v>2020</v>
      </c>
      <c r="S30" s="9" t="s">
        <v>19</v>
      </c>
      <c r="T30" s="10" t="s">
        <v>20</v>
      </c>
    </row>
    <row r="31" spans="1:21">
      <c r="L31" s="11" t="s">
        <v>1</v>
      </c>
      <c r="M31" s="12"/>
      <c r="N31" s="13">
        <f>SUM(N32:N33)</f>
        <v>1109631656</v>
      </c>
      <c r="O31" s="13">
        <f>SUM(O32:O33)</f>
        <v>1148519100</v>
      </c>
      <c r="P31" s="13">
        <f>SUM(P32:P33)</f>
        <v>1185792799</v>
      </c>
      <c r="Q31" s="95">
        <f>SUM(Q32:Q33)</f>
        <v>1186045987</v>
      </c>
      <c r="R31" s="13">
        <f>SUM(R32:R33)</f>
        <v>1186045987</v>
      </c>
      <c r="S31" s="13">
        <f t="shared" ref="S31:S38" si="7">SUM(N31:R31)</f>
        <v>5816035529</v>
      </c>
      <c r="T31" s="14">
        <f t="shared" ref="T31:T38" si="8">IFERROR(S31/$S$38,"")</f>
        <v>0.94444386809975955</v>
      </c>
      <c r="U31" s="4" t="s">
        <v>80</v>
      </c>
    </row>
    <row r="32" spans="1:21">
      <c r="L32" s="15" t="str">
        <f>L31</f>
        <v>Resource Acquisition</v>
      </c>
      <c r="M32" s="16" t="s">
        <v>28</v>
      </c>
      <c r="N32" s="114">
        <v>89941084</v>
      </c>
      <c r="O32" s="114">
        <v>120074931</v>
      </c>
      <c r="P32" s="114">
        <v>147587176</v>
      </c>
      <c r="Q32" s="114">
        <v>147840364</v>
      </c>
      <c r="R32" s="23">
        <v>147840364</v>
      </c>
      <c r="S32" s="17">
        <f t="shared" si="7"/>
        <v>653283919</v>
      </c>
      <c r="T32" s="18">
        <f t="shared" si="8"/>
        <v>0.10608428857617627</v>
      </c>
      <c r="U32" s="142" t="s">
        <v>88</v>
      </c>
    </row>
    <row r="33" spans="12:21">
      <c r="L33" s="15" t="str">
        <f>L32</f>
        <v>Resource Acquisition</v>
      </c>
      <c r="M33" s="16" t="s">
        <v>29</v>
      </c>
      <c r="N33" s="114">
        <v>1019690572</v>
      </c>
      <c r="O33" s="147">
        <v>1028444169</v>
      </c>
      <c r="P33" s="114">
        <v>1038205623</v>
      </c>
      <c r="Q33" s="114">
        <v>1038205623</v>
      </c>
      <c r="R33" s="114">
        <v>1038205623</v>
      </c>
      <c r="S33" s="17">
        <f t="shared" si="7"/>
        <v>5162751610</v>
      </c>
      <c r="T33" s="18">
        <f t="shared" si="8"/>
        <v>0.83835957952358331</v>
      </c>
      <c r="U33" s="142" t="s">
        <v>89</v>
      </c>
    </row>
    <row r="34" spans="12:21">
      <c r="L34" s="11" t="s">
        <v>13</v>
      </c>
      <c r="M34" s="12"/>
      <c r="N34" s="13">
        <f>N35</f>
        <v>51492897</v>
      </c>
      <c r="O34" s="13">
        <f>O35</f>
        <v>53397574</v>
      </c>
      <c r="P34" s="13">
        <f>P35</f>
        <v>55907554</v>
      </c>
      <c r="Q34" s="13">
        <f>Q35</f>
        <v>60062460</v>
      </c>
      <c r="R34" s="13">
        <f>R35</f>
        <v>61263010</v>
      </c>
      <c r="S34" s="13">
        <f t="shared" si="7"/>
        <v>282123495</v>
      </c>
      <c r="T34" s="14">
        <f t="shared" si="8"/>
        <v>4.581296031825241E-2</v>
      </c>
      <c r="U34" s="4" t="s">
        <v>83</v>
      </c>
    </row>
    <row r="35" spans="12:21">
      <c r="L35" s="15" t="str">
        <f>L34</f>
        <v>Low Income Total</v>
      </c>
      <c r="M35" s="16" t="s">
        <v>2</v>
      </c>
      <c r="N35" s="23">
        <v>51492897</v>
      </c>
      <c r="O35" s="23">
        <v>53397574</v>
      </c>
      <c r="P35" s="23">
        <v>55907554</v>
      </c>
      <c r="Q35" s="23">
        <v>60062460</v>
      </c>
      <c r="R35" s="23">
        <v>61263010</v>
      </c>
      <c r="S35" s="17">
        <f t="shared" si="7"/>
        <v>282123495</v>
      </c>
      <c r="T35" s="18">
        <f t="shared" si="8"/>
        <v>4.581296031825241E-2</v>
      </c>
      <c r="U35" s="142" t="s">
        <v>91</v>
      </c>
    </row>
    <row r="36" spans="12:21">
      <c r="L36" s="11" t="s">
        <v>9</v>
      </c>
      <c r="M36" s="12"/>
      <c r="N36" s="13">
        <f>N37</f>
        <v>0</v>
      </c>
      <c r="O36" s="13">
        <f>O37</f>
        <v>1250000</v>
      </c>
      <c r="P36" s="13">
        <f>P37</f>
        <v>7750000</v>
      </c>
      <c r="Q36" s="13">
        <f>Q37</f>
        <v>18250000</v>
      </c>
      <c r="R36" s="13">
        <f>R37</f>
        <v>32750000</v>
      </c>
      <c r="S36" s="13">
        <f t="shared" si="7"/>
        <v>60000000</v>
      </c>
      <c r="T36" s="14">
        <f t="shared" si="8"/>
        <v>9.7431715819880395E-3</v>
      </c>
      <c r="U36" s="4" t="s">
        <v>84</v>
      </c>
    </row>
    <row r="37" spans="12:21">
      <c r="L37" s="15" t="str">
        <f>L36</f>
        <v>Performance Based</v>
      </c>
      <c r="M37" s="16" t="s">
        <v>4</v>
      </c>
      <c r="N37" s="23">
        <v>0</v>
      </c>
      <c r="O37" s="23">
        <v>1250000</v>
      </c>
      <c r="P37" s="23">
        <v>7750000</v>
      </c>
      <c r="Q37" s="23">
        <v>18250000</v>
      </c>
      <c r="R37" s="23">
        <v>32750000</v>
      </c>
      <c r="S37" s="17">
        <f t="shared" si="7"/>
        <v>60000000</v>
      </c>
      <c r="T37" s="18">
        <f t="shared" si="8"/>
        <v>9.7431715819880395E-3</v>
      </c>
      <c r="U37" s="142" t="s">
        <v>90</v>
      </c>
    </row>
    <row r="38" spans="12:21">
      <c r="L38" s="19" t="s">
        <v>17</v>
      </c>
      <c r="M38" s="20"/>
      <c r="N38" s="21">
        <f>SUM(N34,N31,N36)</f>
        <v>1161124553</v>
      </c>
      <c r="O38" s="21">
        <f>SUM(O34,O31,O36)</f>
        <v>1203166674</v>
      </c>
      <c r="P38" s="21">
        <f>SUM(P34,P31,P36)</f>
        <v>1249450353</v>
      </c>
      <c r="Q38" s="21">
        <f>SUM(Q34,Q31,Q36)</f>
        <v>1264358447</v>
      </c>
      <c r="R38" s="21">
        <f>SUM(R34,R31,R36)</f>
        <v>1280058997</v>
      </c>
      <c r="S38" s="21">
        <f t="shared" si="7"/>
        <v>6158159024</v>
      </c>
      <c r="T38" s="22">
        <f t="shared" si="8"/>
        <v>1</v>
      </c>
      <c r="U38" s="4" t="s">
        <v>85</v>
      </c>
    </row>
    <row r="39" spans="12:21">
      <c r="M39" s="46" t="s">
        <v>30</v>
      </c>
      <c r="N39" s="23"/>
      <c r="O39" s="47">
        <f>O38/N38-1</f>
        <v>3.6208106091095704E-2</v>
      </c>
      <c r="P39" s="47">
        <f>P38/O38-1</f>
        <v>3.8468218909460949E-2</v>
      </c>
      <c r="Q39" s="47">
        <f>Q38/P38-1</f>
        <v>1.1931721788068561E-2</v>
      </c>
      <c r="R39" s="47">
        <f>R38/Q38-1</f>
        <v>1.2417799744410596E-2</v>
      </c>
    </row>
    <row r="41" spans="12:21" ht="15.75">
      <c r="L41" s="167" t="str">
        <f>A1&amp;" COST OF SAVED ENERGY ($/M3)"</f>
        <v>UNION COST OF SAVED ENERGY ($/M3)</v>
      </c>
      <c r="M41" s="168"/>
      <c r="N41" s="168"/>
      <c r="O41" s="168"/>
      <c r="P41" s="168"/>
      <c r="Q41" s="168"/>
      <c r="R41" s="168"/>
      <c r="S41" s="169"/>
    </row>
    <row r="42" spans="12:21">
      <c r="L42" s="165" t="s">
        <v>18</v>
      </c>
      <c r="M42" s="166"/>
      <c r="N42" s="9">
        <v>2016</v>
      </c>
      <c r="O42" s="9">
        <v>2017</v>
      </c>
      <c r="P42" s="9">
        <v>2018</v>
      </c>
      <c r="Q42" s="9">
        <v>2019</v>
      </c>
      <c r="R42" s="9">
        <v>2020</v>
      </c>
      <c r="S42" s="28" t="s">
        <v>19</v>
      </c>
    </row>
    <row r="43" spans="12:21">
      <c r="L43" s="11" t="s">
        <v>1</v>
      </c>
      <c r="M43" s="12"/>
      <c r="N43" s="25">
        <f t="shared" ref="N43:S44" si="9">IFERROR(N11/N31,"")</f>
        <v>2.7779488655828327E-2</v>
      </c>
      <c r="O43" s="25">
        <f t="shared" si="9"/>
        <v>2.9764415759389633E-2</v>
      </c>
      <c r="P43" s="25">
        <f t="shared" si="9"/>
        <v>3.154261016894571E-2</v>
      </c>
      <c r="Q43" s="25">
        <f t="shared" si="9"/>
        <v>3.1252582451509948E-2</v>
      </c>
      <c r="R43" s="25">
        <f t="shared" si="9"/>
        <v>3.1252582451509948E-2</v>
      </c>
      <c r="S43" s="29">
        <f t="shared" si="9"/>
        <v>3.0355213464515272E-2</v>
      </c>
    </row>
    <row r="44" spans="12:21">
      <c r="L44" s="15" t="str">
        <f>L43</f>
        <v>Resource Acquisition</v>
      </c>
      <c r="M44" s="16" t="s">
        <v>28</v>
      </c>
      <c r="N44" s="26">
        <f t="shared" si="9"/>
        <v>0.13503283994220039</v>
      </c>
      <c r="O44" s="26">
        <f t="shared" si="9"/>
        <v>0.12782851401347048</v>
      </c>
      <c r="P44" s="26">
        <f t="shared" si="9"/>
        <v>0.12091158922913466</v>
      </c>
      <c r="Q44" s="26">
        <f t="shared" si="9"/>
        <v>0.12070451882815982</v>
      </c>
      <c r="R44" s="26">
        <f t="shared" si="9"/>
        <v>0.12070451882815982</v>
      </c>
      <c r="S44" s="30">
        <f t="shared" si="9"/>
        <v>0.12403336075382562</v>
      </c>
    </row>
    <row r="45" spans="12:21">
      <c r="L45" s="15" t="str">
        <f>L44</f>
        <v>Resource Acquisition</v>
      </c>
      <c r="M45" s="16" t="s">
        <v>29</v>
      </c>
      <c r="N45" s="26">
        <f t="shared" ref="N45:O45" si="10">IFERROR(N13/N33,"")</f>
        <v>1.8319282842207154E-2</v>
      </c>
      <c r="O45" s="26">
        <f t="shared" si="10"/>
        <v>1.8315043798940535E-2</v>
      </c>
      <c r="P45" s="26">
        <f>IFERROR(P13/P33,"")</f>
        <v>1.8838272078979097E-2</v>
      </c>
      <c r="Q45" s="26">
        <f>IFERROR(Q13/Q33,"")</f>
        <v>1.8514636767672371E-2</v>
      </c>
      <c r="R45" s="26">
        <f>IFERROR(R13/R33,"")</f>
        <v>1.8514636767672371E-2</v>
      </c>
      <c r="S45" s="30">
        <f>IFERROR(S13/S33,"")</f>
        <v>1.8501374308805843E-2</v>
      </c>
    </row>
    <row r="46" spans="12:21">
      <c r="L46" s="11" t="s">
        <v>13</v>
      </c>
      <c r="M46" s="12"/>
      <c r="N46" s="25">
        <f t="shared" ref="N46:S49" si="11">IFERROR(N16/N34,"")</f>
        <v>0.22039933002798426</v>
      </c>
      <c r="O46" s="25">
        <f t="shared" si="11"/>
        <v>0.23004790442352305</v>
      </c>
      <c r="P46" s="25">
        <f t="shared" si="11"/>
        <v>0.24172046589625437</v>
      </c>
      <c r="Q46" s="25">
        <f t="shared" si="11"/>
        <v>0.23455582738369357</v>
      </c>
      <c r="R46" s="25">
        <f t="shared" si="11"/>
        <v>0.24399715260480997</v>
      </c>
      <c r="S46" s="29">
        <f t="shared" si="11"/>
        <v>0.23458875695553114</v>
      </c>
    </row>
    <row r="47" spans="12:21">
      <c r="L47" s="15" t="str">
        <f>L46</f>
        <v>Low Income Total</v>
      </c>
      <c r="M47" s="16" t="s">
        <v>2</v>
      </c>
      <c r="N47" s="26">
        <f t="shared" si="11"/>
        <v>0.22039933002798426</v>
      </c>
      <c r="O47" s="26">
        <f t="shared" si="11"/>
        <v>0.23004790442352305</v>
      </c>
      <c r="P47" s="26">
        <f t="shared" si="11"/>
        <v>0.24172046589625437</v>
      </c>
      <c r="Q47" s="26">
        <f t="shared" si="11"/>
        <v>0.23455582738369357</v>
      </c>
      <c r="R47" s="26">
        <f t="shared" si="11"/>
        <v>0.24399715260480997</v>
      </c>
      <c r="S47" s="30">
        <f t="shared" si="11"/>
        <v>0.23458875695553114</v>
      </c>
    </row>
    <row r="48" spans="12:21">
      <c r="L48" s="11" t="s">
        <v>9</v>
      </c>
      <c r="M48" s="12"/>
      <c r="N48" s="25" t="str">
        <f t="shared" si="11"/>
        <v/>
      </c>
      <c r="O48" s="25">
        <f t="shared" si="11"/>
        <v>0.6744</v>
      </c>
      <c r="P48" s="25">
        <f t="shared" si="11"/>
        <v>0.14038709677419356</v>
      </c>
      <c r="Q48" s="25">
        <f t="shared" si="11"/>
        <v>4.5643835616438359E-2</v>
      </c>
      <c r="R48" s="25">
        <f t="shared" si="11"/>
        <v>3.2152671755725191E-2</v>
      </c>
      <c r="S48" s="29">
        <f t="shared" si="11"/>
        <v>7.2749999999999995E-2</v>
      </c>
    </row>
    <row r="49" spans="1:20">
      <c r="L49" s="15" t="str">
        <f>L48</f>
        <v>Performance Based</v>
      </c>
      <c r="M49" s="16" t="s">
        <v>4</v>
      </c>
      <c r="N49" s="26" t="str">
        <f t="shared" si="11"/>
        <v/>
      </c>
      <c r="O49" s="26">
        <f t="shared" si="11"/>
        <v>0.6744</v>
      </c>
      <c r="P49" s="26">
        <f t="shared" si="11"/>
        <v>0.14038709677419356</v>
      </c>
      <c r="Q49" s="26">
        <f t="shared" si="11"/>
        <v>4.5643835616438359E-2</v>
      </c>
      <c r="R49" s="26">
        <f t="shared" si="11"/>
        <v>3.2152671755725191E-2</v>
      </c>
      <c r="S49" s="30">
        <f t="shared" si="11"/>
        <v>7.2749999999999995E-2</v>
      </c>
    </row>
    <row r="50" spans="1:20">
      <c r="L50" s="19" t="s">
        <v>17</v>
      </c>
      <c r="M50" s="20"/>
      <c r="N50" s="27">
        <f t="shared" ref="N50:S50" si="12">IFERROR(N26/N38,"")</f>
        <v>4.9309094232890621E-2</v>
      </c>
      <c r="O50" s="27">
        <f t="shared" si="12"/>
        <v>4.6584568215858012E-2</v>
      </c>
      <c r="P50" s="27">
        <f t="shared" si="12"/>
        <v>4.9161617228339761E-2</v>
      </c>
      <c r="Q50" s="27">
        <f t="shared" si="12"/>
        <v>4.9403711540988347E-2</v>
      </c>
      <c r="R50" s="27">
        <f t="shared" si="12"/>
        <v>5.0554701112733164E-2</v>
      </c>
      <c r="S50" s="31">
        <f t="shared" si="12"/>
        <v>4.9025203607668315E-2</v>
      </c>
    </row>
    <row r="51" spans="1:20">
      <c r="M51" s="46" t="s">
        <v>30</v>
      </c>
      <c r="N51" s="23"/>
      <c r="O51" s="47">
        <f>O50/N50-1</f>
        <v>-5.5254026856880856E-2</v>
      </c>
      <c r="P51" s="47">
        <f>P50/O50-1</f>
        <v>5.531980033689532E-2</v>
      </c>
      <c r="Q51" s="47">
        <f>Q50/P50-1</f>
        <v>4.924457865658427E-3</v>
      </c>
      <c r="R51" s="47">
        <f>R50/Q50-1</f>
        <v>2.3297633636085946E-2</v>
      </c>
    </row>
    <row r="52" spans="1:20">
      <c r="M52" s="46"/>
      <c r="N52" s="23"/>
      <c r="O52" s="47"/>
      <c r="P52" s="47"/>
      <c r="Q52" s="47"/>
      <c r="R52" s="47"/>
    </row>
    <row r="53" spans="1:20" ht="21">
      <c r="B53" s="34" t="s">
        <v>62</v>
      </c>
      <c r="C53" s="34"/>
      <c r="D53" s="34"/>
      <c r="E53" s="34"/>
      <c r="F53" s="34"/>
      <c r="G53" s="34"/>
      <c r="H53" s="34"/>
      <c r="I53" s="34"/>
      <c r="J53" s="34"/>
      <c r="K53" s="34"/>
      <c r="M53" s="46"/>
      <c r="N53" s="23"/>
      <c r="O53" s="47"/>
      <c r="P53" s="47"/>
      <c r="Q53" s="47"/>
      <c r="R53" s="47"/>
    </row>
    <row r="54" spans="1:20">
      <c r="A54" s="8"/>
      <c r="M54" s="46"/>
      <c r="N54" s="23"/>
      <c r="O54" s="47"/>
      <c r="P54" s="47"/>
      <c r="Q54" s="47"/>
      <c r="R54" s="47"/>
    </row>
    <row r="55" spans="1:20" ht="18.75">
      <c r="A55" s="8"/>
      <c r="C55" s="127" t="s">
        <v>60</v>
      </c>
      <c r="D55" s="36"/>
      <c r="E55" s="36"/>
      <c r="F55" s="36"/>
      <c r="G55" s="36"/>
      <c r="H55" s="36"/>
      <c r="I55" s="36"/>
      <c r="L55" s="127" t="s">
        <v>61</v>
      </c>
    </row>
    <row r="56" spans="1:20" ht="15.75">
      <c r="C56" s="170" t="str">
        <f>$A$1&amp;" 2016-2020 TOTAL"</f>
        <v>UNION 2016-2020 TOTAL</v>
      </c>
      <c r="D56" s="171"/>
      <c r="E56" s="171"/>
      <c r="F56" s="171"/>
      <c r="G56" s="171"/>
      <c r="H56" s="171"/>
      <c r="I56" s="172"/>
      <c r="L56" s="167" t="str">
        <f>A1&amp;" TOTAL UTILITY COSTS"</f>
        <v>UNION TOTAL UTILITY COSTS</v>
      </c>
      <c r="M56" s="168"/>
      <c r="N56" s="168"/>
      <c r="O56" s="168"/>
      <c r="P56" s="168"/>
      <c r="Q56" s="168"/>
      <c r="R56" s="168"/>
      <c r="S56" s="168"/>
      <c r="T56" s="169"/>
    </row>
    <row r="57" spans="1:20" ht="30">
      <c r="C57" s="173" t="s">
        <v>18</v>
      </c>
      <c r="D57" s="174"/>
      <c r="E57" s="55" t="s">
        <v>33</v>
      </c>
      <c r="F57" s="56" t="s">
        <v>25</v>
      </c>
      <c r="G57" s="57" t="s">
        <v>12</v>
      </c>
      <c r="H57" s="57" t="s">
        <v>26</v>
      </c>
      <c r="I57" s="58" t="s">
        <v>32</v>
      </c>
      <c r="L57" s="165" t="s">
        <v>24</v>
      </c>
      <c r="M57" s="166"/>
      <c r="N57" s="9">
        <v>2016</v>
      </c>
      <c r="O57" s="9">
        <v>2017</v>
      </c>
      <c r="P57" s="9">
        <v>2018</v>
      </c>
      <c r="Q57" s="9">
        <v>2019</v>
      </c>
      <c r="R57" s="9">
        <v>2020</v>
      </c>
      <c r="S57" s="9" t="s">
        <v>19</v>
      </c>
      <c r="T57" s="10" t="s">
        <v>20</v>
      </c>
    </row>
    <row r="58" spans="1:20">
      <c r="C58" s="11" t="s">
        <v>3</v>
      </c>
      <c r="D58" s="12"/>
      <c r="E58" s="40">
        <f>SUM(E59:E60)</f>
        <v>82071000</v>
      </c>
      <c r="F58" s="41">
        <f t="shared" ref="F58:F70" si="13">E58/E$70</f>
        <v>0.27184379192129976</v>
      </c>
      <c r="G58" s="13">
        <f>SUM(G59:G60)</f>
        <v>653283919</v>
      </c>
      <c r="H58" s="41">
        <f t="shared" ref="H58:H67" si="14">G58/G$70</f>
        <v>0.10608428857617627</v>
      </c>
      <c r="I58" s="89">
        <f t="shared" ref="I58:I70" si="15">IFERROR(E58/G58,"")</f>
        <v>0.12562837935093885</v>
      </c>
      <c r="L58" s="11" t="s">
        <v>3</v>
      </c>
      <c r="M58" s="12"/>
      <c r="N58" s="13">
        <f>SUM(N59:N60)</f>
        <v>13187000</v>
      </c>
      <c r="O58" s="13">
        <f>SUM(O59:O60)</f>
        <v>15349000</v>
      </c>
      <c r="P58" s="13">
        <f>SUM(P59:P60)</f>
        <v>17845000</v>
      </c>
      <c r="Q58" s="13">
        <f>SUM(Q59:Q60)</f>
        <v>17845000</v>
      </c>
      <c r="R58" s="13">
        <f>SUM(R59:R60)</f>
        <v>17845000</v>
      </c>
      <c r="S58" s="13">
        <f t="shared" ref="S58:S67" si="16">SUM(N58:R58)</f>
        <v>82071000</v>
      </c>
      <c r="T58" s="14">
        <f t="shared" ref="T58:T66" si="17">IFERROR(S58/$S$67,"")</f>
        <v>0.32551710461080813</v>
      </c>
    </row>
    <row r="59" spans="1:20">
      <c r="C59" s="15" t="str">
        <f>C58</f>
        <v>Residential</v>
      </c>
      <c r="D59" s="16" t="s">
        <v>1</v>
      </c>
      <c r="E59" s="42">
        <f>S59</f>
        <v>81029000</v>
      </c>
      <c r="F59" s="43">
        <f t="shared" si="13"/>
        <v>0.26839237508487768</v>
      </c>
      <c r="G59" s="17">
        <f>S76</f>
        <v>653283919</v>
      </c>
      <c r="H59" s="43">
        <f t="shared" si="14"/>
        <v>0.10608428857617627</v>
      </c>
      <c r="I59" s="90">
        <f t="shared" si="15"/>
        <v>0.12403336075382562</v>
      </c>
      <c r="L59" s="15" t="str">
        <f>L58</f>
        <v>Residential</v>
      </c>
      <c r="M59" s="16" t="s">
        <v>1</v>
      </c>
      <c r="N59" s="17">
        <f>N12</f>
        <v>12145000</v>
      </c>
      <c r="O59" s="17">
        <f>O12</f>
        <v>15349000</v>
      </c>
      <c r="P59" s="17">
        <f>P12</f>
        <v>17845000</v>
      </c>
      <c r="Q59" s="17">
        <f>Q12</f>
        <v>17845000</v>
      </c>
      <c r="R59" s="17">
        <f>R12</f>
        <v>17845000</v>
      </c>
      <c r="S59" s="17">
        <f t="shared" si="16"/>
        <v>81029000</v>
      </c>
      <c r="T59" s="18">
        <f t="shared" si="17"/>
        <v>0.32138423401090727</v>
      </c>
    </row>
    <row r="60" spans="1:20">
      <c r="C60" s="15" t="str">
        <f>C59</f>
        <v>Residential</v>
      </c>
      <c r="D60" s="16" t="s">
        <v>11</v>
      </c>
      <c r="E60" s="42">
        <f>S60</f>
        <v>1042000</v>
      </c>
      <c r="F60" s="43">
        <f t="shared" si="13"/>
        <v>3.4514168364220533E-3</v>
      </c>
      <c r="G60" s="17">
        <f>S77</f>
        <v>0</v>
      </c>
      <c r="H60" s="43">
        <f t="shared" si="14"/>
        <v>0</v>
      </c>
      <c r="I60" s="90" t="str">
        <f t="shared" si="15"/>
        <v/>
      </c>
      <c r="L60" s="15" t="str">
        <f>L59</f>
        <v>Residential</v>
      </c>
      <c r="M60" s="16" t="s">
        <v>11</v>
      </c>
      <c r="N60" s="17">
        <f>N15</f>
        <v>1042000</v>
      </c>
      <c r="O60" s="17">
        <f>O15</f>
        <v>0</v>
      </c>
      <c r="P60" s="17">
        <f>P15</f>
        <v>0</v>
      </c>
      <c r="Q60" s="17">
        <f>Q15</f>
        <v>0</v>
      </c>
      <c r="R60" s="17">
        <f>R15</f>
        <v>0</v>
      </c>
      <c r="S60" s="17">
        <f t="shared" si="16"/>
        <v>1042000</v>
      </c>
      <c r="T60" s="18">
        <f t="shared" si="17"/>
        <v>4.1328705999008428E-3</v>
      </c>
    </row>
    <row r="61" spans="1:20">
      <c r="C61" s="11" t="s">
        <v>22</v>
      </c>
      <c r="D61" s="12"/>
      <c r="E61" s="48">
        <f>SUM(E62:E64)</f>
        <v>103871000</v>
      </c>
      <c r="F61" s="41">
        <f t="shared" si="13"/>
        <v>0.34405193686755769</v>
      </c>
      <c r="G61" s="32">
        <f>SUM(G62:G64)</f>
        <v>5222751610</v>
      </c>
      <c r="H61" s="41">
        <f t="shared" si="14"/>
        <v>0.84810275110557132</v>
      </c>
      <c r="I61" s="91">
        <f t="shared" si="15"/>
        <v>1.9888175382707891E-2</v>
      </c>
      <c r="L61" s="11" t="s">
        <v>22</v>
      </c>
      <c r="M61" s="12"/>
      <c r="N61" s="13">
        <f>SUM(N62:N64)</f>
        <v>20037000</v>
      </c>
      <c r="O61" s="13">
        <f>SUM(O62:O64)</f>
        <v>20437000</v>
      </c>
      <c r="P61" s="13">
        <f>SUM(P62:P64)</f>
        <v>21429000</v>
      </c>
      <c r="Q61" s="13">
        <f>SUM(Q62:Q64)</f>
        <v>20862000</v>
      </c>
      <c r="R61" s="13">
        <f>SUM(R62:R64)</f>
        <v>21106000</v>
      </c>
      <c r="S61" s="13">
        <f t="shared" si="16"/>
        <v>103871000</v>
      </c>
      <c r="T61" s="14">
        <f t="shared" si="17"/>
        <v>0.4119821517104611</v>
      </c>
    </row>
    <row r="62" spans="1:20">
      <c r="C62" s="15" t="str">
        <f>C61</f>
        <v>Commercial &amp; Industrial</v>
      </c>
      <c r="D62" s="16" t="s">
        <v>1</v>
      </c>
      <c r="E62" s="49">
        <f>S62</f>
        <v>95518000</v>
      </c>
      <c r="F62" s="43">
        <f t="shared" si="13"/>
        <v>0.31638429307232407</v>
      </c>
      <c r="G62" s="17">
        <f>S79</f>
        <v>5162751610</v>
      </c>
      <c r="H62" s="43">
        <f t="shared" si="14"/>
        <v>0.83835957952358331</v>
      </c>
      <c r="I62" s="92">
        <f t="shared" si="15"/>
        <v>1.8501374308805843E-2</v>
      </c>
      <c r="L62" s="15" t="str">
        <f>L61</f>
        <v>Commercial &amp; Industrial</v>
      </c>
      <c r="M62" s="16" t="s">
        <v>1</v>
      </c>
      <c r="N62" s="17">
        <f>N13</f>
        <v>18680000</v>
      </c>
      <c r="O62" s="17">
        <f>O13</f>
        <v>18836000</v>
      </c>
      <c r="P62" s="17">
        <f>P13</f>
        <v>19558000</v>
      </c>
      <c r="Q62" s="17">
        <f>Q13</f>
        <v>19222000</v>
      </c>
      <c r="R62" s="17">
        <f>R13</f>
        <v>19222000</v>
      </c>
      <c r="S62" s="17">
        <f t="shared" si="16"/>
        <v>95518000</v>
      </c>
      <c r="T62" s="18">
        <f t="shared" si="17"/>
        <v>0.37885176003966287</v>
      </c>
    </row>
    <row r="63" spans="1:20">
      <c r="C63" s="15"/>
      <c r="D63" s="16" t="s">
        <v>9</v>
      </c>
      <c r="E63" s="49">
        <f>S63</f>
        <v>4365000</v>
      </c>
      <c r="F63" s="43">
        <f t="shared" si="13"/>
        <v>1.4458190490386049E-2</v>
      </c>
      <c r="G63" s="17">
        <f>S80</f>
        <v>60000000</v>
      </c>
      <c r="H63" s="43">
        <f t="shared" si="14"/>
        <v>9.7431715819880395E-3</v>
      </c>
      <c r="I63" s="92">
        <f t="shared" si="15"/>
        <v>7.2749999999999995E-2</v>
      </c>
      <c r="L63" s="15"/>
      <c r="M63" s="16" t="s">
        <v>9</v>
      </c>
      <c r="N63" s="17">
        <f>N19</f>
        <v>548000</v>
      </c>
      <c r="O63" s="17">
        <f>O19</f>
        <v>843000</v>
      </c>
      <c r="P63" s="17">
        <f>P19</f>
        <v>1088000</v>
      </c>
      <c r="Q63" s="17">
        <f>Q19</f>
        <v>833000</v>
      </c>
      <c r="R63" s="17">
        <f>R19</f>
        <v>1053000</v>
      </c>
      <c r="S63" s="17">
        <f t="shared" si="16"/>
        <v>4365000</v>
      </c>
      <c r="T63" s="18">
        <f t="shared" si="17"/>
        <v>1.7312840852751612E-2</v>
      </c>
    </row>
    <row r="64" spans="1:20">
      <c r="C64" s="15"/>
      <c r="D64" s="16" t="s">
        <v>10</v>
      </c>
      <c r="E64" s="49">
        <f>S64</f>
        <v>3988000</v>
      </c>
      <c r="F64" s="43">
        <f t="shared" si="13"/>
        <v>1.3209453304847551E-2</v>
      </c>
      <c r="G64" s="17">
        <f>S81</f>
        <v>0</v>
      </c>
      <c r="H64" s="43">
        <f t="shared" si="14"/>
        <v>0</v>
      </c>
      <c r="I64" s="92" t="str">
        <f t="shared" si="15"/>
        <v/>
      </c>
      <c r="L64" s="15"/>
      <c r="M64" s="16" t="s">
        <v>10</v>
      </c>
      <c r="N64" s="17">
        <f>N21</f>
        <v>809000</v>
      </c>
      <c r="O64" s="17">
        <f>O21</f>
        <v>758000</v>
      </c>
      <c r="P64" s="17">
        <f>P21</f>
        <v>783000</v>
      </c>
      <c r="Q64" s="17">
        <f>Q21</f>
        <v>807000</v>
      </c>
      <c r="R64" s="17">
        <f>R21</f>
        <v>831000</v>
      </c>
      <c r="S64" s="17">
        <f t="shared" si="16"/>
        <v>3988000</v>
      </c>
      <c r="T64" s="18">
        <f t="shared" si="17"/>
        <v>1.5817550818046602E-2</v>
      </c>
    </row>
    <row r="65" spans="3:20">
      <c r="C65" s="11" t="s">
        <v>13</v>
      </c>
      <c r="D65" s="12"/>
      <c r="E65" s="48">
        <f>E66</f>
        <v>66183000</v>
      </c>
      <c r="F65" s="41">
        <f t="shared" si="13"/>
        <v>0.21921796591643067</v>
      </c>
      <c r="G65" s="32">
        <f>G66</f>
        <v>282123495</v>
      </c>
      <c r="H65" s="41">
        <f t="shared" si="14"/>
        <v>4.581296031825241E-2</v>
      </c>
      <c r="I65" s="91">
        <f t="shared" si="15"/>
        <v>0.23458875695553114</v>
      </c>
      <c r="L65" s="11" t="s">
        <v>13</v>
      </c>
      <c r="M65" s="12"/>
      <c r="N65" s="13">
        <f>N66</f>
        <v>11349000</v>
      </c>
      <c r="O65" s="13">
        <f>O66</f>
        <v>12284000</v>
      </c>
      <c r="P65" s="13">
        <f>P66</f>
        <v>13514000</v>
      </c>
      <c r="Q65" s="13">
        <f>Q66</f>
        <v>14088000</v>
      </c>
      <c r="R65" s="13">
        <f>R66</f>
        <v>14948000</v>
      </c>
      <c r="S65" s="13">
        <f t="shared" si="16"/>
        <v>66183000</v>
      </c>
      <c r="T65" s="14">
        <f t="shared" si="17"/>
        <v>0.26250074367873077</v>
      </c>
    </row>
    <row r="66" spans="3:20">
      <c r="C66" s="15" t="str">
        <f>C65</f>
        <v>Low Income Total</v>
      </c>
      <c r="D66" s="16" t="s">
        <v>2</v>
      </c>
      <c r="E66" s="49">
        <f>S66</f>
        <v>66183000</v>
      </c>
      <c r="F66" s="43">
        <f t="shared" si="13"/>
        <v>0.21921796591643067</v>
      </c>
      <c r="G66" s="17">
        <f>S83</f>
        <v>282123495</v>
      </c>
      <c r="H66" s="43">
        <f t="shared" si="14"/>
        <v>4.581296031825241E-2</v>
      </c>
      <c r="I66" s="92">
        <f t="shared" si="15"/>
        <v>0.23458875695553114</v>
      </c>
      <c r="L66" s="15" t="str">
        <f>L65</f>
        <v>Low Income Total</v>
      </c>
      <c r="M66" s="16" t="s">
        <v>2</v>
      </c>
      <c r="N66" s="23">
        <f>N17</f>
        <v>11349000</v>
      </c>
      <c r="O66" s="23">
        <f t="shared" ref="O66:R66" si="18">O17</f>
        <v>12284000</v>
      </c>
      <c r="P66" s="23">
        <f t="shared" si="18"/>
        <v>13514000</v>
      </c>
      <c r="Q66" s="23">
        <f t="shared" si="18"/>
        <v>14088000</v>
      </c>
      <c r="R66" s="23">
        <f t="shared" si="18"/>
        <v>14948000</v>
      </c>
      <c r="S66" s="17">
        <f t="shared" si="16"/>
        <v>66183000</v>
      </c>
      <c r="T66" s="18">
        <f t="shared" si="17"/>
        <v>0.26250074367873077</v>
      </c>
    </row>
    <row r="67" spans="3:20">
      <c r="C67" s="11" t="s">
        <v>39</v>
      </c>
      <c r="D67" s="12"/>
      <c r="E67" s="48">
        <f>S67</f>
        <v>252125000</v>
      </c>
      <c r="F67" s="41">
        <f t="shared" si="13"/>
        <v>0.83511369470528807</v>
      </c>
      <c r="G67" s="32">
        <f>G58+G61+G65</f>
        <v>6158159024</v>
      </c>
      <c r="H67" s="41">
        <f t="shared" si="14"/>
        <v>1</v>
      </c>
      <c r="I67" s="91">
        <f t="shared" si="15"/>
        <v>4.094161891847891E-2</v>
      </c>
      <c r="L67" s="66" t="s">
        <v>39</v>
      </c>
      <c r="M67" s="67"/>
      <c r="N67" s="68">
        <f>N58+N61+N65</f>
        <v>44573000</v>
      </c>
      <c r="O67" s="68">
        <f>O58+O61+O65</f>
        <v>48070000</v>
      </c>
      <c r="P67" s="68">
        <f>P58+P61+P65</f>
        <v>52788000</v>
      </c>
      <c r="Q67" s="68">
        <f>Q58+Q61+Q65</f>
        <v>52795000</v>
      </c>
      <c r="R67" s="68">
        <f>R58+R61+R65</f>
        <v>53899000</v>
      </c>
      <c r="S67" s="68">
        <f t="shared" si="16"/>
        <v>252125000</v>
      </c>
      <c r="T67" s="69">
        <f>IFERROR(S67/$S$26,"")</f>
        <v>0.83511369470528807</v>
      </c>
    </row>
    <row r="68" spans="3:20">
      <c r="C68" s="80"/>
      <c r="D68" s="81" t="s">
        <v>37</v>
      </c>
      <c r="E68" s="82">
        <f>S24</f>
        <v>34803000</v>
      </c>
      <c r="F68" s="83">
        <f t="shared" si="13"/>
        <v>0.11527798479654196</v>
      </c>
      <c r="G68" s="84">
        <v>0</v>
      </c>
      <c r="H68" s="85"/>
      <c r="I68" s="88" t="str">
        <f t="shared" si="15"/>
        <v/>
      </c>
      <c r="L68" s="62" t="s">
        <v>21</v>
      </c>
      <c r="M68" s="63"/>
      <c r="N68" s="64">
        <f t="shared" ref="N68:S68" si="19">N70+N69</f>
        <v>12681000</v>
      </c>
      <c r="O68" s="64">
        <f t="shared" si="19"/>
        <v>7979000</v>
      </c>
      <c r="P68" s="64">
        <f t="shared" si="19"/>
        <v>8637000</v>
      </c>
      <c r="Q68" s="64">
        <f t="shared" si="19"/>
        <v>9669000</v>
      </c>
      <c r="R68" s="64">
        <f t="shared" si="19"/>
        <v>10814000</v>
      </c>
      <c r="S68" s="64">
        <f t="shared" si="19"/>
        <v>49780000</v>
      </c>
      <c r="T68" s="65">
        <f>IFERROR(S68/$S$26,"")</f>
        <v>0.1648863052947119</v>
      </c>
    </row>
    <row r="69" spans="3:20">
      <c r="C69" s="15"/>
      <c r="D69" s="16" t="s">
        <v>38</v>
      </c>
      <c r="E69" s="49">
        <f>S25</f>
        <v>14977000</v>
      </c>
      <c r="F69" s="43">
        <f t="shared" si="13"/>
        <v>4.9608320498169954E-2</v>
      </c>
      <c r="G69" s="17">
        <v>0</v>
      </c>
      <c r="H69" s="43"/>
      <c r="I69" s="92" t="str">
        <f t="shared" si="15"/>
        <v/>
      </c>
      <c r="L69" s="15" t="str">
        <f>L66</f>
        <v>Low Income Total</v>
      </c>
      <c r="M69" s="16" t="s">
        <v>37</v>
      </c>
      <c r="N69" s="94">
        <f>N24</f>
        <v>11735000</v>
      </c>
      <c r="O69" s="94">
        <f t="shared" ref="O69:R69" si="20">O24</f>
        <v>6142000</v>
      </c>
      <c r="P69" s="94">
        <f t="shared" si="20"/>
        <v>5642000</v>
      </c>
      <c r="Q69" s="94">
        <f t="shared" si="20"/>
        <v>5642000</v>
      </c>
      <c r="R69" s="94">
        <f t="shared" si="20"/>
        <v>5642000</v>
      </c>
      <c r="S69" s="17">
        <f>SUM(N69:R69)</f>
        <v>34803000</v>
      </c>
      <c r="T69" s="18">
        <f>IFERROR(S69/$S$26,"")</f>
        <v>0.11527798479654196</v>
      </c>
    </row>
    <row r="70" spans="3:20">
      <c r="C70" s="74" t="s">
        <v>17</v>
      </c>
      <c r="D70" s="75"/>
      <c r="E70" s="76">
        <f>SUM(E67,E68,E69)</f>
        <v>301905000</v>
      </c>
      <c r="F70" s="77">
        <f t="shared" si="13"/>
        <v>1</v>
      </c>
      <c r="G70" s="78">
        <f>G67</f>
        <v>6158159024</v>
      </c>
      <c r="H70" s="79">
        <f>G70/G$70</f>
        <v>1</v>
      </c>
      <c r="I70" s="87">
        <f t="shared" si="15"/>
        <v>4.9025203607668315E-2</v>
      </c>
      <c r="L70" s="15" t="str">
        <f>L68</f>
        <v>All Programs &amp; Sectors</v>
      </c>
      <c r="M70" s="16" t="s">
        <v>38</v>
      </c>
      <c r="N70" s="94">
        <f>N25</f>
        <v>946000</v>
      </c>
      <c r="O70" s="94">
        <f t="shared" ref="O70:R70" si="21">O25</f>
        <v>1837000</v>
      </c>
      <c r="P70" s="94">
        <f t="shared" si="21"/>
        <v>2995000</v>
      </c>
      <c r="Q70" s="94">
        <f t="shared" si="21"/>
        <v>4027000</v>
      </c>
      <c r="R70" s="94">
        <f t="shared" si="21"/>
        <v>5172000</v>
      </c>
      <c r="S70" s="17">
        <f>SUM(N70:R70)</f>
        <v>14977000</v>
      </c>
      <c r="T70" s="18">
        <f>IFERROR(S70/$S$26,"")</f>
        <v>4.9608320498169954E-2</v>
      </c>
    </row>
    <row r="71" spans="3:20">
      <c r="L71" s="70" t="s">
        <v>17</v>
      </c>
      <c r="M71" s="71"/>
      <c r="N71" s="72">
        <f t="shared" ref="N71:S71" si="22">N67+N68</f>
        <v>57254000</v>
      </c>
      <c r="O71" s="72">
        <f t="shared" si="22"/>
        <v>56049000</v>
      </c>
      <c r="P71" s="72">
        <f t="shared" si="22"/>
        <v>61425000</v>
      </c>
      <c r="Q71" s="72">
        <f t="shared" si="22"/>
        <v>62464000</v>
      </c>
      <c r="R71" s="72">
        <f t="shared" si="22"/>
        <v>64713000</v>
      </c>
      <c r="S71" s="72">
        <f t="shared" si="22"/>
        <v>301905000</v>
      </c>
      <c r="T71" s="73">
        <f>IFERROR(S71/$S$26,"")</f>
        <v>1</v>
      </c>
    </row>
    <row r="72" spans="3:20">
      <c r="N72" s="44"/>
      <c r="O72" s="44"/>
      <c r="P72" s="44"/>
      <c r="Q72" s="44"/>
      <c r="R72" s="44"/>
      <c r="S72" s="44"/>
    </row>
    <row r="73" spans="3:20" ht="15.75">
      <c r="L73" s="167" t="str">
        <f>A1&amp;" LIFETIME SAVINGS (M3)"</f>
        <v>UNION LIFETIME SAVINGS (M3)</v>
      </c>
      <c r="M73" s="168"/>
      <c r="N73" s="168"/>
      <c r="O73" s="168"/>
      <c r="P73" s="168"/>
      <c r="Q73" s="168"/>
      <c r="R73" s="168"/>
      <c r="S73" s="168"/>
      <c r="T73" s="169"/>
    </row>
    <row r="74" spans="3:20">
      <c r="L74" s="165" t="s">
        <v>24</v>
      </c>
      <c r="M74" s="166"/>
      <c r="N74" s="9">
        <v>2016</v>
      </c>
      <c r="O74" s="9">
        <v>2017</v>
      </c>
      <c r="P74" s="9">
        <v>2018</v>
      </c>
      <c r="Q74" s="9">
        <v>2019</v>
      </c>
      <c r="R74" s="9">
        <v>2020</v>
      </c>
      <c r="S74" s="9" t="s">
        <v>19</v>
      </c>
      <c r="T74" s="10" t="s">
        <v>20</v>
      </c>
    </row>
    <row r="75" spans="3:20">
      <c r="L75" s="11" t="s">
        <v>3</v>
      </c>
      <c r="M75" s="12"/>
      <c r="N75" s="13">
        <f>SUM(N76:N77)</f>
        <v>89941084</v>
      </c>
      <c r="O75" s="13">
        <f>SUM(O76:O77)</f>
        <v>120074931</v>
      </c>
      <c r="P75" s="13">
        <f>SUM(P76:P77)</f>
        <v>147587176</v>
      </c>
      <c r="Q75" s="13">
        <f>SUM(Q76:Q77)</f>
        <v>147840364</v>
      </c>
      <c r="R75" s="13">
        <f>SUM(R76:R77)</f>
        <v>147840364</v>
      </c>
      <c r="S75" s="13">
        <f>SUM(N75:R75)</f>
        <v>653283919</v>
      </c>
      <c r="T75" s="14">
        <f t="shared" ref="T75:T84" si="23">IFERROR(S75/$S$84,"")</f>
        <v>0.10608428857617627</v>
      </c>
    </row>
    <row r="76" spans="3:20">
      <c r="L76" s="15" t="str">
        <f>L75</f>
        <v>Residential</v>
      </c>
      <c r="M76" s="16" t="s">
        <v>1</v>
      </c>
      <c r="N76" s="17">
        <f>N32</f>
        <v>89941084</v>
      </c>
      <c r="O76" s="17">
        <f>O32</f>
        <v>120074931</v>
      </c>
      <c r="P76" s="17">
        <f>P32</f>
        <v>147587176</v>
      </c>
      <c r="Q76" s="17">
        <f>Q32</f>
        <v>147840364</v>
      </c>
      <c r="R76" s="17">
        <f>R32</f>
        <v>147840364</v>
      </c>
      <c r="S76" s="17">
        <f>SUM(N76:R76)</f>
        <v>653283919</v>
      </c>
      <c r="T76" s="18">
        <f t="shared" si="23"/>
        <v>0.10608428857617627</v>
      </c>
    </row>
    <row r="77" spans="3:20">
      <c r="L77" s="15" t="str">
        <f>L76</f>
        <v>Residential</v>
      </c>
      <c r="M77" s="16" t="s">
        <v>11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f>SUM(N77:R77)</f>
        <v>0</v>
      </c>
      <c r="T77" s="18">
        <f t="shared" si="23"/>
        <v>0</v>
      </c>
    </row>
    <row r="78" spans="3:20">
      <c r="L78" s="11" t="s">
        <v>22</v>
      </c>
      <c r="M78" s="12"/>
      <c r="N78" s="13">
        <f>SUM(N79:N81)</f>
        <v>1019690572</v>
      </c>
      <c r="O78" s="13">
        <f>SUM(O79:O81)</f>
        <v>1029694169</v>
      </c>
      <c r="P78" s="13">
        <f>SUM(P79:P81)</f>
        <v>1045955623</v>
      </c>
      <c r="Q78" s="13">
        <f>SUM(Q79:Q81)</f>
        <v>1056455623</v>
      </c>
      <c r="R78" s="13">
        <f>SUM(R79:R81)</f>
        <v>1070955623</v>
      </c>
      <c r="S78" s="13">
        <f>SUM(N78:R78)</f>
        <v>5222751610</v>
      </c>
      <c r="T78" s="14">
        <f t="shared" si="23"/>
        <v>0.84810275110557132</v>
      </c>
    </row>
    <row r="79" spans="3:20">
      <c r="L79" s="15" t="str">
        <f>L78</f>
        <v>Commercial &amp; Industrial</v>
      </c>
      <c r="M79" s="16" t="s">
        <v>1</v>
      </c>
      <c r="N79" s="17">
        <f t="shared" ref="N79:S79" si="24">N33</f>
        <v>1019690572</v>
      </c>
      <c r="O79" s="17">
        <f t="shared" si="24"/>
        <v>1028444169</v>
      </c>
      <c r="P79" s="17">
        <f t="shared" si="24"/>
        <v>1038205623</v>
      </c>
      <c r="Q79" s="17">
        <f t="shared" si="24"/>
        <v>1038205623</v>
      </c>
      <c r="R79" s="17">
        <f t="shared" si="24"/>
        <v>1038205623</v>
      </c>
      <c r="S79" s="17">
        <f t="shared" si="24"/>
        <v>5162751610</v>
      </c>
      <c r="T79" s="18">
        <f t="shared" si="23"/>
        <v>0.83835957952358331</v>
      </c>
    </row>
    <row r="80" spans="3:20">
      <c r="L80" s="15"/>
      <c r="M80" s="16" t="s">
        <v>9</v>
      </c>
      <c r="N80" s="17">
        <f>N37</f>
        <v>0</v>
      </c>
      <c r="O80" s="17">
        <f>O37</f>
        <v>1250000</v>
      </c>
      <c r="P80" s="17">
        <f>P37</f>
        <v>7750000</v>
      </c>
      <c r="Q80" s="17">
        <f>Q37</f>
        <v>18250000</v>
      </c>
      <c r="R80" s="17">
        <f>R37</f>
        <v>32750000</v>
      </c>
      <c r="S80" s="17">
        <f>SUM(N80:R80)</f>
        <v>60000000</v>
      </c>
      <c r="T80" s="18">
        <f t="shared" si="23"/>
        <v>9.7431715819880395E-3</v>
      </c>
    </row>
    <row r="81" spans="12:20">
      <c r="L81" s="15"/>
      <c r="M81" s="16" t="s">
        <v>10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f>SUM(N81:R81)</f>
        <v>0</v>
      </c>
      <c r="T81" s="18">
        <f t="shared" si="23"/>
        <v>0</v>
      </c>
    </row>
    <row r="82" spans="12:20">
      <c r="L82" s="11" t="s">
        <v>13</v>
      </c>
      <c r="M82" s="12"/>
      <c r="N82" s="13">
        <f>N83</f>
        <v>51492897</v>
      </c>
      <c r="O82" s="13">
        <f>O83</f>
        <v>53397574</v>
      </c>
      <c r="P82" s="13">
        <f>P83</f>
        <v>55907554</v>
      </c>
      <c r="Q82" s="13">
        <f>Q83</f>
        <v>60062460</v>
      </c>
      <c r="R82" s="13">
        <f>R83</f>
        <v>61263010</v>
      </c>
      <c r="S82" s="13">
        <f>SUM(N82:R82)</f>
        <v>282123495</v>
      </c>
      <c r="T82" s="14">
        <f t="shared" si="23"/>
        <v>4.581296031825241E-2</v>
      </c>
    </row>
    <row r="83" spans="12:20">
      <c r="L83" s="15" t="str">
        <f>L82</f>
        <v>Low Income Total</v>
      </c>
      <c r="M83" s="16" t="s">
        <v>2</v>
      </c>
      <c r="N83" s="17">
        <f>N35</f>
        <v>51492897</v>
      </c>
      <c r="O83" s="17">
        <f>O35</f>
        <v>53397574</v>
      </c>
      <c r="P83" s="17">
        <f>P35</f>
        <v>55907554</v>
      </c>
      <c r="Q83" s="17">
        <f>Q35</f>
        <v>60062460</v>
      </c>
      <c r="R83" s="17">
        <f>R35</f>
        <v>61263010</v>
      </c>
      <c r="S83" s="17">
        <f>SUM(N83:R83)</f>
        <v>282123495</v>
      </c>
      <c r="T83" s="18">
        <f t="shared" si="23"/>
        <v>4.581296031825241E-2</v>
      </c>
    </row>
    <row r="84" spans="12:20">
      <c r="L84" s="19" t="s">
        <v>17</v>
      </c>
      <c r="M84" s="20"/>
      <c r="N84" s="21">
        <f>SUM(N82,N78,N75)</f>
        <v>1161124553</v>
      </c>
      <c r="O84" s="21">
        <f>SUM(O82,O78,O75)</f>
        <v>1203166674</v>
      </c>
      <c r="P84" s="21">
        <f>SUM(P82,P78,P75)</f>
        <v>1249450353</v>
      </c>
      <c r="Q84" s="21">
        <f>SUM(Q82,Q78,Q75)</f>
        <v>1264358447</v>
      </c>
      <c r="R84" s="21">
        <f>SUM(R82,R78,R75)</f>
        <v>1280058997</v>
      </c>
      <c r="S84" s="21">
        <f>SUM(N84:R84)</f>
        <v>6158159024</v>
      </c>
      <c r="T84" s="22">
        <f t="shared" si="23"/>
        <v>1</v>
      </c>
    </row>
    <row r="86" spans="12:20" ht="15.75">
      <c r="L86" s="167" t="str">
        <f>A1&amp;" COST OF SAVED ENERGY ($/M3)"</f>
        <v>UNION COST OF SAVED ENERGY ($/M3)</v>
      </c>
      <c r="M86" s="168"/>
      <c r="N86" s="168"/>
      <c r="O86" s="168"/>
      <c r="P86" s="168"/>
      <c r="Q86" s="168"/>
      <c r="R86" s="168"/>
      <c r="S86" s="169"/>
    </row>
    <row r="87" spans="12:20">
      <c r="L87" s="165" t="s">
        <v>24</v>
      </c>
      <c r="M87" s="166"/>
      <c r="N87" s="9">
        <v>2016</v>
      </c>
      <c r="O87" s="9">
        <v>2017</v>
      </c>
      <c r="P87" s="9">
        <v>2018</v>
      </c>
      <c r="Q87" s="9">
        <v>2019</v>
      </c>
      <c r="R87" s="9">
        <v>2020</v>
      </c>
      <c r="S87" s="28" t="s">
        <v>19</v>
      </c>
    </row>
    <row r="88" spans="12:20">
      <c r="L88" s="11" t="s">
        <v>3</v>
      </c>
      <c r="M88" s="12"/>
      <c r="N88" s="33">
        <f t="shared" ref="N88:S97" si="25">IFERROR(N58/N75,"")</f>
        <v>0.14661820175527349</v>
      </c>
      <c r="O88" s="33">
        <f t="shared" si="25"/>
        <v>0.12782851401347048</v>
      </c>
      <c r="P88" s="33">
        <f t="shared" si="25"/>
        <v>0.12091158922913466</v>
      </c>
      <c r="Q88" s="33">
        <f t="shared" si="25"/>
        <v>0.12070451882815982</v>
      </c>
      <c r="R88" s="33">
        <f t="shared" si="25"/>
        <v>0.12070451882815982</v>
      </c>
      <c r="S88" s="52">
        <f t="shared" si="25"/>
        <v>0.12562837935093885</v>
      </c>
    </row>
    <row r="89" spans="12:20">
      <c r="L89" s="15" t="str">
        <f>L88</f>
        <v>Residential</v>
      </c>
      <c r="M89" s="16" t="s">
        <v>1</v>
      </c>
      <c r="N89" s="50">
        <f t="shared" si="25"/>
        <v>0.13503283994220039</v>
      </c>
      <c r="O89" s="50">
        <f t="shared" si="25"/>
        <v>0.12782851401347048</v>
      </c>
      <c r="P89" s="50">
        <f t="shared" si="25"/>
        <v>0.12091158922913466</v>
      </c>
      <c r="Q89" s="50">
        <f t="shared" si="25"/>
        <v>0.12070451882815982</v>
      </c>
      <c r="R89" s="50">
        <f t="shared" si="25"/>
        <v>0.12070451882815982</v>
      </c>
      <c r="S89" s="53">
        <f t="shared" si="25"/>
        <v>0.12403336075382562</v>
      </c>
    </row>
    <row r="90" spans="12:20">
      <c r="L90" s="15" t="str">
        <f>L89</f>
        <v>Residential</v>
      </c>
      <c r="M90" s="16" t="s">
        <v>11</v>
      </c>
      <c r="N90" s="50" t="str">
        <f t="shared" si="25"/>
        <v/>
      </c>
      <c r="O90" s="50" t="str">
        <f t="shared" si="25"/>
        <v/>
      </c>
      <c r="P90" s="50" t="str">
        <f t="shared" si="25"/>
        <v/>
      </c>
      <c r="Q90" s="50" t="str">
        <f t="shared" si="25"/>
        <v/>
      </c>
      <c r="R90" s="50" t="str">
        <f t="shared" si="25"/>
        <v/>
      </c>
      <c r="S90" s="53" t="str">
        <f t="shared" si="25"/>
        <v/>
      </c>
    </row>
    <row r="91" spans="12:20">
      <c r="L91" s="11" t="s">
        <v>22</v>
      </c>
      <c r="M91" s="12"/>
      <c r="N91" s="33">
        <f t="shared" si="25"/>
        <v>1.9650078710348223E-2</v>
      </c>
      <c r="O91" s="33">
        <f t="shared" si="25"/>
        <v>1.9847640799838306E-2</v>
      </c>
      <c r="P91" s="33">
        <f t="shared" si="25"/>
        <v>2.0487484869135791E-2</v>
      </c>
      <c r="Q91" s="33">
        <f t="shared" si="25"/>
        <v>1.9747161684613421E-2</v>
      </c>
      <c r="R91" s="33">
        <f t="shared" si="25"/>
        <v>1.9707632647632124E-2</v>
      </c>
      <c r="S91" s="52">
        <f t="shared" si="25"/>
        <v>1.9888175382707891E-2</v>
      </c>
    </row>
    <row r="92" spans="12:20">
      <c r="L92" s="15" t="str">
        <f>L91</f>
        <v>Commercial &amp; Industrial</v>
      </c>
      <c r="M92" s="16" t="s">
        <v>1</v>
      </c>
      <c r="N92" s="50">
        <f t="shared" si="25"/>
        <v>1.8319282842207154E-2</v>
      </c>
      <c r="O92" s="50">
        <f t="shared" si="25"/>
        <v>1.8315043798940535E-2</v>
      </c>
      <c r="P92" s="50">
        <f t="shared" si="25"/>
        <v>1.8838272078979097E-2</v>
      </c>
      <c r="Q92" s="50">
        <f t="shared" si="25"/>
        <v>1.8514636767672371E-2</v>
      </c>
      <c r="R92" s="50">
        <f t="shared" si="25"/>
        <v>1.8514636767672371E-2</v>
      </c>
      <c r="S92" s="53">
        <f t="shared" si="25"/>
        <v>1.8501374308805843E-2</v>
      </c>
    </row>
    <row r="93" spans="12:20">
      <c r="L93" s="15"/>
      <c r="M93" s="16" t="s">
        <v>9</v>
      </c>
      <c r="N93" s="50" t="str">
        <f t="shared" si="25"/>
        <v/>
      </c>
      <c r="O93" s="50">
        <f t="shared" si="25"/>
        <v>0.6744</v>
      </c>
      <c r="P93" s="50">
        <f t="shared" si="25"/>
        <v>0.14038709677419356</v>
      </c>
      <c r="Q93" s="50">
        <f t="shared" si="25"/>
        <v>4.5643835616438359E-2</v>
      </c>
      <c r="R93" s="50">
        <f t="shared" si="25"/>
        <v>3.2152671755725191E-2</v>
      </c>
      <c r="S93" s="53">
        <f t="shared" si="25"/>
        <v>7.2749999999999995E-2</v>
      </c>
    </row>
    <row r="94" spans="12:20">
      <c r="L94" s="15"/>
      <c r="M94" s="16" t="s">
        <v>10</v>
      </c>
      <c r="N94" s="50" t="str">
        <f t="shared" si="25"/>
        <v/>
      </c>
      <c r="O94" s="50" t="str">
        <f t="shared" si="25"/>
        <v/>
      </c>
      <c r="P94" s="50" t="str">
        <f t="shared" si="25"/>
        <v/>
      </c>
      <c r="Q94" s="50" t="str">
        <f t="shared" si="25"/>
        <v/>
      </c>
      <c r="R94" s="50" t="str">
        <f t="shared" si="25"/>
        <v/>
      </c>
      <c r="S94" s="53" t="str">
        <f t="shared" si="25"/>
        <v/>
      </c>
    </row>
    <row r="95" spans="12:20">
      <c r="L95" s="11" t="s">
        <v>13</v>
      </c>
      <c r="M95" s="12"/>
      <c r="N95" s="33">
        <f t="shared" si="25"/>
        <v>0.22039933002798426</v>
      </c>
      <c r="O95" s="33">
        <f t="shared" si="25"/>
        <v>0.23004790442352305</v>
      </c>
      <c r="P95" s="33">
        <f t="shared" si="25"/>
        <v>0.24172046589625437</v>
      </c>
      <c r="Q95" s="33">
        <f t="shared" si="25"/>
        <v>0.23455582738369357</v>
      </c>
      <c r="R95" s="33">
        <f t="shared" si="25"/>
        <v>0.24399715260480997</v>
      </c>
      <c r="S95" s="52">
        <f t="shared" si="25"/>
        <v>0.23458875695553114</v>
      </c>
    </row>
    <row r="96" spans="12:20">
      <c r="L96" s="15" t="str">
        <f>L95</f>
        <v>Low Income Total</v>
      </c>
      <c r="M96" s="16" t="s">
        <v>2</v>
      </c>
      <c r="N96" s="50">
        <f t="shared" si="25"/>
        <v>0.22039933002798426</v>
      </c>
      <c r="O96" s="50">
        <f t="shared" si="25"/>
        <v>0.23004790442352305</v>
      </c>
      <c r="P96" s="50">
        <f t="shared" si="25"/>
        <v>0.24172046589625437</v>
      </c>
      <c r="Q96" s="50">
        <f t="shared" si="25"/>
        <v>0.23455582738369357</v>
      </c>
      <c r="R96" s="50">
        <f t="shared" si="25"/>
        <v>0.24399715260480997</v>
      </c>
      <c r="S96" s="53">
        <f t="shared" si="25"/>
        <v>0.23458875695553114</v>
      </c>
    </row>
    <row r="97" spans="2:23">
      <c r="L97" s="19" t="s">
        <v>17</v>
      </c>
      <c r="M97" s="20"/>
      <c r="N97" s="51">
        <f t="shared" si="25"/>
        <v>3.8387785259416524E-2</v>
      </c>
      <c r="O97" s="51">
        <f t="shared" si="25"/>
        <v>3.995290182048377E-2</v>
      </c>
      <c r="P97" s="51">
        <f t="shared" si="25"/>
        <v>4.2248977619041096E-2</v>
      </c>
      <c r="Q97" s="51">
        <f t="shared" si="25"/>
        <v>4.1756354873310704E-2</v>
      </c>
      <c r="R97" s="51">
        <f t="shared" si="25"/>
        <v>4.210665299515097E-2</v>
      </c>
      <c r="S97" s="54">
        <f t="shared" si="25"/>
        <v>4.094161891847891E-2</v>
      </c>
    </row>
    <row r="99" spans="2:23">
      <c r="V99" s="96"/>
      <c r="W99" s="96"/>
    </row>
    <row r="100" spans="2:23" ht="21">
      <c r="B100" s="34" t="s">
        <v>63</v>
      </c>
    </row>
    <row r="102" spans="2:23" ht="18.75">
      <c r="C102" s="127" t="s">
        <v>64</v>
      </c>
      <c r="L102" s="127" t="s">
        <v>61</v>
      </c>
    </row>
    <row r="103" spans="2:23" ht="15.75">
      <c r="M103" s="170" t="s">
        <v>43</v>
      </c>
      <c r="N103" s="171"/>
      <c r="O103" s="171"/>
      <c r="P103" s="171"/>
      <c r="Q103" s="171"/>
      <c r="R103" s="172"/>
    </row>
    <row r="104" spans="2:23">
      <c r="M104" s="135" t="s">
        <v>0</v>
      </c>
      <c r="N104" s="133">
        <v>2016</v>
      </c>
      <c r="O104" s="133">
        <v>2017</v>
      </c>
      <c r="P104" s="133">
        <v>2018</v>
      </c>
      <c r="Q104" s="133">
        <v>2019</v>
      </c>
      <c r="R104" s="134">
        <v>2020</v>
      </c>
    </row>
    <row r="105" spans="2:23">
      <c r="M105" s="103" t="s">
        <v>3</v>
      </c>
      <c r="N105" s="128">
        <f>N58/1000000</f>
        <v>13.186999999999999</v>
      </c>
      <c r="O105" s="128">
        <f>O58/1000000</f>
        <v>15.349</v>
      </c>
      <c r="P105" s="128">
        <f>P58/1000000</f>
        <v>17.844999999999999</v>
      </c>
      <c r="Q105" s="128">
        <f>Q58/1000000</f>
        <v>17.844999999999999</v>
      </c>
      <c r="R105" s="129">
        <f>R58/1000000</f>
        <v>17.844999999999999</v>
      </c>
    </row>
    <row r="106" spans="2:23">
      <c r="M106" s="103" t="s">
        <v>2</v>
      </c>
      <c r="N106" s="128">
        <f>N65/1000000</f>
        <v>11.349</v>
      </c>
      <c r="O106" s="128">
        <f>O65/1000000</f>
        <v>12.284000000000001</v>
      </c>
      <c r="P106" s="128">
        <f>P65/1000000</f>
        <v>13.513999999999999</v>
      </c>
      <c r="Q106" s="128">
        <f>Q65/1000000</f>
        <v>14.087999999999999</v>
      </c>
      <c r="R106" s="129">
        <f>R65/1000000</f>
        <v>14.948</v>
      </c>
    </row>
    <row r="107" spans="2:23">
      <c r="M107" s="103" t="s">
        <v>37</v>
      </c>
      <c r="N107" s="128">
        <f>(N70+N69)/1000000</f>
        <v>12.680999999999999</v>
      </c>
      <c r="O107" s="128">
        <f>(O70+O69)/1000000</f>
        <v>7.9790000000000001</v>
      </c>
      <c r="P107" s="128">
        <f>(P70+P69)/1000000</f>
        <v>8.6370000000000005</v>
      </c>
      <c r="Q107" s="128">
        <f>(Q70+Q69)/1000000</f>
        <v>9.6690000000000005</v>
      </c>
      <c r="R107" s="129">
        <f>(R70+R69)/1000000</f>
        <v>10.814</v>
      </c>
    </row>
    <row r="108" spans="2:23">
      <c r="M108" s="103" t="s">
        <v>4</v>
      </c>
      <c r="N108" s="128">
        <f>N61/1000000</f>
        <v>20.036999999999999</v>
      </c>
      <c r="O108" s="128">
        <f>O61/1000000</f>
        <v>20.437000000000001</v>
      </c>
      <c r="P108" s="128">
        <f>P61/1000000</f>
        <v>21.428999999999998</v>
      </c>
      <c r="Q108" s="128">
        <f>Q61/1000000</f>
        <v>20.861999999999998</v>
      </c>
      <c r="R108" s="129">
        <f>R61/1000000</f>
        <v>21.106000000000002</v>
      </c>
    </row>
    <row r="109" spans="2:23">
      <c r="M109" s="106" t="s">
        <v>16</v>
      </c>
      <c r="N109" s="130">
        <f>SUM(N105:N108)</f>
        <v>57.253999999999998</v>
      </c>
      <c r="O109" s="130">
        <f>SUM(O105:O108)</f>
        <v>56.049000000000007</v>
      </c>
      <c r="P109" s="130">
        <f>SUM(P105:P108)</f>
        <v>61.424999999999997</v>
      </c>
      <c r="Q109" s="130">
        <f>SUM(Q105:Q108)</f>
        <v>62.463999999999999</v>
      </c>
      <c r="R109" s="131">
        <f>SUM(R105:R108)</f>
        <v>64.712999999999994</v>
      </c>
    </row>
    <row r="110" spans="2:23">
      <c r="N110" s="96"/>
      <c r="O110" s="96"/>
      <c r="P110" s="96"/>
      <c r="Q110" s="96"/>
      <c r="R110" s="96"/>
    </row>
    <row r="111" spans="2:23" ht="15.75">
      <c r="M111" s="170" t="s">
        <v>45</v>
      </c>
      <c r="N111" s="171"/>
      <c r="O111" s="171"/>
      <c r="P111" s="171"/>
      <c r="Q111" s="171"/>
      <c r="R111" s="172"/>
    </row>
    <row r="112" spans="2:23">
      <c r="M112" s="135" t="s">
        <v>0</v>
      </c>
      <c r="N112" s="133">
        <v>2016</v>
      </c>
      <c r="O112" s="133">
        <v>2017</v>
      </c>
      <c r="P112" s="133">
        <v>2018</v>
      </c>
      <c r="Q112" s="133">
        <v>2019</v>
      </c>
      <c r="R112" s="134">
        <v>2020</v>
      </c>
    </row>
    <row r="113" spans="2:18">
      <c r="M113" s="103" t="str">
        <f>M105</f>
        <v>Residential</v>
      </c>
      <c r="N113" s="128">
        <f>N75/1000000</f>
        <v>89.941084000000004</v>
      </c>
      <c r="O113" s="128">
        <f>O75/1000000</f>
        <v>120.07493100000001</v>
      </c>
      <c r="P113" s="128">
        <f>P75/1000000</f>
        <v>147.587176</v>
      </c>
      <c r="Q113" s="128">
        <f>Q75/1000000</f>
        <v>147.84036399999999</v>
      </c>
      <c r="R113" s="129">
        <f>R75/1000000</f>
        <v>147.84036399999999</v>
      </c>
    </row>
    <row r="114" spans="2:18">
      <c r="M114" s="103" t="str">
        <f>M106</f>
        <v>Low Income</v>
      </c>
      <c r="N114" s="128">
        <f>N82/1000000</f>
        <v>51.492896999999999</v>
      </c>
      <c r="O114" s="128">
        <f>O82/1000000</f>
        <v>53.397573999999999</v>
      </c>
      <c r="P114" s="128">
        <f>P82/1000000</f>
        <v>55.907553999999998</v>
      </c>
      <c r="Q114" s="128">
        <f>Q82/1000000</f>
        <v>60.062460000000002</v>
      </c>
      <c r="R114" s="129">
        <f>R82/1000000</f>
        <v>61.263010000000001</v>
      </c>
    </row>
    <row r="115" spans="2:18">
      <c r="M115" s="106" t="str">
        <f>M108</f>
        <v>C&amp;I</v>
      </c>
      <c r="N115" s="130">
        <f>N78/1000000</f>
        <v>1019.690572</v>
      </c>
      <c r="O115" s="130">
        <f>O78/1000000</f>
        <v>1029.6941690000001</v>
      </c>
      <c r="P115" s="130">
        <f>P78/1000000</f>
        <v>1045.9556230000001</v>
      </c>
      <c r="Q115" s="130">
        <f>Q78/1000000</f>
        <v>1056.4556230000001</v>
      </c>
      <c r="R115" s="131">
        <f>R78/1000000</f>
        <v>1070.9556230000001</v>
      </c>
    </row>
    <row r="116" spans="2:18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</row>
    <row r="117" spans="2:18" ht="15.75">
      <c r="M117" s="170" t="s">
        <v>65</v>
      </c>
      <c r="N117" s="171"/>
      <c r="O117" s="171"/>
      <c r="P117" s="171"/>
      <c r="Q117" s="172"/>
      <c r="R117" s="36"/>
    </row>
    <row r="118" spans="2:18">
      <c r="M118" s="132" t="s">
        <v>0</v>
      </c>
      <c r="N118" s="175" t="s">
        <v>44</v>
      </c>
      <c r="O118" s="176"/>
      <c r="P118" s="177" t="s">
        <v>66</v>
      </c>
      <c r="Q118" s="178"/>
    </row>
    <row r="119" spans="2:18">
      <c r="M119" s="136" t="s">
        <v>3</v>
      </c>
      <c r="N119" s="16">
        <v>7</v>
      </c>
      <c r="O119" s="98">
        <f>N119/$N$121</f>
        <v>0.22580645161290322</v>
      </c>
      <c r="P119" s="97">
        <v>6</v>
      </c>
      <c r="Q119" s="18">
        <f>P119/$P$121</f>
        <v>4.2857142857142858E-2</v>
      </c>
    </row>
    <row r="120" spans="2:18">
      <c r="M120" s="103" t="s">
        <v>4</v>
      </c>
      <c r="N120" s="16">
        <f>N121-N119</f>
        <v>24</v>
      </c>
      <c r="O120" s="98">
        <f>N120/$N$121</f>
        <v>0.77419354838709675</v>
      </c>
      <c r="P120" s="97">
        <f>P121-P119</f>
        <v>134</v>
      </c>
      <c r="Q120" s="18">
        <f>P120/$P$121</f>
        <v>0.95714285714285718</v>
      </c>
    </row>
    <row r="121" spans="2:18">
      <c r="M121" s="106" t="s">
        <v>16</v>
      </c>
      <c r="N121" s="121">
        <v>31</v>
      </c>
      <c r="O121" s="102">
        <f>N121/$N$121</f>
        <v>1</v>
      </c>
      <c r="P121" s="99">
        <v>140</v>
      </c>
      <c r="Q121" s="101">
        <f>P121/$P$121</f>
        <v>1</v>
      </c>
    </row>
    <row r="122" spans="2:18">
      <c r="M122" s="4" t="s">
        <v>67</v>
      </c>
    </row>
  </sheetData>
  <mergeCells count="21">
    <mergeCell ref="N118:O118"/>
    <mergeCell ref="P118:Q118"/>
    <mergeCell ref="M103:R103"/>
    <mergeCell ref="M111:R111"/>
    <mergeCell ref="M117:Q117"/>
    <mergeCell ref="C9:I9"/>
    <mergeCell ref="C10:D10"/>
    <mergeCell ref="C56:I56"/>
    <mergeCell ref="C57:D57"/>
    <mergeCell ref="L29:T29"/>
    <mergeCell ref="L30:M30"/>
    <mergeCell ref="L42:M42"/>
    <mergeCell ref="L41:S41"/>
    <mergeCell ref="L56:T56"/>
    <mergeCell ref="L9:T9"/>
    <mergeCell ref="L10:M10"/>
    <mergeCell ref="L74:M74"/>
    <mergeCell ref="L87:M87"/>
    <mergeCell ref="L86:S86"/>
    <mergeCell ref="L73:T73"/>
    <mergeCell ref="L57:M57"/>
  </mergeCells>
  <pageMargins left="0.7" right="0.7" top="0.75" bottom="0.75" header="0.3" footer="0.3"/>
  <pageSetup scale="51" fitToHeight="3" orientation="landscape" r:id="rId1"/>
  <rowBreaks count="2" manualBreakCount="2">
    <brk id="52" min="1" max="20" man="1"/>
    <brk id="99" min="1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0"/>
  <sheetViews>
    <sheetView showGridLines="0" zoomScale="85" zoomScaleNormal="85" workbookViewId="0">
      <selection activeCell="H41" sqref="H41"/>
    </sheetView>
  </sheetViews>
  <sheetFormatPr defaultRowHeight="14.25"/>
  <cols>
    <col min="1" max="2" width="2.625" customWidth="1"/>
    <col min="3" max="3" width="18.875" customWidth="1"/>
    <col min="4" max="4" width="13.25" customWidth="1"/>
    <col min="5" max="8" width="13.25" style="2" customWidth="1"/>
    <col min="9" max="9" width="2.625" style="163" customWidth="1"/>
    <col min="10" max="10" width="2.625" style="2" customWidth="1"/>
    <col min="11" max="11" width="28.5" style="2" bestFit="1" customWidth="1"/>
    <col min="12" max="12" width="12.875" style="2" customWidth="1"/>
    <col min="13" max="13" width="13.75" style="2" bestFit="1" customWidth="1"/>
    <col min="14" max="15" width="12.875" style="2" customWidth="1"/>
    <col min="16" max="16" width="6.375" style="2" customWidth="1"/>
    <col min="17" max="17" width="38.375" bestFit="1" customWidth="1"/>
  </cols>
  <sheetData>
    <row r="1" spans="1:18" s="4" customFormat="1" ht="15">
      <c r="A1" s="3" t="s">
        <v>27</v>
      </c>
      <c r="E1" s="36"/>
      <c r="F1" s="36"/>
      <c r="G1" s="36"/>
      <c r="H1" s="36"/>
      <c r="I1" s="143"/>
      <c r="J1" s="36"/>
      <c r="K1" s="36"/>
      <c r="L1" s="36"/>
      <c r="M1" s="36"/>
      <c r="N1" s="36"/>
      <c r="O1" s="36"/>
      <c r="P1" s="36"/>
    </row>
    <row r="2" spans="1:18" s="4" customFormat="1" ht="21.75">
      <c r="A2" s="3"/>
      <c r="B2" s="1" t="s">
        <v>55</v>
      </c>
      <c r="C2" s="5"/>
      <c r="E2" s="148"/>
      <c r="F2" s="36"/>
      <c r="G2" s="148"/>
      <c r="H2" s="36"/>
      <c r="I2" s="143"/>
      <c r="J2" s="36"/>
      <c r="K2" s="36"/>
      <c r="L2" s="36"/>
      <c r="M2" s="36"/>
      <c r="N2" s="36"/>
      <c r="O2" s="36"/>
      <c r="P2" s="36"/>
    </row>
    <row r="3" spans="1:18" s="4" customFormat="1" ht="15.75">
      <c r="A3" s="3"/>
      <c r="B3" s="6" t="str">
        <f>$A$1&amp;" Cost-Effectiveness Analysis"</f>
        <v>UNION Cost-Effectiveness Analysis</v>
      </c>
      <c r="C3" s="6"/>
      <c r="E3" s="36"/>
      <c r="F3" s="36"/>
      <c r="G3" s="148"/>
      <c r="H3" s="36"/>
      <c r="I3" s="143"/>
      <c r="J3" s="36"/>
      <c r="K3" s="36"/>
      <c r="L3" s="36"/>
      <c r="M3" s="36"/>
      <c r="N3" s="36"/>
      <c r="O3" s="36"/>
      <c r="P3" s="36"/>
    </row>
    <row r="4" spans="1:18" s="4" customFormat="1" ht="15.75">
      <c r="A4" s="3"/>
      <c r="B4" s="7" t="s">
        <v>94</v>
      </c>
      <c r="C4" s="6"/>
      <c r="E4" s="36"/>
      <c r="F4" s="36"/>
      <c r="G4" s="36"/>
      <c r="H4" s="36"/>
      <c r="I4" s="143"/>
      <c r="J4" s="36"/>
      <c r="K4" s="36"/>
      <c r="L4" s="36"/>
      <c r="M4" s="36"/>
      <c r="N4" s="36"/>
      <c r="O4" s="36"/>
      <c r="P4" s="36"/>
    </row>
    <row r="5" spans="1:18" s="4" customFormat="1" ht="15">
      <c r="A5" s="3"/>
      <c r="C5" s="7"/>
      <c r="E5" s="36"/>
      <c r="F5" s="36"/>
      <c r="G5" s="36"/>
      <c r="H5" s="36"/>
      <c r="I5" s="143"/>
      <c r="J5" s="36"/>
      <c r="K5" s="36"/>
      <c r="L5" s="36"/>
      <c r="M5" s="36"/>
      <c r="N5" s="36"/>
      <c r="O5" s="36"/>
      <c r="P5" s="36"/>
    </row>
    <row r="6" spans="1:18" s="4" customFormat="1" ht="21">
      <c r="A6" s="3"/>
      <c r="B6" s="34" t="s">
        <v>58</v>
      </c>
      <c r="E6" s="36"/>
      <c r="F6" s="36"/>
      <c r="G6" s="36"/>
      <c r="H6" s="36"/>
      <c r="I6" s="143"/>
      <c r="J6" s="36"/>
      <c r="K6" s="36"/>
      <c r="L6" s="36"/>
      <c r="M6" s="36"/>
      <c r="N6" s="36"/>
      <c r="O6" s="36"/>
      <c r="P6" s="36"/>
    </row>
    <row r="7" spans="1:18" s="4" customFormat="1" ht="21">
      <c r="A7" s="3"/>
      <c r="B7" s="34"/>
      <c r="E7" s="36"/>
      <c r="F7" s="36"/>
      <c r="G7" s="36"/>
      <c r="H7" s="36"/>
      <c r="I7" s="143"/>
      <c r="J7" s="36"/>
      <c r="K7" s="36"/>
      <c r="L7" s="36"/>
      <c r="M7" s="36"/>
      <c r="N7" s="36"/>
      <c r="O7" s="36"/>
      <c r="P7" s="36"/>
    </row>
    <row r="8" spans="1:18" s="36" customFormat="1" ht="18.75">
      <c r="A8" s="35"/>
      <c r="C8" s="127" t="s">
        <v>60</v>
      </c>
      <c r="I8" s="143"/>
      <c r="K8" s="127" t="s">
        <v>61</v>
      </c>
    </row>
    <row r="9" spans="1:18" s="4" customFormat="1" ht="15.75" customHeight="1">
      <c r="A9" s="3"/>
      <c r="C9" s="179" t="s">
        <v>53</v>
      </c>
      <c r="D9" s="179"/>
      <c r="E9" s="179"/>
      <c r="F9" s="179"/>
      <c r="G9" s="179"/>
      <c r="H9" s="179"/>
      <c r="I9" s="143"/>
      <c r="J9" s="36"/>
      <c r="K9" s="181" t="s">
        <v>53</v>
      </c>
      <c r="L9" s="181"/>
      <c r="M9" s="181"/>
      <c r="N9" s="181"/>
      <c r="O9" s="181"/>
      <c r="P9" s="181"/>
    </row>
    <row r="10" spans="1:18" s="4" customFormat="1" ht="30">
      <c r="A10" s="3"/>
      <c r="C10" s="120" t="s">
        <v>18</v>
      </c>
      <c r="D10" s="93" t="s">
        <v>51</v>
      </c>
      <c r="E10" s="152" t="s">
        <v>42</v>
      </c>
      <c r="F10" s="138" t="s">
        <v>52</v>
      </c>
      <c r="G10" s="152" t="s">
        <v>35</v>
      </c>
      <c r="H10" s="153" t="s">
        <v>36</v>
      </c>
      <c r="I10" s="36"/>
      <c r="J10" s="36"/>
      <c r="K10" s="137" t="s">
        <v>18</v>
      </c>
      <c r="L10" s="138" t="s">
        <v>51</v>
      </c>
      <c r="M10" s="152" t="s">
        <v>42</v>
      </c>
      <c r="N10" s="138" t="s">
        <v>52</v>
      </c>
      <c r="O10" s="152" t="s">
        <v>35</v>
      </c>
      <c r="P10" s="153" t="s">
        <v>36</v>
      </c>
      <c r="Q10" s="142" t="s">
        <v>8</v>
      </c>
      <c r="R10" s="36"/>
    </row>
    <row r="11" spans="1:18" s="4" customFormat="1" ht="15">
      <c r="A11" s="3"/>
      <c r="C11" s="113" t="s">
        <v>1</v>
      </c>
      <c r="D11" s="114">
        <f>L13</f>
        <v>117426427</v>
      </c>
      <c r="E11" s="114">
        <f>M13</f>
        <v>12714231</v>
      </c>
      <c r="F11" s="114">
        <f t="shared" ref="F11:H11" si="0">N13</f>
        <v>270415793</v>
      </c>
      <c r="G11" s="114">
        <f t="shared" si="0"/>
        <v>140275134</v>
      </c>
      <c r="H11" s="115">
        <f t="shared" si="0"/>
        <v>2.0778732577178149</v>
      </c>
      <c r="I11" s="36"/>
      <c r="J11" s="36"/>
      <c r="K11" s="117" t="s">
        <v>68</v>
      </c>
      <c r="L11" s="23">
        <v>12407946</v>
      </c>
      <c r="M11" s="23">
        <f>1850000+2765715+990978+558618</f>
        <v>6165311</v>
      </c>
      <c r="N11" s="23">
        <v>25952169</v>
      </c>
      <c r="O11" s="23">
        <v>7378912</v>
      </c>
      <c r="P11" s="154">
        <v>1.4</v>
      </c>
      <c r="Q11" s="142" t="s">
        <v>71</v>
      </c>
    </row>
    <row r="12" spans="1:18" s="4" customFormat="1" ht="15">
      <c r="A12" s="3"/>
      <c r="C12" s="113" t="s">
        <v>13</v>
      </c>
      <c r="D12" s="114">
        <f>L14</f>
        <v>7981140</v>
      </c>
      <c r="E12" s="114">
        <f t="shared" ref="E12:H12" si="1">M14</f>
        <v>4106838</v>
      </c>
      <c r="F12" s="114">
        <f t="shared" si="1"/>
        <v>12227629</v>
      </c>
      <c r="G12" s="114">
        <f t="shared" si="1"/>
        <v>139651</v>
      </c>
      <c r="H12" s="115">
        <f t="shared" si="1"/>
        <v>1.0115528833689142</v>
      </c>
      <c r="I12" s="36"/>
      <c r="J12" s="36"/>
      <c r="K12" s="117" t="s">
        <v>69</v>
      </c>
      <c r="L12" s="23">
        <v>105018481</v>
      </c>
      <c r="M12" s="23">
        <f>2431085+3928876+188959</f>
        <v>6548920</v>
      </c>
      <c r="N12" s="23">
        <v>244463624</v>
      </c>
      <c r="O12" s="23">
        <v>132896222</v>
      </c>
      <c r="P12" s="154">
        <v>2.2000000000000002</v>
      </c>
      <c r="Q12" s="142" t="s">
        <v>72</v>
      </c>
    </row>
    <row r="13" spans="1:18" s="4" customFormat="1" ht="15">
      <c r="A13" s="3"/>
      <c r="C13" s="139" t="s">
        <v>17</v>
      </c>
      <c r="D13" s="140">
        <f>L15</f>
        <v>125407567</v>
      </c>
      <c r="E13" s="140">
        <f t="shared" ref="E13" si="2">M15</f>
        <v>16821069</v>
      </c>
      <c r="F13" s="140">
        <f t="shared" ref="F13" si="3">N15</f>
        <v>282643422</v>
      </c>
      <c r="G13" s="140">
        <f t="shared" ref="G13" si="4">O15</f>
        <v>140414785</v>
      </c>
      <c r="H13" s="141">
        <f t="shared" ref="H13" si="5">P15</f>
        <v>1.9872469423105485</v>
      </c>
      <c r="I13" s="36"/>
      <c r="J13" s="36"/>
      <c r="K13" s="155" t="s">
        <v>70</v>
      </c>
      <c r="L13" s="37">
        <f>SUM(L11:L12)</f>
        <v>117426427</v>
      </c>
      <c r="M13" s="37">
        <f t="shared" ref="M13:O13" si="6">SUM(M11:M12)</f>
        <v>12714231</v>
      </c>
      <c r="N13" s="37">
        <f t="shared" si="6"/>
        <v>270415793</v>
      </c>
      <c r="O13" s="37">
        <f t="shared" si="6"/>
        <v>140275134</v>
      </c>
      <c r="P13" s="156">
        <f>N13/SUM(L13:M13)</f>
        <v>2.0778732577178149</v>
      </c>
      <c r="Q13" s="4" t="s">
        <v>73</v>
      </c>
    </row>
    <row r="14" spans="1:18" s="4" customFormat="1" ht="15">
      <c r="A14" s="3"/>
      <c r="C14" s="111"/>
      <c r="D14" s="114"/>
      <c r="E14" s="144"/>
      <c r="F14" s="144"/>
      <c r="G14" s="144"/>
      <c r="H14" s="111"/>
      <c r="I14" s="143"/>
      <c r="J14" s="36"/>
      <c r="K14" s="155" t="s">
        <v>74</v>
      </c>
      <c r="L14" s="37">
        <v>7981140</v>
      </c>
      <c r="M14" s="37">
        <f>2462689+1424749+219400</f>
        <v>4106838</v>
      </c>
      <c r="N14" s="37">
        <v>12227629</v>
      </c>
      <c r="O14" s="37">
        <v>139651</v>
      </c>
      <c r="P14" s="156">
        <f>N14/SUM(L14:M14)</f>
        <v>1.0115528833689142</v>
      </c>
      <c r="Q14" s="142" t="s">
        <v>75</v>
      </c>
    </row>
    <row r="15" spans="1:18" s="4" customFormat="1" ht="15">
      <c r="A15" s="3"/>
      <c r="C15" s="110"/>
      <c r="D15" s="110"/>
      <c r="E15" s="111"/>
      <c r="F15" s="111"/>
      <c r="G15" s="111"/>
      <c r="H15" s="111"/>
      <c r="I15" s="143"/>
      <c r="J15" s="36"/>
      <c r="K15" s="157" t="s">
        <v>17</v>
      </c>
      <c r="L15" s="158">
        <f>SUM(L13:L14)</f>
        <v>125407567</v>
      </c>
      <c r="M15" s="158">
        <f t="shared" ref="M15:O15" si="7">SUM(M13:M14)</f>
        <v>16821069</v>
      </c>
      <c r="N15" s="158">
        <f t="shared" si="7"/>
        <v>282643422</v>
      </c>
      <c r="O15" s="158">
        <f t="shared" si="7"/>
        <v>140414785</v>
      </c>
      <c r="P15" s="159">
        <f>N15/SUM(L15:M15)</f>
        <v>1.9872469423105485</v>
      </c>
      <c r="Q15" s="4" t="s">
        <v>76</v>
      </c>
    </row>
    <row r="16" spans="1:18" s="36" customFormat="1" ht="15">
      <c r="A16" s="35"/>
      <c r="C16" s="111"/>
      <c r="D16" s="111"/>
      <c r="E16" s="111"/>
      <c r="F16" s="111"/>
      <c r="G16" s="111"/>
      <c r="H16" s="111"/>
      <c r="I16" s="143"/>
      <c r="L16" s="149"/>
      <c r="M16" s="149"/>
      <c r="N16" s="149"/>
      <c r="O16" s="149"/>
      <c r="P16" s="150"/>
    </row>
    <row r="17" spans="1:17" s="4" customFormat="1" ht="15">
      <c r="A17" s="3"/>
      <c r="C17" s="110"/>
      <c r="D17" s="110"/>
      <c r="E17" s="111"/>
      <c r="F17" s="111"/>
      <c r="G17" s="111"/>
      <c r="H17" s="111"/>
      <c r="I17" s="143"/>
      <c r="J17" s="36"/>
      <c r="K17" s="36"/>
      <c r="L17" s="149"/>
      <c r="M17" s="149"/>
      <c r="N17" s="149"/>
      <c r="O17" s="149"/>
      <c r="P17" s="150"/>
    </row>
    <row r="18" spans="1:17" s="4" customFormat="1" ht="21">
      <c r="A18" s="3"/>
      <c r="B18" s="34" t="s">
        <v>59</v>
      </c>
      <c r="C18" s="110"/>
      <c r="D18" s="110"/>
      <c r="E18" s="111"/>
      <c r="F18" s="111"/>
      <c r="G18" s="111"/>
      <c r="H18" s="111"/>
      <c r="I18" s="143"/>
      <c r="J18" s="36"/>
      <c r="K18" s="36"/>
      <c r="L18" s="36"/>
      <c r="M18" s="36"/>
      <c r="N18" s="36"/>
      <c r="O18" s="36"/>
      <c r="P18" s="36"/>
    </row>
    <row r="19" spans="1:17" s="4" customFormat="1" ht="21">
      <c r="A19" s="3"/>
      <c r="B19" s="34"/>
      <c r="C19" s="110"/>
      <c r="D19" s="110"/>
      <c r="E19" s="111"/>
      <c r="F19" s="111"/>
      <c r="G19" s="111"/>
      <c r="H19" s="111"/>
      <c r="I19" s="143"/>
      <c r="J19" s="36"/>
      <c r="K19" s="36"/>
      <c r="L19" s="36"/>
      <c r="M19" s="36"/>
      <c r="N19" s="36"/>
      <c r="O19" s="36"/>
      <c r="P19" s="36"/>
    </row>
    <row r="20" spans="1:17" s="36" customFormat="1" ht="18.75">
      <c r="A20" s="35"/>
      <c r="C20" s="145" t="s">
        <v>60</v>
      </c>
      <c r="D20" s="111"/>
      <c r="E20" s="111"/>
      <c r="F20" s="111"/>
      <c r="G20" s="111"/>
      <c r="H20" s="111"/>
      <c r="I20" s="143"/>
      <c r="K20" s="127" t="s">
        <v>61</v>
      </c>
    </row>
    <row r="21" spans="1:17" s="4" customFormat="1" ht="15.75">
      <c r="A21" s="3"/>
      <c r="C21" s="180" t="s">
        <v>54</v>
      </c>
      <c r="D21" s="180"/>
      <c r="E21" s="180"/>
      <c r="F21" s="180"/>
      <c r="G21" s="180"/>
      <c r="H21" s="180"/>
      <c r="I21" s="143"/>
      <c r="J21" s="36"/>
      <c r="K21" s="181" t="s">
        <v>53</v>
      </c>
      <c r="L21" s="181"/>
      <c r="M21" s="181"/>
      <c r="N21" s="181"/>
      <c r="O21" s="181"/>
      <c r="P21" s="181"/>
    </row>
    <row r="22" spans="1:17" s="4" customFormat="1" ht="30">
      <c r="A22" s="3"/>
      <c r="C22" s="146" t="s">
        <v>18</v>
      </c>
      <c r="D22" s="119" t="s">
        <v>40</v>
      </c>
      <c r="E22" s="160" t="s">
        <v>42</v>
      </c>
      <c r="F22" s="161" t="s">
        <v>52</v>
      </c>
      <c r="G22" s="160" t="s">
        <v>41</v>
      </c>
      <c r="H22" s="162" t="s">
        <v>36</v>
      </c>
      <c r="I22" s="143"/>
      <c r="J22" s="36"/>
      <c r="K22" s="137" t="s">
        <v>18</v>
      </c>
      <c r="L22" s="138" t="s">
        <v>51</v>
      </c>
      <c r="M22" s="152" t="s">
        <v>42</v>
      </c>
      <c r="N22" s="138" t="s">
        <v>52</v>
      </c>
      <c r="O22" s="152" t="s">
        <v>35</v>
      </c>
      <c r="P22" s="153" t="s">
        <v>36</v>
      </c>
      <c r="Q22" s="142" t="s">
        <v>8</v>
      </c>
    </row>
    <row r="23" spans="1:17" s="4" customFormat="1" ht="15">
      <c r="A23" s="3"/>
      <c r="B23" s="36"/>
      <c r="C23" s="113" t="s">
        <v>1</v>
      </c>
      <c r="D23" s="114">
        <f>L25</f>
        <v>18110862</v>
      </c>
      <c r="E23" s="114">
        <f>M25</f>
        <v>12714231</v>
      </c>
      <c r="F23" s="114">
        <f t="shared" ref="F23:H23" si="8">N25</f>
        <v>211760958</v>
      </c>
      <c r="G23" s="114">
        <f t="shared" si="8"/>
        <v>180935865</v>
      </c>
      <c r="H23" s="115">
        <f t="shared" si="8"/>
        <v>6.8697589330874038</v>
      </c>
      <c r="I23" s="143"/>
      <c r="J23" s="36"/>
      <c r="K23" s="117" t="s">
        <v>68</v>
      </c>
      <c r="L23" s="23">
        <v>5979759</v>
      </c>
      <c r="M23" s="23">
        <f>1850000+2765715+990978+558618</f>
        <v>6165311</v>
      </c>
      <c r="N23" s="23">
        <v>16996332</v>
      </c>
      <c r="O23" s="23">
        <v>4851262</v>
      </c>
      <c r="P23" s="154">
        <v>1.4</v>
      </c>
      <c r="Q23" s="142" t="s">
        <v>77</v>
      </c>
    </row>
    <row r="24" spans="1:17" s="4" customFormat="1" ht="15">
      <c r="A24" s="3"/>
      <c r="B24" s="36"/>
      <c r="C24" s="117" t="s">
        <v>13</v>
      </c>
      <c r="D24" s="114">
        <f t="shared" ref="D24:E24" si="9">L26</f>
        <v>7299019</v>
      </c>
      <c r="E24" s="114">
        <f t="shared" si="9"/>
        <v>4106838</v>
      </c>
      <c r="F24" s="114">
        <f t="shared" ref="F24:F25" si="10">N26</f>
        <v>9791947</v>
      </c>
      <c r="G24" s="114">
        <f t="shared" ref="G24:G25" si="11">O26</f>
        <v>-1613910</v>
      </c>
      <c r="H24" s="115">
        <f t="shared" ref="H24:H25" si="12">P26</f>
        <v>0.85850164525120731</v>
      </c>
      <c r="I24" s="143"/>
      <c r="J24" s="36"/>
      <c r="K24" s="117" t="s">
        <v>69</v>
      </c>
      <c r="L24" s="23">
        <v>12131103</v>
      </c>
      <c r="M24" s="23">
        <f>2431085+3928876+188959</f>
        <v>6548920</v>
      </c>
      <c r="N24" s="23">
        <v>194764626</v>
      </c>
      <c r="O24" s="23">
        <v>176084603</v>
      </c>
      <c r="P24" s="154"/>
      <c r="Q24" s="142" t="s">
        <v>78</v>
      </c>
    </row>
    <row r="25" spans="1:17" s="4" customFormat="1" ht="15">
      <c r="A25" s="3"/>
      <c r="B25" s="36"/>
      <c r="C25" s="116" t="s">
        <v>17</v>
      </c>
      <c r="D25" s="140">
        <f t="shared" ref="D25:E25" si="13">L27</f>
        <v>25409881</v>
      </c>
      <c r="E25" s="140">
        <f t="shared" si="13"/>
        <v>16821069</v>
      </c>
      <c r="F25" s="140">
        <f t="shared" si="10"/>
        <v>221552905</v>
      </c>
      <c r="G25" s="140">
        <f t="shared" si="11"/>
        <v>179321955</v>
      </c>
      <c r="H25" s="141">
        <f t="shared" si="12"/>
        <v>5.2462211955923319</v>
      </c>
      <c r="I25" s="143"/>
      <c r="J25" s="36"/>
      <c r="K25" s="155" t="s">
        <v>70</v>
      </c>
      <c r="L25" s="37">
        <f>SUM(L23:L24)</f>
        <v>18110862</v>
      </c>
      <c r="M25" s="37">
        <f t="shared" ref="M25" si="14">SUM(M23:M24)</f>
        <v>12714231</v>
      </c>
      <c r="N25" s="37">
        <f t="shared" ref="N25" si="15">SUM(N23:N24)</f>
        <v>211760958</v>
      </c>
      <c r="O25" s="37">
        <f t="shared" ref="O25" si="16">SUM(O23:O24)</f>
        <v>180935865</v>
      </c>
      <c r="P25" s="156">
        <f>N25/SUM(L25:M25)</f>
        <v>6.8697589330874038</v>
      </c>
      <c r="Q25" s="4" t="s">
        <v>73</v>
      </c>
    </row>
    <row r="26" spans="1:17" ht="17.25">
      <c r="K26" s="155" t="s">
        <v>74</v>
      </c>
      <c r="L26" s="37">
        <v>7299019</v>
      </c>
      <c r="M26" s="37">
        <f>2462689+1424749+219400</f>
        <v>4106838</v>
      </c>
      <c r="N26" s="37">
        <v>9791947</v>
      </c>
      <c r="O26" s="37">
        <v>-1613910</v>
      </c>
      <c r="P26" s="156">
        <f>N26/SUM(L26:M26)</f>
        <v>0.85850164525120731</v>
      </c>
      <c r="Q26" s="142" t="s">
        <v>79</v>
      </c>
    </row>
    <row r="27" spans="1:17" ht="17.25">
      <c r="K27" s="157" t="s">
        <v>17</v>
      </c>
      <c r="L27" s="158">
        <f>SUM(L25:L26)</f>
        <v>25409881</v>
      </c>
      <c r="M27" s="158">
        <f t="shared" ref="M27" si="17">SUM(M25:M26)</f>
        <v>16821069</v>
      </c>
      <c r="N27" s="158">
        <f t="shared" ref="N27" si="18">SUM(N25:N26)</f>
        <v>221552905</v>
      </c>
      <c r="O27" s="158">
        <f t="shared" ref="O27" si="19">SUM(O25:O26)</f>
        <v>179321955</v>
      </c>
      <c r="P27" s="159">
        <f>N27/SUM(L27:M27)</f>
        <v>5.2462211955923319</v>
      </c>
      <c r="Q27" s="4" t="s">
        <v>76</v>
      </c>
    </row>
    <row r="28" spans="1:17" ht="17.25">
      <c r="L28" s="151"/>
      <c r="M28" s="151"/>
      <c r="N28" s="151"/>
      <c r="O28" s="151"/>
      <c r="P28" s="151"/>
    </row>
    <row r="29" spans="1:17" ht="17.25">
      <c r="L29" s="151"/>
      <c r="M29" s="151"/>
      <c r="N29" s="151"/>
      <c r="O29" s="151"/>
      <c r="P29" s="151"/>
    </row>
    <row r="30" spans="1:17" ht="17.25">
      <c r="L30" s="151"/>
      <c r="M30" s="151"/>
      <c r="N30" s="164"/>
      <c r="O30" s="151"/>
      <c r="P30" s="151"/>
    </row>
  </sheetData>
  <mergeCells count="4">
    <mergeCell ref="C9:H9"/>
    <mergeCell ref="C21:H21"/>
    <mergeCell ref="K9:P9"/>
    <mergeCell ref="K21:P21"/>
  </mergeCells>
  <pageMargins left="0.7" right="0.7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/>
    <pageSetUpPr fitToPage="1"/>
  </sheetPr>
  <dimension ref="B2:P21"/>
  <sheetViews>
    <sheetView showGridLines="0" zoomScaleNormal="100" workbookViewId="0">
      <selection activeCell="H41" sqref="H41"/>
    </sheetView>
  </sheetViews>
  <sheetFormatPr defaultRowHeight="15"/>
  <cols>
    <col min="1" max="1" width="2.375" style="4" customWidth="1"/>
    <col min="2" max="2" width="2.625" style="4" customWidth="1"/>
    <col min="3" max="3" width="9.625" style="4" bestFit="1" customWidth="1"/>
    <col min="4" max="4" width="10.375" style="4" bestFit="1" customWidth="1"/>
    <col min="5" max="5" width="9.75" style="4" customWidth="1"/>
    <col min="6" max="6" width="11.125" style="44" customWidth="1"/>
    <col min="7" max="7" width="10.5" style="44" bestFit="1" customWidth="1"/>
    <col min="8" max="8" width="12.75" style="4" customWidth="1"/>
    <col min="9" max="10" width="2.625" style="4" customWidth="1"/>
    <col min="11" max="11" width="7.75" style="4" bestFit="1" customWidth="1"/>
    <col min="12" max="12" width="5.5" style="4" bestFit="1" customWidth="1"/>
    <col min="13" max="13" width="10.875" style="4" customWidth="1"/>
    <col min="14" max="14" width="12.5" style="4" customWidth="1"/>
    <col min="15" max="15" width="10.375" style="4" bestFit="1" customWidth="1"/>
    <col min="16" max="16" width="27.25" style="4" customWidth="1"/>
    <col min="17" max="17" width="10.25" style="4" customWidth="1"/>
    <col min="18" max="18" width="10.125" style="4" customWidth="1"/>
    <col min="19" max="19" width="9.625" style="4" customWidth="1"/>
    <col min="20" max="20" width="11.375" style="4" customWidth="1"/>
    <col min="21" max="21" width="5.5" style="4" customWidth="1"/>
    <col min="22" max="22" width="12.5" style="4" bestFit="1" customWidth="1"/>
    <col min="23" max="16384" width="9" style="4"/>
  </cols>
  <sheetData>
    <row r="2" spans="2:16" ht="18.75">
      <c r="B2" s="5" t="s">
        <v>55</v>
      </c>
      <c r="H2" s="24"/>
    </row>
    <row r="3" spans="2:16" ht="15.75">
      <c r="B3" s="6" t="s">
        <v>56</v>
      </c>
    </row>
    <row r="4" spans="2:16">
      <c r="B4" s="7" t="s">
        <v>94</v>
      </c>
    </row>
    <row r="5" spans="2:16">
      <c r="B5" s="7"/>
    </row>
    <row r="6" spans="2:16" ht="21">
      <c r="B6" s="34" t="s">
        <v>93</v>
      </c>
    </row>
    <row r="7" spans="2:16">
      <c r="B7" s="118"/>
    </row>
    <row r="8" spans="2:16" ht="18.75">
      <c r="B8" s="7"/>
      <c r="C8" s="127" t="s">
        <v>60</v>
      </c>
      <c r="K8" s="127" t="s">
        <v>61</v>
      </c>
    </row>
    <row r="9" spans="2:16">
      <c r="B9" s="7"/>
    </row>
    <row r="10" spans="2:16" ht="15.75">
      <c r="B10" s="7"/>
      <c r="C10" s="170" t="s">
        <v>50</v>
      </c>
      <c r="D10" s="171"/>
      <c r="E10" s="171"/>
      <c r="F10" s="171"/>
      <c r="G10" s="171"/>
      <c r="H10" s="172"/>
      <c r="K10" s="177" t="s">
        <v>92</v>
      </c>
      <c r="L10" s="182"/>
      <c r="M10" s="182"/>
      <c r="N10" s="182"/>
      <c r="O10" s="182"/>
      <c r="P10" s="178"/>
    </row>
    <row r="11" spans="2:16" s="124" customFormat="1" ht="30">
      <c r="C11" s="58" t="s">
        <v>0</v>
      </c>
      <c r="D11" s="104" t="s">
        <v>15</v>
      </c>
      <c r="E11" s="104" t="s">
        <v>47</v>
      </c>
      <c r="F11" s="55" t="s">
        <v>48</v>
      </c>
      <c r="G11" s="56" t="s">
        <v>46</v>
      </c>
      <c r="H11" s="58" t="s">
        <v>49</v>
      </c>
      <c r="K11" s="55" t="s">
        <v>6</v>
      </c>
      <c r="L11" s="104" t="s">
        <v>5</v>
      </c>
      <c r="M11" s="56" t="s">
        <v>0</v>
      </c>
      <c r="N11" s="125" t="s">
        <v>57</v>
      </c>
      <c r="O11" s="125" t="s">
        <v>15</v>
      </c>
      <c r="P11" s="126" t="s">
        <v>8</v>
      </c>
    </row>
    <row r="12" spans="2:16">
      <c r="C12" s="103" t="s">
        <v>3</v>
      </c>
      <c r="D12" s="17">
        <f>O12</f>
        <v>1299273</v>
      </c>
      <c r="E12" s="109">
        <f>D12/D$14</f>
        <v>0.91560772585178019</v>
      </c>
      <c r="F12" s="42">
        <f>N12</f>
        <v>3270.2040000000002</v>
      </c>
      <c r="G12" s="18">
        <f>F12/F$14</f>
        <v>0.23022951676501385</v>
      </c>
      <c r="H12" s="105">
        <f>(F12*1000000)/D12</f>
        <v>2516.949093839401</v>
      </c>
      <c r="K12" s="97" t="s">
        <v>7</v>
      </c>
      <c r="L12" s="16">
        <v>2014</v>
      </c>
      <c r="M12" s="122" t="s">
        <v>3</v>
      </c>
      <c r="N12" s="17">
        <f>3270204/1000</f>
        <v>3270.2040000000002</v>
      </c>
      <c r="O12" s="17">
        <v>1299273</v>
      </c>
      <c r="P12" s="103" t="s">
        <v>34</v>
      </c>
    </row>
    <row r="13" spans="2:16">
      <c r="C13" s="103" t="s">
        <v>4</v>
      </c>
      <c r="D13" s="17">
        <f>O13</f>
        <v>119755</v>
      </c>
      <c r="E13" s="109">
        <f>D13/D$14</f>
        <v>8.4392274148219773E-2</v>
      </c>
      <c r="F13" s="42">
        <f>N13</f>
        <v>10933.9</v>
      </c>
      <c r="G13" s="18">
        <f>F13/F$14</f>
        <v>0.7697704832349862</v>
      </c>
      <c r="H13" s="105">
        <f>(F13*1000000)/D13</f>
        <v>91302.242077575051</v>
      </c>
      <c r="K13" s="97" t="s">
        <v>7</v>
      </c>
      <c r="L13" s="16">
        <v>2014</v>
      </c>
      <c r="M13" s="122" t="s">
        <v>4</v>
      </c>
      <c r="N13" s="17">
        <f>(2977459+7956441)/1000</f>
        <v>10933.9</v>
      </c>
      <c r="O13" s="17">
        <f>114355+5400</f>
        <v>119755</v>
      </c>
      <c r="P13" s="103" t="s">
        <v>34</v>
      </c>
    </row>
    <row r="14" spans="2:16">
      <c r="C14" s="106" t="s">
        <v>16</v>
      </c>
      <c r="D14" s="107">
        <f>SUM(D12:D13)</f>
        <v>1419028</v>
      </c>
      <c r="E14" s="102">
        <f>SUM(E12:E13)</f>
        <v>1</v>
      </c>
      <c r="F14" s="100">
        <f>SUM(F12:F13)</f>
        <v>14204.103999999999</v>
      </c>
      <c r="G14" s="101">
        <f>SUM(G12:G13)</f>
        <v>1</v>
      </c>
      <c r="H14" s="108">
        <f>(F14*1000000)/D14</f>
        <v>10009.741879652833</v>
      </c>
      <c r="K14" s="99" t="s">
        <v>7</v>
      </c>
      <c r="L14" s="121">
        <v>2014</v>
      </c>
      <c r="M14" s="123" t="s">
        <v>16</v>
      </c>
      <c r="N14" s="107">
        <f>SUM(N12:N13)</f>
        <v>14204.103999999999</v>
      </c>
      <c r="O14" s="107">
        <f>SUM(O12:O13)</f>
        <v>1419028</v>
      </c>
      <c r="P14" s="106" t="s">
        <v>34</v>
      </c>
    </row>
    <row r="17" spans="6:8">
      <c r="F17" s="4"/>
      <c r="H17" s="44"/>
    </row>
    <row r="18" spans="6:8">
      <c r="F18" s="4"/>
      <c r="H18" s="44"/>
    </row>
    <row r="19" spans="6:8">
      <c r="F19" s="4"/>
      <c r="H19" s="44"/>
    </row>
    <row r="20" spans="6:8">
      <c r="F20" s="4"/>
      <c r="H20" s="44"/>
    </row>
    <row r="21" spans="6:8">
      <c r="F21" s="4"/>
      <c r="H21" s="44"/>
    </row>
  </sheetData>
  <mergeCells count="2">
    <mergeCell ref="C10:H10"/>
    <mergeCell ref="K10:P10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Union Offering Analysis</vt:lpstr>
      <vt:lpstr>Union Cost-Effectiveness</vt:lpstr>
      <vt:lpstr>Customers &amp; Sales</vt:lpstr>
      <vt:lpstr>'Customers &amp; Sales'!Print_Area</vt:lpstr>
      <vt:lpstr>'Union Cost-Effectiveness'!Print_Area</vt:lpstr>
      <vt:lpstr>'Union Offering Analysis'!Print_Area</vt:lpstr>
      <vt:lpstr>'Union Offering Analysis'!Print_Titles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Malone</dc:creator>
  <cp:lastModifiedBy>Susi Vogt</cp:lastModifiedBy>
  <cp:lastPrinted>2015-08-10T15:07:08Z</cp:lastPrinted>
  <dcterms:created xsi:type="dcterms:W3CDTF">2015-06-05T14:12:32Z</dcterms:created>
  <dcterms:modified xsi:type="dcterms:W3CDTF">2015-08-13T13:06:06Z</dcterms:modified>
</cp:coreProperties>
</file>