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CNPI_2016_IRM\Finals\"/>
    </mc:Choice>
  </mc:AlternateContent>
  <bookViews>
    <workbookView xWindow="0" yWindow="0" windowWidth="28800" windowHeight="12135" firstSheet="28" activeTab="35"/>
  </bookViews>
  <sheets>
    <sheet name="Cover" sheetId="10" r:id="rId1"/>
    <sheet name="Rates" sheetId="1" r:id="rId2"/>
    <sheet name="FE - Residential RPP" sheetId="54" r:id="rId3"/>
    <sheet name="FE - Residential" sheetId="32" r:id="rId4"/>
    <sheet name="FE - GS &lt; 50 kW RPP" sheetId="57" r:id="rId5"/>
    <sheet name="FE - GS &lt; 50 kW" sheetId="35" r:id="rId6"/>
    <sheet name="FE - GS &gt; 50 kW" sheetId="41" r:id="rId7"/>
    <sheet name="FE - USL" sheetId="38" r:id="rId8"/>
    <sheet name="FE - Sentinel Lgt" sheetId="44" r:id="rId9"/>
    <sheet name="Sheet5" sheetId="63" r:id="rId10"/>
    <sheet name="Sheet6" sheetId="64" r:id="rId11"/>
    <sheet name="Sheet7" sheetId="65" r:id="rId12"/>
    <sheet name="FE - Street Lgt" sheetId="47" r:id="rId13"/>
    <sheet name="EOP - Residential RPP" sheetId="55" r:id="rId14"/>
    <sheet name="Sheet2" sheetId="60" r:id="rId15"/>
    <sheet name="EOP - Residential" sheetId="33" r:id="rId16"/>
    <sheet name="Sheet8" sheetId="66" r:id="rId17"/>
    <sheet name="EOP - GS &lt; 50 kW RPP" sheetId="58" r:id="rId18"/>
    <sheet name="EOP - GS &lt; 50 kW" sheetId="36" r:id="rId19"/>
    <sheet name="EOP - GS &gt; 50 kW" sheetId="42" r:id="rId20"/>
    <sheet name="EOP - USL" sheetId="39" r:id="rId21"/>
    <sheet name="Sheet3" sheetId="61" r:id="rId22"/>
    <sheet name="Sheet4" sheetId="62" r:id="rId23"/>
    <sheet name="EOP - Sentinel Lgt" sheetId="45" r:id="rId24"/>
    <sheet name="EOP - Street Lgt" sheetId="48" r:id="rId25"/>
    <sheet name="PC - Residential RPP" sheetId="56" r:id="rId26"/>
    <sheet name="PC - Residential" sheetId="34" r:id="rId27"/>
    <sheet name="PC - GS &lt; 50 KW RPP" sheetId="59" r:id="rId28"/>
    <sheet name="PC - GS &lt; 50 KW" sheetId="37" r:id="rId29"/>
    <sheet name="PC - GS &gt; 50 kW" sheetId="43" r:id="rId30"/>
    <sheet name="PC - USL" sheetId="40" r:id="rId31"/>
    <sheet name="PC - Sentinel Lgt" sheetId="46" r:id="rId32"/>
    <sheet name="PC - Street Lgt" sheetId="49" r:id="rId33"/>
    <sheet name="Summary - FE" sheetId="51" r:id="rId34"/>
    <sheet name="Summary - EOP" sheetId="52" r:id="rId35"/>
    <sheet name="Summary - PC" sheetId="53" r:id="rId36"/>
    <sheet name="Sheet1" sheetId="50" r:id="rId37"/>
  </sheets>
  <calcPr calcId="152511"/>
</workbook>
</file>

<file path=xl/calcChain.xml><?xml version="1.0" encoding="utf-8"?>
<calcChain xmlns="http://schemas.openxmlformats.org/spreadsheetml/2006/main">
  <c r="I237" i="1" l="1"/>
  <c r="I236" i="1"/>
  <c r="I224" i="1"/>
  <c r="I223" i="1"/>
  <c r="I211" i="1"/>
  <c r="I210" i="1"/>
  <c r="I198" i="1"/>
  <c r="I197" i="1"/>
  <c r="I185" i="1"/>
  <c r="I184" i="1"/>
  <c r="I171" i="1"/>
  <c r="I170" i="1"/>
  <c r="I154" i="1"/>
  <c r="I153" i="1"/>
  <c r="I142" i="1"/>
  <c r="I141" i="1"/>
  <c r="I130" i="1"/>
  <c r="I129" i="1"/>
  <c r="I118" i="1"/>
  <c r="I117" i="1"/>
  <c r="I106" i="1"/>
  <c r="I105" i="1"/>
  <c r="I93" i="1"/>
  <c r="I92" i="1"/>
  <c r="I228" i="1"/>
  <c r="I227" i="1"/>
  <c r="I146" i="1"/>
  <c r="I145" i="1"/>
  <c r="I215" i="1"/>
  <c r="I214" i="1"/>
  <c r="I134" i="1"/>
  <c r="I133" i="1"/>
  <c r="I202" i="1"/>
  <c r="I201" i="1"/>
  <c r="I122" i="1"/>
  <c r="I121" i="1"/>
  <c r="I189" i="1"/>
  <c r="I188" i="1"/>
  <c r="I110" i="1"/>
  <c r="I109" i="1"/>
  <c r="I176" i="1"/>
  <c r="I174" i="1"/>
  <c r="I98" i="1"/>
  <c r="I96" i="1"/>
  <c r="I162" i="1"/>
  <c r="I160" i="1"/>
  <c r="I85" i="1"/>
  <c r="I83" i="1"/>
  <c r="D21" i="49" l="1"/>
  <c r="H21" i="49" s="1"/>
  <c r="D20" i="49"/>
  <c r="G20" i="49"/>
  <c r="G21" i="49"/>
  <c r="C20" i="49"/>
  <c r="C21" i="49"/>
  <c r="B20" i="49"/>
  <c r="B21" i="49"/>
  <c r="H20" i="46"/>
  <c r="G20" i="46"/>
  <c r="G21" i="46"/>
  <c r="D21" i="46"/>
  <c r="H21" i="46" s="1"/>
  <c r="D20" i="46"/>
  <c r="C20" i="46"/>
  <c r="E20" i="46" s="1"/>
  <c r="L20" i="46" s="1"/>
  <c r="C21" i="46"/>
  <c r="B20" i="46"/>
  <c r="B21" i="46"/>
  <c r="H21" i="40"/>
  <c r="G20" i="40"/>
  <c r="G21" i="40"/>
  <c r="D21" i="40"/>
  <c r="D20" i="40"/>
  <c r="H20" i="40" s="1"/>
  <c r="C20" i="40"/>
  <c r="E20" i="40" s="1"/>
  <c r="L20" i="40" s="1"/>
  <c r="C21" i="40"/>
  <c r="B20" i="40"/>
  <c r="B21" i="40"/>
  <c r="H20" i="43"/>
  <c r="G20" i="43"/>
  <c r="G21" i="43"/>
  <c r="D21" i="43"/>
  <c r="H21" i="43" s="1"/>
  <c r="D20" i="43"/>
  <c r="C20" i="43"/>
  <c r="E20" i="43" s="1"/>
  <c r="L20" i="43" s="1"/>
  <c r="C21" i="43"/>
  <c r="B20" i="43"/>
  <c r="B21" i="43"/>
  <c r="H21" i="37"/>
  <c r="G20" i="37"/>
  <c r="G21" i="37"/>
  <c r="D21" i="37"/>
  <c r="D20" i="37"/>
  <c r="H20" i="37" s="1"/>
  <c r="C20" i="37"/>
  <c r="E20" i="37" s="1"/>
  <c r="L20" i="37" s="1"/>
  <c r="C21" i="37"/>
  <c r="B20" i="37"/>
  <c r="B21" i="37"/>
  <c r="H20" i="59"/>
  <c r="H21" i="59"/>
  <c r="G19" i="59"/>
  <c r="G20" i="59"/>
  <c r="G21" i="59"/>
  <c r="D20" i="59"/>
  <c r="C20" i="59"/>
  <c r="E20" i="59" s="1"/>
  <c r="L20" i="59" s="1"/>
  <c r="C21" i="59"/>
  <c r="E21" i="59" s="1"/>
  <c r="L21" i="59" s="1"/>
  <c r="B20" i="59"/>
  <c r="B21" i="59"/>
  <c r="H21" i="34"/>
  <c r="G20" i="34"/>
  <c r="G21" i="34"/>
  <c r="D21" i="34"/>
  <c r="D20" i="34"/>
  <c r="H20" i="34" s="1"/>
  <c r="C20" i="34"/>
  <c r="C21" i="34"/>
  <c r="B20" i="34"/>
  <c r="B21" i="34"/>
  <c r="H21" i="56"/>
  <c r="G19" i="56"/>
  <c r="G20" i="56"/>
  <c r="G21" i="56"/>
  <c r="D20" i="56"/>
  <c r="C20" i="56"/>
  <c r="C21" i="56"/>
  <c r="E21" i="56" s="1"/>
  <c r="L21" i="56" s="1"/>
  <c r="B20" i="56"/>
  <c r="B21" i="56"/>
  <c r="H20" i="48"/>
  <c r="H21" i="48"/>
  <c r="D21" i="48"/>
  <c r="D20" i="48"/>
  <c r="G20" i="48"/>
  <c r="I20" i="48" s="1"/>
  <c r="G21" i="48"/>
  <c r="I21" i="48" s="1"/>
  <c r="C20" i="48"/>
  <c r="C21" i="48"/>
  <c r="E21" i="48" s="1"/>
  <c r="L21" i="48" s="1"/>
  <c r="B20" i="48"/>
  <c r="B21" i="48"/>
  <c r="H21" i="45"/>
  <c r="G20" i="45"/>
  <c r="G21" i="45"/>
  <c r="I21" i="45" s="1"/>
  <c r="D21" i="45"/>
  <c r="D20" i="45"/>
  <c r="H20" i="45" s="1"/>
  <c r="C20" i="45"/>
  <c r="E20" i="45" s="1"/>
  <c r="L20" i="45" s="1"/>
  <c r="C21" i="45"/>
  <c r="E21" i="45" s="1"/>
  <c r="L21" i="45" s="1"/>
  <c r="B20" i="45"/>
  <c r="B21" i="45"/>
  <c r="H21" i="39"/>
  <c r="G20" i="39"/>
  <c r="G21" i="39"/>
  <c r="D21" i="39"/>
  <c r="D20" i="39"/>
  <c r="H20" i="39" s="1"/>
  <c r="C20" i="39"/>
  <c r="C21" i="39"/>
  <c r="B20" i="39"/>
  <c r="B21" i="39"/>
  <c r="H21" i="42"/>
  <c r="G20" i="42"/>
  <c r="G21" i="42"/>
  <c r="I21" i="42" s="1"/>
  <c r="D21" i="42"/>
  <c r="D20" i="42"/>
  <c r="H20" i="42" s="1"/>
  <c r="C20" i="42"/>
  <c r="E20" i="42" s="1"/>
  <c r="L20" i="42" s="1"/>
  <c r="C21" i="42"/>
  <c r="E21" i="42" s="1"/>
  <c r="L21" i="42" s="1"/>
  <c r="B20" i="42"/>
  <c r="B21" i="42"/>
  <c r="H21" i="36"/>
  <c r="G20" i="36"/>
  <c r="G21" i="36"/>
  <c r="D21" i="36"/>
  <c r="D20" i="36"/>
  <c r="H20" i="36" s="1"/>
  <c r="C20" i="36"/>
  <c r="C21" i="36"/>
  <c r="B20" i="36"/>
  <c r="B21" i="36"/>
  <c r="H21" i="58"/>
  <c r="D20" i="58"/>
  <c r="H20" i="58" s="1"/>
  <c r="G19" i="58"/>
  <c r="G20" i="58"/>
  <c r="G21" i="58"/>
  <c r="C20" i="58"/>
  <c r="E20" i="58" s="1"/>
  <c r="L20" i="58" s="1"/>
  <c r="C21" i="58"/>
  <c r="E21" i="58" s="1"/>
  <c r="L21" i="58" s="1"/>
  <c r="B20" i="58"/>
  <c r="B21" i="58"/>
  <c r="H20" i="33"/>
  <c r="D21" i="33"/>
  <c r="H21" i="33" s="1"/>
  <c r="D20" i="33"/>
  <c r="G20" i="33"/>
  <c r="I20" i="33" s="1"/>
  <c r="G21" i="33"/>
  <c r="C20" i="33"/>
  <c r="C21" i="33"/>
  <c r="E21" i="33" s="1"/>
  <c r="L21" i="33" s="1"/>
  <c r="B20" i="33"/>
  <c r="B21" i="33"/>
  <c r="G19" i="55"/>
  <c r="G20" i="55"/>
  <c r="G21" i="55"/>
  <c r="H21" i="55"/>
  <c r="D20" i="55"/>
  <c r="H20" i="55" s="1"/>
  <c r="C20" i="55"/>
  <c r="C21" i="55"/>
  <c r="E21" i="55" s="1"/>
  <c r="L21" i="55" s="1"/>
  <c r="B20" i="55"/>
  <c r="B21" i="55"/>
  <c r="H21" i="47"/>
  <c r="G20" i="47"/>
  <c r="G21" i="47"/>
  <c r="D21" i="47"/>
  <c r="D20" i="47"/>
  <c r="H20" i="47" s="1"/>
  <c r="C20" i="47"/>
  <c r="C21" i="47"/>
  <c r="B20" i="47"/>
  <c r="B21" i="47"/>
  <c r="D21" i="44"/>
  <c r="H21" i="44" s="1"/>
  <c r="D20" i="44"/>
  <c r="E20" i="44" s="1"/>
  <c r="G20" i="44"/>
  <c r="G21" i="44"/>
  <c r="C20" i="44"/>
  <c r="C21" i="44"/>
  <c r="E21" i="44" s="1"/>
  <c r="L21" i="44" s="1"/>
  <c r="B20" i="44"/>
  <c r="B21" i="44"/>
  <c r="H20" i="38"/>
  <c r="D21" i="38"/>
  <c r="H21" i="38" s="1"/>
  <c r="D20" i="38"/>
  <c r="E20" i="38" s="1"/>
  <c r="G20" i="38"/>
  <c r="I20" i="38" s="1"/>
  <c r="G21" i="38"/>
  <c r="C20" i="38"/>
  <c r="C21" i="38"/>
  <c r="E21" i="38" s="1"/>
  <c r="L21" i="38" s="1"/>
  <c r="B20" i="38"/>
  <c r="B21" i="38"/>
  <c r="I266" i="1"/>
  <c r="H21" i="41"/>
  <c r="G20" i="41"/>
  <c r="G21" i="41"/>
  <c r="D21" i="41"/>
  <c r="D20" i="41"/>
  <c r="H20" i="41" s="1"/>
  <c r="C20" i="41"/>
  <c r="C21" i="41"/>
  <c r="B20" i="41"/>
  <c r="B21" i="41"/>
  <c r="H21" i="35"/>
  <c r="G20" i="35"/>
  <c r="G21" i="35"/>
  <c r="I21" i="35" s="1"/>
  <c r="D21" i="35"/>
  <c r="D20" i="35"/>
  <c r="H20" i="35" s="1"/>
  <c r="C20" i="35"/>
  <c r="E20" i="35" s="1"/>
  <c r="L20" i="35" s="1"/>
  <c r="C21" i="35"/>
  <c r="E21" i="35" s="1"/>
  <c r="L21" i="35" s="1"/>
  <c r="B20" i="35"/>
  <c r="B21" i="35"/>
  <c r="H20" i="57"/>
  <c r="H21" i="57"/>
  <c r="D20" i="57"/>
  <c r="G19" i="57"/>
  <c r="G20" i="57"/>
  <c r="I20" i="57" s="1"/>
  <c r="G21" i="57"/>
  <c r="C20" i="57"/>
  <c r="E20" i="57" s="1"/>
  <c r="C21" i="57"/>
  <c r="E21" i="57" s="1"/>
  <c r="L21" i="57" s="1"/>
  <c r="B20" i="57"/>
  <c r="B21" i="57"/>
  <c r="G20" i="32"/>
  <c r="G21" i="32"/>
  <c r="C20" i="32"/>
  <c r="C21" i="32"/>
  <c r="B20" i="32"/>
  <c r="B21" i="32"/>
  <c r="H20" i="54"/>
  <c r="I20" i="54" s="1"/>
  <c r="H21" i="54"/>
  <c r="I21" i="54" s="1"/>
  <c r="D20" i="54"/>
  <c r="C20" i="54"/>
  <c r="E20" i="54" s="1"/>
  <c r="L20" i="54" s="1"/>
  <c r="C21" i="54"/>
  <c r="E21" i="54" s="1"/>
  <c r="L21" i="54" s="1"/>
  <c r="B21" i="54"/>
  <c r="B20" i="54"/>
  <c r="I20" i="37" l="1"/>
  <c r="I20" i="40"/>
  <c r="K20" i="40" s="1"/>
  <c r="I20" i="35"/>
  <c r="I20" i="42"/>
  <c r="I20" i="45"/>
  <c r="I20" i="59"/>
  <c r="K20" i="59" s="1"/>
  <c r="E21" i="43"/>
  <c r="L21" i="43" s="1"/>
  <c r="I21" i="43"/>
  <c r="E21" i="46"/>
  <c r="L21" i="46" s="1"/>
  <c r="I21" i="46"/>
  <c r="K21" i="46" s="1"/>
  <c r="E21" i="41"/>
  <c r="L21" i="41" s="1"/>
  <c r="I21" i="41"/>
  <c r="I21" i="44"/>
  <c r="E21" i="47"/>
  <c r="L21" i="47" s="1"/>
  <c r="I21" i="47"/>
  <c r="I20" i="55"/>
  <c r="E20" i="33"/>
  <c r="L20" i="33" s="1"/>
  <c r="I20" i="58"/>
  <c r="K20" i="58" s="1"/>
  <c r="I21" i="58"/>
  <c r="E21" i="36"/>
  <c r="L21" i="36" s="1"/>
  <c r="I21" i="36"/>
  <c r="E21" i="39"/>
  <c r="L21" i="39" s="1"/>
  <c r="I21" i="39"/>
  <c r="E20" i="56"/>
  <c r="L20" i="56" s="1"/>
  <c r="E21" i="34"/>
  <c r="L21" i="34" s="1"/>
  <c r="I21" i="34"/>
  <c r="K21" i="34" s="1"/>
  <c r="I20" i="43"/>
  <c r="I20" i="46"/>
  <c r="K20" i="46" s="1"/>
  <c r="E20" i="41"/>
  <c r="L20" i="41" s="1"/>
  <c r="I20" i="41"/>
  <c r="K20" i="41" s="1"/>
  <c r="I21" i="38"/>
  <c r="K21" i="38" s="1"/>
  <c r="H20" i="44"/>
  <c r="I20" i="44" s="1"/>
  <c r="K20" i="44" s="1"/>
  <c r="E20" i="47"/>
  <c r="L20" i="47" s="1"/>
  <c r="I20" i="47"/>
  <c r="I21" i="33"/>
  <c r="E20" i="36"/>
  <c r="L20" i="36" s="1"/>
  <c r="I20" i="36"/>
  <c r="K20" i="36" s="1"/>
  <c r="E20" i="39"/>
  <c r="L20" i="39" s="1"/>
  <c r="I20" i="39"/>
  <c r="E20" i="48"/>
  <c r="L20" i="48" s="1"/>
  <c r="H20" i="56"/>
  <c r="I20" i="56" s="1"/>
  <c r="E20" i="34"/>
  <c r="L20" i="34" s="1"/>
  <c r="I20" i="34"/>
  <c r="E21" i="37"/>
  <c r="L21" i="37" s="1"/>
  <c r="I21" i="37"/>
  <c r="K21" i="37" s="1"/>
  <c r="E21" i="40"/>
  <c r="L21" i="40" s="1"/>
  <c r="I21" i="40"/>
  <c r="E21" i="49"/>
  <c r="L21" i="49" s="1"/>
  <c r="I21" i="55"/>
  <c r="K21" i="55" s="1"/>
  <c r="L20" i="57"/>
  <c r="K20" i="57"/>
  <c r="K21" i="58"/>
  <c r="K21" i="48"/>
  <c r="K20" i="43"/>
  <c r="K20" i="35"/>
  <c r="K21" i="42"/>
  <c r="K21" i="45"/>
  <c r="K20" i="34"/>
  <c r="K20" i="37"/>
  <c r="K21" i="33"/>
  <c r="K21" i="35"/>
  <c r="K20" i="47"/>
  <c r="K20" i="39"/>
  <c r="K20" i="48"/>
  <c r="K21" i="40"/>
  <c r="E20" i="49"/>
  <c r="L20" i="49" s="1"/>
  <c r="K21" i="36"/>
  <c r="K21" i="41"/>
  <c r="K20" i="42"/>
  <c r="K20" i="45"/>
  <c r="I21" i="56"/>
  <c r="K21" i="56" s="1"/>
  <c r="K21" i="43"/>
  <c r="I21" i="49"/>
  <c r="K21" i="49" s="1"/>
  <c r="I21" i="59"/>
  <c r="K21" i="59" s="1"/>
  <c r="K21" i="44"/>
  <c r="I21" i="57"/>
  <c r="K21" i="57" s="1"/>
  <c r="E20" i="55"/>
  <c r="L20" i="55" s="1"/>
  <c r="H20" i="49"/>
  <c r="I20" i="49" s="1"/>
  <c r="L20" i="44"/>
  <c r="K20" i="38"/>
  <c r="L20" i="38"/>
  <c r="K21" i="54"/>
  <c r="K20" i="54"/>
  <c r="E266" i="1"/>
  <c r="K20" i="56" l="1"/>
  <c r="K21" i="47"/>
  <c r="K20" i="49"/>
  <c r="K20" i="33"/>
  <c r="K21" i="39"/>
  <c r="K20" i="55"/>
  <c r="C11" i="52"/>
  <c r="C23" i="52" s="1"/>
  <c r="C9" i="52"/>
  <c r="C21" i="52" s="1"/>
  <c r="C11" i="51"/>
  <c r="C23" i="51" s="1"/>
  <c r="C9" i="51"/>
  <c r="C21" i="51" s="1"/>
  <c r="C11" i="53"/>
  <c r="C23" i="53" s="1"/>
  <c r="C9" i="53"/>
  <c r="C21" i="53" s="1"/>
  <c r="G41" i="59" l="1"/>
  <c r="C41" i="59"/>
  <c r="B41" i="59"/>
  <c r="G39" i="59"/>
  <c r="C39" i="59"/>
  <c r="B39" i="59"/>
  <c r="G36" i="59"/>
  <c r="D36" i="59"/>
  <c r="H36" i="59" s="1"/>
  <c r="C36" i="59"/>
  <c r="B36" i="59"/>
  <c r="G35" i="59"/>
  <c r="D35" i="59"/>
  <c r="H35" i="59" s="1"/>
  <c r="C35" i="59"/>
  <c r="E35" i="59" s="1"/>
  <c r="B35" i="59"/>
  <c r="G34" i="59"/>
  <c r="D34" i="59"/>
  <c r="H34" i="59" s="1"/>
  <c r="C34" i="59"/>
  <c r="E34" i="59" s="1"/>
  <c r="B34" i="59"/>
  <c r="G33" i="59"/>
  <c r="D33" i="59"/>
  <c r="H33" i="59" s="1"/>
  <c r="C33" i="59"/>
  <c r="E33" i="59" s="1"/>
  <c r="B33" i="59"/>
  <c r="H32" i="59"/>
  <c r="G32" i="59"/>
  <c r="C32" i="59"/>
  <c r="E32" i="59" s="1"/>
  <c r="B32" i="59"/>
  <c r="G31" i="59"/>
  <c r="C31" i="59"/>
  <c r="B31" i="59"/>
  <c r="G30" i="59"/>
  <c r="C30" i="59"/>
  <c r="B30" i="59"/>
  <c r="G28" i="59"/>
  <c r="C28" i="59"/>
  <c r="B28" i="59"/>
  <c r="G27" i="59"/>
  <c r="C27" i="59"/>
  <c r="B27" i="59"/>
  <c r="G25" i="59"/>
  <c r="D25" i="59"/>
  <c r="H25" i="59" s="1"/>
  <c r="C25" i="59"/>
  <c r="B25" i="59"/>
  <c r="G24" i="59"/>
  <c r="D24" i="59"/>
  <c r="H24" i="59" s="1"/>
  <c r="C24" i="59"/>
  <c r="B24" i="59"/>
  <c r="G23" i="59"/>
  <c r="D23" i="59"/>
  <c r="H23" i="59" s="1"/>
  <c r="C23" i="59"/>
  <c r="B23" i="59"/>
  <c r="G22" i="59"/>
  <c r="D22" i="59"/>
  <c r="H22" i="59" s="1"/>
  <c r="C22" i="59"/>
  <c r="B22" i="59"/>
  <c r="H19" i="59"/>
  <c r="I19" i="59" s="1"/>
  <c r="C19" i="59"/>
  <c r="B19" i="59"/>
  <c r="G18" i="59"/>
  <c r="D18" i="59"/>
  <c r="H18" i="59" s="1"/>
  <c r="C18" i="59"/>
  <c r="E18" i="59" s="1"/>
  <c r="B18" i="59"/>
  <c r="G17" i="59"/>
  <c r="C17" i="59"/>
  <c r="G15" i="59"/>
  <c r="D15" i="59"/>
  <c r="H15" i="59" s="1"/>
  <c r="C15" i="59"/>
  <c r="B15" i="59"/>
  <c r="G14" i="59"/>
  <c r="D14" i="59"/>
  <c r="H14" i="59" s="1"/>
  <c r="C14" i="59"/>
  <c r="B14" i="59"/>
  <c r="C9" i="59"/>
  <c r="C5" i="59"/>
  <c r="D30" i="59" s="1"/>
  <c r="H30" i="59" s="1"/>
  <c r="B3" i="59"/>
  <c r="B2" i="59"/>
  <c r="G22" i="48"/>
  <c r="G19" i="48"/>
  <c r="G18" i="48"/>
  <c r="C22" i="48"/>
  <c r="C19" i="48"/>
  <c r="C18" i="48"/>
  <c r="G22" i="42"/>
  <c r="G19" i="42"/>
  <c r="G18" i="42"/>
  <c r="C22" i="42"/>
  <c r="C19" i="42"/>
  <c r="C18" i="42"/>
  <c r="G22" i="36"/>
  <c r="G19" i="36"/>
  <c r="G18" i="36"/>
  <c r="C22" i="36"/>
  <c r="C19" i="36"/>
  <c r="C18" i="36"/>
  <c r="G22" i="58"/>
  <c r="G18" i="58"/>
  <c r="C22" i="58"/>
  <c r="C19" i="58"/>
  <c r="C18" i="58"/>
  <c r="G22" i="47"/>
  <c r="G19" i="47"/>
  <c r="G18" i="47"/>
  <c r="C22" i="47"/>
  <c r="C19" i="47"/>
  <c r="C18" i="47"/>
  <c r="G19" i="44"/>
  <c r="G18" i="44"/>
  <c r="C22" i="44"/>
  <c r="C19" i="44"/>
  <c r="C18" i="44"/>
  <c r="G18" i="38"/>
  <c r="G19" i="38"/>
  <c r="G22" i="38"/>
  <c r="C22" i="38"/>
  <c r="C19" i="38"/>
  <c r="C18" i="38"/>
  <c r="G22" i="44"/>
  <c r="G40" i="58"/>
  <c r="C40" i="58"/>
  <c r="B40" i="58"/>
  <c r="G38" i="58"/>
  <c r="C38" i="58"/>
  <c r="B38" i="58"/>
  <c r="G35" i="58"/>
  <c r="D35" i="58"/>
  <c r="H35" i="58" s="1"/>
  <c r="C35" i="58"/>
  <c r="B35" i="58"/>
  <c r="G34" i="58"/>
  <c r="D34" i="58"/>
  <c r="H34" i="58" s="1"/>
  <c r="C34" i="58"/>
  <c r="B34" i="58"/>
  <c r="G33" i="58"/>
  <c r="D33" i="58"/>
  <c r="H33" i="58" s="1"/>
  <c r="C33" i="58"/>
  <c r="B33" i="58"/>
  <c r="G32" i="58"/>
  <c r="D32" i="58"/>
  <c r="H32" i="58" s="1"/>
  <c r="C32" i="58"/>
  <c r="B32" i="58"/>
  <c r="H31" i="58"/>
  <c r="G31" i="58"/>
  <c r="C31" i="58"/>
  <c r="E31" i="58" s="1"/>
  <c r="B31" i="58"/>
  <c r="G30" i="58"/>
  <c r="C30" i="58"/>
  <c r="B30" i="58"/>
  <c r="G29" i="58"/>
  <c r="C29" i="58"/>
  <c r="B29" i="58"/>
  <c r="G27" i="58"/>
  <c r="C27" i="58"/>
  <c r="B27" i="58"/>
  <c r="G26" i="58"/>
  <c r="C26" i="58"/>
  <c r="B26" i="58"/>
  <c r="G24" i="58"/>
  <c r="D24" i="58"/>
  <c r="H24" i="58" s="1"/>
  <c r="C24" i="58"/>
  <c r="B24" i="58"/>
  <c r="G23" i="58"/>
  <c r="D23" i="58"/>
  <c r="H23" i="58" s="1"/>
  <c r="C23" i="58"/>
  <c r="B23" i="58"/>
  <c r="D22" i="58"/>
  <c r="H22" i="58" s="1"/>
  <c r="B22" i="58"/>
  <c r="H19" i="58"/>
  <c r="I19" i="58" s="1"/>
  <c r="B19" i="58"/>
  <c r="D18" i="58"/>
  <c r="H18" i="58" s="1"/>
  <c r="B18" i="58"/>
  <c r="G17" i="58"/>
  <c r="C17" i="58"/>
  <c r="G15" i="58"/>
  <c r="D15" i="58"/>
  <c r="H15" i="58" s="1"/>
  <c r="C15" i="58"/>
  <c r="B15" i="58"/>
  <c r="G14" i="58"/>
  <c r="D14" i="58"/>
  <c r="H14" i="58" s="1"/>
  <c r="C14" i="58"/>
  <c r="B14" i="58"/>
  <c r="C9" i="58"/>
  <c r="C5" i="58"/>
  <c r="D27" i="58" s="1"/>
  <c r="H27" i="58" s="1"/>
  <c r="B3" i="58"/>
  <c r="B2" i="58"/>
  <c r="G40" i="57"/>
  <c r="C40" i="57"/>
  <c r="B40" i="57"/>
  <c r="G38" i="57"/>
  <c r="C38" i="57"/>
  <c r="B38" i="57"/>
  <c r="G35" i="57"/>
  <c r="D35" i="57"/>
  <c r="H35" i="57" s="1"/>
  <c r="C35" i="57"/>
  <c r="B35" i="57"/>
  <c r="G34" i="57"/>
  <c r="D34" i="57"/>
  <c r="H34" i="57" s="1"/>
  <c r="C34" i="57"/>
  <c r="B34" i="57"/>
  <c r="G33" i="57"/>
  <c r="D33" i="57"/>
  <c r="H33" i="57" s="1"/>
  <c r="C33" i="57"/>
  <c r="B33" i="57"/>
  <c r="G32" i="57"/>
  <c r="D32" i="57"/>
  <c r="H32" i="57" s="1"/>
  <c r="C32" i="57"/>
  <c r="B32" i="57"/>
  <c r="H31" i="57"/>
  <c r="G31" i="57"/>
  <c r="C31" i="57"/>
  <c r="E31" i="57" s="1"/>
  <c r="B31" i="57"/>
  <c r="G30" i="57"/>
  <c r="C30" i="57"/>
  <c r="B30" i="57"/>
  <c r="G29" i="57"/>
  <c r="C29" i="57"/>
  <c r="B29" i="57"/>
  <c r="G27" i="57"/>
  <c r="C27" i="57"/>
  <c r="B27" i="57"/>
  <c r="G26" i="57"/>
  <c r="C26" i="57"/>
  <c r="B26" i="57"/>
  <c r="G24" i="57"/>
  <c r="D24" i="57"/>
  <c r="H24" i="57" s="1"/>
  <c r="C24" i="57"/>
  <c r="B24" i="57"/>
  <c r="G23" i="57"/>
  <c r="D23" i="57"/>
  <c r="H23" i="57" s="1"/>
  <c r="C23" i="57"/>
  <c r="B23" i="57"/>
  <c r="G22" i="57"/>
  <c r="D22" i="57"/>
  <c r="H22" i="57" s="1"/>
  <c r="C22" i="57"/>
  <c r="B22" i="57"/>
  <c r="H19" i="57"/>
  <c r="I19" i="57" s="1"/>
  <c r="C19" i="57"/>
  <c r="B19" i="57"/>
  <c r="G18" i="57"/>
  <c r="D18" i="57"/>
  <c r="H18" i="57" s="1"/>
  <c r="C18" i="57"/>
  <c r="B18" i="57"/>
  <c r="G17" i="57"/>
  <c r="C17" i="57"/>
  <c r="G15" i="57"/>
  <c r="D15" i="57"/>
  <c r="H15" i="57" s="1"/>
  <c r="C15" i="57"/>
  <c r="B15" i="57"/>
  <c r="G14" i="57"/>
  <c r="D14" i="57"/>
  <c r="H14" i="57" s="1"/>
  <c r="C14" i="57"/>
  <c r="B14" i="57"/>
  <c r="C9" i="57"/>
  <c r="C5" i="57"/>
  <c r="D27" i="57" s="1"/>
  <c r="H27" i="57" s="1"/>
  <c r="B3" i="57"/>
  <c r="B2" i="57"/>
  <c r="G41" i="56"/>
  <c r="C41" i="56"/>
  <c r="B41" i="56"/>
  <c r="G39" i="56"/>
  <c r="C39" i="56"/>
  <c r="B39" i="56"/>
  <c r="G36" i="56"/>
  <c r="D36" i="56"/>
  <c r="H36" i="56" s="1"/>
  <c r="C36" i="56"/>
  <c r="B36" i="56"/>
  <c r="G35" i="56"/>
  <c r="D35" i="56"/>
  <c r="H35" i="56" s="1"/>
  <c r="C35" i="56"/>
  <c r="B35" i="56"/>
  <c r="G34" i="56"/>
  <c r="D34" i="56"/>
  <c r="H34" i="56" s="1"/>
  <c r="C34" i="56"/>
  <c r="B34" i="56"/>
  <c r="G33" i="56"/>
  <c r="D33" i="56"/>
  <c r="H33" i="56" s="1"/>
  <c r="C33" i="56"/>
  <c r="B33" i="56"/>
  <c r="H32" i="56"/>
  <c r="G32" i="56"/>
  <c r="C32" i="56"/>
  <c r="E32" i="56" s="1"/>
  <c r="B32" i="56"/>
  <c r="G31" i="56"/>
  <c r="C31" i="56"/>
  <c r="B31" i="56"/>
  <c r="G30" i="56"/>
  <c r="C30" i="56"/>
  <c r="B30" i="56"/>
  <c r="G28" i="56"/>
  <c r="C28" i="56"/>
  <c r="B28" i="56"/>
  <c r="G27" i="56"/>
  <c r="C27" i="56"/>
  <c r="B27" i="56"/>
  <c r="G25" i="56"/>
  <c r="D25" i="56"/>
  <c r="H25" i="56" s="1"/>
  <c r="C25" i="56"/>
  <c r="B25" i="56"/>
  <c r="G24" i="56"/>
  <c r="D24" i="56"/>
  <c r="H24" i="56" s="1"/>
  <c r="C24" i="56"/>
  <c r="B24" i="56"/>
  <c r="G23" i="56"/>
  <c r="D23" i="56"/>
  <c r="H23" i="56" s="1"/>
  <c r="C23" i="56"/>
  <c r="E23" i="56" s="1"/>
  <c r="B23" i="56"/>
  <c r="G22" i="56"/>
  <c r="D22" i="56"/>
  <c r="H22" i="56" s="1"/>
  <c r="C22" i="56"/>
  <c r="B22" i="56"/>
  <c r="H19" i="56"/>
  <c r="I19" i="56" s="1"/>
  <c r="C19" i="56"/>
  <c r="B19" i="56"/>
  <c r="G18" i="56"/>
  <c r="D18" i="56"/>
  <c r="H18" i="56" s="1"/>
  <c r="C18" i="56"/>
  <c r="B18" i="56"/>
  <c r="G17" i="56"/>
  <c r="C17" i="56"/>
  <c r="G15" i="56"/>
  <c r="D15" i="56"/>
  <c r="H15" i="56" s="1"/>
  <c r="C15" i="56"/>
  <c r="B15" i="56"/>
  <c r="G14" i="56"/>
  <c r="D14" i="56"/>
  <c r="H14" i="56" s="1"/>
  <c r="C14" i="56"/>
  <c r="B14" i="56"/>
  <c r="C9" i="56"/>
  <c r="C5" i="56"/>
  <c r="D31" i="56" s="1"/>
  <c r="B3" i="56"/>
  <c r="B2" i="56"/>
  <c r="G40" i="55"/>
  <c r="C40" i="55"/>
  <c r="B40" i="55"/>
  <c r="G38" i="55"/>
  <c r="C38" i="55"/>
  <c r="B38" i="55"/>
  <c r="G35" i="55"/>
  <c r="D35" i="55"/>
  <c r="H35" i="55" s="1"/>
  <c r="C35" i="55"/>
  <c r="B35" i="55"/>
  <c r="G34" i="55"/>
  <c r="D34" i="55"/>
  <c r="H34" i="55" s="1"/>
  <c r="C34" i="55"/>
  <c r="B34" i="55"/>
  <c r="G33" i="55"/>
  <c r="D33" i="55"/>
  <c r="H33" i="55" s="1"/>
  <c r="C33" i="55"/>
  <c r="B33" i="55"/>
  <c r="G32" i="55"/>
  <c r="D32" i="55"/>
  <c r="H32" i="55" s="1"/>
  <c r="C32" i="55"/>
  <c r="B32" i="55"/>
  <c r="H31" i="55"/>
  <c r="G31" i="55"/>
  <c r="C31" i="55"/>
  <c r="E31" i="55" s="1"/>
  <c r="B31" i="55"/>
  <c r="G30" i="55"/>
  <c r="C30" i="55"/>
  <c r="B30" i="55"/>
  <c r="G29" i="55"/>
  <c r="C29" i="55"/>
  <c r="B29" i="55"/>
  <c r="G27" i="55"/>
  <c r="C27" i="55"/>
  <c r="B27" i="55"/>
  <c r="G26" i="55"/>
  <c r="C26" i="55"/>
  <c r="B26" i="55"/>
  <c r="G24" i="55"/>
  <c r="D24" i="55"/>
  <c r="H24" i="55" s="1"/>
  <c r="C24" i="55"/>
  <c r="B24" i="55"/>
  <c r="G23" i="55"/>
  <c r="D23" i="55"/>
  <c r="H23" i="55" s="1"/>
  <c r="C23" i="55"/>
  <c r="B23" i="55"/>
  <c r="G22" i="55"/>
  <c r="D22" i="55"/>
  <c r="H22" i="55" s="1"/>
  <c r="C22" i="55"/>
  <c r="B22" i="55"/>
  <c r="H19" i="55"/>
  <c r="C19" i="55"/>
  <c r="B19" i="55"/>
  <c r="G18" i="55"/>
  <c r="D18" i="55"/>
  <c r="H18" i="55" s="1"/>
  <c r="C18" i="55"/>
  <c r="B18" i="55"/>
  <c r="G17" i="55"/>
  <c r="C17" i="55"/>
  <c r="G15" i="55"/>
  <c r="D15" i="55"/>
  <c r="H15" i="55" s="1"/>
  <c r="C15" i="55"/>
  <c r="B15" i="55"/>
  <c r="G14" i="55"/>
  <c r="D14" i="55"/>
  <c r="H14" i="55" s="1"/>
  <c r="C14" i="55"/>
  <c r="B14" i="55"/>
  <c r="C9" i="55"/>
  <c r="C5" i="55"/>
  <c r="D27" i="55" s="1"/>
  <c r="H27" i="55" s="1"/>
  <c r="B3" i="55"/>
  <c r="B2" i="55"/>
  <c r="G40" i="54"/>
  <c r="C40" i="54"/>
  <c r="B40" i="54"/>
  <c r="G38" i="54"/>
  <c r="C38" i="54"/>
  <c r="B38" i="54"/>
  <c r="G35" i="54"/>
  <c r="D35" i="54"/>
  <c r="H35" i="54" s="1"/>
  <c r="C35" i="54"/>
  <c r="B35" i="54"/>
  <c r="G34" i="54"/>
  <c r="D34" i="54"/>
  <c r="H34" i="54" s="1"/>
  <c r="C34" i="54"/>
  <c r="B34" i="54"/>
  <c r="G33" i="54"/>
  <c r="D33" i="54"/>
  <c r="H33" i="54" s="1"/>
  <c r="C33" i="54"/>
  <c r="B33" i="54"/>
  <c r="G32" i="54"/>
  <c r="D32" i="54"/>
  <c r="H32" i="54" s="1"/>
  <c r="C32" i="54"/>
  <c r="B32" i="54"/>
  <c r="H31" i="54"/>
  <c r="G31" i="54"/>
  <c r="C31" i="54"/>
  <c r="E31" i="54" s="1"/>
  <c r="B31" i="54"/>
  <c r="G30" i="54"/>
  <c r="C30" i="54"/>
  <c r="B30" i="54"/>
  <c r="G29" i="54"/>
  <c r="C29" i="54"/>
  <c r="B29" i="54"/>
  <c r="G27" i="54"/>
  <c r="C27" i="54"/>
  <c r="B27" i="54"/>
  <c r="G26" i="54"/>
  <c r="C26" i="54"/>
  <c r="B26" i="54"/>
  <c r="G24" i="54"/>
  <c r="D24" i="54"/>
  <c r="H24" i="54" s="1"/>
  <c r="C24" i="54"/>
  <c r="B24" i="54"/>
  <c r="G23" i="54"/>
  <c r="D23" i="54"/>
  <c r="H23" i="54" s="1"/>
  <c r="C23" i="54"/>
  <c r="B23" i="54"/>
  <c r="G22" i="54"/>
  <c r="D22" i="54"/>
  <c r="H22" i="54" s="1"/>
  <c r="C22" i="54"/>
  <c r="B22" i="54"/>
  <c r="G19" i="54"/>
  <c r="H19" i="54"/>
  <c r="C19" i="54"/>
  <c r="B19" i="54"/>
  <c r="G18" i="54"/>
  <c r="D18" i="54"/>
  <c r="H18" i="54" s="1"/>
  <c r="C18" i="54"/>
  <c r="B18" i="54"/>
  <c r="G17" i="54"/>
  <c r="C17" i="54"/>
  <c r="G15" i="54"/>
  <c r="D15" i="54"/>
  <c r="H15" i="54" s="1"/>
  <c r="C15" i="54"/>
  <c r="B15" i="54"/>
  <c r="G14" i="54"/>
  <c r="D14" i="54"/>
  <c r="H14" i="54" s="1"/>
  <c r="C14" i="54"/>
  <c r="B14" i="54"/>
  <c r="C9" i="54"/>
  <c r="C5" i="54"/>
  <c r="D29" i="54" s="1"/>
  <c r="B3" i="54"/>
  <c r="B2" i="54"/>
  <c r="I31" i="54" l="1"/>
  <c r="K31" i="54" s="1"/>
  <c r="L31" i="54" s="1"/>
  <c r="E18" i="56"/>
  <c r="E22" i="59"/>
  <c r="E23" i="59"/>
  <c r="E24" i="59"/>
  <c r="E15" i="58"/>
  <c r="E14" i="55"/>
  <c r="E15" i="55"/>
  <c r="E19" i="55"/>
  <c r="I31" i="55"/>
  <c r="K31" i="55" s="1"/>
  <c r="L31" i="55" s="1"/>
  <c r="I24" i="54"/>
  <c r="I32" i="54"/>
  <c r="I23" i="59"/>
  <c r="I32" i="55"/>
  <c r="I35" i="57"/>
  <c r="E15" i="57"/>
  <c r="I33" i="58"/>
  <c r="E22" i="58"/>
  <c r="E22" i="54"/>
  <c r="E23" i="54"/>
  <c r="E32" i="54"/>
  <c r="L32" i="54" s="1"/>
  <c r="E33" i="54"/>
  <c r="E34" i="54"/>
  <c r="E22" i="55"/>
  <c r="E23" i="55"/>
  <c r="E33" i="55"/>
  <c r="E19" i="57"/>
  <c r="E22" i="57"/>
  <c r="E23" i="57"/>
  <c r="E32" i="57"/>
  <c r="L32" i="57" s="1"/>
  <c r="I31" i="58"/>
  <c r="K31" i="58" s="1"/>
  <c r="L31" i="58" s="1"/>
  <c r="E33" i="58"/>
  <c r="E14" i="59"/>
  <c r="E23" i="58"/>
  <c r="D17" i="55"/>
  <c r="E17" i="55" s="1"/>
  <c r="I23" i="55"/>
  <c r="E25" i="56"/>
  <c r="E35" i="56"/>
  <c r="I15" i="57"/>
  <c r="I34" i="54"/>
  <c r="I33" i="55"/>
  <c r="I18" i="56"/>
  <c r="K18" i="56" s="1"/>
  <c r="L18" i="56" s="1"/>
  <c r="I32" i="56"/>
  <c r="K32" i="56" s="1"/>
  <c r="L32" i="56" s="1"/>
  <c r="E34" i="57"/>
  <c r="D17" i="59"/>
  <c r="E17" i="59" s="1"/>
  <c r="I32" i="59"/>
  <c r="K32" i="59" s="1"/>
  <c r="L32" i="59" s="1"/>
  <c r="I34" i="59"/>
  <c r="K34" i="59" s="1"/>
  <c r="L34" i="59" s="1"/>
  <c r="I15" i="54"/>
  <c r="I18" i="54"/>
  <c r="E14" i="54"/>
  <c r="E15" i="54"/>
  <c r="E18" i="54"/>
  <c r="E19" i="54"/>
  <c r="I14" i="55"/>
  <c r="I24" i="55"/>
  <c r="D26" i="55"/>
  <c r="H26" i="55" s="1"/>
  <c r="I26" i="55" s="1"/>
  <c r="E34" i="55"/>
  <c r="I24" i="56"/>
  <c r="E34" i="56"/>
  <c r="E14" i="57"/>
  <c r="I31" i="57"/>
  <c r="K31" i="57" s="1"/>
  <c r="L31" i="57" s="1"/>
  <c r="E33" i="57"/>
  <c r="E14" i="58"/>
  <c r="I15" i="58"/>
  <c r="E34" i="58"/>
  <c r="E19" i="58"/>
  <c r="E15" i="59"/>
  <c r="I24" i="59"/>
  <c r="I35" i="59"/>
  <c r="K35" i="59" s="1"/>
  <c r="L35" i="59" s="1"/>
  <c r="I19" i="54"/>
  <c r="K19" i="54" s="1"/>
  <c r="E32" i="55"/>
  <c r="E15" i="56"/>
  <c r="E19" i="56"/>
  <c r="E24" i="56"/>
  <c r="E36" i="56"/>
  <c r="I14" i="57"/>
  <c r="I32" i="57"/>
  <c r="I33" i="57"/>
  <c r="I14" i="58"/>
  <c r="E32" i="58"/>
  <c r="I14" i="59"/>
  <c r="D31" i="59"/>
  <c r="H31" i="59" s="1"/>
  <c r="I31" i="59" s="1"/>
  <c r="I23" i="54"/>
  <c r="I22" i="55"/>
  <c r="D29" i="55"/>
  <c r="H29" i="55" s="1"/>
  <c r="I29" i="55" s="1"/>
  <c r="I35" i="56"/>
  <c r="I22" i="57"/>
  <c r="D17" i="58"/>
  <c r="E17" i="58" s="1"/>
  <c r="I22" i="58"/>
  <c r="I18" i="59"/>
  <c r="K18" i="59" s="1"/>
  <c r="L18" i="59" s="1"/>
  <c r="D28" i="59"/>
  <c r="H28" i="59" s="1"/>
  <c r="I28" i="59" s="1"/>
  <c r="H17" i="57"/>
  <c r="I17" i="57" s="1"/>
  <c r="D30" i="57"/>
  <c r="H30" i="57" s="1"/>
  <c r="I30" i="57" s="1"/>
  <c r="I35" i="54"/>
  <c r="I14" i="56"/>
  <c r="I22" i="56"/>
  <c r="I33" i="56"/>
  <c r="I24" i="57"/>
  <c r="D26" i="57"/>
  <c r="H26" i="57" s="1"/>
  <c r="I26" i="57" s="1"/>
  <c r="D29" i="57"/>
  <c r="I18" i="55"/>
  <c r="D17" i="57"/>
  <c r="E17" i="57" s="1"/>
  <c r="H17" i="58"/>
  <c r="I17" i="58" s="1"/>
  <c r="D30" i="58"/>
  <c r="H30" i="58" s="1"/>
  <c r="I30" i="58" s="1"/>
  <c r="I35" i="58"/>
  <c r="I15" i="59"/>
  <c r="H17" i="55"/>
  <c r="I17" i="55" s="1"/>
  <c r="D30" i="55"/>
  <c r="H30" i="55" s="1"/>
  <c r="I30" i="55" s="1"/>
  <c r="I35" i="55"/>
  <c r="I15" i="56"/>
  <c r="I23" i="56"/>
  <c r="K23" i="56" s="1"/>
  <c r="L23" i="56" s="1"/>
  <c r="I34" i="56"/>
  <c r="I18" i="57"/>
  <c r="I24" i="58"/>
  <c r="D26" i="58"/>
  <c r="H26" i="58" s="1"/>
  <c r="I26" i="58" s="1"/>
  <c r="D29" i="58"/>
  <c r="H29" i="58" s="1"/>
  <c r="I29" i="58" s="1"/>
  <c r="I32" i="58"/>
  <c r="I22" i="59"/>
  <c r="K22" i="59" s="1"/>
  <c r="L22" i="59" s="1"/>
  <c r="I25" i="59"/>
  <c r="I33" i="59"/>
  <c r="K33" i="59" s="1"/>
  <c r="L33" i="59" s="1"/>
  <c r="I30" i="59"/>
  <c r="I36" i="59"/>
  <c r="E30" i="59"/>
  <c r="E19" i="59"/>
  <c r="E25" i="59"/>
  <c r="D27" i="59"/>
  <c r="H27" i="59" s="1"/>
  <c r="I27" i="59" s="1"/>
  <c r="E36" i="59"/>
  <c r="H17" i="59"/>
  <c r="I17" i="59" s="1"/>
  <c r="I18" i="58"/>
  <c r="I19" i="55"/>
  <c r="E27" i="58"/>
  <c r="I23" i="58"/>
  <c r="I27" i="58"/>
  <c r="I34" i="58"/>
  <c r="E18" i="58"/>
  <c r="E24" i="58"/>
  <c r="E35" i="58"/>
  <c r="E27" i="57"/>
  <c r="I23" i="57"/>
  <c r="I27" i="57"/>
  <c r="I34" i="57"/>
  <c r="E18" i="57"/>
  <c r="E24" i="57"/>
  <c r="E35" i="57"/>
  <c r="H31" i="56"/>
  <c r="I31" i="56" s="1"/>
  <c r="E31" i="56"/>
  <c r="I25" i="56"/>
  <c r="I36" i="56"/>
  <c r="D27" i="56"/>
  <c r="E14" i="56"/>
  <c r="E22" i="56"/>
  <c r="D28" i="56"/>
  <c r="H28" i="56" s="1"/>
  <c r="I28" i="56" s="1"/>
  <c r="E33" i="56"/>
  <c r="H17" i="56"/>
  <c r="I17" i="56" s="1"/>
  <c r="D30" i="56"/>
  <c r="H30" i="56" s="1"/>
  <c r="I30" i="56" s="1"/>
  <c r="D17" i="56"/>
  <c r="E17" i="56" s="1"/>
  <c r="E27" i="55"/>
  <c r="I27" i="55"/>
  <c r="I34" i="55"/>
  <c r="I15" i="55"/>
  <c r="E18" i="55"/>
  <c r="E24" i="55"/>
  <c r="E35" i="55"/>
  <c r="I33" i="54"/>
  <c r="H29" i="54"/>
  <c r="I29" i="54" s="1"/>
  <c r="E29" i="54"/>
  <c r="I22" i="54"/>
  <c r="I14" i="54"/>
  <c r="H17" i="54"/>
  <c r="I17" i="54" s="1"/>
  <c r="D30" i="54"/>
  <c r="D17" i="54"/>
  <c r="E17" i="54" s="1"/>
  <c r="E24" i="54"/>
  <c r="D26" i="54"/>
  <c r="H26" i="54" s="1"/>
  <c r="I26" i="54" s="1"/>
  <c r="E35" i="54"/>
  <c r="D27" i="54"/>
  <c r="H27" i="54" s="1"/>
  <c r="I27" i="54" s="1"/>
  <c r="G18" i="49"/>
  <c r="G19" i="49"/>
  <c r="G22" i="49"/>
  <c r="G23" i="49"/>
  <c r="C18" i="49"/>
  <c r="C19" i="49"/>
  <c r="C22" i="49"/>
  <c r="C23" i="49"/>
  <c r="G18" i="46"/>
  <c r="G19" i="46"/>
  <c r="G22" i="46"/>
  <c r="G23" i="46"/>
  <c r="C18" i="46"/>
  <c r="C19" i="46"/>
  <c r="C22" i="46"/>
  <c r="C23" i="46"/>
  <c r="G18" i="40"/>
  <c r="G19" i="40"/>
  <c r="G22" i="40"/>
  <c r="G23" i="40"/>
  <c r="C18" i="40"/>
  <c r="C19" i="40"/>
  <c r="C22" i="40"/>
  <c r="C23" i="40"/>
  <c r="G18" i="43"/>
  <c r="G19" i="43"/>
  <c r="G22" i="43"/>
  <c r="G23" i="43"/>
  <c r="C18" i="43"/>
  <c r="C19" i="43"/>
  <c r="C22" i="43"/>
  <c r="C23" i="43"/>
  <c r="G18" i="37"/>
  <c r="G19" i="37"/>
  <c r="G22" i="37"/>
  <c r="G23" i="37"/>
  <c r="C18" i="37"/>
  <c r="C19" i="37"/>
  <c r="C22" i="37"/>
  <c r="C23" i="37"/>
  <c r="G18" i="34"/>
  <c r="G19" i="34"/>
  <c r="G22" i="34"/>
  <c r="G23" i="34"/>
  <c r="C18" i="34"/>
  <c r="C19" i="34"/>
  <c r="C22" i="34"/>
  <c r="C23" i="34"/>
  <c r="G18" i="45"/>
  <c r="G19" i="45"/>
  <c r="G22" i="45"/>
  <c r="C18" i="45"/>
  <c r="C19" i="45"/>
  <c r="C22" i="45"/>
  <c r="G18" i="39"/>
  <c r="G19" i="39"/>
  <c r="G22" i="39"/>
  <c r="C18" i="39"/>
  <c r="C19" i="39"/>
  <c r="C22" i="39"/>
  <c r="G18" i="33"/>
  <c r="G19" i="33"/>
  <c r="G22" i="33"/>
  <c r="C18" i="33"/>
  <c r="C19" i="33"/>
  <c r="C22" i="33"/>
  <c r="G18" i="41"/>
  <c r="G19" i="41"/>
  <c r="G22" i="41"/>
  <c r="C18" i="41"/>
  <c r="C19" i="41"/>
  <c r="C22" i="41"/>
  <c r="G18" i="35"/>
  <c r="G19" i="35"/>
  <c r="G22" i="35"/>
  <c r="C18" i="35"/>
  <c r="C19" i="35"/>
  <c r="C22" i="35"/>
  <c r="G22" i="32"/>
  <c r="C22" i="32"/>
  <c r="D23" i="49"/>
  <c r="H23" i="49" s="1"/>
  <c r="D19" i="49"/>
  <c r="H19" i="49" s="1"/>
  <c r="D18" i="49"/>
  <c r="D23" i="46"/>
  <c r="H23" i="46" s="1"/>
  <c r="D19" i="46"/>
  <c r="H19" i="46" s="1"/>
  <c r="D18" i="46"/>
  <c r="H18" i="46" s="1"/>
  <c r="D23" i="40"/>
  <c r="H23" i="40" s="1"/>
  <c r="D19" i="40"/>
  <c r="D18" i="40"/>
  <c r="H18" i="40" s="1"/>
  <c r="D23" i="43"/>
  <c r="H23" i="43" s="1"/>
  <c r="D19" i="43"/>
  <c r="H19" i="43" s="1"/>
  <c r="D18" i="43"/>
  <c r="H18" i="43" s="1"/>
  <c r="D23" i="37"/>
  <c r="H23" i="37" s="1"/>
  <c r="D19" i="37"/>
  <c r="H19" i="37" s="1"/>
  <c r="I19" i="37" s="1"/>
  <c r="D18" i="37"/>
  <c r="H18" i="37" s="1"/>
  <c r="D23" i="34"/>
  <c r="H23" i="34" s="1"/>
  <c r="D19" i="34"/>
  <c r="H19" i="34" s="1"/>
  <c r="D18" i="34"/>
  <c r="H18" i="34" s="1"/>
  <c r="D22" i="48"/>
  <c r="E22" i="48" s="1"/>
  <c r="D19" i="48"/>
  <c r="H19" i="48" s="1"/>
  <c r="I19" i="48" s="1"/>
  <c r="D18" i="48"/>
  <c r="D22" i="45"/>
  <c r="H22" i="45" s="1"/>
  <c r="D19" i="45"/>
  <c r="H19" i="45" s="1"/>
  <c r="D18" i="45"/>
  <c r="H18" i="45" s="1"/>
  <c r="D22" i="39"/>
  <c r="H22" i="39" s="1"/>
  <c r="D19" i="39"/>
  <c r="E19" i="39" s="1"/>
  <c r="D18" i="39"/>
  <c r="H18" i="39" s="1"/>
  <c r="D22" i="42"/>
  <c r="H22" i="42" s="1"/>
  <c r="I22" i="42" s="1"/>
  <c r="D19" i="42"/>
  <c r="H19" i="42" s="1"/>
  <c r="I19" i="42" s="1"/>
  <c r="D18" i="42"/>
  <c r="H18" i="42" s="1"/>
  <c r="I18" i="42" s="1"/>
  <c r="D22" i="36"/>
  <c r="E22" i="36" s="1"/>
  <c r="D19" i="36"/>
  <c r="E19" i="36" s="1"/>
  <c r="D18" i="36"/>
  <c r="H18" i="36" s="1"/>
  <c r="I18" i="36" s="1"/>
  <c r="D22" i="33"/>
  <c r="H22" i="33" s="1"/>
  <c r="D19" i="33"/>
  <c r="D18" i="33"/>
  <c r="D22" i="47"/>
  <c r="E22" i="47" s="1"/>
  <c r="D19" i="47"/>
  <c r="E19" i="47" s="1"/>
  <c r="D18" i="47"/>
  <c r="D22" i="44"/>
  <c r="D19" i="44"/>
  <c r="D18" i="44"/>
  <c r="E18" i="44" s="1"/>
  <c r="D22" i="38"/>
  <c r="E22" i="38" s="1"/>
  <c r="D19" i="38"/>
  <c r="E19" i="38" s="1"/>
  <c r="D18" i="38"/>
  <c r="D22" i="41"/>
  <c r="H22" i="41" s="1"/>
  <c r="D19" i="41"/>
  <c r="H19" i="41" s="1"/>
  <c r="D18" i="41"/>
  <c r="H18" i="41" s="1"/>
  <c r="D22" i="35"/>
  <c r="H22" i="35" s="1"/>
  <c r="D19" i="35"/>
  <c r="H19" i="35" s="1"/>
  <c r="D18" i="35"/>
  <c r="D22" i="32"/>
  <c r="H22" i="32" s="1"/>
  <c r="D21" i="32"/>
  <c r="H21" i="32" s="1"/>
  <c r="D20" i="32"/>
  <c r="H20" i="32" s="1"/>
  <c r="K15" i="58" l="1"/>
  <c r="L15" i="58" s="1"/>
  <c r="K23" i="59"/>
  <c r="L23" i="59" s="1"/>
  <c r="K15" i="55"/>
  <c r="L15" i="55" s="1"/>
  <c r="K24" i="59"/>
  <c r="L24" i="59" s="1"/>
  <c r="E28" i="59"/>
  <c r="K28" i="59" s="1"/>
  <c r="L28" i="59" s="1"/>
  <c r="H22" i="48"/>
  <c r="I22" i="48" s="1"/>
  <c r="K22" i="48" s="1"/>
  <c r="I22" i="33"/>
  <c r="K19" i="55"/>
  <c r="L19" i="55" s="1"/>
  <c r="K14" i="55"/>
  <c r="L14" i="55" s="1"/>
  <c r="K23" i="55"/>
  <c r="L23" i="55" s="1"/>
  <c r="H22" i="38"/>
  <c r="I22" i="38" s="1"/>
  <c r="K22" i="38" s="1"/>
  <c r="K33" i="58"/>
  <c r="L33" i="58" s="1"/>
  <c r="K32" i="54"/>
  <c r="K36" i="56"/>
  <c r="L36" i="56" s="1"/>
  <c r="K17" i="59"/>
  <c r="L17" i="59" s="1"/>
  <c r="K22" i="57"/>
  <c r="L22" i="57" s="1"/>
  <c r="I19" i="43"/>
  <c r="K23" i="57"/>
  <c r="L23" i="57" s="1"/>
  <c r="K14" i="59"/>
  <c r="L14" i="59" s="1"/>
  <c r="E18" i="49"/>
  <c r="L19" i="54"/>
  <c r="K35" i="54"/>
  <c r="L35" i="54" s="1"/>
  <c r="K19" i="57"/>
  <c r="L19" i="57" s="1"/>
  <c r="K34" i="54"/>
  <c r="L34" i="54" s="1"/>
  <c r="K24" i="56"/>
  <c r="L24" i="56" s="1"/>
  <c r="K35" i="56"/>
  <c r="L35" i="56" s="1"/>
  <c r="K23" i="54"/>
  <c r="L23" i="54" s="1"/>
  <c r="I19" i="34"/>
  <c r="K24" i="54"/>
  <c r="L24" i="54" s="1"/>
  <c r="K34" i="56"/>
  <c r="L34" i="56" s="1"/>
  <c r="K14" i="58"/>
  <c r="L14" i="58" s="1"/>
  <c r="K14" i="57"/>
  <c r="L14" i="57" s="1"/>
  <c r="K24" i="55"/>
  <c r="L24" i="55" s="1"/>
  <c r="K22" i="55"/>
  <c r="L22" i="55" s="1"/>
  <c r="K34" i="57"/>
  <c r="L34" i="57" s="1"/>
  <c r="K33" i="57"/>
  <c r="L33" i="57" s="1"/>
  <c r="E18" i="33"/>
  <c r="K25" i="56"/>
  <c r="L25" i="56" s="1"/>
  <c r="K34" i="58"/>
  <c r="L34" i="58" s="1"/>
  <c r="K23" i="58"/>
  <c r="L23" i="58" s="1"/>
  <c r="K32" i="57"/>
  <c r="K15" i="57"/>
  <c r="L15" i="57" s="1"/>
  <c r="E19" i="40"/>
  <c r="K22" i="54"/>
  <c r="L22" i="54" s="1"/>
  <c r="K35" i="57"/>
  <c r="L35" i="57" s="1"/>
  <c r="K35" i="58"/>
  <c r="L35" i="58" s="1"/>
  <c r="K15" i="56"/>
  <c r="L15" i="56" s="1"/>
  <c r="E26" i="55"/>
  <c r="K26" i="55" s="1"/>
  <c r="L26" i="55" s="1"/>
  <c r="H19" i="40"/>
  <c r="I19" i="40" s="1"/>
  <c r="E19" i="48"/>
  <c r="K32" i="55"/>
  <c r="L32" i="55" s="1"/>
  <c r="H19" i="39"/>
  <c r="I19" i="39" s="1"/>
  <c r="K19" i="39" s="1"/>
  <c r="K33" i="54"/>
  <c r="L33" i="54" s="1"/>
  <c r="K22" i="58"/>
  <c r="L22" i="58" s="1"/>
  <c r="K33" i="55"/>
  <c r="L33" i="55" s="1"/>
  <c r="H19" i="47"/>
  <c r="I19" i="47" s="1"/>
  <c r="K19" i="47" s="1"/>
  <c r="L19" i="47" s="1"/>
  <c r="H18" i="33"/>
  <c r="I18" i="33" s="1"/>
  <c r="H22" i="36"/>
  <c r="I22" i="36" s="1"/>
  <c r="K22" i="36" s="1"/>
  <c r="L22" i="36" s="1"/>
  <c r="E22" i="39"/>
  <c r="L22" i="39" s="1"/>
  <c r="E23" i="34"/>
  <c r="E23" i="43"/>
  <c r="E23" i="40"/>
  <c r="L23" i="40" s="1"/>
  <c r="E26" i="57"/>
  <c r="K26" i="57" s="1"/>
  <c r="L26" i="57" s="1"/>
  <c r="H19" i="38"/>
  <c r="I19" i="38" s="1"/>
  <c r="K19" i="38" s="1"/>
  <c r="L19" i="38" s="1"/>
  <c r="H18" i="44"/>
  <c r="I18" i="44" s="1"/>
  <c r="K18" i="44" s="1"/>
  <c r="L18" i="44" s="1"/>
  <c r="H22" i="47"/>
  <c r="I22" i="47" s="1"/>
  <c r="K22" i="47" s="1"/>
  <c r="E21" i="32"/>
  <c r="L21" i="32" s="1"/>
  <c r="I20" i="32"/>
  <c r="E19" i="41"/>
  <c r="I18" i="41"/>
  <c r="K34" i="55"/>
  <c r="L34" i="55" s="1"/>
  <c r="I16" i="58"/>
  <c r="I25" i="58" s="1"/>
  <c r="E18" i="42"/>
  <c r="K18" i="42" s="1"/>
  <c r="I19" i="41"/>
  <c r="E18" i="39"/>
  <c r="E19" i="49"/>
  <c r="E20" i="32"/>
  <c r="E22" i="35"/>
  <c r="I19" i="35"/>
  <c r="E18" i="41"/>
  <c r="I19" i="45"/>
  <c r="E19" i="43"/>
  <c r="K27" i="58"/>
  <c r="L27" i="58" s="1"/>
  <c r="K19" i="58"/>
  <c r="L19" i="58" s="1"/>
  <c r="K14" i="56"/>
  <c r="L14" i="56" s="1"/>
  <c r="H19" i="36"/>
  <c r="I19" i="36" s="1"/>
  <c r="K19" i="36" s="1"/>
  <c r="L19" i="36" s="1"/>
  <c r="H18" i="49"/>
  <c r="E19" i="42"/>
  <c r="E19" i="45"/>
  <c r="L19" i="45" s="1"/>
  <c r="E22" i="42"/>
  <c r="K22" i="42" s="1"/>
  <c r="K29" i="54"/>
  <c r="L29" i="54" s="1"/>
  <c r="I16" i="57"/>
  <c r="I25" i="57" s="1"/>
  <c r="E29" i="55"/>
  <c r="K29" i="55" s="1"/>
  <c r="L29" i="55" s="1"/>
  <c r="E16" i="59"/>
  <c r="E26" i="59" s="1"/>
  <c r="K15" i="54"/>
  <c r="L15" i="54" s="1"/>
  <c r="E19" i="44"/>
  <c r="H19" i="44"/>
  <c r="I19" i="44" s="1"/>
  <c r="I22" i="35"/>
  <c r="E18" i="35"/>
  <c r="H18" i="35"/>
  <c r="I18" i="35" s="1"/>
  <c r="E22" i="32"/>
  <c r="E22" i="45"/>
  <c r="L22" i="45" s="1"/>
  <c r="E18" i="47"/>
  <c r="H18" i="47"/>
  <c r="I18" i="47" s="1"/>
  <c r="E18" i="36"/>
  <c r="K18" i="36" s="1"/>
  <c r="I23" i="34"/>
  <c r="E23" i="37"/>
  <c r="I23" i="37"/>
  <c r="I23" i="43"/>
  <c r="I23" i="40"/>
  <c r="E23" i="46"/>
  <c r="L23" i="46" s="1"/>
  <c r="I23" i="46"/>
  <c r="E23" i="49"/>
  <c r="L23" i="49" s="1"/>
  <c r="I23" i="49"/>
  <c r="E22" i="44"/>
  <c r="H22" i="44"/>
  <c r="I22" i="44" s="1"/>
  <c r="E19" i="33"/>
  <c r="H19" i="33"/>
  <c r="I19" i="33" s="1"/>
  <c r="E19" i="34"/>
  <c r="K19" i="56"/>
  <c r="L19" i="56" s="1"/>
  <c r="H18" i="38"/>
  <c r="I18" i="38" s="1"/>
  <c r="E18" i="38"/>
  <c r="E18" i="48"/>
  <c r="H18" i="48"/>
  <c r="I18" i="48" s="1"/>
  <c r="I22" i="39"/>
  <c r="I18" i="45"/>
  <c r="E30" i="55"/>
  <c r="K30" i="55" s="1"/>
  <c r="L30" i="55" s="1"/>
  <c r="E26" i="58"/>
  <c r="K26" i="58" s="1"/>
  <c r="L26" i="58" s="1"/>
  <c r="I21" i="32"/>
  <c r="E22" i="41"/>
  <c r="I18" i="39"/>
  <c r="I22" i="45"/>
  <c r="E18" i="34"/>
  <c r="I18" i="34"/>
  <c r="E18" i="37"/>
  <c r="I18" i="37"/>
  <c r="E18" i="43"/>
  <c r="I18" i="43"/>
  <c r="E18" i="40"/>
  <c r="I18" i="40"/>
  <c r="E18" i="46"/>
  <c r="I18" i="46"/>
  <c r="I18" i="49"/>
  <c r="K18" i="55"/>
  <c r="L18" i="55" s="1"/>
  <c r="E29" i="58"/>
  <c r="K29" i="58" s="1"/>
  <c r="L29" i="58" s="1"/>
  <c r="K18" i="54"/>
  <c r="L18" i="54" s="1"/>
  <c r="I22" i="32"/>
  <c r="E19" i="35"/>
  <c r="I22" i="41"/>
  <c r="E22" i="33"/>
  <c r="E18" i="45"/>
  <c r="E19" i="37"/>
  <c r="K19" i="37" s="1"/>
  <c r="E19" i="46"/>
  <c r="L19" i="46" s="1"/>
  <c r="I19" i="46"/>
  <c r="I19" i="49"/>
  <c r="K31" i="56"/>
  <c r="L31" i="56" s="1"/>
  <c r="E31" i="59"/>
  <c r="K31" i="59" s="1"/>
  <c r="K32" i="58"/>
  <c r="L32" i="58" s="1"/>
  <c r="K15" i="59"/>
  <c r="L15" i="59" s="1"/>
  <c r="K17" i="58"/>
  <c r="L17" i="58" s="1"/>
  <c r="K33" i="56"/>
  <c r="L33" i="56" s="1"/>
  <c r="H29" i="57"/>
  <c r="I29" i="57" s="1"/>
  <c r="E29" i="57"/>
  <c r="E27" i="54"/>
  <c r="K27" i="54" s="1"/>
  <c r="L27" i="54" s="1"/>
  <c r="I16" i="56"/>
  <c r="I26" i="56" s="1"/>
  <c r="I16" i="59"/>
  <c r="K27" i="55"/>
  <c r="L27" i="55" s="1"/>
  <c r="K17" i="56"/>
  <c r="L17" i="56" s="1"/>
  <c r="E30" i="57"/>
  <c r="K30" i="57" s="1"/>
  <c r="E30" i="58"/>
  <c r="K30" i="58" s="1"/>
  <c r="L30" i="58" s="1"/>
  <c r="K17" i="55"/>
  <c r="L17" i="55" s="1"/>
  <c r="K17" i="57"/>
  <c r="L17" i="57" s="1"/>
  <c r="K19" i="59"/>
  <c r="L19" i="59" s="1"/>
  <c r="K36" i="59"/>
  <c r="L36" i="59" s="1"/>
  <c r="K25" i="59"/>
  <c r="L25" i="59" s="1"/>
  <c r="K30" i="59"/>
  <c r="L30" i="59" s="1"/>
  <c r="E27" i="59"/>
  <c r="E16" i="58"/>
  <c r="K18" i="58"/>
  <c r="L18" i="58" s="1"/>
  <c r="K24" i="58"/>
  <c r="L24" i="58" s="1"/>
  <c r="K18" i="57"/>
  <c r="L18" i="57" s="1"/>
  <c r="K24" i="57"/>
  <c r="L24" i="57" s="1"/>
  <c r="K27" i="57"/>
  <c r="L27" i="57" s="1"/>
  <c r="E16" i="57"/>
  <c r="K22" i="56"/>
  <c r="L22" i="56" s="1"/>
  <c r="E30" i="56"/>
  <c r="E16" i="56"/>
  <c r="H27" i="56"/>
  <c r="I27" i="56" s="1"/>
  <c r="E27" i="56"/>
  <c r="E28" i="56"/>
  <c r="K28" i="56" s="1"/>
  <c r="I16" i="55"/>
  <c r="E16" i="55"/>
  <c r="K35" i="55"/>
  <c r="L35" i="55" s="1"/>
  <c r="K14" i="54"/>
  <c r="L14" i="54" s="1"/>
  <c r="I16" i="54"/>
  <c r="E26" i="54"/>
  <c r="K17" i="54"/>
  <c r="L17" i="54" s="1"/>
  <c r="E16" i="54"/>
  <c r="H30" i="54"/>
  <c r="I30" i="54" s="1"/>
  <c r="E30" i="54"/>
  <c r="L22" i="48"/>
  <c r="L19" i="39"/>
  <c r="L22" i="47"/>
  <c r="L22" i="38"/>
  <c r="B23" i="49"/>
  <c r="B19" i="49"/>
  <c r="B18" i="49"/>
  <c r="B23" i="46"/>
  <c r="B19" i="46"/>
  <c r="B18" i="46"/>
  <c r="B23" i="40"/>
  <c r="B19" i="40"/>
  <c r="B18" i="40"/>
  <c r="B23" i="43"/>
  <c r="B19" i="43"/>
  <c r="B18" i="43"/>
  <c r="B23" i="37"/>
  <c r="B19" i="37"/>
  <c r="B18" i="37"/>
  <c r="B23" i="34"/>
  <c r="B19" i="34"/>
  <c r="B18" i="34"/>
  <c r="B19" i="48"/>
  <c r="B22" i="48"/>
  <c r="B18" i="48"/>
  <c r="B19" i="45"/>
  <c r="B22" i="45"/>
  <c r="B18" i="45"/>
  <c r="B19" i="39"/>
  <c r="B22" i="39"/>
  <c r="B18" i="39"/>
  <c r="B19" i="42"/>
  <c r="B22" i="42"/>
  <c r="B18" i="42"/>
  <c r="B19" i="36"/>
  <c r="B22" i="36"/>
  <c r="B18" i="36"/>
  <c r="B19" i="33"/>
  <c r="B22" i="33"/>
  <c r="B18" i="33"/>
  <c r="B19" i="47"/>
  <c r="B22" i="47"/>
  <c r="B18" i="47"/>
  <c r="B19" i="44"/>
  <c r="B22" i="44"/>
  <c r="B18" i="44"/>
  <c r="B19" i="38"/>
  <c r="B22" i="38"/>
  <c r="B18" i="38"/>
  <c r="B19" i="41"/>
  <c r="B22" i="41"/>
  <c r="B18" i="41"/>
  <c r="B19" i="35"/>
  <c r="B22" i="35"/>
  <c r="B18" i="35"/>
  <c r="B22" i="32"/>
  <c r="K20" i="32" l="1"/>
  <c r="K23" i="43"/>
  <c r="L23" i="43" s="1"/>
  <c r="K16" i="59"/>
  <c r="L16" i="59" s="1"/>
  <c r="K19" i="49"/>
  <c r="L19" i="49" s="1"/>
  <c r="K23" i="46"/>
  <c r="K23" i="37"/>
  <c r="L23" i="37" s="1"/>
  <c r="L18" i="42"/>
  <c r="L19" i="37"/>
  <c r="K18" i="49"/>
  <c r="L18" i="49" s="1"/>
  <c r="K16" i="58"/>
  <c r="L16" i="58" s="1"/>
  <c r="K19" i="42"/>
  <c r="L19" i="42" s="1"/>
  <c r="K18" i="43"/>
  <c r="L18" i="43" s="1"/>
  <c r="K18" i="34"/>
  <c r="L18" i="34" s="1"/>
  <c r="K22" i="35"/>
  <c r="L22" i="35" s="1"/>
  <c r="K19" i="41"/>
  <c r="L19" i="41" s="1"/>
  <c r="K18" i="41"/>
  <c r="L18" i="41" s="1"/>
  <c r="K19" i="46"/>
  <c r="K18" i="35"/>
  <c r="L18" i="35" s="1"/>
  <c r="K19" i="44"/>
  <c r="L19" i="44" s="1"/>
  <c r="K21" i="32"/>
  <c r="K18" i="37"/>
  <c r="L18" i="37" s="1"/>
  <c r="K18" i="39"/>
  <c r="L18" i="39" s="1"/>
  <c r="K23" i="40"/>
  <c r="L22" i="42"/>
  <c r="K19" i="45"/>
  <c r="L20" i="32"/>
  <c r="L31" i="59"/>
  <c r="K22" i="39"/>
  <c r="K19" i="33"/>
  <c r="L19" i="33" s="1"/>
  <c r="K22" i="33"/>
  <c r="L22" i="33" s="1"/>
  <c r="K19" i="40"/>
  <c r="L19" i="40" s="1"/>
  <c r="K18" i="33"/>
  <c r="L18" i="33" s="1"/>
  <c r="L18" i="36"/>
  <c r="K19" i="48"/>
  <c r="L19" i="48" s="1"/>
  <c r="I26" i="59"/>
  <c r="K26" i="59" s="1"/>
  <c r="L26" i="59" s="1"/>
  <c r="K18" i="45"/>
  <c r="L18" i="45" s="1"/>
  <c r="K22" i="45"/>
  <c r="K23" i="34"/>
  <c r="L23" i="34" s="1"/>
  <c r="K18" i="38"/>
  <c r="L18" i="38" s="1"/>
  <c r="K19" i="43"/>
  <c r="L19" i="43" s="1"/>
  <c r="K22" i="41"/>
  <c r="L22" i="41" s="1"/>
  <c r="K18" i="46"/>
  <c r="L18" i="46" s="1"/>
  <c r="K22" i="44"/>
  <c r="K22" i="32"/>
  <c r="L22" i="32" s="1"/>
  <c r="K18" i="48"/>
  <c r="L18" i="48" s="1"/>
  <c r="K23" i="49"/>
  <c r="K18" i="40"/>
  <c r="L18" i="40" s="1"/>
  <c r="K30" i="54"/>
  <c r="L30" i="54" s="1"/>
  <c r="K19" i="35"/>
  <c r="L19" i="35" s="1"/>
  <c r="L22" i="44"/>
  <c r="K18" i="47"/>
  <c r="L18" i="47" s="1"/>
  <c r="K27" i="56"/>
  <c r="L27" i="56" s="1"/>
  <c r="L30" i="57"/>
  <c r="K19" i="34"/>
  <c r="L19" i="34" s="1"/>
  <c r="K29" i="57"/>
  <c r="L29" i="57" s="1"/>
  <c r="E29" i="59"/>
  <c r="F11" i="53" s="1"/>
  <c r="K27" i="59"/>
  <c r="L27" i="59" s="1"/>
  <c r="I28" i="58"/>
  <c r="G11" i="52" s="1"/>
  <c r="E25" i="58"/>
  <c r="K25" i="58" s="1"/>
  <c r="I28" i="57"/>
  <c r="G11" i="51" s="1"/>
  <c r="E25" i="57"/>
  <c r="K16" i="57"/>
  <c r="L16" i="57" s="1"/>
  <c r="I29" i="56"/>
  <c r="G9" i="53" s="1"/>
  <c r="E26" i="56"/>
  <c r="K26" i="56" s="1"/>
  <c r="K30" i="56"/>
  <c r="L30" i="56" s="1"/>
  <c r="L28" i="56"/>
  <c r="K16" i="56"/>
  <c r="L16" i="56" s="1"/>
  <c r="E25" i="55"/>
  <c r="K16" i="55"/>
  <c r="L16" i="55" s="1"/>
  <c r="I25" i="55"/>
  <c r="E25" i="54"/>
  <c r="K16" i="54"/>
  <c r="L16" i="54" s="1"/>
  <c r="I25" i="54"/>
  <c r="K26" i="54"/>
  <c r="L26" i="54" s="1"/>
  <c r="B3" i="40"/>
  <c r="I29" i="59" l="1"/>
  <c r="G11" i="53" s="1"/>
  <c r="H11" i="53" s="1"/>
  <c r="I11" i="53" s="1"/>
  <c r="E38" i="59"/>
  <c r="I37" i="58"/>
  <c r="L25" i="58"/>
  <c r="E28" i="58"/>
  <c r="E28" i="57"/>
  <c r="F11" i="51" s="1"/>
  <c r="H11" i="51" s="1"/>
  <c r="I11" i="51" s="1"/>
  <c r="K25" i="57"/>
  <c r="L25" i="57" s="1"/>
  <c r="I37" i="57"/>
  <c r="I38" i="56"/>
  <c r="L26" i="56"/>
  <c r="E29" i="56"/>
  <c r="F9" i="53" s="1"/>
  <c r="E28" i="55"/>
  <c r="F9" i="52" s="1"/>
  <c r="I28" i="55"/>
  <c r="G9" i="52" s="1"/>
  <c r="K25" i="55"/>
  <c r="L25" i="55" s="1"/>
  <c r="E28" i="54"/>
  <c r="F9" i="51" s="1"/>
  <c r="I28" i="54"/>
  <c r="G9" i="51" s="1"/>
  <c r="K25" i="54"/>
  <c r="L25" i="54" s="1"/>
  <c r="G32" i="39"/>
  <c r="D32" i="39"/>
  <c r="C32" i="39"/>
  <c r="B32" i="39"/>
  <c r="D32" i="38"/>
  <c r="G32" i="38"/>
  <c r="C32" i="38"/>
  <c r="B32" i="38"/>
  <c r="I38" i="59" l="1"/>
  <c r="I39" i="59" s="1"/>
  <c r="K29" i="59"/>
  <c r="L29" i="59" s="1"/>
  <c r="H9" i="52"/>
  <c r="I9" i="52" s="1"/>
  <c r="K29" i="56"/>
  <c r="L29" i="56" s="1"/>
  <c r="H9" i="51"/>
  <c r="I9" i="51" s="1"/>
  <c r="K28" i="58"/>
  <c r="L28" i="58" s="1"/>
  <c r="F11" i="52"/>
  <c r="H11" i="52" s="1"/>
  <c r="I11" i="52" s="1"/>
  <c r="H9" i="53"/>
  <c r="I9" i="53" s="1"/>
  <c r="E39" i="59"/>
  <c r="E40" i="59" s="1"/>
  <c r="E37" i="58"/>
  <c r="K37" i="58" s="1"/>
  <c r="I38" i="58"/>
  <c r="E37" i="57"/>
  <c r="K37" i="57" s="1"/>
  <c r="I38" i="57"/>
  <c r="K28" i="57"/>
  <c r="L28" i="57" s="1"/>
  <c r="I39" i="56"/>
  <c r="E38" i="56"/>
  <c r="K28" i="55"/>
  <c r="L28" i="55" s="1"/>
  <c r="I37" i="55"/>
  <c r="E37" i="55"/>
  <c r="E37" i="54"/>
  <c r="K28" i="54"/>
  <c r="L28" i="54" s="1"/>
  <c r="I37" i="54"/>
  <c r="D16" i="53"/>
  <c r="D28" i="53" s="1"/>
  <c r="D15" i="53"/>
  <c r="D27" i="53" s="1"/>
  <c r="D13" i="53"/>
  <c r="D25" i="53" s="1"/>
  <c r="C16" i="53"/>
  <c r="C28" i="53" s="1"/>
  <c r="C15" i="53"/>
  <c r="C27" i="53" s="1"/>
  <c r="C14" i="53"/>
  <c r="C26" i="53" s="1"/>
  <c r="C13" i="53"/>
  <c r="C25" i="53" s="1"/>
  <c r="C12" i="53"/>
  <c r="C24" i="53" s="1"/>
  <c r="C10" i="53"/>
  <c r="C22" i="53" s="1"/>
  <c r="D16" i="52"/>
  <c r="D28" i="52" s="1"/>
  <c r="D15" i="52"/>
  <c r="D27" i="52" s="1"/>
  <c r="D13" i="52"/>
  <c r="D25" i="52" s="1"/>
  <c r="C16" i="52"/>
  <c r="C28" i="52" s="1"/>
  <c r="C15" i="52"/>
  <c r="C27" i="52" s="1"/>
  <c r="C14" i="52"/>
  <c r="C26" i="52" s="1"/>
  <c r="C13" i="52"/>
  <c r="C25" i="52" s="1"/>
  <c r="C12" i="52"/>
  <c r="C24" i="52" s="1"/>
  <c r="C10" i="52"/>
  <c r="C22" i="52" s="1"/>
  <c r="D16" i="51"/>
  <c r="D28" i="51" s="1"/>
  <c r="D15" i="51"/>
  <c r="D27" i="51" s="1"/>
  <c r="D13" i="51"/>
  <c r="D25" i="51" s="1"/>
  <c r="C16" i="51"/>
  <c r="C28" i="51" s="1"/>
  <c r="C15" i="51"/>
  <c r="C27" i="51" s="1"/>
  <c r="C14" i="51"/>
  <c r="C26" i="51" s="1"/>
  <c r="C13" i="51"/>
  <c r="C25" i="51" s="1"/>
  <c r="C12" i="51"/>
  <c r="C24" i="51" s="1"/>
  <c r="C10" i="51"/>
  <c r="C22" i="51" s="1"/>
  <c r="K38" i="59" l="1"/>
  <c r="L38" i="59" s="1"/>
  <c r="K39" i="59"/>
  <c r="L39" i="59" s="1"/>
  <c r="E41" i="59"/>
  <c r="E42" i="59" s="1"/>
  <c r="F23" i="53" s="1"/>
  <c r="I40" i="59"/>
  <c r="L37" i="58"/>
  <c r="E38" i="58"/>
  <c r="K38" i="58" s="1"/>
  <c r="I39" i="58"/>
  <c r="L37" i="57"/>
  <c r="E38" i="57"/>
  <c r="K38" i="57" s="1"/>
  <c r="I39" i="57"/>
  <c r="E39" i="56"/>
  <c r="K39" i="56" s="1"/>
  <c r="I40" i="56"/>
  <c r="K38" i="56"/>
  <c r="L38" i="56" s="1"/>
  <c r="E38" i="55"/>
  <c r="I38" i="55"/>
  <c r="I39" i="55" s="1"/>
  <c r="K37" i="55"/>
  <c r="L37" i="55" s="1"/>
  <c r="E38" i="54"/>
  <c r="E39" i="54" s="1"/>
  <c r="I38" i="54"/>
  <c r="K37" i="54"/>
  <c r="L37" i="54" s="1"/>
  <c r="G27" i="49"/>
  <c r="G26" i="49"/>
  <c r="C27" i="49"/>
  <c r="C26" i="49"/>
  <c r="G24" i="49"/>
  <c r="G17" i="49"/>
  <c r="C24" i="49"/>
  <c r="G15" i="49"/>
  <c r="G14" i="49"/>
  <c r="C15" i="49"/>
  <c r="C14" i="49"/>
  <c r="B3" i="49"/>
  <c r="G38" i="49"/>
  <c r="C38" i="49"/>
  <c r="B38" i="49"/>
  <c r="G36" i="49"/>
  <c r="C36" i="49"/>
  <c r="B36" i="49"/>
  <c r="G33" i="49"/>
  <c r="D33" i="49"/>
  <c r="H33" i="49" s="1"/>
  <c r="C33" i="49"/>
  <c r="B33" i="49"/>
  <c r="G32" i="49"/>
  <c r="D32" i="49"/>
  <c r="H32" i="49" s="1"/>
  <c r="C32" i="49"/>
  <c r="B32" i="49"/>
  <c r="G31" i="49"/>
  <c r="H31" i="49"/>
  <c r="C31" i="49"/>
  <c r="B31" i="49"/>
  <c r="G30" i="49"/>
  <c r="C30" i="49"/>
  <c r="B30" i="49"/>
  <c r="G29" i="49"/>
  <c r="C29" i="49"/>
  <c r="B29" i="49"/>
  <c r="D27" i="49"/>
  <c r="H27" i="49" s="1"/>
  <c r="B27" i="49"/>
  <c r="D26" i="49"/>
  <c r="B26" i="49"/>
  <c r="D24" i="49"/>
  <c r="H24" i="49" s="1"/>
  <c r="B24" i="49"/>
  <c r="D22" i="49"/>
  <c r="B22" i="49"/>
  <c r="C17" i="49"/>
  <c r="D15" i="49"/>
  <c r="H15" i="49" s="1"/>
  <c r="B15" i="49"/>
  <c r="D14" i="49"/>
  <c r="B14" i="49"/>
  <c r="C9" i="49"/>
  <c r="C5" i="49"/>
  <c r="D29" i="49" s="1"/>
  <c r="H29" i="49" s="1"/>
  <c r="B2" i="49"/>
  <c r="G26" i="48"/>
  <c r="G25" i="48"/>
  <c r="C26" i="48"/>
  <c r="C25" i="48"/>
  <c r="G15" i="48"/>
  <c r="G14" i="48"/>
  <c r="G23" i="48"/>
  <c r="G17" i="48"/>
  <c r="C23" i="48"/>
  <c r="C15" i="48"/>
  <c r="C14" i="48"/>
  <c r="D32" i="47"/>
  <c r="D32" i="48"/>
  <c r="H32" i="48" s="1"/>
  <c r="B3" i="48"/>
  <c r="G37" i="48"/>
  <c r="C37" i="48"/>
  <c r="B37" i="48"/>
  <c r="G35" i="48"/>
  <c r="C35" i="48"/>
  <c r="B35" i="48"/>
  <c r="G32" i="48"/>
  <c r="C32" i="48"/>
  <c r="B32" i="48"/>
  <c r="G31" i="48"/>
  <c r="D31" i="48"/>
  <c r="H31" i="48" s="1"/>
  <c r="C31" i="48"/>
  <c r="B31" i="48"/>
  <c r="G30" i="48"/>
  <c r="H30" i="48"/>
  <c r="C30" i="48"/>
  <c r="B30" i="48"/>
  <c r="G29" i="48"/>
  <c r="C29" i="48"/>
  <c r="B29" i="48"/>
  <c r="G28" i="48"/>
  <c r="C28" i="48"/>
  <c r="B28" i="48"/>
  <c r="D26" i="48"/>
  <c r="H26" i="48" s="1"/>
  <c r="B26" i="48"/>
  <c r="D25" i="48"/>
  <c r="H25" i="48" s="1"/>
  <c r="B25" i="48"/>
  <c r="D23" i="48"/>
  <c r="H23" i="48" s="1"/>
  <c r="B23" i="48"/>
  <c r="C17" i="48"/>
  <c r="D15" i="48"/>
  <c r="H15" i="48" s="1"/>
  <c r="B15" i="48"/>
  <c r="D14" i="48"/>
  <c r="H14" i="48" s="1"/>
  <c r="B14" i="48"/>
  <c r="C9" i="48"/>
  <c r="C5" i="48"/>
  <c r="D17" i="48" s="1"/>
  <c r="B2" i="48"/>
  <c r="G26" i="47"/>
  <c r="G25" i="47"/>
  <c r="C26" i="47"/>
  <c r="C25" i="47"/>
  <c r="G15" i="47"/>
  <c r="G14" i="47"/>
  <c r="G23" i="47"/>
  <c r="G17" i="47"/>
  <c r="C23" i="47"/>
  <c r="C15" i="47"/>
  <c r="C14" i="47"/>
  <c r="B3" i="47"/>
  <c r="G37" i="47"/>
  <c r="C37" i="47"/>
  <c r="B37" i="47"/>
  <c r="G35" i="47"/>
  <c r="C35" i="47"/>
  <c r="B35" i="47"/>
  <c r="G32" i="47"/>
  <c r="C32" i="47"/>
  <c r="B32" i="47"/>
  <c r="G31" i="47"/>
  <c r="D31" i="47"/>
  <c r="H31" i="47" s="1"/>
  <c r="C31" i="47"/>
  <c r="B31" i="47"/>
  <c r="G30" i="47"/>
  <c r="H30" i="47"/>
  <c r="C30" i="47"/>
  <c r="B30" i="47"/>
  <c r="G29" i="47"/>
  <c r="C29" i="47"/>
  <c r="B29" i="47"/>
  <c r="G28" i="47"/>
  <c r="C28" i="47"/>
  <c r="B28" i="47"/>
  <c r="D26" i="47"/>
  <c r="H26" i="47" s="1"/>
  <c r="B26" i="47"/>
  <c r="D25" i="47"/>
  <c r="H25" i="47" s="1"/>
  <c r="B25" i="47"/>
  <c r="D23" i="47"/>
  <c r="H23" i="47" s="1"/>
  <c r="B23" i="47"/>
  <c r="C17" i="47"/>
  <c r="D15" i="47"/>
  <c r="H15" i="47" s="1"/>
  <c r="B15" i="47"/>
  <c r="D14" i="47"/>
  <c r="H14" i="47" s="1"/>
  <c r="B14" i="47"/>
  <c r="C9" i="47"/>
  <c r="C5" i="47"/>
  <c r="D28" i="47" s="1"/>
  <c r="B2" i="47"/>
  <c r="D22" i="46"/>
  <c r="G24" i="46"/>
  <c r="G17" i="46"/>
  <c r="C24" i="46"/>
  <c r="B22" i="46"/>
  <c r="G15" i="46"/>
  <c r="G14" i="46"/>
  <c r="C15" i="46"/>
  <c r="C14" i="46"/>
  <c r="B3" i="46"/>
  <c r="B2" i="46"/>
  <c r="G38" i="46"/>
  <c r="C38" i="46"/>
  <c r="B38" i="46"/>
  <c r="G36" i="46"/>
  <c r="C36" i="46"/>
  <c r="B36" i="46"/>
  <c r="G33" i="46"/>
  <c r="D33" i="46"/>
  <c r="H33" i="46" s="1"/>
  <c r="C33" i="46"/>
  <c r="B33" i="46"/>
  <c r="G32" i="46"/>
  <c r="D32" i="46"/>
  <c r="H32" i="46" s="1"/>
  <c r="C32" i="46"/>
  <c r="B32" i="46"/>
  <c r="H31" i="46"/>
  <c r="G31" i="46"/>
  <c r="C31" i="46"/>
  <c r="E31" i="46" s="1"/>
  <c r="B31" i="46"/>
  <c r="G30" i="46"/>
  <c r="C30" i="46"/>
  <c r="B30" i="46"/>
  <c r="G29" i="46"/>
  <c r="C29" i="46"/>
  <c r="B29" i="46"/>
  <c r="G27" i="46"/>
  <c r="D27" i="46"/>
  <c r="H27" i="46" s="1"/>
  <c r="C27" i="46"/>
  <c r="B27" i="46"/>
  <c r="G26" i="46"/>
  <c r="D26" i="46"/>
  <c r="H26" i="46" s="1"/>
  <c r="C26" i="46"/>
  <c r="B26" i="46"/>
  <c r="D24" i="46"/>
  <c r="B24" i="46"/>
  <c r="C17" i="46"/>
  <c r="D15" i="46"/>
  <c r="H15" i="46" s="1"/>
  <c r="B15" i="46"/>
  <c r="D14" i="46"/>
  <c r="B14" i="46"/>
  <c r="C9" i="46"/>
  <c r="C5" i="46"/>
  <c r="G31" i="45"/>
  <c r="C31" i="45"/>
  <c r="G26" i="45"/>
  <c r="G25" i="45"/>
  <c r="C26" i="45"/>
  <c r="C25" i="45"/>
  <c r="G23" i="45"/>
  <c r="G17" i="45"/>
  <c r="C23" i="45"/>
  <c r="G15" i="45"/>
  <c r="G14" i="45"/>
  <c r="C15" i="45"/>
  <c r="C14" i="45"/>
  <c r="B3" i="45"/>
  <c r="B2" i="45"/>
  <c r="G37" i="45"/>
  <c r="C37" i="45"/>
  <c r="B37" i="45"/>
  <c r="G35" i="45"/>
  <c r="C35" i="45"/>
  <c r="B35" i="45"/>
  <c r="G32" i="45"/>
  <c r="D32" i="45"/>
  <c r="H32" i="45" s="1"/>
  <c r="C32" i="45"/>
  <c r="B32" i="45"/>
  <c r="D31" i="45"/>
  <c r="B31" i="45"/>
  <c r="H30" i="45"/>
  <c r="G30" i="45"/>
  <c r="C30" i="45"/>
  <c r="E30" i="45" s="1"/>
  <c r="B30" i="45"/>
  <c r="G29" i="45"/>
  <c r="C29" i="45"/>
  <c r="B29" i="45"/>
  <c r="G28" i="45"/>
  <c r="C28" i="45"/>
  <c r="B28" i="45"/>
  <c r="D26" i="45"/>
  <c r="B26" i="45"/>
  <c r="D25" i="45"/>
  <c r="B25" i="45"/>
  <c r="D23" i="45"/>
  <c r="H23" i="45" s="1"/>
  <c r="B23" i="45"/>
  <c r="C17" i="45"/>
  <c r="D15" i="45"/>
  <c r="H15" i="45" s="1"/>
  <c r="B15" i="45"/>
  <c r="D14" i="45"/>
  <c r="B14" i="45"/>
  <c r="C9" i="45"/>
  <c r="C5" i="45"/>
  <c r="D28" i="45" s="1"/>
  <c r="H28" i="45" s="1"/>
  <c r="D33" i="43"/>
  <c r="H33" i="43" s="1"/>
  <c r="D32" i="42"/>
  <c r="H32" i="42" s="1"/>
  <c r="D32" i="41"/>
  <c r="H32" i="41" s="1"/>
  <c r="D32" i="44"/>
  <c r="H32" i="44" s="1"/>
  <c r="G26" i="44"/>
  <c r="G25" i="44"/>
  <c r="C26" i="44"/>
  <c r="C25" i="44"/>
  <c r="G23" i="44"/>
  <c r="G17" i="44"/>
  <c r="C23" i="44"/>
  <c r="G15" i="44"/>
  <c r="G14" i="44"/>
  <c r="C15" i="44"/>
  <c r="C14" i="44"/>
  <c r="B3" i="44"/>
  <c r="G37" i="44"/>
  <c r="C37" i="44"/>
  <c r="B37" i="44"/>
  <c r="G35" i="44"/>
  <c r="C35" i="44"/>
  <c r="B35" i="44"/>
  <c r="G32" i="44"/>
  <c r="C32" i="44"/>
  <c r="B32" i="44"/>
  <c r="G31" i="44"/>
  <c r="D31" i="44"/>
  <c r="C31" i="44"/>
  <c r="B31" i="44"/>
  <c r="H30" i="44"/>
  <c r="G30" i="44"/>
  <c r="C30" i="44"/>
  <c r="E30" i="44" s="1"/>
  <c r="B30" i="44"/>
  <c r="G29" i="44"/>
  <c r="C29" i="44"/>
  <c r="B29" i="44"/>
  <c r="G28" i="44"/>
  <c r="C28" i="44"/>
  <c r="B28" i="44"/>
  <c r="D26" i="44"/>
  <c r="B26" i="44"/>
  <c r="D25" i="44"/>
  <c r="B25" i="44"/>
  <c r="D23" i="44"/>
  <c r="H23" i="44" s="1"/>
  <c r="B23" i="44"/>
  <c r="C17" i="44"/>
  <c r="D15" i="44"/>
  <c r="H15" i="44" s="1"/>
  <c r="B15" i="44"/>
  <c r="D14" i="44"/>
  <c r="B14" i="44"/>
  <c r="C9" i="44"/>
  <c r="C5" i="44"/>
  <c r="D28" i="44" s="1"/>
  <c r="H28" i="44" s="1"/>
  <c r="B2" i="44"/>
  <c r="G32" i="43"/>
  <c r="C32" i="43"/>
  <c r="G27" i="43"/>
  <c r="G26" i="43"/>
  <c r="C27" i="43"/>
  <c r="C26" i="43"/>
  <c r="G24" i="43"/>
  <c r="G17" i="43"/>
  <c r="C24" i="43"/>
  <c r="G15" i="43"/>
  <c r="G14" i="43"/>
  <c r="C15" i="43"/>
  <c r="C14" i="43"/>
  <c r="D22" i="43"/>
  <c r="H22" i="43" s="1"/>
  <c r="B22" i="43"/>
  <c r="B3" i="43"/>
  <c r="B2" i="43"/>
  <c r="G38" i="43"/>
  <c r="C38" i="43"/>
  <c r="B38" i="43"/>
  <c r="G36" i="43"/>
  <c r="C36" i="43"/>
  <c r="B36" i="43"/>
  <c r="G33" i="43"/>
  <c r="C33" i="43"/>
  <c r="B33" i="43"/>
  <c r="D32" i="43"/>
  <c r="H32" i="43" s="1"/>
  <c r="B32" i="43"/>
  <c r="H31" i="43"/>
  <c r="G31" i="43"/>
  <c r="C31" i="43"/>
  <c r="E31" i="43" s="1"/>
  <c r="B31" i="43"/>
  <c r="G30" i="43"/>
  <c r="C30" i="43"/>
  <c r="B30" i="43"/>
  <c r="G29" i="43"/>
  <c r="C29" i="43"/>
  <c r="B29" i="43"/>
  <c r="D27" i="43"/>
  <c r="H27" i="43" s="1"/>
  <c r="B27" i="43"/>
  <c r="D26" i="43"/>
  <c r="H26" i="43" s="1"/>
  <c r="B26" i="43"/>
  <c r="D24" i="43"/>
  <c r="H24" i="43" s="1"/>
  <c r="B24" i="43"/>
  <c r="C17" i="43"/>
  <c r="D15" i="43"/>
  <c r="H15" i="43" s="1"/>
  <c r="B15" i="43"/>
  <c r="D14" i="43"/>
  <c r="H14" i="43" s="1"/>
  <c r="B14" i="43"/>
  <c r="C9" i="43"/>
  <c r="C5" i="43"/>
  <c r="D29" i="43" s="1"/>
  <c r="H29" i="43" s="1"/>
  <c r="G31" i="42"/>
  <c r="C31" i="42"/>
  <c r="G25" i="42"/>
  <c r="C26" i="42"/>
  <c r="C25" i="42"/>
  <c r="G23" i="42"/>
  <c r="G17" i="42"/>
  <c r="C23" i="42"/>
  <c r="C15" i="42"/>
  <c r="C14" i="42"/>
  <c r="B3" i="42"/>
  <c r="B2" i="42"/>
  <c r="G37" i="42"/>
  <c r="C37" i="42"/>
  <c r="B37" i="42"/>
  <c r="G35" i="42"/>
  <c r="C35" i="42"/>
  <c r="B35" i="42"/>
  <c r="G32" i="42"/>
  <c r="C32" i="42"/>
  <c r="B32" i="42"/>
  <c r="D31" i="42"/>
  <c r="H31" i="42" s="1"/>
  <c r="B31" i="42"/>
  <c r="G30" i="42"/>
  <c r="H30" i="42"/>
  <c r="C30" i="42"/>
  <c r="E30" i="42" s="1"/>
  <c r="B30" i="42"/>
  <c r="G29" i="42"/>
  <c r="C29" i="42"/>
  <c r="B29" i="42"/>
  <c r="G28" i="42"/>
  <c r="C28" i="42"/>
  <c r="B28" i="42"/>
  <c r="G26" i="42"/>
  <c r="D26" i="42"/>
  <c r="H26" i="42" s="1"/>
  <c r="B26" i="42"/>
  <c r="D25" i="42"/>
  <c r="H25" i="42" s="1"/>
  <c r="B25" i="42"/>
  <c r="D23" i="42"/>
  <c r="H23" i="42" s="1"/>
  <c r="B23" i="42"/>
  <c r="C17" i="42"/>
  <c r="G15" i="42"/>
  <c r="D15" i="42"/>
  <c r="B15" i="42"/>
  <c r="G14" i="42"/>
  <c r="D14" i="42"/>
  <c r="H14" i="42" s="1"/>
  <c r="B14" i="42"/>
  <c r="C9" i="42"/>
  <c r="C5" i="42"/>
  <c r="H17" i="42" s="1"/>
  <c r="G32" i="41"/>
  <c r="C32" i="41"/>
  <c r="B32" i="41"/>
  <c r="G26" i="41"/>
  <c r="G25" i="41"/>
  <c r="D26" i="41"/>
  <c r="D25" i="41"/>
  <c r="C26" i="41"/>
  <c r="C25" i="41"/>
  <c r="G23" i="41"/>
  <c r="G17" i="41"/>
  <c r="C23" i="41"/>
  <c r="D23" i="41"/>
  <c r="H23" i="41" s="1"/>
  <c r="D15" i="41"/>
  <c r="H15" i="41" s="1"/>
  <c r="G15" i="41"/>
  <c r="G14" i="41"/>
  <c r="C15" i="41"/>
  <c r="C14" i="41"/>
  <c r="B3" i="41"/>
  <c r="G37" i="41"/>
  <c r="C37" i="41"/>
  <c r="B37" i="41"/>
  <c r="G35" i="41"/>
  <c r="C35" i="41"/>
  <c r="B35" i="41"/>
  <c r="G31" i="41"/>
  <c r="D31" i="41"/>
  <c r="H31" i="41" s="1"/>
  <c r="C31" i="41"/>
  <c r="B31" i="41"/>
  <c r="G30" i="41"/>
  <c r="H30" i="41"/>
  <c r="C30" i="41"/>
  <c r="B30" i="41"/>
  <c r="G29" i="41"/>
  <c r="C29" i="41"/>
  <c r="B29" i="41"/>
  <c r="G28" i="41"/>
  <c r="C28" i="41"/>
  <c r="B28" i="41"/>
  <c r="B26" i="41"/>
  <c r="B25" i="41"/>
  <c r="B23" i="41"/>
  <c r="C17" i="41"/>
  <c r="B15" i="41"/>
  <c r="D14" i="41"/>
  <c r="H14" i="41" s="1"/>
  <c r="B14" i="41"/>
  <c r="C9" i="41"/>
  <c r="C5" i="41"/>
  <c r="D29" i="41" s="1"/>
  <c r="H29" i="41" s="1"/>
  <c r="B2" i="41"/>
  <c r="D22" i="40"/>
  <c r="D22" i="37"/>
  <c r="D22" i="34"/>
  <c r="G27" i="40"/>
  <c r="G26" i="40"/>
  <c r="C27" i="40"/>
  <c r="C26" i="40"/>
  <c r="G24" i="40"/>
  <c r="G17" i="40"/>
  <c r="C24" i="40"/>
  <c r="G15" i="40"/>
  <c r="G14" i="40"/>
  <c r="C15" i="40"/>
  <c r="C14" i="40"/>
  <c r="G32" i="40"/>
  <c r="C32" i="40"/>
  <c r="G32" i="35"/>
  <c r="C32" i="35"/>
  <c r="G33" i="34"/>
  <c r="C33" i="34"/>
  <c r="G33" i="37"/>
  <c r="C33" i="37"/>
  <c r="G40" i="40"/>
  <c r="C40" i="40"/>
  <c r="B40" i="40"/>
  <c r="G38" i="40"/>
  <c r="C38" i="40"/>
  <c r="B38" i="40"/>
  <c r="G35" i="40"/>
  <c r="D35" i="40"/>
  <c r="H35" i="40" s="1"/>
  <c r="C35" i="40"/>
  <c r="B35" i="40"/>
  <c r="G34" i="40"/>
  <c r="D34" i="40"/>
  <c r="C34" i="40"/>
  <c r="B34" i="40"/>
  <c r="G33" i="40"/>
  <c r="D33" i="40"/>
  <c r="H33" i="40" s="1"/>
  <c r="C33" i="40"/>
  <c r="B33" i="40"/>
  <c r="D32" i="40"/>
  <c r="H32" i="40" s="1"/>
  <c r="B32" i="40"/>
  <c r="G31" i="40"/>
  <c r="H31" i="40"/>
  <c r="C31" i="40"/>
  <c r="E31" i="40" s="1"/>
  <c r="B31" i="40"/>
  <c r="G30" i="40"/>
  <c r="C30" i="40"/>
  <c r="B30" i="40"/>
  <c r="G29" i="40"/>
  <c r="C29" i="40"/>
  <c r="B29" i="40"/>
  <c r="B27" i="40"/>
  <c r="B26" i="40"/>
  <c r="D24" i="40"/>
  <c r="H24" i="40" s="1"/>
  <c r="B24" i="40"/>
  <c r="B22" i="40"/>
  <c r="C17" i="40"/>
  <c r="D15" i="40"/>
  <c r="H15" i="40" s="1"/>
  <c r="B15" i="40"/>
  <c r="D14" i="40"/>
  <c r="B14" i="40"/>
  <c r="C9" i="40"/>
  <c r="C5" i="40"/>
  <c r="D26" i="40" s="1"/>
  <c r="H26" i="40" s="1"/>
  <c r="B2" i="40"/>
  <c r="G26" i="39"/>
  <c r="G25" i="39"/>
  <c r="C26" i="39"/>
  <c r="C25" i="39"/>
  <c r="G23" i="39"/>
  <c r="G17" i="39"/>
  <c r="C23" i="39"/>
  <c r="G15" i="39"/>
  <c r="G14" i="39"/>
  <c r="C15" i="39"/>
  <c r="C14" i="39"/>
  <c r="B3" i="39"/>
  <c r="G37" i="39"/>
  <c r="C37" i="39"/>
  <c r="B37" i="39"/>
  <c r="G35" i="39"/>
  <c r="C35" i="39"/>
  <c r="B35" i="39"/>
  <c r="H32" i="39"/>
  <c r="G31" i="39"/>
  <c r="D31" i="39"/>
  <c r="H31" i="39" s="1"/>
  <c r="C31" i="39"/>
  <c r="B31" i="39"/>
  <c r="G30" i="39"/>
  <c r="H30" i="39"/>
  <c r="C30" i="39"/>
  <c r="B30" i="39"/>
  <c r="G29" i="39"/>
  <c r="C29" i="39"/>
  <c r="B29" i="39"/>
  <c r="G28" i="39"/>
  <c r="C28" i="39"/>
  <c r="B28" i="39"/>
  <c r="B26" i="39"/>
  <c r="B25" i="39"/>
  <c r="D23" i="39"/>
  <c r="H23" i="39" s="1"/>
  <c r="B23" i="39"/>
  <c r="C17" i="39"/>
  <c r="D15" i="39"/>
  <c r="B15" i="39"/>
  <c r="D14" i="39"/>
  <c r="H14" i="39" s="1"/>
  <c r="B14" i="39"/>
  <c r="C9" i="39"/>
  <c r="C5" i="39"/>
  <c r="D25" i="39" s="1"/>
  <c r="H25" i="39" s="1"/>
  <c r="B2" i="39"/>
  <c r="G26" i="38"/>
  <c r="G25" i="38"/>
  <c r="C26" i="38"/>
  <c r="C25" i="38"/>
  <c r="G23" i="38"/>
  <c r="G17" i="38"/>
  <c r="C23" i="38"/>
  <c r="G15" i="38"/>
  <c r="G14" i="38"/>
  <c r="C15" i="38"/>
  <c r="C14" i="38"/>
  <c r="B3" i="38"/>
  <c r="G37" i="38"/>
  <c r="C37" i="38"/>
  <c r="B37" i="38"/>
  <c r="G35" i="38"/>
  <c r="C35" i="38"/>
  <c r="B35" i="38"/>
  <c r="H32" i="38"/>
  <c r="G31" i="38"/>
  <c r="D31" i="38"/>
  <c r="H31" i="38" s="1"/>
  <c r="C31" i="38"/>
  <c r="B31" i="38"/>
  <c r="G30" i="38"/>
  <c r="H30" i="38"/>
  <c r="C30" i="38"/>
  <c r="B30" i="38"/>
  <c r="G29" i="38"/>
  <c r="C29" i="38"/>
  <c r="B29" i="38"/>
  <c r="G28" i="38"/>
  <c r="C28" i="38"/>
  <c r="B28" i="38"/>
  <c r="B26" i="38"/>
  <c r="B25" i="38"/>
  <c r="D23" i="38"/>
  <c r="H23" i="38" s="1"/>
  <c r="B23" i="38"/>
  <c r="C17" i="38"/>
  <c r="D15" i="38"/>
  <c r="B15" i="38"/>
  <c r="D14" i="38"/>
  <c r="H14" i="38" s="1"/>
  <c r="B14" i="38"/>
  <c r="C9" i="38"/>
  <c r="C5" i="38"/>
  <c r="D29" i="38" s="1"/>
  <c r="H29" i="38" s="1"/>
  <c r="B2" i="38"/>
  <c r="G28" i="37"/>
  <c r="G27" i="37"/>
  <c r="C28" i="37"/>
  <c r="C27" i="37"/>
  <c r="G25" i="37"/>
  <c r="G24" i="37"/>
  <c r="G17" i="37"/>
  <c r="C24" i="37"/>
  <c r="G15" i="37"/>
  <c r="G14" i="37"/>
  <c r="C15" i="37"/>
  <c r="C14" i="37"/>
  <c r="B3" i="37"/>
  <c r="G41" i="37"/>
  <c r="C41" i="37"/>
  <c r="B41" i="37"/>
  <c r="G39" i="37"/>
  <c r="C39" i="37"/>
  <c r="B39" i="37"/>
  <c r="G36" i="37"/>
  <c r="D36" i="37"/>
  <c r="H36" i="37" s="1"/>
  <c r="C36" i="37"/>
  <c r="B36" i="37"/>
  <c r="G35" i="37"/>
  <c r="D35" i="37"/>
  <c r="C35" i="37"/>
  <c r="B35" i="37"/>
  <c r="G34" i="37"/>
  <c r="D34" i="37"/>
  <c r="C34" i="37"/>
  <c r="B34" i="37"/>
  <c r="D33" i="37"/>
  <c r="H33" i="37" s="1"/>
  <c r="B33" i="37"/>
  <c r="H32" i="37"/>
  <c r="G32" i="37"/>
  <c r="C32" i="37"/>
  <c r="E32" i="37" s="1"/>
  <c r="B32" i="37"/>
  <c r="G31" i="37"/>
  <c r="C31" i="37"/>
  <c r="B31" i="37"/>
  <c r="G30" i="37"/>
  <c r="C30" i="37"/>
  <c r="B30" i="37"/>
  <c r="B28" i="37"/>
  <c r="B27" i="37"/>
  <c r="D25" i="37"/>
  <c r="C25" i="37"/>
  <c r="B25" i="37"/>
  <c r="D24" i="37"/>
  <c r="B24" i="37"/>
  <c r="B22" i="37"/>
  <c r="C17" i="37"/>
  <c r="D15" i="37"/>
  <c r="H15" i="37" s="1"/>
  <c r="B15" i="37"/>
  <c r="D14" i="37"/>
  <c r="B14" i="37"/>
  <c r="C9" i="37"/>
  <c r="C5" i="37"/>
  <c r="D27" i="37" s="1"/>
  <c r="H27" i="37" s="1"/>
  <c r="B2" i="37"/>
  <c r="G23" i="36"/>
  <c r="C23" i="36"/>
  <c r="G32" i="36"/>
  <c r="C32" i="36"/>
  <c r="G27" i="36"/>
  <c r="G26" i="36"/>
  <c r="C27" i="36"/>
  <c r="C26" i="36"/>
  <c r="G24" i="36"/>
  <c r="G17" i="36"/>
  <c r="G15" i="36"/>
  <c r="G14" i="36"/>
  <c r="C15" i="36"/>
  <c r="C14" i="36"/>
  <c r="B3" i="36"/>
  <c r="B2" i="36"/>
  <c r="G40" i="36"/>
  <c r="C40" i="36"/>
  <c r="B40" i="36"/>
  <c r="G38" i="36"/>
  <c r="C38" i="36"/>
  <c r="B38" i="36"/>
  <c r="G35" i="36"/>
  <c r="D35" i="36"/>
  <c r="H35" i="36" s="1"/>
  <c r="C35" i="36"/>
  <c r="E35" i="36" s="1"/>
  <c r="B35" i="36"/>
  <c r="G34" i="36"/>
  <c r="D34" i="36"/>
  <c r="H34" i="36" s="1"/>
  <c r="C34" i="36"/>
  <c r="B34" i="36"/>
  <c r="G33" i="36"/>
  <c r="D33" i="36"/>
  <c r="C33" i="36"/>
  <c r="B33" i="36"/>
  <c r="D32" i="36"/>
  <c r="H32" i="36" s="1"/>
  <c r="B32" i="36"/>
  <c r="G31" i="36"/>
  <c r="H31" i="36"/>
  <c r="C31" i="36"/>
  <c r="E31" i="36" s="1"/>
  <c r="B31" i="36"/>
  <c r="G30" i="36"/>
  <c r="C30" i="36"/>
  <c r="B30" i="36"/>
  <c r="G29" i="36"/>
  <c r="C29" i="36"/>
  <c r="B29" i="36"/>
  <c r="B27" i="36"/>
  <c r="B26" i="36"/>
  <c r="D24" i="36"/>
  <c r="H24" i="36" s="1"/>
  <c r="C24" i="36"/>
  <c r="B24" i="36"/>
  <c r="D23" i="36"/>
  <c r="B23" i="36"/>
  <c r="C17" i="36"/>
  <c r="D15" i="36"/>
  <c r="H15" i="36" s="1"/>
  <c r="B15" i="36"/>
  <c r="D14" i="36"/>
  <c r="B14" i="36"/>
  <c r="C9" i="36"/>
  <c r="C5" i="36"/>
  <c r="D30" i="36" s="1"/>
  <c r="G27" i="35"/>
  <c r="G26" i="35"/>
  <c r="G24" i="35"/>
  <c r="G23" i="35"/>
  <c r="G17" i="35"/>
  <c r="C23" i="35"/>
  <c r="C27" i="35"/>
  <c r="C26" i="35"/>
  <c r="G15" i="35"/>
  <c r="G14" i="35"/>
  <c r="C15" i="35"/>
  <c r="C14" i="35"/>
  <c r="B3" i="35"/>
  <c r="G40" i="35"/>
  <c r="C40" i="35"/>
  <c r="B40" i="35"/>
  <c r="G38" i="35"/>
  <c r="C38" i="35"/>
  <c r="B38" i="35"/>
  <c r="G35" i="35"/>
  <c r="D35" i="35"/>
  <c r="H35" i="35" s="1"/>
  <c r="C35" i="35"/>
  <c r="B35" i="35"/>
  <c r="G34" i="35"/>
  <c r="D34" i="35"/>
  <c r="H34" i="35" s="1"/>
  <c r="C34" i="35"/>
  <c r="B34" i="35"/>
  <c r="G33" i="35"/>
  <c r="D33" i="35"/>
  <c r="H33" i="35" s="1"/>
  <c r="C33" i="35"/>
  <c r="B33" i="35"/>
  <c r="D32" i="35"/>
  <c r="B32" i="35"/>
  <c r="H31" i="35"/>
  <c r="G31" i="35"/>
  <c r="C31" i="35"/>
  <c r="E31" i="35" s="1"/>
  <c r="B31" i="35"/>
  <c r="G30" i="35"/>
  <c r="C30" i="35"/>
  <c r="B30" i="35"/>
  <c r="G29" i="35"/>
  <c r="C29" i="35"/>
  <c r="B29" i="35"/>
  <c r="B27" i="35"/>
  <c r="B26" i="35"/>
  <c r="D24" i="35"/>
  <c r="H24" i="35" s="1"/>
  <c r="C24" i="35"/>
  <c r="B24" i="35"/>
  <c r="D23" i="35"/>
  <c r="H23" i="35" s="1"/>
  <c r="B23" i="35"/>
  <c r="C17" i="35"/>
  <c r="D15" i="35"/>
  <c r="B15" i="35"/>
  <c r="D14" i="35"/>
  <c r="H14" i="35" s="1"/>
  <c r="B14" i="35"/>
  <c r="C9" i="35"/>
  <c r="C5" i="35"/>
  <c r="B2" i="35"/>
  <c r="B3" i="34"/>
  <c r="B3" i="33"/>
  <c r="B3" i="32"/>
  <c r="B2" i="32"/>
  <c r="G28" i="34"/>
  <c r="G27" i="34"/>
  <c r="C28" i="34"/>
  <c r="C27" i="34"/>
  <c r="G25" i="34"/>
  <c r="G24" i="34"/>
  <c r="G17" i="34"/>
  <c r="B22" i="34"/>
  <c r="C24" i="34"/>
  <c r="G15" i="34"/>
  <c r="G14" i="34"/>
  <c r="C15" i="34"/>
  <c r="C14" i="34"/>
  <c r="B2" i="34"/>
  <c r="G41" i="34"/>
  <c r="C41" i="34"/>
  <c r="B41" i="34"/>
  <c r="G39" i="34"/>
  <c r="C39" i="34"/>
  <c r="B39" i="34"/>
  <c r="G36" i="34"/>
  <c r="D36" i="34"/>
  <c r="H36" i="34" s="1"/>
  <c r="C36" i="34"/>
  <c r="B36" i="34"/>
  <c r="G35" i="34"/>
  <c r="D35" i="34"/>
  <c r="H35" i="34" s="1"/>
  <c r="C35" i="34"/>
  <c r="B35" i="34"/>
  <c r="G34" i="34"/>
  <c r="D34" i="34"/>
  <c r="H34" i="34" s="1"/>
  <c r="C34" i="34"/>
  <c r="B34" i="34"/>
  <c r="D33" i="34"/>
  <c r="H33" i="34" s="1"/>
  <c r="B33" i="34"/>
  <c r="H32" i="34"/>
  <c r="G32" i="34"/>
  <c r="C32" i="34"/>
  <c r="E32" i="34" s="1"/>
  <c r="B32" i="34"/>
  <c r="G31" i="34"/>
  <c r="C31" i="34"/>
  <c r="B31" i="34"/>
  <c r="G30" i="34"/>
  <c r="C30" i="34"/>
  <c r="B30" i="34"/>
  <c r="B28" i="34"/>
  <c r="B27" i="34"/>
  <c r="D25" i="34"/>
  <c r="H25" i="34" s="1"/>
  <c r="C25" i="34"/>
  <c r="B25" i="34"/>
  <c r="D24" i="34"/>
  <c r="H24" i="34" s="1"/>
  <c r="B24" i="34"/>
  <c r="C17" i="34"/>
  <c r="D15" i="34"/>
  <c r="H15" i="34" s="1"/>
  <c r="B15" i="34"/>
  <c r="D14" i="34"/>
  <c r="H14" i="34" s="1"/>
  <c r="B14" i="34"/>
  <c r="C9" i="34"/>
  <c r="C5" i="34"/>
  <c r="D27" i="34" s="1"/>
  <c r="H27" i="34" s="1"/>
  <c r="B2" i="33"/>
  <c r="G32" i="33"/>
  <c r="C32" i="33"/>
  <c r="G27" i="33"/>
  <c r="G26" i="33"/>
  <c r="C27" i="33"/>
  <c r="C26" i="33"/>
  <c r="G24" i="33"/>
  <c r="G23" i="33"/>
  <c r="G17" i="33"/>
  <c r="C23" i="33"/>
  <c r="G15" i="33"/>
  <c r="G14" i="33"/>
  <c r="C15" i="33"/>
  <c r="C14" i="33"/>
  <c r="E24" i="43" l="1"/>
  <c r="H22" i="34"/>
  <c r="I22" i="34" s="1"/>
  <c r="E22" i="34"/>
  <c r="H22" i="40"/>
  <c r="I22" i="40" s="1"/>
  <c r="E22" i="40"/>
  <c r="H22" i="46"/>
  <c r="I22" i="46" s="1"/>
  <c r="E22" i="46"/>
  <c r="H22" i="49"/>
  <c r="I22" i="49" s="1"/>
  <c r="E22" i="49"/>
  <c r="H22" i="37"/>
  <c r="I22" i="37" s="1"/>
  <c r="E22" i="37"/>
  <c r="E39" i="57"/>
  <c r="E40" i="57" s="1"/>
  <c r="E41" i="57" s="1"/>
  <c r="F23" i="51" s="1"/>
  <c r="K38" i="54"/>
  <c r="L38" i="54" s="1"/>
  <c r="I41" i="59"/>
  <c r="K41" i="59" s="1"/>
  <c r="L41" i="59" s="1"/>
  <c r="K40" i="59"/>
  <c r="L40" i="59" s="1"/>
  <c r="L38" i="58"/>
  <c r="I40" i="58"/>
  <c r="E39" i="58"/>
  <c r="K39" i="58" s="1"/>
  <c r="I40" i="57"/>
  <c r="L38" i="57"/>
  <c r="I41" i="56"/>
  <c r="I42" i="56" s="1"/>
  <c r="G21" i="53" s="1"/>
  <c r="L39" i="56"/>
  <c r="E40" i="56"/>
  <c r="I40" i="55"/>
  <c r="I41" i="55" s="1"/>
  <c r="G21" i="52" s="1"/>
  <c r="K38" i="55"/>
  <c r="L38" i="55" s="1"/>
  <c r="E39" i="55"/>
  <c r="K39" i="55" s="1"/>
  <c r="E40" i="54"/>
  <c r="E41" i="54" s="1"/>
  <c r="F21" i="51" s="1"/>
  <c r="I39" i="54"/>
  <c r="E14" i="36"/>
  <c r="E14" i="35"/>
  <c r="E27" i="46"/>
  <c r="I30" i="45"/>
  <c r="K30" i="45" s="1"/>
  <c r="L30" i="45" s="1"/>
  <c r="E15" i="39"/>
  <c r="I23" i="45"/>
  <c r="I27" i="46"/>
  <c r="E32" i="46"/>
  <c r="E32" i="40"/>
  <c r="E33" i="37"/>
  <c r="I24" i="34"/>
  <c r="E14" i="34"/>
  <c r="E24" i="34"/>
  <c r="E33" i="34"/>
  <c r="E34" i="34"/>
  <c r="E15" i="45"/>
  <c r="E14" i="42"/>
  <c r="E15" i="36"/>
  <c r="E34" i="36"/>
  <c r="E24" i="36"/>
  <c r="I32" i="36"/>
  <c r="E32" i="47"/>
  <c r="E14" i="41"/>
  <c r="E24" i="35"/>
  <c r="E35" i="35"/>
  <c r="E26" i="45"/>
  <c r="E26" i="42"/>
  <c r="I35" i="40"/>
  <c r="I30" i="47"/>
  <c r="I14" i="35"/>
  <c r="I24" i="43"/>
  <c r="I35" i="34"/>
  <c r="E15" i="35"/>
  <c r="D29" i="47"/>
  <c r="H29" i="47" s="1"/>
  <c r="I29" i="47" s="1"/>
  <c r="I28" i="45"/>
  <c r="I27" i="49"/>
  <c r="E25" i="37"/>
  <c r="I32" i="37"/>
  <c r="K32" i="37" s="1"/>
  <c r="L32" i="37" s="1"/>
  <c r="I32" i="45"/>
  <c r="I24" i="36"/>
  <c r="I34" i="36"/>
  <c r="E24" i="37"/>
  <c r="I31" i="43"/>
  <c r="K31" i="43" s="1"/>
  <c r="L31" i="43" s="1"/>
  <c r="I22" i="43"/>
  <c r="E14" i="44"/>
  <c r="I32" i="42"/>
  <c r="E25" i="45"/>
  <c r="I26" i="46"/>
  <c r="H17" i="47"/>
  <c r="I17" i="47" s="1"/>
  <c r="H17" i="48"/>
  <c r="I17" i="48" s="1"/>
  <c r="I15" i="49"/>
  <c r="H17" i="49"/>
  <c r="I17" i="49" s="1"/>
  <c r="E14" i="37"/>
  <c r="I32" i="34"/>
  <c r="K32" i="34" s="1"/>
  <c r="L32" i="34" s="1"/>
  <c r="I33" i="35"/>
  <c r="I15" i="37"/>
  <c r="E35" i="37"/>
  <c r="I36" i="37"/>
  <c r="I14" i="41"/>
  <c r="E26" i="49"/>
  <c r="H26" i="49"/>
  <c r="I26" i="49" s="1"/>
  <c r="E27" i="49"/>
  <c r="E15" i="46"/>
  <c r="I32" i="46"/>
  <c r="E27" i="43"/>
  <c r="E26" i="43"/>
  <c r="E15" i="48"/>
  <c r="E31" i="48"/>
  <c r="H25" i="45"/>
  <c r="I25" i="45" s="1"/>
  <c r="E23" i="45"/>
  <c r="E28" i="45"/>
  <c r="E25" i="42"/>
  <c r="I14" i="43"/>
  <c r="H34" i="37"/>
  <c r="I34" i="37" s="1"/>
  <c r="E34" i="37"/>
  <c r="D17" i="42"/>
  <c r="E17" i="42" s="1"/>
  <c r="D28" i="42"/>
  <c r="H28" i="42" s="1"/>
  <c r="I28" i="42" s="1"/>
  <c r="I14" i="42"/>
  <c r="I25" i="42"/>
  <c r="I15" i="34"/>
  <c r="H15" i="42"/>
  <c r="I15" i="42" s="1"/>
  <c r="E15" i="42"/>
  <c r="E14" i="46"/>
  <c r="H14" i="46"/>
  <c r="I14" i="46" s="1"/>
  <c r="I32" i="44"/>
  <c r="D29" i="46"/>
  <c r="H29" i="46" s="1"/>
  <c r="I29" i="46" s="1"/>
  <c r="D30" i="46"/>
  <c r="H30" i="46" s="1"/>
  <c r="I30" i="46" s="1"/>
  <c r="E25" i="34"/>
  <c r="E35" i="34"/>
  <c r="E36" i="34"/>
  <c r="E15" i="34"/>
  <c r="E34" i="35"/>
  <c r="I35" i="35"/>
  <c r="I31" i="36"/>
  <c r="K31" i="36" s="1"/>
  <c r="L31" i="36" s="1"/>
  <c r="E33" i="36"/>
  <c r="E36" i="37"/>
  <c r="I14" i="38"/>
  <c r="I31" i="40"/>
  <c r="K31" i="40" s="1"/>
  <c r="L31" i="40" s="1"/>
  <c r="E31" i="45"/>
  <c r="E33" i="46"/>
  <c r="I23" i="47"/>
  <c r="E26" i="47"/>
  <c r="E24" i="49"/>
  <c r="I36" i="34"/>
  <c r="I14" i="34"/>
  <c r="I24" i="35"/>
  <c r="I35" i="36"/>
  <c r="K35" i="36" s="1"/>
  <c r="L35" i="36" s="1"/>
  <c r="E32" i="36"/>
  <c r="E15" i="38"/>
  <c r="E14" i="38"/>
  <c r="D29" i="39"/>
  <c r="E29" i="39" s="1"/>
  <c r="I30" i="39"/>
  <c r="E33" i="40"/>
  <c r="E14" i="43"/>
  <c r="I28" i="44"/>
  <c r="E25" i="44"/>
  <c r="I30" i="44"/>
  <c r="K30" i="44" s="1"/>
  <c r="L30" i="44" s="1"/>
  <c r="E31" i="44"/>
  <c r="L31" i="44" s="1"/>
  <c r="E32" i="45"/>
  <c r="E26" i="46"/>
  <c r="I33" i="46"/>
  <c r="I15" i="46"/>
  <c r="I23" i="48"/>
  <c r="E26" i="48"/>
  <c r="D28" i="48"/>
  <c r="H28" i="48" s="1"/>
  <c r="I28" i="48" s="1"/>
  <c r="D29" i="48"/>
  <c r="H29" i="48" s="1"/>
  <c r="I29" i="48" s="1"/>
  <c r="I30" i="48"/>
  <c r="E14" i="48"/>
  <c r="I29" i="49"/>
  <c r="D30" i="49"/>
  <c r="H30" i="49" s="1"/>
  <c r="I30" i="49" s="1"/>
  <c r="I31" i="49"/>
  <c r="I32" i="49"/>
  <c r="I31" i="35"/>
  <c r="K31" i="35" s="1"/>
  <c r="L31" i="35" s="1"/>
  <c r="E14" i="49"/>
  <c r="E29" i="49"/>
  <c r="E32" i="49"/>
  <c r="E33" i="49"/>
  <c r="I33" i="49"/>
  <c r="E15" i="49"/>
  <c r="H14" i="49"/>
  <c r="I14" i="49" s="1"/>
  <c r="E31" i="49"/>
  <c r="I24" i="49"/>
  <c r="D17" i="49"/>
  <c r="E17" i="49" s="1"/>
  <c r="I25" i="48"/>
  <c r="I31" i="48"/>
  <c r="E17" i="48"/>
  <c r="I32" i="48"/>
  <c r="E32" i="48"/>
  <c r="I26" i="48"/>
  <c r="E25" i="48"/>
  <c r="I15" i="48"/>
  <c r="I14" i="48"/>
  <c r="E30" i="48"/>
  <c r="E23" i="48"/>
  <c r="I25" i="47"/>
  <c r="E31" i="47"/>
  <c r="L31" i="47" s="1"/>
  <c r="E15" i="47"/>
  <c r="I31" i="47"/>
  <c r="I26" i="47"/>
  <c r="I15" i="47"/>
  <c r="E25" i="47"/>
  <c r="H32" i="47"/>
  <c r="I32" i="47" s="1"/>
  <c r="E14" i="47"/>
  <c r="I14" i="47"/>
  <c r="E30" i="47"/>
  <c r="H28" i="47"/>
  <c r="I28" i="47" s="1"/>
  <c r="E28" i="47"/>
  <c r="E23" i="47"/>
  <c r="D17" i="47"/>
  <c r="E17" i="47" s="1"/>
  <c r="H17" i="46"/>
  <c r="I17" i="46" s="1"/>
  <c r="I31" i="46"/>
  <c r="K31" i="46" s="1"/>
  <c r="L31" i="46" s="1"/>
  <c r="H24" i="46"/>
  <c r="I24" i="46" s="1"/>
  <c r="E24" i="46"/>
  <c r="D17" i="46"/>
  <c r="E17" i="46" s="1"/>
  <c r="I15" i="45"/>
  <c r="E14" i="45"/>
  <c r="D29" i="45"/>
  <c r="H29" i="45" s="1"/>
  <c r="I29" i="45" s="1"/>
  <c r="H14" i="45"/>
  <c r="I14" i="45" s="1"/>
  <c r="H17" i="45"/>
  <c r="I17" i="45" s="1"/>
  <c r="H26" i="45"/>
  <c r="I26" i="45" s="1"/>
  <c r="H31" i="45"/>
  <c r="I31" i="45" s="1"/>
  <c r="D17" i="45"/>
  <c r="E17" i="45" s="1"/>
  <c r="E26" i="44"/>
  <c r="I15" i="44"/>
  <c r="H25" i="44"/>
  <c r="I25" i="44" s="1"/>
  <c r="E23" i="44"/>
  <c r="I23" i="44"/>
  <c r="E15" i="44"/>
  <c r="E28" i="44"/>
  <c r="E32" i="44"/>
  <c r="D29" i="44"/>
  <c r="H29" i="44" s="1"/>
  <c r="I29" i="44" s="1"/>
  <c r="H14" i="44"/>
  <c r="I14" i="44" s="1"/>
  <c r="H17" i="44"/>
  <c r="I17" i="44" s="1"/>
  <c r="H26" i="44"/>
  <c r="I26" i="44" s="1"/>
  <c r="H31" i="44"/>
  <c r="I31" i="44" s="1"/>
  <c r="D17" i="44"/>
  <c r="E17" i="44" s="1"/>
  <c r="I26" i="43"/>
  <c r="E22" i="43"/>
  <c r="I15" i="43"/>
  <c r="E15" i="43"/>
  <c r="E32" i="43"/>
  <c r="E33" i="43"/>
  <c r="I33" i="43"/>
  <c r="I27" i="43"/>
  <c r="I32" i="43"/>
  <c r="E29" i="43"/>
  <c r="I29" i="43"/>
  <c r="D30" i="43"/>
  <c r="H30" i="43" s="1"/>
  <c r="I30" i="43" s="1"/>
  <c r="H17" i="43"/>
  <c r="I17" i="43" s="1"/>
  <c r="D17" i="43"/>
  <c r="E17" i="43" s="1"/>
  <c r="I23" i="42"/>
  <c r="E23" i="42"/>
  <c r="I26" i="42"/>
  <c r="E31" i="42"/>
  <c r="E32" i="42"/>
  <c r="I31" i="42"/>
  <c r="I17" i="42"/>
  <c r="I30" i="42"/>
  <c r="K30" i="42" s="1"/>
  <c r="L30" i="42" s="1"/>
  <c r="D29" i="42"/>
  <c r="H29" i="42" s="1"/>
  <c r="I29" i="42" s="1"/>
  <c r="I30" i="41"/>
  <c r="I32" i="41"/>
  <c r="E15" i="41"/>
  <c r="E23" i="41"/>
  <c r="E31" i="41"/>
  <c r="L31" i="41" s="1"/>
  <c r="I23" i="41"/>
  <c r="I29" i="41"/>
  <c r="E32" i="41"/>
  <c r="I15" i="41"/>
  <c r="I31" i="41"/>
  <c r="E29" i="41"/>
  <c r="D17" i="41"/>
  <c r="E17" i="41" s="1"/>
  <c r="E30" i="41"/>
  <c r="D28" i="41"/>
  <c r="H28" i="41" s="1"/>
  <c r="I28" i="41" s="1"/>
  <c r="H17" i="41"/>
  <c r="I17" i="41" s="1"/>
  <c r="I26" i="40"/>
  <c r="I15" i="40"/>
  <c r="I33" i="40"/>
  <c r="E34" i="40"/>
  <c r="E14" i="40"/>
  <c r="E35" i="40"/>
  <c r="E24" i="40"/>
  <c r="E26" i="40"/>
  <c r="I24" i="40"/>
  <c r="E15" i="40"/>
  <c r="I32" i="40"/>
  <c r="D17" i="40"/>
  <c r="E17" i="40" s="1"/>
  <c r="D27" i="40"/>
  <c r="H27" i="40" s="1"/>
  <c r="I27" i="40" s="1"/>
  <c r="H14" i="40"/>
  <c r="I14" i="40" s="1"/>
  <c r="D29" i="40"/>
  <c r="H34" i="40"/>
  <c r="I34" i="40" s="1"/>
  <c r="D30" i="40"/>
  <c r="H17" i="40"/>
  <c r="I17" i="40" s="1"/>
  <c r="I25" i="39"/>
  <c r="I31" i="38"/>
  <c r="I32" i="38"/>
  <c r="E14" i="39"/>
  <c r="E31" i="39"/>
  <c r="E32" i="39"/>
  <c r="I31" i="39"/>
  <c r="I14" i="39"/>
  <c r="E30" i="39"/>
  <c r="H17" i="39"/>
  <c r="I17" i="39" s="1"/>
  <c r="D26" i="39"/>
  <c r="H26" i="39" s="1"/>
  <c r="I26" i="39" s="1"/>
  <c r="E23" i="39"/>
  <c r="I23" i="39"/>
  <c r="I32" i="39"/>
  <c r="E25" i="39"/>
  <c r="H15" i="39"/>
  <c r="I15" i="39" s="1"/>
  <c r="D28" i="39"/>
  <c r="D17" i="39"/>
  <c r="E17" i="39" s="1"/>
  <c r="E31" i="38"/>
  <c r="L31" i="38" s="1"/>
  <c r="I23" i="38"/>
  <c r="H15" i="38"/>
  <c r="I15" i="38" s="1"/>
  <c r="E23" i="38"/>
  <c r="E29" i="38"/>
  <c r="E32" i="38"/>
  <c r="I30" i="38"/>
  <c r="I29" i="38"/>
  <c r="D17" i="38"/>
  <c r="E17" i="38" s="1"/>
  <c r="D25" i="38"/>
  <c r="H25" i="38" s="1"/>
  <c r="I25" i="38" s="1"/>
  <c r="D26" i="38"/>
  <c r="E30" i="38"/>
  <c r="D28" i="38"/>
  <c r="H28" i="38" s="1"/>
  <c r="I28" i="38" s="1"/>
  <c r="H17" i="38"/>
  <c r="I17" i="38" s="1"/>
  <c r="I27" i="37"/>
  <c r="E15" i="37"/>
  <c r="H24" i="37"/>
  <c r="I24" i="37" s="1"/>
  <c r="E27" i="37"/>
  <c r="I33" i="37"/>
  <c r="D17" i="37"/>
  <c r="E17" i="37" s="1"/>
  <c r="D28" i="37"/>
  <c r="H28" i="37" s="1"/>
  <c r="I28" i="37" s="1"/>
  <c r="H14" i="37"/>
  <c r="I14" i="37" s="1"/>
  <c r="H25" i="37"/>
  <c r="I25" i="37" s="1"/>
  <c r="D30" i="37"/>
  <c r="H35" i="37"/>
  <c r="I35" i="37" s="1"/>
  <c r="D31" i="37"/>
  <c r="H17" i="37"/>
  <c r="I17" i="37" s="1"/>
  <c r="E23" i="36"/>
  <c r="I15" i="36"/>
  <c r="H30" i="36"/>
  <c r="I30" i="36" s="1"/>
  <c r="E30" i="36"/>
  <c r="D17" i="36"/>
  <c r="E17" i="36" s="1"/>
  <c r="D26" i="36"/>
  <c r="H26" i="36" s="1"/>
  <c r="I26" i="36" s="1"/>
  <c r="H14" i="36"/>
  <c r="I14" i="36" s="1"/>
  <c r="H23" i="36"/>
  <c r="I23" i="36" s="1"/>
  <c r="D27" i="36"/>
  <c r="H27" i="36" s="1"/>
  <c r="I27" i="36" s="1"/>
  <c r="H33" i="36"/>
  <c r="I33" i="36" s="1"/>
  <c r="D29" i="36"/>
  <c r="H17" i="36"/>
  <c r="I17" i="36" s="1"/>
  <c r="I23" i="35"/>
  <c r="H15" i="35"/>
  <c r="I15" i="35" s="1"/>
  <c r="E23" i="35"/>
  <c r="I34" i="35"/>
  <c r="E33" i="35"/>
  <c r="H32" i="35"/>
  <c r="I32" i="35" s="1"/>
  <c r="E32" i="35"/>
  <c r="D26" i="35"/>
  <c r="D17" i="35"/>
  <c r="E17" i="35" s="1"/>
  <c r="D30" i="35"/>
  <c r="H30" i="35" s="1"/>
  <c r="I30" i="35" s="1"/>
  <c r="H17" i="35"/>
  <c r="I17" i="35" s="1"/>
  <c r="D27" i="35"/>
  <c r="D29" i="35"/>
  <c r="H29" i="35" s="1"/>
  <c r="I29" i="35" s="1"/>
  <c r="H17" i="34"/>
  <c r="I17" i="34" s="1"/>
  <c r="I25" i="34"/>
  <c r="D31" i="34"/>
  <c r="H31" i="34" s="1"/>
  <c r="I31" i="34" s="1"/>
  <c r="I34" i="34"/>
  <c r="I27" i="34"/>
  <c r="D28" i="34"/>
  <c r="H28" i="34" s="1"/>
  <c r="I28" i="34" s="1"/>
  <c r="E27" i="34"/>
  <c r="I33" i="34"/>
  <c r="D30" i="34"/>
  <c r="D17" i="34"/>
  <c r="E17" i="34" s="1"/>
  <c r="G40" i="33"/>
  <c r="C40" i="33"/>
  <c r="B40" i="33"/>
  <c r="G38" i="33"/>
  <c r="C38" i="33"/>
  <c r="B38" i="33"/>
  <c r="G35" i="33"/>
  <c r="D35" i="33"/>
  <c r="H35" i="33" s="1"/>
  <c r="C35" i="33"/>
  <c r="B35" i="33"/>
  <c r="G34" i="33"/>
  <c r="D34" i="33"/>
  <c r="H34" i="33" s="1"/>
  <c r="C34" i="33"/>
  <c r="B34" i="33"/>
  <c r="G33" i="33"/>
  <c r="D33" i="33"/>
  <c r="H33" i="33" s="1"/>
  <c r="C33" i="33"/>
  <c r="B33" i="33"/>
  <c r="D32" i="33"/>
  <c r="H32" i="33" s="1"/>
  <c r="B32" i="33"/>
  <c r="H31" i="33"/>
  <c r="G31" i="33"/>
  <c r="C31" i="33"/>
  <c r="E31" i="33" s="1"/>
  <c r="B31" i="33"/>
  <c r="G30" i="33"/>
  <c r="C30" i="33"/>
  <c r="B30" i="33"/>
  <c r="G29" i="33"/>
  <c r="C29" i="33"/>
  <c r="B29" i="33"/>
  <c r="B27" i="33"/>
  <c r="B26" i="33"/>
  <c r="D24" i="33"/>
  <c r="H24" i="33" s="1"/>
  <c r="C24" i="33"/>
  <c r="B24" i="33"/>
  <c r="D23" i="33"/>
  <c r="H23" i="33" s="1"/>
  <c r="B23" i="33"/>
  <c r="C17" i="33"/>
  <c r="D15" i="33"/>
  <c r="E15" i="33" s="1"/>
  <c r="B15" i="33"/>
  <c r="D14" i="33"/>
  <c r="H14" i="33" s="1"/>
  <c r="E14" i="33"/>
  <c r="B14" i="33"/>
  <c r="C9" i="33"/>
  <c r="C5" i="33"/>
  <c r="D26" i="33" s="1"/>
  <c r="D32" i="32"/>
  <c r="H32" i="32" s="1"/>
  <c r="K36" i="34" l="1"/>
  <c r="L36" i="34" s="1"/>
  <c r="E34" i="33"/>
  <c r="E35" i="33"/>
  <c r="K24" i="43"/>
  <c r="L24" i="43" s="1"/>
  <c r="K22" i="49"/>
  <c r="L22" i="49" s="1"/>
  <c r="K22" i="40"/>
  <c r="L22" i="40" s="1"/>
  <c r="K22" i="37"/>
  <c r="L22" i="37" s="1"/>
  <c r="K22" i="46"/>
  <c r="L22" i="46" s="1"/>
  <c r="K22" i="34"/>
  <c r="L22" i="34" s="1"/>
  <c r="K39" i="57"/>
  <c r="L39" i="57" s="1"/>
  <c r="K40" i="57"/>
  <c r="L40" i="57" s="1"/>
  <c r="I41" i="57"/>
  <c r="I42" i="59"/>
  <c r="I41" i="58"/>
  <c r="G23" i="52" s="1"/>
  <c r="L39" i="58"/>
  <c r="E40" i="58"/>
  <c r="E41" i="56"/>
  <c r="K41" i="56" s="1"/>
  <c r="K40" i="56"/>
  <c r="L40" i="56" s="1"/>
  <c r="L39" i="55"/>
  <c r="E40" i="55"/>
  <c r="E41" i="55" s="1"/>
  <c r="I40" i="54"/>
  <c r="K40" i="54" s="1"/>
  <c r="L40" i="54" s="1"/>
  <c r="K39" i="54"/>
  <c r="L39" i="54" s="1"/>
  <c r="K22" i="43"/>
  <c r="L22" i="43" s="1"/>
  <c r="K24" i="36"/>
  <c r="L24" i="36" s="1"/>
  <c r="K27" i="46"/>
  <c r="L27" i="46" s="1"/>
  <c r="K25" i="45"/>
  <c r="L25" i="45" s="1"/>
  <c r="K15" i="39"/>
  <c r="L15" i="39" s="1"/>
  <c r="K14" i="35"/>
  <c r="L14" i="35" s="1"/>
  <c r="K34" i="34"/>
  <c r="L34" i="34" s="1"/>
  <c r="K35" i="35"/>
  <c r="L35" i="35" s="1"/>
  <c r="K32" i="47"/>
  <c r="L32" i="47" s="1"/>
  <c r="K15" i="36"/>
  <c r="L15" i="36" s="1"/>
  <c r="K23" i="41"/>
  <c r="L23" i="41" s="1"/>
  <c r="K24" i="34"/>
  <c r="L24" i="34" s="1"/>
  <c r="K32" i="46"/>
  <c r="L32" i="46" s="1"/>
  <c r="K14" i="46"/>
  <c r="L14" i="46" s="1"/>
  <c r="K35" i="40"/>
  <c r="L35" i="40" s="1"/>
  <c r="K32" i="40"/>
  <c r="L32" i="40" s="1"/>
  <c r="K33" i="37"/>
  <c r="L33" i="37" s="1"/>
  <c r="K14" i="34"/>
  <c r="L14" i="34" s="1"/>
  <c r="K33" i="34"/>
  <c r="L33" i="34" s="1"/>
  <c r="K15" i="45"/>
  <c r="L15" i="45" s="1"/>
  <c r="K32" i="39"/>
  <c r="L32" i="39" s="1"/>
  <c r="K14" i="42"/>
  <c r="L14" i="42" s="1"/>
  <c r="K34" i="36"/>
  <c r="L34" i="36" s="1"/>
  <c r="K32" i="36"/>
  <c r="L32" i="36" s="1"/>
  <c r="H15" i="33"/>
  <c r="I15" i="33" s="1"/>
  <c r="K15" i="33" s="1"/>
  <c r="L15" i="33" s="1"/>
  <c r="E23" i="33"/>
  <c r="E24" i="33"/>
  <c r="K15" i="47"/>
  <c r="L15" i="47" s="1"/>
  <c r="K14" i="41"/>
  <c r="L14" i="41" s="1"/>
  <c r="K24" i="35"/>
  <c r="L24" i="35" s="1"/>
  <c r="E31" i="34"/>
  <c r="K31" i="34" s="1"/>
  <c r="L31" i="34" s="1"/>
  <c r="K26" i="42"/>
  <c r="L26" i="42" s="1"/>
  <c r="K30" i="47"/>
  <c r="L30" i="47" s="1"/>
  <c r="K33" i="36"/>
  <c r="L33" i="36" s="1"/>
  <c r="K27" i="37"/>
  <c r="L27" i="37" s="1"/>
  <c r="K26" i="45"/>
  <c r="L26" i="45" s="1"/>
  <c r="E29" i="47"/>
  <c r="K29" i="47" s="1"/>
  <c r="E30" i="46"/>
  <c r="K30" i="46" s="1"/>
  <c r="L30" i="46" s="1"/>
  <c r="K32" i="45"/>
  <c r="L32" i="45" s="1"/>
  <c r="K25" i="42"/>
  <c r="L25" i="42" s="1"/>
  <c r="K25" i="44"/>
  <c r="L25" i="44" s="1"/>
  <c r="K35" i="34"/>
  <c r="L35" i="34" s="1"/>
  <c r="K33" i="35"/>
  <c r="L33" i="35" s="1"/>
  <c r="K25" i="37"/>
  <c r="L25" i="37" s="1"/>
  <c r="K14" i="39"/>
  <c r="L14" i="39" s="1"/>
  <c r="K14" i="49"/>
  <c r="L14" i="49" s="1"/>
  <c r="K14" i="38"/>
  <c r="L14" i="38" s="1"/>
  <c r="K32" i="44"/>
  <c r="L32" i="44" s="1"/>
  <c r="K15" i="35"/>
  <c r="L15" i="35" s="1"/>
  <c r="K26" i="43"/>
  <c r="L26" i="43" s="1"/>
  <c r="K26" i="46"/>
  <c r="L26" i="46" s="1"/>
  <c r="K28" i="45"/>
  <c r="L28" i="45" s="1"/>
  <c r="K15" i="38"/>
  <c r="L15" i="38" s="1"/>
  <c r="K36" i="37"/>
  <c r="L36" i="37" s="1"/>
  <c r="K27" i="49"/>
  <c r="L27" i="49" s="1"/>
  <c r="K23" i="36"/>
  <c r="L23" i="36" s="1"/>
  <c r="K15" i="46"/>
  <c r="L15" i="46" s="1"/>
  <c r="K26" i="49"/>
  <c r="L26" i="49" s="1"/>
  <c r="K17" i="34"/>
  <c r="L17" i="34" s="1"/>
  <c r="K35" i="37"/>
  <c r="L35" i="37" s="1"/>
  <c r="K32" i="42"/>
  <c r="L32" i="42" s="1"/>
  <c r="E28" i="48"/>
  <c r="K28" i="48" s="1"/>
  <c r="L28" i="48" s="1"/>
  <c r="K31" i="48"/>
  <c r="L31" i="48" s="1"/>
  <c r="K15" i="42"/>
  <c r="L15" i="42" s="1"/>
  <c r="E28" i="34"/>
  <c r="K28" i="34" s="1"/>
  <c r="L28" i="34" s="1"/>
  <c r="K34" i="35"/>
  <c r="L34" i="35" s="1"/>
  <c r="K24" i="37"/>
  <c r="L24" i="37" s="1"/>
  <c r="K15" i="37"/>
  <c r="L15" i="37" s="1"/>
  <c r="K31" i="39"/>
  <c r="L31" i="39" s="1"/>
  <c r="K29" i="43"/>
  <c r="L29" i="43" s="1"/>
  <c r="E16" i="43"/>
  <c r="E25" i="43" s="1"/>
  <c r="K31" i="45"/>
  <c r="L31" i="45" s="1"/>
  <c r="I16" i="46"/>
  <c r="I25" i="46" s="1"/>
  <c r="K14" i="48"/>
  <c r="L14" i="48" s="1"/>
  <c r="K15" i="49"/>
  <c r="L15" i="49" s="1"/>
  <c r="K14" i="43"/>
  <c r="L14" i="43" s="1"/>
  <c r="K30" i="41"/>
  <c r="L30" i="41" s="1"/>
  <c r="K23" i="35"/>
  <c r="L23" i="35" s="1"/>
  <c r="E16" i="36"/>
  <c r="E25" i="36" s="1"/>
  <c r="K33" i="40"/>
  <c r="L33" i="40" s="1"/>
  <c r="K17" i="42"/>
  <c r="L17" i="42" s="1"/>
  <c r="K23" i="45"/>
  <c r="L23" i="45" s="1"/>
  <c r="K26" i="48"/>
  <c r="L26" i="48" s="1"/>
  <c r="K31" i="49"/>
  <c r="L31" i="49" s="1"/>
  <c r="K15" i="34"/>
  <c r="L15" i="34" s="1"/>
  <c r="K27" i="43"/>
  <c r="L27" i="43" s="1"/>
  <c r="K15" i="48"/>
  <c r="L15" i="48" s="1"/>
  <c r="E28" i="42"/>
  <c r="K28" i="42" s="1"/>
  <c r="L28" i="42" s="1"/>
  <c r="K25" i="47"/>
  <c r="L25" i="47" s="1"/>
  <c r="K28" i="44"/>
  <c r="L28" i="44" s="1"/>
  <c r="K31" i="44"/>
  <c r="K30" i="36"/>
  <c r="L30" i="36" s="1"/>
  <c r="K34" i="37"/>
  <c r="L34" i="37" s="1"/>
  <c r="E29" i="46"/>
  <c r="K29" i="46" s="1"/>
  <c r="L29" i="46" s="1"/>
  <c r="I35" i="33"/>
  <c r="E33" i="33"/>
  <c r="E16" i="34"/>
  <c r="E26" i="34" s="1"/>
  <c r="K25" i="34"/>
  <c r="L25" i="34" s="1"/>
  <c r="H29" i="39"/>
  <c r="I29" i="39" s="1"/>
  <c r="K29" i="39" s="1"/>
  <c r="L29" i="39" s="1"/>
  <c r="K26" i="40"/>
  <c r="L26" i="40" s="1"/>
  <c r="I16" i="42"/>
  <c r="I24" i="42" s="1"/>
  <c r="K33" i="43"/>
  <c r="L33" i="43" s="1"/>
  <c r="E29" i="45"/>
  <c r="K29" i="45" s="1"/>
  <c r="L29" i="45" s="1"/>
  <c r="K31" i="47"/>
  <c r="E29" i="48"/>
  <c r="K29" i="48" s="1"/>
  <c r="L29" i="48" s="1"/>
  <c r="K24" i="49"/>
  <c r="L24" i="49" s="1"/>
  <c r="K33" i="49"/>
  <c r="L33" i="49" s="1"/>
  <c r="K29" i="49"/>
  <c r="L29" i="49" s="1"/>
  <c r="K33" i="46"/>
  <c r="L33" i="46" s="1"/>
  <c r="E29" i="42"/>
  <c r="K29" i="42" s="1"/>
  <c r="L29" i="42" s="1"/>
  <c r="K30" i="39"/>
  <c r="L30" i="39" s="1"/>
  <c r="K32" i="38"/>
  <c r="L32" i="38" s="1"/>
  <c r="K26" i="47"/>
  <c r="L26" i="47" s="1"/>
  <c r="K30" i="48"/>
  <c r="L30" i="48" s="1"/>
  <c r="E30" i="49"/>
  <c r="K30" i="49" s="1"/>
  <c r="L30" i="49" s="1"/>
  <c r="I31" i="33"/>
  <c r="K31" i="33" s="1"/>
  <c r="L31" i="33" s="1"/>
  <c r="I16" i="49"/>
  <c r="I25" i="49" s="1"/>
  <c r="K32" i="49"/>
  <c r="L32" i="49" s="1"/>
  <c r="E16" i="49"/>
  <c r="E25" i="49" s="1"/>
  <c r="K17" i="49"/>
  <c r="L17" i="49" s="1"/>
  <c r="K25" i="48"/>
  <c r="L25" i="48" s="1"/>
  <c r="K17" i="48"/>
  <c r="L17" i="48" s="1"/>
  <c r="K32" i="48"/>
  <c r="L32" i="48" s="1"/>
  <c r="I16" i="48"/>
  <c r="I24" i="48" s="1"/>
  <c r="E16" i="48"/>
  <c r="K23" i="48"/>
  <c r="L23" i="48" s="1"/>
  <c r="K14" i="47"/>
  <c r="L14" i="47" s="1"/>
  <c r="I16" i="47"/>
  <c r="I24" i="47" s="1"/>
  <c r="K28" i="47"/>
  <c r="L28" i="47" s="1"/>
  <c r="K17" i="47"/>
  <c r="L17" i="47" s="1"/>
  <c r="K23" i="47"/>
  <c r="L23" i="47" s="1"/>
  <c r="E16" i="47"/>
  <c r="K17" i="46"/>
  <c r="L17" i="46" s="1"/>
  <c r="K24" i="46"/>
  <c r="L24" i="46" s="1"/>
  <c r="E16" i="46"/>
  <c r="E16" i="45"/>
  <c r="E24" i="45" s="1"/>
  <c r="K14" i="45"/>
  <c r="L14" i="45" s="1"/>
  <c r="I16" i="45"/>
  <c r="K17" i="45"/>
  <c r="L17" i="45" s="1"/>
  <c r="K26" i="44"/>
  <c r="L26" i="44" s="1"/>
  <c r="E16" i="44"/>
  <c r="E24" i="44" s="1"/>
  <c r="K23" i="44"/>
  <c r="L23" i="44" s="1"/>
  <c r="K15" i="44"/>
  <c r="L15" i="44" s="1"/>
  <c r="K17" i="44"/>
  <c r="L17" i="44" s="1"/>
  <c r="E29" i="44"/>
  <c r="K14" i="44"/>
  <c r="L14" i="44" s="1"/>
  <c r="I16" i="44"/>
  <c r="I16" i="43"/>
  <c r="K15" i="43"/>
  <c r="L15" i="43" s="1"/>
  <c r="K32" i="43"/>
  <c r="L32" i="43" s="1"/>
  <c r="K17" i="43"/>
  <c r="L17" i="43" s="1"/>
  <c r="E30" i="43"/>
  <c r="K30" i="43" s="1"/>
  <c r="K23" i="42"/>
  <c r="L23" i="42" s="1"/>
  <c r="E16" i="42"/>
  <c r="E24" i="42" s="1"/>
  <c r="E27" i="42" s="1"/>
  <c r="F13" i="52" s="1"/>
  <c r="K31" i="42"/>
  <c r="L31" i="42" s="1"/>
  <c r="K31" i="41"/>
  <c r="K32" i="41"/>
  <c r="L32" i="41" s="1"/>
  <c r="K29" i="41"/>
  <c r="L29" i="41" s="1"/>
  <c r="K15" i="41"/>
  <c r="L15" i="41" s="1"/>
  <c r="K17" i="41"/>
  <c r="L17" i="41" s="1"/>
  <c r="I16" i="41"/>
  <c r="I24" i="41" s="1"/>
  <c r="E26" i="41"/>
  <c r="H26" i="41"/>
  <c r="I26" i="41" s="1"/>
  <c r="H25" i="41"/>
  <c r="I25" i="41" s="1"/>
  <c r="E25" i="41"/>
  <c r="E28" i="41"/>
  <c r="K28" i="41" s="1"/>
  <c r="E16" i="41"/>
  <c r="K34" i="40"/>
  <c r="L34" i="40" s="1"/>
  <c r="E16" i="40"/>
  <c r="E25" i="40" s="1"/>
  <c r="E27" i="40"/>
  <c r="K15" i="40"/>
  <c r="L15" i="40" s="1"/>
  <c r="K24" i="40"/>
  <c r="L24" i="40" s="1"/>
  <c r="E29" i="40"/>
  <c r="H29" i="40"/>
  <c r="I29" i="40" s="1"/>
  <c r="K14" i="40"/>
  <c r="L14" i="40" s="1"/>
  <c r="I16" i="40"/>
  <c r="E30" i="40"/>
  <c r="H30" i="40"/>
  <c r="I30" i="40" s="1"/>
  <c r="K17" i="40"/>
  <c r="L17" i="40" s="1"/>
  <c r="E16" i="39"/>
  <c r="E24" i="39" s="1"/>
  <c r="E26" i="39"/>
  <c r="K23" i="39"/>
  <c r="L23" i="39" s="1"/>
  <c r="E28" i="39"/>
  <c r="H28" i="39"/>
  <c r="I28" i="39" s="1"/>
  <c r="K17" i="39"/>
  <c r="L17" i="39" s="1"/>
  <c r="K25" i="39"/>
  <c r="L25" i="39" s="1"/>
  <c r="I16" i="39"/>
  <c r="E16" i="38"/>
  <c r="E24" i="38" s="1"/>
  <c r="K31" i="38"/>
  <c r="K23" i="38"/>
  <c r="L23" i="38" s="1"/>
  <c r="K29" i="38"/>
  <c r="L29" i="38" s="1"/>
  <c r="K17" i="38"/>
  <c r="L17" i="38" s="1"/>
  <c r="E25" i="38"/>
  <c r="K25" i="38" s="1"/>
  <c r="K30" i="38"/>
  <c r="L30" i="38" s="1"/>
  <c r="I16" i="38"/>
  <c r="E26" i="38"/>
  <c r="H26" i="38"/>
  <c r="I26" i="38" s="1"/>
  <c r="E28" i="38"/>
  <c r="E16" i="37"/>
  <c r="E26" i="37" s="1"/>
  <c r="E30" i="37"/>
  <c r="H30" i="37"/>
  <c r="I30" i="37" s="1"/>
  <c r="K14" i="37"/>
  <c r="L14" i="37" s="1"/>
  <c r="I16" i="37"/>
  <c r="E28" i="37"/>
  <c r="K28" i="37" s="1"/>
  <c r="E31" i="37"/>
  <c r="H31" i="37"/>
  <c r="I31" i="37" s="1"/>
  <c r="K17" i="37"/>
  <c r="L17" i="37" s="1"/>
  <c r="K14" i="36"/>
  <c r="L14" i="36" s="1"/>
  <c r="I16" i="36"/>
  <c r="E29" i="36"/>
  <c r="H29" i="36"/>
  <c r="I29" i="36" s="1"/>
  <c r="K17" i="36"/>
  <c r="L17" i="36" s="1"/>
  <c r="E27" i="36"/>
  <c r="E26" i="36"/>
  <c r="K26" i="36" s="1"/>
  <c r="I16" i="35"/>
  <c r="I25" i="35" s="1"/>
  <c r="K17" i="35"/>
  <c r="L17" i="35" s="1"/>
  <c r="E16" i="35"/>
  <c r="E25" i="35" s="1"/>
  <c r="E29" i="35"/>
  <c r="H27" i="35"/>
  <c r="I27" i="35" s="1"/>
  <c r="E27" i="35"/>
  <c r="K32" i="35"/>
  <c r="L32" i="35" s="1"/>
  <c r="E30" i="35"/>
  <c r="H26" i="35"/>
  <c r="I26" i="35" s="1"/>
  <c r="E26" i="35"/>
  <c r="I16" i="34"/>
  <c r="I26" i="34" s="1"/>
  <c r="E30" i="34"/>
  <c r="H30" i="34"/>
  <c r="I30" i="34" s="1"/>
  <c r="K27" i="34"/>
  <c r="L27" i="34" s="1"/>
  <c r="I32" i="33"/>
  <c r="I33" i="33"/>
  <c r="I23" i="33"/>
  <c r="D27" i="33"/>
  <c r="H27" i="33" s="1"/>
  <c r="I27" i="33" s="1"/>
  <c r="I14" i="33"/>
  <c r="K14" i="33" s="1"/>
  <c r="L14" i="33" s="1"/>
  <c r="E16" i="33"/>
  <c r="H26" i="33"/>
  <c r="I26" i="33" s="1"/>
  <c r="E26" i="33"/>
  <c r="I24" i="33"/>
  <c r="I34" i="33"/>
  <c r="D29" i="33"/>
  <c r="H29" i="33" s="1"/>
  <c r="I29" i="33" s="1"/>
  <c r="E32" i="33"/>
  <c r="H17" i="33"/>
  <c r="I17" i="33" s="1"/>
  <c r="D30" i="33"/>
  <c r="H30" i="33" s="1"/>
  <c r="I30" i="33" s="1"/>
  <c r="D17" i="33"/>
  <c r="E17" i="33" s="1"/>
  <c r="K35" i="33" l="1"/>
  <c r="L35" i="33" s="1"/>
  <c r="K34" i="33"/>
  <c r="L34" i="33" s="1"/>
  <c r="K41" i="55"/>
  <c r="L41" i="55" s="1"/>
  <c r="F21" i="52"/>
  <c r="K41" i="57"/>
  <c r="L41" i="57" s="1"/>
  <c r="G23" i="51"/>
  <c r="H23" i="51" s="1"/>
  <c r="I23" i="51" s="1"/>
  <c r="K42" i="59"/>
  <c r="L42" i="59" s="1"/>
  <c r="G23" i="53"/>
  <c r="H23" i="53" s="1"/>
  <c r="I23" i="53" s="1"/>
  <c r="K40" i="55"/>
  <c r="L40" i="55" s="1"/>
  <c r="K40" i="58"/>
  <c r="L40" i="58" s="1"/>
  <c r="E41" i="58"/>
  <c r="L41" i="56"/>
  <c r="E42" i="56"/>
  <c r="F21" i="53" s="1"/>
  <c r="H21" i="53" s="1"/>
  <c r="I21" i="53" s="1"/>
  <c r="I41" i="54"/>
  <c r="K24" i="33"/>
  <c r="L24" i="33" s="1"/>
  <c r="K23" i="33"/>
  <c r="L23" i="33" s="1"/>
  <c r="L29" i="47"/>
  <c r="K16" i="43"/>
  <c r="L16" i="43" s="1"/>
  <c r="K26" i="38"/>
  <c r="L26" i="38" s="1"/>
  <c r="K16" i="48"/>
  <c r="L16" i="48" s="1"/>
  <c r="K33" i="33"/>
  <c r="L33" i="33" s="1"/>
  <c r="K30" i="37"/>
  <c r="L30" i="37" s="1"/>
  <c r="K26" i="41"/>
  <c r="K29" i="40"/>
  <c r="L29" i="40" s="1"/>
  <c r="K16" i="49"/>
  <c r="L16" i="49" s="1"/>
  <c r="I28" i="49"/>
  <c r="G16" i="53" s="1"/>
  <c r="K25" i="49"/>
  <c r="L25" i="49" s="1"/>
  <c r="E28" i="49"/>
  <c r="F16" i="53" s="1"/>
  <c r="E24" i="48"/>
  <c r="K24" i="48" s="1"/>
  <c r="I27" i="48"/>
  <c r="G16" i="52" s="1"/>
  <c r="E24" i="47"/>
  <c r="K24" i="47" s="1"/>
  <c r="K16" i="47"/>
  <c r="L16" i="47" s="1"/>
  <c r="I27" i="47"/>
  <c r="G16" i="51" s="1"/>
  <c r="E25" i="46"/>
  <c r="K25" i="46" s="1"/>
  <c r="I28" i="46"/>
  <c r="G15" i="53" s="1"/>
  <c r="K16" i="46"/>
  <c r="L16" i="46" s="1"/>
  <c r="K16" i="45"/>
  <c r="L16" i="45" s="1"/>
  <c r="I24" i="45"/>
  <c r="E27" i="45"/>
  <c r="F15" i="52" s="1"/>
  <c r="K29" i="44"/>
  <c r="L29" i="44" s="1"/>
  <c r="E27" i="44"/>
  <c r="F15" i="51" s="1"/>
  <c r="K16" i="44"/>
  <c r="L16" i="44" s="1"/>
  <c r="I24" i="44"/>
  <c r="I25" i="43"/>
  <c r="K25" i="43" s="1"/>
  <c r="L25" i="43" s="1"/>
  <c r="E28" i="43"/>
  <c r="F13" i="53" s="1"/>
  <c r="L30" i="43"/>
  <c r="K16" i="42"/>
  <c r="L16" i="42" s="1"/>
  <c r="E34" i="42"/>
  <c r="I27" i="42"/>
  <c r="G13" i="52" s="1"/>
  <c r="H13" i="52" s="1"/>
  <c r="I13" i="52" s="1"/>
  <c r="K24" i="42"/>
  <c r="L24" i="42" s="1"/>
  <c r="K16" i="41"/>
  <c r="L16" i="41" s="1"/>
  <c r="E24" i="41"/>
  <c r="K24" i="41" s="1"/>
  <c r="K25" i="41"/>
  <c r="L25" i="41" s="1"/>
  <c r="L28" i="41"/>
  <c r="L26" i="41"/>
  <c r="I27" i="41"/>
  <c r="G13" i="51" s="1"/>
  <c r="K27" i="40"/>
  <c r="L27" i="40" s="1"/>
  <c r="K30" i="40"/>
  <c r="L30" i="40" s="1"/>
  <c r="E28" i="40"/>
  <c r="F14" i="53" s="1"/>
  <c r="I25" i="40"/>
  <c r="K16" i="40"/>
  <c r="L16" i="40" s="1"/>
  <c r="K26" i="39"/>
  <c r="L26" i="39" s="1"/>
  <c r="I24" i="39"/>
  <c r="K16" i="39"/>
  <c r="L16" i="39" s="1"/>
  <c r="E27" i="39"/>
  <c r="F14" i="52" s="1"/>
  <c r="K28" i="39"/>
  <c r="L28" i="39" s="1"/>
  <c r="E27" i="38"/>
  <c r="F14" i="51" s="1"/>
  <c r="L25" i="38"/>
  <c r="I24" i="38"/>
  <c r="K16" i="38"/>
  <c r="L16" i="38" s="1"/>
  <c r="K28" i="38"/>
  <c r="L28" i="38" s="1"/>
  <c r="K31" i="37"/>
  <c r="L31" i="37" s="1"/>
  <c r="L28" i="37"/>
  <c r="E29" i="37"/>
  <c r="F12" i="53" s="1"/>
  <c r="I26" i="37"/>
  <c r="K16" i="37"/>
  <c r="L16" i="37" s="1"/>
  <c r="K27" i="36"/>
  <c r="L27" i="36" s="1"/>
  <c r="E28" i="36"/>
  <c r="F12" i="52" s="1"/>
  <c r="L26" i="36"/>
  <c r="I25" i="36"/>
  <c r="K16" i="36"/>
  <c r="L16" i="36" s="1"/>
  <c r="K29" i="36"/>
  <c r="L29" i="36" s="1"/>
  <c r="K16" i="35"/>
  <c r="L16" i="35" s="1"/>
  <c r="K26" i="35"/>
  <c r="L26" i="35" s="1"/>
  <c r="E28" i="35"/>
  <c r="F12" i="51" s="1"/>
  <c r="K29" i="35"/>
  <c r="L29" i="35" s="1"/>
  <c r="K25" i="35"/>
  <c r="L25" i="35" s="1"/>
  <c r="I28" i="35"/>
  <c r="G12" i="51" s="1"/>
  <c r="K27" i="35"/>
  <c r="L27" i="35" s="1"/>
  <c r="K30" i="35"/>
  <c r="L30" i="35" s="1"/>
  <c r="K16" i="34"/>
  <c r="L16" i="34" s="1"/>
  <c r="K26" i="34"/>
  <c r="I29" i="34"/>
  <c r="G10" i="53" s="1"/>
  <c r="K30" i="34"/>
  <c r="L30" i="34" s="1"/>
  <c r="E29" i="34"/>
  <c r="F10" i="53" s="1"/>
  <c r="L26" i="34"/>
  <c r="E27" i="33"/>
  <c r="K27" i="33" s="1"/>
  <c r="K32" i="33"/>
  <c r="L32" i="33" s="1"/>
  <c r="E30" i="33"/>
  <c r="K30" i="33" s="1"/>
  <c r="K26" i="33"/>
  <c r="L26" i="33" s="1"/>
  <c r="E25" i="33"/>
  <c r="E29" i="33"/>
  <c r="K29" i="33" s="1"/>
  <c r="K17" i="33"/>
  <c r="L17" i="33" s="1"/>
  <c r="I16" i="33"/>
  <c r="G35" i="32"/>
  <c r="G34" i="32"/>
  <c r="G33" i="32"/>
  <c r="G32" i="32"/>
  <c r="I32" i="32" s="1"/>
  <c r="G31" i="32"/>
  <c r="G30" i="32"/>
  <c r="G29" i="32"/>
  <c r="G27" i="32"/>
  <c r="G26" i="32"/>
  <c r="G24" i="32"/>
  <c r="G23" i="32"/>
  <c r="G19" i="32"/>
  <c r="G18" i="32"/>
  <c r="G17" i="32"/>
  <c r="G15" i="32"/>
  <c r="G14" i="32"/>
  <c r="H31" i="32"/>
  <c r="D35" i="32"/>
  <c r="H35" i="32" s="1"/>
  <c r="D34" i="32"/>
  <c r="H34" i="32" s="1"/>
  <c r="D33" i="32"/>
  <c r="H33" i="32" s="1"/>
  <c r="D24" i="32"/>
  <c r="H24" i="32" s="1"/>
  <c r="D23" i="32"/>
  <c r="H23" i="32" s="1"/>
  <c r="D19" i="32"/>
  <c r="H19" i="32" s="1"/>
  <c r="D18" i="32"/>
  <c r="H18" i="32" s="1"/>
  <c r="D15" i="32"/>
  <c r="H15" i="32" s="1"/>
  <c r="D14" i="32"/>
  <c r="H14" i="32" s="1"/>
  <c r="G40" i="32"/>
  <c r="G38" i="32"/>
  <c r="C40" i="32"/>
  <c r="C38" i="32"/>
  <c r="C34" i="32"/>
  <c r="C35" i="32"/>
  <c r="C33" i="32"/>
  <c r="C32" i="32"/>
  <c r="E32" i="32" s="1"/>
  <c r="L32" i="32" s="1"/>
  <c r="C30" i="32"/>
  <c r="C31" i="32"/>
  <c r="E31" i="32" s="1"/>
  <c r="C29" i="32"/>
  <c r="C27" i="32"/>
  <c r="C26" i="32"/>
  <c r="C24" i="32"/>
  <c r="C23" i="32"/>
  <c r="C19" i="32"/>
  <c r="C18" i="32"/>
  <c r="C17" i="32"/>
  <c r="C15" i="32"/>
  <c r="C14" i="32"/>
  <c r="B40" i="32"/>
  <c r="B38" i="32"/>
  <c r="B34" i="32"/>
  <c r="B35" i="32"/>
  <c r="B33" i="32"/>
  <c r="B32" i="32"/>
  <c r="B30" i="32"/>
  <c r="B31" i="32"/>
  <c r="B29" i="32"/>
  <c r="B27" i="32"/>
  <c r="B26" i="32"/>
  <c r="B24" i="32"/>
  <c r="B23" i="32"/>
  <c r="B19" i="32"/>
  <c r="B18" i="32"/>
  <c r="B15" i="32"/>
  <c r="B14" i="32"/>
  <c r="C9" i="32"/>
  <c r="C5" i="32"/>
  <c r="D17" i="32" s="1"/>
  <c r="E15" i="32" l="1"/>
  <c r="E18" i="32"/>
  <c r="E24" i="32"/>
  <c r="K41" i="54"/>
  <c r="L41" i="54" s="1"/>
  <c r="G21" i="51"/>
  <c r="H21" i="51" s="1"/>
  <c r="I21" i="51" s="1"/>
  <c r="H21" i="52"/>
  <c r="I21" i="52" s="1"/>
  <c r="K41" i="58"/>
  <c r="L41" i="58" s="1"/>
  <c r="F23" i="52"/>
  <c r="H23" i="52" s="1"/>
  <c r="I23" i="52" s="1"/>
  <c r="K42" i="56"/>
  <c r="L42" i="56" s="1"/>
  <c r="E23" i="32"/>
  <c r="E33" i="32"/>
  <c r="I24" i="32"/>
  <c r="E14" i="32"/>
  <c r="I31" i="32"/>
  <c r="K31" i="32" s="1"/>
  <c r="L31" i="32" s="1"/>
  <c r="H12" i="51"/>
  <c r="I12" i="51" s="1"/>
  <c r="H10" i="53"/>
  <c r="I10" i="53" s="1"/>
  <c r="I28" i="43"/>
  <c r="G13" i="53" s="1"/>
  <c r="H13" i="53" s="1"/>
  <c r="I13" i="53" s="1"/>
  <c r="H16" i="53"/>
  <c r="I16" i="53" s="1"/>
  <c r="I34" i="32"/>
  <c r="I35" i="32"/>
  <c r="E35" i="32"/>
  <c r="I14" i="32"/>
  <c r="I18" i="32"/>
  <c r="E19" i="32"/>
  <c r="E34" i="32"/>
  <c r="I15" i="32"/>
  <c r="I19" i="32"/>
  <c r="I23" i="32"/>
  <c r="I33" i="32"/>
  <c r="E35" i="49"/>
  <c r="I35" i="49"/>
  <c r="K28" i="49"/>
  <c r="L28" i="49" s="1"/>
  <c r="E27" i="48"/>
  <c r="L24" i="48"/>
  <c r="I34" i="48"/>
  <c r="I34" i="47"/>
  <c r="E27" i="47"/>
  <c r="L24" i="47"/>
  <c r="I35" i="46"/>
  <c r="L25" i="46"/>
  <c r="E28" i="46"/>
  <c r="F15" i="53" s="1"/>
  <c r="H15" i="53" s="1"/>
  <c r="I15" i="53" s="1"/>
  <c r="I27" i="45"/>
  <c r="G15" i="52" s="1"/>
  <c r="H15" i="52" s="1"/>
  <c r="I15" i="52" s="1"/>
  <c r="K24" i="45"/>
  <c r="L24" i="45" s="1"/>
  <c r="E34" i="45"/>
  <c r="I27" i="44"/>
  <c r="G15" i="51" s="1"/>
  <c r="H15" i="51" s="1"/>
  <c r="I15" i="51" s="1"/>
  <c r="K24" i="44"/>
  <c r="L24" i="44" s="1"/>
  <c r="E34" i="44"/>
  <c r="E35" i="43"/>
  <c r="I34" i="42"/>
  <c r="K27" i="42"/>
  <c r="L27" i="42" s="1"/>
  <c r="E35" i="42"/>
  <c r="E36" i="42" s="1"/>
  <c r="I34" i="41"/>
  <c r="L24" i="41"/>
  <c r="E27" i="41"/>
  <c r="F13" i="51" s="1"/>
  <c r="H13" i="51" s="1"/>
  <c r="I13" i="51" s="1"/>
  <c r="E37" i="40"/>
  <c r="K25" i="40"/>
  <c r="L25" i="40" s="1"/>
  <c r="I28" i="40"/>
  <c r="G14" i="53" s="1"/>
  <c r="H14" i="53" s="1"/>
  <c r="I14" i="53" s="1"/>
  <c r="K24" i="39"/>
  <c r="L24" i="39" s="1"/>
  <c r="I27" i="39"/>
  <c r="G14" i="52" s="1"/>
  <c r="H14" i="52" s="1"/>
  <c r="I14" i="52" s="1"/>
  <c r="E34" i="39"/>
  <c r="I27" i="38"/>
  <c r="G14" i="51" s="1"/>
  <c r="H14" i="51" s="1"/>
  <c r="I14" i="51" s="1"/>
  <c r="K24" i="38"/>
  <c r="L24" i="38" s="1"/>
  <c r="E34" i="38"/>
  <c r="K26" i="37"/>
  <c r="L26" i="37" s="1"/>
  <c r="I29" i="37"/>
  <c r="G12" i="53" s="1"/>
  <c r="H12" i="53" s="1"/>
  <c r="I12" i="53" s="1"/>
  <c r="E38" i="37"/>
  <c r="E37" i="36"/>
  <c r="I28" i="36"/>
  <c r="G12" i="52" s="1"/>
  <c r="H12" i="52" s="1"/>
  <c r="I12" i="52" s="1"/>
  <c r="K25" i="36"/>
  <c r="L25" i="36" s="1"/>
  <c r="E37" i="35"/>
  <c r="I37" i="35"/>
  <c r="K28" i="35"/>
  <c r="L28" i="35" s="1"/>
  <c r="I38" i="34"/>
  <c r="K29" i="34"/>
  <c r="L29" i="34" s="1"/>
  <c r="E38" i="34"/>
  <c r="L27" i="33"/>
  <c r="E17" i="32"/>
  <c r="K32" i="32"/>
  <c r="D26" i="32"/>
  <c r="D30" i="32"/>
  <c r="H30" i="32" s="1"/>
  <c r="I30" i="32" s="1"/>
  <c r="D27" i="32"/>
  <c r="H27" i="32" s="1"/>
  <c r="I27" i="32" s="1"/>
  <c r="H17" i="32"/>
  <c r="I17" i="32" s="1"/>
  <c r="D29" i="32"/>
  <c r="I25" i="33"/>
  <c r="K16" i="33"/>
  <c r="L16" i="33" s="1"/>
  <c r="E28" i="33"/>
  <c r="F10" i="52" s="1"/>
  <c r="L29" i="33"/>
  <c r="L30" i="33"/>
  <c r="I260" i="1"/>
  <c r="I256" i="1"/>
  <c r="I255" i="1"/>
  <c r="K18" i="32" l="1"/>
  <c r="L18" i="32" s="1"/>
  <c r="K15" i="32"/>
  <c r="L15" i="32" s="1"/>
  <c r="K24" i="32"/>
  <c r="L24" i="32" s="1"/>
  <c r="K33" i="32"/>
  <c r="L33" i="32" s="1"/>
  <c r="E16" i="32"/>
  <c r="E25" i="32" s="1"/>
  <c r="K19" i="32"/>
  <c r="L19" i="32" s="1"/>
  <c r="I35" i="43"/>
  <c r="I36" i="43" s="1"/>
  <c r="K23" i="32"/>
  <c r="L23" i="32" s="1"/>
  <c r="K14" i="32"/>
  <c r="L14" i="32" s="1"/>
  <c r="K35" i="32"/>
  <c r="L35" i="32" s="1"/>
  <c r="K28" i="43"/>
  <c r="L28" i="43" s="1"/>
  <c r="K27" i="47"/>
  <c r="L27" i="47" s="1"/>
  <c r="F16" i="51"/>
  <c r="H16" i="51" s="1"/>
  <c r="I16" i="51" s="1"/>
  <c r="K27" i="48"/>
  <c r="L27" i="48" s="1"/>
  <c r="F16" i="52"/>
  <c r="H16" i="52" s="1"/>
  <c r="I16" i="52" s="1"/>
  <c r="K34" i="32"/>
  <c r="L34" i="32" s="1"/>
  <c r="I16" i="32"/>
  <c r="I25" i="32" s="1"/>
  <c r="K17" i="32"/>
  <c r="L17" i="32" s="1"/>
  <c r="I36" i="49"/>
  <c r="K35" i="49"/>
  <c r="L35" i="49" s="1"/>
  <c r="E36" i="49"/>
  <c r="E37" i="49" s="1"/>
  <c r="I35" i="48"/>
  <c r="E34" i="48"/>
  <c r="K34" i="48" s="1"/>
  <c r="E34" i="47"/>
  <c r="K34" i="47" s="1"/>
  <c r="I35" i="47"/>
  <c r="I36" i="47" s="1"/>
  <c r="E35" i="46"/>
  <c r="K35" i="46" s="1"/>
  <c r="K28" i="46"/>
  <c r="L28" i="46" s="1"/>
  <c r="I36" i="46"/>
  <c r="I37" i="46" s="1"/>
  <c r="I34" i="45"/>
  <c r="K27" i="45"/>
  <c r="L27" i="45" s="1"/>
  <c r="E35" i="45"/>
  <c r="E36" i="45" s="1"/>
  <c r="E35" i="44"/>
  <c r="I34" i="44"/>
  <c r="K27" i="44"/>
  <c r="L27" i="44" s="1"/>
  <c r="E36" i="43"/>
  <c r="E37" i="43" s="1"/>
  <c r="E37" i="42"/>
  <c r="E38" i="42" s="1"/>
  <c r="F25" i="52" s="1"/>
  <c r="I35" i="42"/>
  <c r="K35" i="42" s="1"/>
  <c r="L35" i="42" s="1"/>
  <c r="K34" i="42"/>
  <c r="L34" i="42" s="1"/>
  <c r="E34" i="41"/>
  <c r="K34" i="41" s="1"/>
  <c r="I35" i="41"/>
  <c r="K27" i="41"/>
  <c r="L27" i="41" s="1"/>
  <c r="E38" i="40"/>
  <c r="E39" i="40" s="1"/>
  <c r="I37" i="40"/>
  <c r="K28" i="40"/>
  <c r="L28" i="40" s="1"/>
  <c r="E35" i="39"/>
  <c r="I34" i="39"/>
  <c r="K27" i="39"/>
  <c r="L27" i="39" s="1"/>
  <c r="K27" i="38"/>
  <c r="L27" i="38" s="1"/>
  <c r="I34" i="38"/>
  <c r="E35" i="38"/>
  <c r="E36" i="38" s="1"/>
  <c r="E39" i="37"/>
  <c r="E40" i="37" s="1"/>
  <c r="I38" i="37"/>
  <c r="K29" i="37"/>
  <c r="L29" i="37" s="1"/>
  <c r="E38" i="36"/>
  <c r="K28" i="36"/>
  <c r="L28" i="36" s="1"/>
  <c r="I37" i="36"/>
  <c r="I38" i="35"/>
  <c r="K37" i="35"/>
  <c r="L37" i="35" s="1"/>
  <c r="E38" i="35"/>
  <c r="E39" i="35" s="1"/>
  <c r="E39" i="34"/>
  <c r="I39" i="34"/>
  <c r="I40" i="34" s="1"/>
  <c r="K38" i="34"/>
  <c r="L38" i="34" s="1"/>
  <c r="E27" i="32"/>
  <c r="E30" i="32"/>
  <c r="E26" i="32"/>
  <c r="H26" i="32"/>
  <c r="I26" i="32" s="1"/>
  <c r="E29" i="32"/>
  <c r="H29" i="32"/>
  <c r="I29" i="32" s="1"/>
  <c r="E37" i="33"/>
  <c r="K25" i="33"/>
  <c r="L25" i="33" s="1"/>
  <c r="I28" i="33"/>
  <c r="G10" i="52" s="1"/>
  <c r="H10" i="52" s="1"/>
  <c r="I10" i="52" s="1"/>
  <c r="K35" i="43" l="1"/>
  <c r="L35" i="43" s="1"/>
  <c r="K16" i="32"/>
  <c r="L16" i="32" s="1"/>
  <c r="K26" i="32"/>
  <c r="L26" i="32" s="1"/>
  <c r="E38" i="49"/>
  <c r="E39" i="49" s="1"/>
  <c r="F28" i="53" s="1"/>
  <c r="K36" i="49"/>
  <c r="L36" i="49" s="1"/>
  <c r="I37" i="49"/>
  <c r="I36" i="48"/>
  <c r="L34" i="48"/>
  <c r="E35" i="48"/>
  <c r="I37" i="47"/>
  <c r="I38" i="47" s="1"/>
  <c r="G28" i="51" s="1"/>
  <c r="L34" i="47"/>
  <c r="E35" i="47"/>
  <c r="K35" i="47" s="1"/>
  <c r="I38" i="46"/>
  <c r="L35" i="46"/>
  <c r="E36" i="46"/>
  <c r="K36" i="46" s="1"/>
  <c r="E37" i="45"/>
  <c r="E38" i="45" s="1"/>
  <c r="F27" i="52" s="1"/>
  <c r="I35" i="45"/>
  <c r="K35" i="45" s="1"/>
  <c r="L35" i="45" s="1"/>
  <c r="K34" i="45"/>
  <c r="L34" i="45" s="1"/>
  <c r="I35" i="44"/>
  <c r="K35" i="44" s="1"/>
  <c r="L35" i="44" s="1"/>
  <c r="K34" i="44"/>
  <c r="L34" i="44" s="1"/>
  <c r="E36" i="44"/>
  <c r="E38" i="43"/>
  <c r="E39" i="43" s="1"/>
  <c r="F25" i="53" s="1"/>
  <c r="K36" i="43"/>
  <c r="L36" i="43" s="1"/>
  <c r="I37" i="43"/>
  <c r="I36" i="42"/>
  <c r="I37" i="42" s="1"/>
  <c r="I36" i="41"/>
  <c r="L34" i="41"/>
  <c r="E35" i="41"/>
  <c r="E36" i="41" s="1"/>
  <c r="E40" i="40"/>
  <c r="I38" i="40"/>
  <c r="K38" i="40" s="1"/>
  <c r="L38" i="40" s="1"/>
  <c r="K37" i="40"/>
  <c r="L37" i="40" s="1"/>
  <c r="I35" i="39"/>
  <c r="K35" i="39" s="1"/>
  <c r="L35" i="39" s="1"/>
  <c r="K34" i="39"/>
  <c r="L34" i="39" s="1"/>
  <c r="E36" i="39"/>
  <c r="E37" i="38"/>
  <c r="I35" i="38"/>
  <c r="K35" i="38" s="1"/>
  <c r="L35" i="38" s="1"/>
  <c r="K34" i="38"/>
  <c r="L34" i="38" s="1"/>
  <c r="E41" i="37"/>
  <c r="E42" i="37" s="1"/>
  <c r="F24" i="53" s="1"/>
  <c r="I39" i="37"/>
  <c r="K39" i="37" s="1"/>
  <c r="L39" i="37" s="1"/>
  <c r="K38" i="37"/>
  <c r="L38" i="37" s="1"/>
  <c r="I38" i="36"/>
  <c r="K38" i="36" s="1"/>
  <c r="L38" i="36" s="1"/>
  <c r="K37" i="36"/>
  <c r="L37" i="36" s="1"/>
  <c r="E39" i="36"/>
  <c r="E40" i="35"/>
  <c r="E41" i="35" s="1"/>
  <c r="F24" i="51" s="1"/>
  <c r="K38" i="35"/>
  <c r="L38" i="35" s="1"/>
  <c r="I39" i="35"/>
  <c r="I41" i="34"/>
  <c r="I42" i="34" s="1"/>
  <c r="G22" i="53" s="1"/>
  <c r="K39" i="34"/>
  <c r="L39" i="34" s="1"/>
  <c r="E40" i="34"/>
  <c r="E28" i="32"/>
  <c r="K30" i="32"/>
  <c r="L30" i="32" s="1"/>
  <c r="K29" i="32"/>
  <c r="L29" i="32" s="1"/>
  <c r="K27" i="32"/>
  <c r="L27" i="32" s="1"/>
  <c r="I37" i="33"/>
  <c r="K28" i="33"/>
  <c r="L28" i="33" s="1"/>
  <c r="E38" i="33"/>
  <c r="E39" i="33" s="1"/>
  <c r="K25" i="32"/>
  <c r="L25" i="32" s="1"/>
  <c r="I28" i="32"/>
  <c r="G10" i="51" s="1"/>
  <c r="E37" i="32" l="1"/>
  <c r="F10" i="51"/>
  <c r="H10" i="51" s="1"/>
  <c r="I10" i="51" s="1"/>
  <c r="K37" i="49"/>
  <c r="L37" i="49" s="1"/>
  <c r="I38" i="49"/>
  <c r="K38" i="49" s="1"/>
  <c r="L38" i="49" s="1"/>
  <c r="K35" i="48"/>
  <c r="L35" i="48" s="1"/>
  <c r="E36" i="48"/>
  <c r="K36" i="48" s="1"/>
  <c r="I37" i="48"/>
  <c r="L35" i="47"/>
  <c r="E36" i="47"/>
  <c r="L36" i="46"/>
  <c r="I39" i="46"/>
  <c r="G27" i="53" s="1"/>
  <c r="E37" i="46"/>
  <c r="I36" i="45"/>
  <c r="I36" i="44"/>
  <c r="K36" i="44" s="1"/>
  <c r="L36" i="44" s="1"/>
  <c r="E37" i="44"/>
  <c r="K37" i="43"/>
  <c r="L37" i="43" s="1"/>
  <c r="I38" i="43"/>
  <c r="K38" i="43" s="1"/>
  <c r="L38" i="43" s="1"/>
  <c r="K36" i="42"/>
  <c r="L36" i="42" s="1"/>
  <c r="K37" i="42"/>
  <c r="L37" i="42" s="1"/>
  <c r="I38" i="42"/>
  <c r="E37" i="41"/>
  <c r="I37" i="41"/>
  <c r="I38" i="41" s="1"/>
  <c r="G25" i="51" s="1"/>
  <c r="K36" i="41"/>
  <c r="L36" i="41" s="1"/>
  <c r="K35" i="41"/>
  <c r="L35" i="41" s="1"/>
  <c r="I39" i="40"/>
  <c r="E41" i="40"/>
  <c r="F26" i="53" s="1"/>
  <c r="I36" i="39"/>
  <c r="I37" i="39" s="1"/>
  <c r="E37" i="39"/>
  <c r="I36" i="38"/>
  <c r="K36" i="38" s="1"/>
  <c r="L36" i="38" s="1"/>
  <c r="E38" i="38"/>
  <c r="F26" i="51" s="1"/>
  <c r="I40" i="37"/>
  <c r="I39" i="36"/>
  <c r="K39" i="36" s="1"/>
  <c r="L39" i="36" s="1"/>
  <c r="E40" i="36"/>
  <c r="E41" i="36" s="1"/>
  <c r="F24" i="52" s="1"/>
  <c r="K39" i="35"/>
  <c r="L39" i="35" s="1"/>
  <c r="I40" i="35"/>
  <c r="K40" i="35" s="1"/>
  <c r="L40" i="35" s="1"/>
  <c r="E41" i="34"/>
  <c r="E42" i="34" s="1"/>
  <c r="F22" i="53" s="1"/>
  <c r="H22" i="53" s="1"/>
  <c r="I22" i="53" s="1"/>
  <c r="K40" i="34"/>
  <c r="L40" i="34" s="1"/>
  <c r="E40" i="33"/>
  <c r="E41" i="33" s="1"/>
  <c r="F22" i="52" s="1"/>
  <c r="I38" i="33"/>
  <c r="K38" i="33" s="1"/>
  <c r="L38" i="33" s="1"/>
  <c r="K37" i="33"/>
  <c r="L37" i="33" s="1"/>
  <c r="E38" i="32"/>
  <c r="E39" i="32" s="1"/>
  <c r="I37" i="32"/>
  <c r="K28" i="32"/>
  <c r="L28" i="32" s="1"/>
  <c r="K38" i="42" l="1"/>
  <c r="L38" i="42" s="1"/>
  <c r="G25" i="52"/>
  <c r="H25" i="52" s="1"/>
  <c r="I25" i="52" s="1"/>
  <c r="I37" i="38"/>
  <c r="K37" i="38" s="1"/>
  <c r="L37" i="38" s="1"/>
  <c r="I39" i="49"/>
  <c r="E37" i="48"/>
  <c r="K37" i="48" s="1"/>
  <c r="L36" i="48"/>
  <c r="I38" i="48"/>
  <c r="G28" i="52" s="1"/>
  <c r="E37" i="47"/>
  <c r="E38" i="47" s="1"/>
  <c r="F28" i="51" s="1"/>
  <c r="H28" i="51" s="1"/>
  <c r="I28" i="51" s="1"/>
  <c r="K36" i="47"/>
  <c r="L36" i="47" s="1"/>
  <c r="E38" i="46"/>
  <c r="E39" i="46" s="1"/>
  <c r="F27" i="53" s="1"/>
  <c r="H27" i="53" s="1"/>
  <c r="I27" i="53" s="1"/>
  <c r="K37" i="46"/>
  <c r="L37" i="46" s="1"/>
  <c r="K36" i="45"/>
  <c r="L36" i="45" s="1"/>
  <c r="I37" i="45"/>
  <c r="K37" i="45" s="1"/>
  <c r="L37" i="45" s="1"/>
  <c r="I37" i="44"/>
  <c r="K37" i="44" s="1"/>
  <c r="L37" i="44" s="1"/>
  <c r="E38" i="44"/>
  <c r="F27" i="51" s="1"/>
  <c r="I39" i="43"/>
  <c r="K37" i="41"/>
  <c r="L37" i="41" s="1"/>
  <c r="E38" i="41"/>
  <c r="K39" i="40"/>
  <c r="L39" i="40" s="1"/>
  <c r="I40" i="40"/>
  <c r="K40" i="40" s="1"/>
  <c r="L40" i="40" s="1"/>
  <c r="K36" i="39"/>
  <c r="L36" i="39" s="1"/>
  <c r="K37" i="39"/>
  <c r="L37" i="39" s="1"/>
  <c r="I38" i="39"/>
  <c r="G26" i="52" s="1"/>
  <c r="E38" i="39"/>
  <c r="F26" i="52" s="1"/>
  <c r="K40" i="37"/>
  <c r="L40" i="37" s="1"/>
  <c r="I41" i="37"/>
  <c r="K41" i="37" s="1"/>
  <c r="L41" i="37" s="1"/>
  <c r="I40" i="36"/>
  <c r="K40" i="36" s="1"/>
  <c r="L40" i="36" s="1"/>
  <c r="I41" i="35"/>
  <c r="K41" i="34"/>
  <c r="L41" i="34" s="1"/>
  <c r="K42" i="34"/>
  <c r="L42" i="34" s="1"/>
  <c r="I39" i="33"/>
  <c r="E40" i="32"/>
  <c r="E41" i="32" s="1"/>
  <c r="F22" i="51" s="1"/>
  <c r="K37" i="32"/>
  <c r="L37" i="32" s="1"/>
  <c r="I38" i="32"/>
  <c r="K38" i="32" s="1"/>
  <c r="L38" i="32" s="1"/>
  <c r="K38" i="41" l="1"/>
  <c r="L38" i="41" s="1"/>
  <c r="F25" i="51"/>
  <c r="H25" i="51" s="1"/>
  <c r="I25" i="51" s="1"/>
  <c r="K39" i="43"/>
  <c r="L39" i="43" s="1"/>
  <c r="G25" i="53"/>
  <c r="H25" i="53" s="1"/>
  <c r="I25" i="53" s="1"/>
  <c r="K39" i="49"/>
  <c r="L39" i="49" s="1"/>
  <c r="G28" i="53"/>
  <c r="H28" i="53" s="1"/>
  <c r="I28" i="53" s="1"/>
  <c r="H26" i="52"/>
  <c r="I26" i="52" s="1"/>
  <c r="K41" i="35"/>
  <c r="L41" i="35" s="1"/>
  <c r="G24" i="51"/>
  <c r="H24" i="51" s="1"/>
  <c r="I24" i="51" s="1"/>
  <c r="I38" i="38"/>
  <c r="E38" i="48"/>
  <c r="L37" i="48"/>
  <c r="K38" i="47"/>
  <c r="L38" i="47" s="1"/>
  <c r="K37" i="47"/>
  <c r="L37" i="47" s="1"/>
  <c r="K39" i="46"/>
  <c r="L39" i="46" s="1"/>
  <c r="K38" i="46"/>
  <c r="L38" i="46" s="1"/>
  <c r="I38" i="45"/>
  <c r="I38" i="44"/>
  <c r="I42" i="37"/>
  <c r="I41" i="40"/>
  <c r="K38" i="39"/>
  <c r="L38" i="39" s="1"/>
  <c r="I41" i="36"/>
  <c r="K39" i="33"/>
  <c r="L39" i="33" s="1"/>
  <c r="I40" i="33"/>
  <c r="K40" i="33" s="1"/>
  <c r="L40" i="33" s="1"/>
  <c r="I39" i="32"/>
  <c r="K39" i="32" s="1"/>
  <c r="L39" i="32" s="1"/>
  <c r="K41" i="36" l="1"/>
  <c r="L41" i="36" s="1"/>
  <c r="G24" i="52"/>
  <c r="H24" i="52" s="1"/>
  <c r="I24" i="52" s="1"/>
  <c r="K38" i="48"/>
  <c r="F28" i="52"/>
  <c r="H28" i="52" s="1"/>
  <c r="I28" i="52" s="1"/>
  <c r="K38" i="44"/>
  <c r="L38" i="44" s="1"/>
  <c r="G27" i="51"/>
  <c r="H27" i="51" s="1"/>
  <c r="I27" i="51" s="1"/>
  <c r="K38" i="38"/>
  <c r="L38" i="38" s="1"/>
  <c r="G26" i="51"/>
  <c r="H26" i="51" s="1"/>
  <c r="I26" i="51" s="1"/>
  <c r="K41" i="40"/>
  <c r="L41" i="40" s="1"/>
  <c r="G26" i="53"/>
  <c r="H26" i="53" s="1"/>
  <c r="I26" i="53" s="1"/>
  <c r="K38" i="45"/>
  <c r="L38" i="45" s="1"/>
  <c r="G27" i="52"/>
  <c r="H27" i="52" s="1"/>
  <c r="I27" i="52" s="1"/>
  <c r="K42" i="37"/>
  <c r="L42" i="37" s="1"/>
  <c r="G24" i="53"/>
  <c r="H24" i="53" s="1"/>
  <c r="I24" i="53" s="1"/>
  <c r="L38" i="48"/>
  <c r="I41" i="33"/>
  <c r="I40" i="32"/>
  <c r="K40" i="32" s="1"/>
  <c r="L40" i="32" s="1"/>
  <c r="K41" i="33" l="1"/>
  <c r="L41" i="33" s="1"/>
  <c r="G22" i="52"/>
  <c r="H22" i="52" s="1"/>
  <c r="I22" i="52" s="1"/>
  <c r="I41" i="32"/>
  <c r="K41" i="32" l="1"/>
  <c r="L41" i="32" s="1"/>
  <c r="G22" i="51"/>
  <c r="H22" i="51" s="1"/>
  <c r="I22" i="51" s="1"/>
</calcChain>
</file>

<file path=xl/sharedStrings.xml><?xml version="1.0" encoding="utf-8"?>
<sst xmlns="http://schemas.openxmlformats.org/spreadsheetml/2006/main" count="1318" uniqueCount="104">
  <si>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</si>
  <si>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</si>
  <si>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</si>
  <si>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</si>
  <si>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</si>
  <si>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</si>
  <si>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</si>
  <si>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</si>
  <si>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</si>
  <si>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</si>
  <si>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</si>
  <si>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</si>
  <si>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</si>
  <si>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</si>
  <si>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</si>
  <si>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</si>
  <si>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</si>
  <si>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General Service Less Than 50kW</t>
  </si>
  <si>
    <t>Standard Supply Service - Administrative Charge (if applicable)</t>
  </si>
  <si>
    <t>General Service 50kW to 4,999kW</t>
  </si>
  <si>
    <t xml:space="preserve">Unmetered Scattered Load </t>
  </si>
  <si>
    <t xml:space="preserve">Sentinel Lighting </t>
  </si>
  <si>
    <t>Service Charge</t>
  </si>
  <si>
    <t>Transformer Allowance for Ownership - per kW of billing demand/month</t>
  </si>
  <si>
    <t>Primary Metering Allowance for transformer losses - applied to measured demand and energy</t>
  </si>
  <si>
    <t>Total Loss Factor - Secondary Metered Customer &lt;5,000 kW</t>
  </si>
  <si>
    <t>Total Loss Factor - Primary Metered Customer &lt;5,000 kW</t>
  </si>
  <si>
    <t>Residential</t>
  </si>
  <si>
    <t>Allowances</t>
  </si>
  <si>
    <t>Volume / Demand</t>
  </si>
  <si>
    <t>HST</t>
  </si>
  <si>
    <t>OCEB</t>
  </si>
  <si>
    <t>Change</t>
  </si>
  <si>
    <t>Proposed</t>
  </si>
  <si>
    <t>Low Voltage Service Rate</t>
  </si>
  <si>
    <t>CNPI - Fort Erie Existing and Proposed Rates</t>
  </si>
  <si>
    <t>Sub-Total A (excluding pass through)</t>
  </si>
  <si>
    <t>Line Losses on Cost of Power</t>
  </si>
  <si>
    <t>TOU - Off Peak</t>
  </si>
  <si>
    <t>TOU - Mid Peak</t>
  </si>
  <si>
    <t>TOU - On Peak</t>
  </si>
  <si>
    <t>Common Tariffs</t>
  </si>
  <si>
    <t>Fort Erie</t>
  </si>
  <si>
    <t>Gananoque</t>
  </si>
  <si>
    <t>Port Colborne</t>
  </si>
  <si>
    <t>Smart Meter Entity Charge</t>
  </si>
  <si>
    <t>micro FIT Generator</t>
  </si>
  <si>
    <t>Monthly Service Charge (per customer)</t>
  </si>
  <si>
    <t>Monthly Service Charge (per connection)</t>
  </si>
  <si>
    <t>CNPI - Gananoque Existing and Proposed Rates</t>
  </si>
  <si>
    <t>CNPI - Port Colborne Existing and Proposed Rates</t>
  </si>
  <si>
    <t>Rate Rider for the Disposition of Deferred PILs Variance Account 1562 - effective until December 31, 2016</t>
  </si>
  <si>
    <t>CNPI - Fort Erie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</si>
  <si>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</si>
  <si>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</si>
  <si>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</si>
  <si>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</si>
  <si>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</si>
  <si>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</si>
  <si>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</si>
  <si>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</si>
  <si>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</si>
  <si>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</si>
  <si>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</si>
  <si>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</si>
  <si>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</si>
  <si>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CNPI - Eastern Ontario Power</t>
  </si>
  <si>
    <t>CNPI - Port Colborne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</si>
  <si>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</si>
  <si>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</si>
  <si>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</si>
  <si>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</si>
  <si>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</si>
  <si>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</si>
  <si>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</si>
  <si>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</si>
  <si>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</si>
  <si>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GS&gt;50 kW</t>
  </si>
  <si>
    <t>USL</t>
  </si>
  <si>
    <t>Total Bill</t>
  </si>
  <si>
    <t>Canadian Niagara Power Inc.</t>
  </si>
  <si>
    <t>2015 4th Generation Incentive Rate-Setting</t>
  </si>
  <si>
    <t>Application</t>
  </si>
  <si>
    <t>2015 Distribution Bill Impact Module</t>
  </si>
  <si>
    <t>Rate Rider for Loss Revenue Adjustment Mechanism (LRAM) - effective until December 31, 2015</t>
  </si>
  <si>
    <t>Residential  RPP</t>
  </si>
  <si>
    <t>GS&lt;50 kW RPP</t>
  </si>
  <si>
    <t>Residential Non-RPP</t>
  </si>
  <si>
    <t>GS&lt;50 kW Non-RPP</t>
  </si>
  <si>
    <t>Rate Rider for Global Adjustment Sub-Account Disposition (2014) - effective until December 31, 2016 Applicable only for Non-RPP Customers</t>
  </si>
  <si>
    <t>Rate Rider for Deferral/Variance Account Disposition (2014) - effective until December 31, 2016</t>
  </si>
  <si>
    <t>EB-2015-0058</t>
  </si>
  <si>
    <t>July 21, 2015</t>
  </si>
  <si>
    <t>Approved Rates 
EB-2014-0061</t>
  </si>
  <si>
    <t>Proposed Rates
EB-2015-0058</t>
  </si>
  <si>
    <t>Rate Rider for Deferral/Variance Account Disposition (2015) - effective until December 31, 2016</t>
  </si>
  <si>
    <t>Rate Rider for Global Adjustment Sub-Account Disposition (2015) - effective until December 31, 2016 Applicable only for Non-RPP Customers</t>
  </si>
  <si>
    <t>Rate Rider for Smart Meter Entity Charge - effective until October 31, 2018</t>
  </si>
  <si>
    <t>2016 Bill Impact</t>
  </si>
  <si>
    <t>Selected Delivery Charge and Bill Impacts Per Application 
Fort Erie 2016</t>
  </si>
  <si>
    <t>Selected Delivery Charge and Bill Impacts Per Application
Gananoque 2016</t>
  </si>
  <si>
    <t>Selected Delivery Charge and Bill Impacts Per Application
Port Colborne 2016</t>
  </si>
  <si>
    <t>Rate Rider for Deferral/Variance Account Disposition (2016) - effective until December 31, 2017</t>
  </si>
  <si>
    <t>Rate Rider for Global Adjustment Sub-Account Disposition (2016) - effective until December 31, 2017 Applicable only for Non-RPP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</si>
</sst>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Font="1" applyFill="1"/>
    <xf numFmtId="165" fontId="0" fillId="0" borderId="0" xfId="1" applyNumberFormat="1" applyFont="1" applyFill="1"/>
    <xf numFmtId="0" fontId="0" fillId="0" borderId="0" xfId="0" applyFill="1"/>
    <xf numFmtId="9" fontId="0" fillId="0" borderId="0" xfId="2" applyFont="1" applyFill="1"/>
    <xf numFmtId="0" fontId="1" fillId="0" borderId="0" xfId="0" applyFont="1" applyAlignment="1">
      <alignment wrapText="1"/>
    </xf>
    <xf numFmtId="164" fontId="0" fillId="0" borderId="0" xfId="1" applyNumberFormat="1" applyFont="1"/>
    <xf numFmtId="167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170" fontId="0" fillId="2" borderId="2" xfId="1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3" applyFont="1"/>
    <xf numFmtId="0" fontId="9" fillId="0" borderId="14" xfId="3" applyFont="1" applyBorder="1" applyAlignment="1">
      <alignment horizontal="center"/>
    </xf>
    <xf numFmtId="0" fontId="9" fillId="4" borderId="4" xfId="3" applyFont="1" applyFill="1" applyBorder="1"/>
    <xf numFmtId="0" fontId="9" fillId="0" borderId="16" xfId="3" applyFont="1" applyBorder="1" applyAlignment="1">
      <alignment horizontal="center"/>
    </xf>
    <xf numFmtId="0" fontId="9" fillId="4" borderId="0" xfId="3" applyFont="1" applyFill="1" applyBorder="1"/>
    <xf numFmtId="0" fontId="9" fillId="0" borderId="5" xfId="3" applyFont="1" applyBorder="1"/>
    <xf numFmtId="0" fontId="9" fillId="0" borderId="17" xfId="3" applyFont="1" applyBorder="1"/>
    <xf numFmtId="0" fontId="9" fillId="4" borderId="18" xfId="3" applyFont="1" applyFill="1" applyBorder="1"/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/>
    <xf numFmtId="168" fontId="9" fillId="0" borderId="1" xfId="1" applyNumberFormat="1" applyFont="1" applyBorder="1"/>
    <xf numFmtId="0" fontId="9" fillId="4" borderId="1" xfId="3" applyFont="1" applyFill="1" applyBorder="1"/>
    <xf numFmtId="44" fontId="9" fillId="0" borderId="1" xfId="3" applyNumberFormat="1" applyFont="1" applyBorder="1"/>
    <xf numFmtId="166" fontId="9" fillId="0" borderId="2" xfId="3" applyNumberFormat="1" applyFont="1" applyBorder="1" applyAlignment="1">
      <alignment horizontal="center"/>
    </xf>
    <xf numFmtId="168" fontId="9" fillId="4" borderId="1" xfId="1" applyNumberFormat="1" applyFont="1" applyFill="1" applyBorder="1"/>
    <xf numFmtId="0" fontId="9" fillId="4" borderId="19" xfId="3" applyFont="1" applyFill="1" applyBorder="1"/>
    <xf numFmtId="168" fontId="9" fillId="4" borderId="0" xfId="1" applyNumberFormat="1" applyFont="1" applyFill="1" applyBorder="1"/>
    <xf numFmtId="44" fontId="9" fillId="4" borderId="0" xfId="3" applyNumberFormat="1" applyFont="1" applyFill="1" applyBorder="1"/>
    <xf numFmtId="166" fontId="9" fillId="4" borderId="20" xfId="3" applyNumberFormat="1" applyFont="1" applyFill="1" applyBorder="1" applyAlignment="1">
      <alignment horizontal="center"/>
    </xf>
    <xf numFmtId="0" fontId="9" fillId="0" borderId="6" xfId="3" applyFont="1" applyBorder="1"/>
    <xf numFmtId="168" fontId="9" fillId="0" borderId="8" xfId="1" applyNumberFormat="1" applyFont="1" applyBorder="1"/>
    <xf numFmtId="0" fontId="9" fillId="4" borderId="7" xfId="3" applyFont="1" applyFill="1" applyBorder="1"/>
    <xf numFmtId="44" fontId="9" fillId="0" borderId="8" xfId="3" applyNumberFormat="1" applyFont="1" applyBorder="1"/>
    <xf numFmtId="166" fontId="9" fillId="0" borderId="9" xfId="3" applyNumberFormat="1" applyFont="1" applyBorder="1" applyAlignment="1">
      <alignment horizontal="center"/>
    </xf>
    <xf numFmtId="170" fontId="0" fillId="0" borderId="1" xfId="0" applyNumberFormat="1" applyBorder="1"/>
    <xf numFmtId="170" fontId="0" fillId="3" borderId="1" xfId="0" applyNumberFormat="1" applyFill="1" applyBorder="1"/>
    <xf numFmtId="170" fontId="0" fillId="0" borderId="1" xfId="0" applyNumberFormat="1" applyFill="1" applyBorder="1"/>
    <xf numFmtId="0" fontId="5" fillId="0" borderId="0" xfId="0" applyFont="1" applyAlignment="1">
      <alignment horizontal="center"/>
    </xf>
    <xf numFmtId="168" fontId="9" fillId="0" borderId="17" xfId="3" applyNumberFormat="1" applyFont="1" applyBorder="1"/>
    <xf numFmtId="43" fontId="9" fillId="0" borderId="1" xfId="3" applyNumberFormat="1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164" fontId="9" fillId="0" borderId="1" xfId="1" applyNumberFormat="1" applyFont="1" applyBorder="1"/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3" xfId="3" applyFont="1" applyBorder="1" applyAlignment="1">
      <alignment horizontal="center" wrapText="1"/>
    </xf>
    <xf numFmtId="0" fontId="9" fillId="0" borderId="15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15</xdr:row>
      <xdr:rowOff>123825</xdr:rowOff>
    </xdr:to>
    <xdr:pic>
      <xdr:nvPicPr>
        <xdr:cNvPr id="105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600200"/>
          <a:ext cx="3543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30"/>
  <sheetViews>
    <sheetView showGridLines="0" workbookViewId="0">
      <selection activeCell="B29" sqref="B29:I29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102" t="s">
        <v>80</v>
      </c>
      <c r="C20" s="102"/>
      <c r="D20" s="102"/>
      <c r="E20" s="102"/>
      <c r="F20" s="102"/>
      <c r="G20" s="102"/>
      <c r="H20" s="102"/>
      <c r="I20" s="102"/>
    </row>
    <row r="21" spans="2:9" ht="33.75" x14ac:dyDescent="0.5">
      <c r="B21" s="102" t="s">
        <v>81</v>
      </c>
      <c r="C21" s="102"/>
      <c r="D21" s="102"/>
      <c r="E21" s="102"/>
      <c r="F21" s="102"/>
      <c r="G21" s="102"/>
      <c r="H21" s="102"/>
      <c r="I21" s="102"/>
    </row>
    <row r="22" spans="2:9" ht="33.75" x14ac:dyDescent="0.5">
      <c r="B22" s="102" t="s">
        <v>82</v>
      </c>
      <c r="C22" s="102"/>
      <c r="D22" s="102"/>
      <c r="E22" s="102"/>
      <c r="F22" s="102"/>
      <c r="G22" s="102"/>
      <c r="H22" s="102"/>
      <c r="I22" s="102"/>
    </row>
    <row r="23" spans="2:9" ht="33.75" x14ac:dyDescent="0.5">
      <c r="B23" s="94"/>
      <c r="C23" s="94"/>
      <c r="D23" s="94"/>
      <c r="E23" s="94"/>
      <c r="F23" s="94"/>
      <c r="G23" s="94"/>
      <c r="H23" s="94"/>
      <c r="I23" s="94"/>
    </row>
    <row r="24" spans="2:9" ht="33.75" x14ac:dyDescent="0.5">
      <c r="B24" s="102" t="s">
        <v>83</v>
      </c>
      <c r="C24" s="102"/>
      <c r="D24" s="102"/>
      <c r="E24" s="102"/>
      <c r="F24" s="102"/>
      <c r="G24" s="102"/>
      <c r="H24" s="102"/>
      <c r="I24" s="102"/>
    </row>
    <row r="28" spans="2:9" ht="33.75" x14ac:dyDescent="0.5">
      <c r="B28" s="102" t="s">
        <v>91</v>
      </c>
      <c r="C28" s="102"/>
      <c r="D28" s="102"/>
      <c r="E28" s="102"/>
      <c r="F28" s="102"/>
      <c r="G28" s="102"/>
      <c r="H28" s="102"/>
      <c r="I28" s="102"/>
    </row>
    <row r="29" spans="2:9" ht="33.75" x14ac:dyDescent="0.5">
      <c r="B29" s="102"/>
      <c r="C29" s="103"/>
      <c r="D29" s="103"/>
      <c r="E29" s="103"/>
      <c r="F29" s="103"/>
      <c r="G29" s="103"/>
      <c r="H29" s="103"/>
      <c r="I29" s="103"/>
    </row>
    <row r="30" spans="2:9" ht="33.75" x14ac:dyDescent="0.5">
      <c r="B30" s="100" t="s">
        <v>92</v>
      </c>
      <c r="C30" s="101"/>
      <c r="D30" s="101"/>
      <c r="E30" s="101"/>
      <c r="F30" s="101"/>
      <c r="G30" s="101"/>
      <c r="H30" s="101"/>
      <c r="I30" s="101"/>
    </row>
  </sheetData>
  <mergeCells count="7">
    <mergeCell ref="B30:I30"/>
    <mergeCell ref="B29:I29"/>
    <mergeCell ref="B20:I20"/>
    <mergeCell ref="B24:I24"/>
    <mergeCell ref="B21:I21"/>
    <mergeCell ref="B28:I28"/>
    <mergeCell ref="B22:I22"/>
  </mergeCells>
  <phoneticPr fontId="2" type="noConversion"/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Rates!B67</f>
        <v>Street Lighting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3600</v>
      </c>
    </row>
    <row r="7" spans="2:12" x14ac:dyDescent="0.2">
      <c r="B7" s="28" t="s">
        <v>62</v>
      </c>
      <c r="C7" s="29">
        <v>172000</v>
      </c>
    </row>
    <row r="8" spans="2:12" x14ac:dyDescent="0.2">
      <c r="B8" s="28" t="s">
        <v>63</v>
      </c>
      <c r="C8" s="62">
        <v>490</v>
      </c>
    </row>
    <row r="9" spans="2:12" ht="13.5" thickBot="1" x14ac:dyDescent="0.25">
      <c r="B9" s="30" t="s">
        <v>64</v>
      </c>
      <c r="C9" s="31">
        <f>IF(C8=0,"n/a",C7/(C8*24*365/12))</f>
        <v>0.48084987419625386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Rates!E68</f>
        <v>5.05</v>
      </c>
      <c r="D14" s="37">
        <f>C6</f>
        <v>3600</v>
      </c>
      <c r="E14" s="36">
        <f>C14*D14</f>
        <v>18180</v>
      </c>
      <c r="F14" s="45"/>
      <c r="G14" s="36">
        <f>Rates!I68</f>
        <v>4.93</v>
      </c>
      <c r="H14" s="37">
        <f>D14</f>
        <v>3600</v>
      </c>
      <c r="I14" s="36">
        <f>G14*H14</f>
        <v>17748</v>
      </c>
      <c r="J14" s="45"/>
      <c r="K14" s="36">
        <f>I14-E14</f>
        <v>-432</v>
      </c>
      <c r="L14" s="47">
        <f>IF((E14)=0," ",K14/E14)</f>
        <v>-2.3762376237623763E-2</v>
      </c>
    </row>
    <row r="15" spans="2:12" x14ac:dyDescent="0.2">
      <c r="B15" s="44" t="str">
        <f>Rates!B8</f>
        <v>Distribution Volumetric Rate</v>
      </c>
      <c r="C15" s="25">
        <f>Rates!E69</f>
        <v>10.4941</v>
      </c>
      <c r="D15" s="38">
        <f>C8</f>
        <v>490</v>
      </c>
      <c r="E15" s="36">
        <f t="shared" ref="E15" si="0">C15*D15</f>
        <v>5142.1089999999995</v>
      </c>
      <c r="F15" s="45"/>
      <c r="G15" s="25">
        <f>Rates!I69</f>
        <v>10.743399999999999</v>
      </c>
      <c r="H15" s="38">
        <f>D15</f>
        <v>490</v>
      </c>
      <c r="I15" s="36">
        <f t="shared" ref="I15" si="1">G15*H15</f>
        <v>5264.2659999999996</v>
      </c>
      <c r="J15" s="45"/>
      <c r="K15" s="36">
        <f t="shared" ref="K15:K38" si="2">I15-E15</f>
        <v>122.15700000000015</v>
      </c>
      <c r="L15" s="47">
        <f t="shared" ref="L15:L38" si="3">IF((E15)=0," ",K15/E15)</f>
        <v>2.3756205868059228E-2</v>
      </c>
    </row>
    <row r="16" spans="2:12" x14ac:dyDescent="0.2">
      <c r="B16" s="49" t="s">
        <v>36</v>
      </c>
      <c r="C16" s="50"/>
      <c r="D16" s="51"/>
      <c r="E16" s="52">
        <f>SUM(E14:E15)</f>
        <v>23322.109</v>
      </c>
      <c r="F16" s="53"/>
      <c r="G16" s="50"/>
      <c r="H16" s="51"/>
      <c r="I16" s="52">
        <f>SUM(I14:I15)</f>
        <v>23012.266</v>
      </c>
      <c r="J16" s="53"/>
      <c r="K16" s="54">
        <f t="shared" si="2"/>
        <v>-309.84300000000076</v>
      </c>
      <c r="L16" s="55">
        <f t="shared" si="3"/>
        <v>-1.3285376549779472E-2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9322.4000000000051</v>
      </c>
      <c r="E17" s="36">
        <f t="shared" ref="E17:E23" si="4">C17*D17</f>
        <v>952.18993600000056</v>
      </c>
      <c r="F17" s="45"/>
      <c r="G17" s="25">
        <f>Rates!I266</f>
        <v>0.10214000000000001</v>
      </c>
      <c r="H17" s="40">
        <f>(C5-1)*C7</f>
        <v>9322.4000000000051</v>
      </c>
      <c r="I17" s="36">
        <f t="shared" ref="I17:I23" si="5">G17*H17</f>
        <v>952.18993600000056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Rates!B71</f>
        <v>Rate Rider for Deferral/Variance Account Disposition (2015) - effective until December 31, 2016</v>
      </c>
      <c r="C18" s="25">
        <f>Rates!E71</f>
        <v>0.24560000000000001</v>
      </c>
      <c r="D18" s="37">
        <f>C8</f>
        <v>490</v>
      </c>
      <c r="E18" s="36">
        <f t="shared" si="4"/>
        <v>120.34400000000001</v>
      </c>
      <c r="F18" s="45"/>
      <c r="G18" s="25">
        <f>Rates!I71</f>
        <v>0.24560000000000001</v>
      </c>
      <c r="H18" s="37">
        <f t="shared" ref="H18:H23" si="6">D18</f>
        <v>490</v>
      </c>
      <c r="I18" s="36">
        <f t="shared" si="5"/>
        <v>120.34400000000001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Rates!B72</f>
        <v>Rate Rider for Global Adjustment Sub-Account Disposition (2015) - effective until December 31, 2016 Applicable only for Non-RPP Customers</v>
      </c>
      <c r="C19" s="25">
        <f>Rates!E72</f>
        <v>-0.76700000000000002</v>
      </c>
      <c r="D19" s="37">
        <f>C8</f>
        <v>490</v>
      </c>
      <c r="E19" s="36">
        <f t="shared" si="4"/>
        <v>-375.83</v>
      </c>
      <c r="F19" s="45"/>
      <c r="G19" s="25">
        <f>Rates!I72</f>
        <v>-0.76700000000000002</v>
      </c>
      <c r="H19" s="37">
        <f t="shared" si="6"/>
        <v>490</v>
      </c>
      <c r="I19" s="36">
        <f t="shared" si="5"/>
        <v>-375.83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Rates!B73</f>
        <v>Rate Rider for Deferral/Variance Account Disposition (2016) - effective until December 31, 2017</v>
      </c>
      <c r="C20" s="25">
        <f>Rates!E73</f>
        <v>0</v>
      </c>
      <c r="D20" s="37">
        <f>C8</f>
        <v>490</v>
      </c>
      <c r="E20" s="36">
        <f t="shared" si="4"/>
        <v>0</v>
      </c>
      <c r="F20" s="45"/>
      <c r="G20" s="25">
        <f>Rates!I73</f>
        <v>-0.21690000000000001</v>
      </c>
      <c r="H20" s="37">
        <f t="shared" si="6"/>
        <v>490</v>
      </c>
      <c r="I20" s="36">
        <f t="shared" si="5"/>
        <v>-106.28100000000001</v>
      </c>
      <c r="J20" s="45"/>
      <c r="K20" s="36">
        <f t="shared" ref="K20:K21" si="9">I20-E20</f>
        <v>-106.28100000000001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Rates!B74</f>
        <v>Rate Rider for Global Adjustment Sub-Account Disposition (2016) - effective until December 31, 2017 Applicable only for Non-RPP Customers</v>
      </c>
      <c r="C21" s="25">
        <f>Rates!E74</f>
        <v>0</v>
      </c>
      <c r="D21" s="37">
        <f>C8</f>
        <v>490</v>
      </c>
      <c r="E21" s="36">
        <f t="shared" si="4"/>
        <v>0</v>
      </c>
      <c r="F21" s="45"/>
      <c r="G21" s="25">
        <f>Rates!I74</f>
        <v>1.3987000000000001</v>
      </c>
      <c r="H21" s="37">
        <f t="shared" si="6"/>
        <v>490</v>
      </c>
      <c r="I21" s="36">
        <f t="shared" si="5"/>
        <v>685.36300000000006</v>
      </c>
      <c r="J21" s="45"/>
      <c r="K21" s="36">
        <f t="shared" si="9"/>
        <v>685.36300000000006</v>
      </c>
      <c r="L21" s="47" t="str">
        <f t="shared" si="10"/>
        <v xml:space="preserve"> </v>
      </c>
    </row>
    <row r="22" spans="2:12" x14ac:dyDescent="0.2">
      <c r="B22" s="48" t="str">
        <f>Rates!B75</f>
        <v>Rate Rider for Loss Revenue Adjustment Mechanism (LRAM) - effective until December 31, 2015</v>
      </c>
      <c r="C22" s="25">
        <f>Rates!E75</f>
        <v>0</v>
      </c>
      <c r="D22" s="37">
        <f>C8</f>
        <v>490</v>
      </c>
      <c r="E22" s="36">
        <f t="shared" si="4"/>
        <v>0</v>
      </c>
      <c r="F22" s="45"/>
      <c r="G22" s="25">
        <f>Rates!I75</f>
        <v>0</v>
      </c>
      <c r="H22" s="37">
        <f t="shared" si="6"/>
        <v>490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Rates!E70</f>
        <v>5.0700000000000002E-2</v>
      </c>
      <c r="D23" s="37">
        <f>C8</f>
        <v>490</v>
      </c>
      <c r="E23" s="36">
        <f t="shared" si="4"/>
        <v>24.843</v>
      </c>
      <c r="F23" s="45"/>
      <c r="G23" s="25">
        <f>Rates!I70</f>
        <v>5.0700000000000002E-2</v>
      </c>
      <c r="H23" s="37">
        <f t="shared" si="6"/>
        <v>490</v>
      </c>
      <c r="I23" s="36">
        <f t="shared" si="5"/>
        <v>24.843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24043.655935999999</v>
      </c>
      <c r="F24" s="53"/>
      <c r="G24" s="50"/>
      <c r="H24" s="51"/>
      <c r="I24" s="52">
        <f>SUM(I16:I23)</f>
        <v>24312.894936000001</v>
      </c>
      <c r="J24" s="53"/>
      <c r="K24" s="54">
        <f t="shared" si="2"/>
        <v>269.2390000000014</v>
      </c>
      <c r="L24" s="55">
        <f t="shared" si="3"/>
        <v>1.1197922675181696E-2</v>
      </c>
    </row>
    <row r="25" spans="2:12" x14ac:dyDescent="0.2">
      <c r="B25" s="44" t="str">
        <f>Rates!B15</f>
        <v>Retail Transmission Rate - Network Service Rate</v>
      </c>
      <c r="C25" s="25">
        <f>Rates!E76</f>
        <v>1.9564999999999999</v>
      </c>
      <c r="D25" s="37">
        <f>C8</f>
        <v>490</v>
      </c>
      <c r="E25" s="36">
        <f>C25*D25</f>
        <v>958.68499999999995</v>
      </c>
      <c r="F25" s="45"/>
      <c r="G25" s="25">
        <f>Rates!I76</f>
        <v>1.9218999999999999</v>
      </c>
      <c r="H25" s="37">
        <f>D25</f>
        <v>490</v>
      </c>
      <c r="I25" s="36">
        <f>G25*H25</f>
        <v>941.73099999999999</v>
      </c>
      <c r="J25" s="45"/>
      <c r="K25" s="36">
        <f t="shared" si="2"/>
        <v>-16.953999999999951</v>
      </c>
      <c r="L25" s="47">
        <f t="shared" si="3"/>
        <v>-1.7684640940454844E-2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Rates!E77</f>
        <v>1.5501</v>
      </c>
      <c r="D26" s="37">
        <f>C8</f>
        <v>490</v>
      </c>
      <c r="E26" s="36">
        <f>C26*D26</f>
        <v>759.54899999999998</v>
      </c>
      <c r="F26" s="45"/>
      <c r="G26" s="25">
        <f>Rates!I77</f>
        <v>1.5872999999999999</v>
      </c>
      <c r="H26" s="37">
        <f>D26</f>
        <v>490</v>
      </c>
      <c r="I26" s="36">
        <f>G26*H26</f>
        <v>777.77699999999993</v>
      </c>
      <c r="J26" s="45"/>
      <c r="K26" s="36">
        <f t="shared" si="2"/>
        <v>18.227999999999952</v>
      </c>
      <c r="L26" s="47">
        <f t="shared" si="3"/>
        <v>2.3998451712792659E-2</v>
      </c>
    </row>
    <row r="27" spans="2:12" x14ac:dyDescent="0.2">
      <c r="B27" s="49" t="s">
        <v>57</v>
      </c>
      <c r="C27" s="50"/>
      <c r="D27" s="51"/>
      <c r="E27" s="52">
        <f>SUM(E24:E26)</f>
        <v>25761.889936</v>
      </c>
      <c r="F27" s="53"/>
      <c r="G27" s="50"/>
      <c r="H27" s="52"/>
      <c r="I27" s="52">
        <f>SUM(I24:I26)</f>
        <v>26032.402935999999</v>
      </c>
      <c r="J27" s="53"/>
      <c r="K27" s="54">
        <f t="shared" si="2"/>
        <v>270.51299999999901</v>
      </c>
      <c r="L27" s="55">
        <f t="shared" si="3"/>
        <v>1.0500510664086823E-2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181322.4</v>
      </c>
      <c r="E28" s="36">
        <f t="shared" ref="E28:E32" si="11">C28*D28</f>
        <v>797.81856000000005</v>
      </c>
      <c r="F28" s="45"/>
      <c r="G28" s="25">
        <f>Rates!I244</f>
        <v>4.4000000000000003E-3</v>
      </c>
      <c r="H28" s="37">
        <f>D28</f>
        <v>181322.4</v>
      </c>
      <c r="I28" s="36">
        <f t="shared" ref="I28:I32" si="12">G28*H28</f>
        <v>797.81856000000005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181322.4</v>
      </c>
      <c r="E29" s="36">
        <f t="shared" si="11"/>
        <v>235.71911999999998</v>
      </c>
      <c r="F29" s="45"/>
      <c r="G29" s="25">
        <f>Rates!I245</f>
        <v>1.2999999999999999E-3</v>
      </c>
      <c r="H29" s="37">
        <f t="shared" ref="H29:H30" si="13">D29</f>
        <v>181322.4</v>
      </c>
      <c r="I29" s="36">
        <f t="shared" si="12"/>
        <v>235.71911999999998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Rates!E250</f>
        <v>0</v>
      </c>
      <c r="D31" s="37">
        <f>C7</f>
        <v>172000</v>
      </c>
      <c r="E31" s="36">
        <f t="shared" si="11"/>
        <v>0</v>
      </c>
      <c r="F31" s="45"/>
      <c r="G31" s="25">
        <f>Rates!I250</f>
        <v>0</v>
      </c>
      <c r="H31" s="37">
        <f>D31</f>
        <v>172000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172000</v>
      </c>
      <c r="E32" s="36">
        <f t="shared" si="11"/>
        <v>17568.080000000002</v>
      </c>
      <c r="F32" s="45"/>
      <c r="G32" s="25">
        <f>Rates!I266</f>
        <v>0.10214000000000001</v>
      </c>
      <c r="H32" s="37">
        <f>D32</f>
        <v>172000</v>
      </c>
      <c r="I32" s="36">
        <f t="shared" si="12"/>
        <v>17568.080000000002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44363.757616000003</v>
      </c>
      <c r="F34" s="45"/>
      <c r="G34" s="35"/>
      <c r="H34" s="39"/>
      <c r="I34" s="39">
        <f>SUM(I27:I32)</f>
        <v>44634.270616000002</v>
      </c>
      <c r="J34" s="45"/>
      <c r="K34" s="36">
        <f t="shared" si="2"/>
        <v>270.51299999999901</v>
      </c>
      <c r="L34" s="47">
        <f t="shared" si="3"/>
        <v>6.0976124326862068E-3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5767.2884900800009</v>
      </c>
      <c r="F35" s="45"/>
      <c r="G35" s="41">
        <f>Rates!I268</f>
        <v>0.13</v>
      </c>
      <c r="H35" s="35"/>
      <c r="I35" s="42">
        <f>I34*G35</f>
        <v>5802.45518008</v>
      </c>
      <c r="J35" s="45"/>
      <c r="K35" s="36">
        <f t="shared" si="2"/>
        <v>35.166689999999107</v>
      </c>
      <c r="L35" s="47">
        <f t="shared" si="3"/>
        <v>6.0976124326860741E-3</v>
      </c>
    </row>
    <row r="36" spans="2:12" x14ac:dyDescent="0.2">
      <c r="B36" s="23" t="s">
        <v>59</v>
      </c>
      <c r="C36" s="35"/>
      <c r="D36" s="35"/>
      <c r="E36" s="42">
        <f>E34+E35</f>
        <v>50131.046106080001</v>
      </c>
      <c r="F36" s="45"/>
      <c r="G36" s="35"/>
      <c r="H36" s="35"/>
      <c r="I36" s="42">
        <f>I34+I35</f>
        <v>50436.725796080005</v>
      </c>
      <c r="J36" s="45"/>
      <c r="K36" s="36">
        <f t="shared" si="2"/>
        <v>305.67969000000448</v>
      </c>
      <c r="L36" s="47">
        <f t="shared" si="3"/>
        <v>6.0976124326863187E-3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50131.046106080001</v>
      </c>
      <c r="F38" s="59"/>
      <c r="G38" s="57"/>
      <c r="H38" s="57"/>
      <c r="I38" s="58">
        <f>I36+I37</f>
        <v>50436.725796080005</v>
      </c>
      <c r="J38" s="59"/>
      <c r="K38" s="60">
        <f t="shared" si="2"/>
        <v>305.67969000000448</v>
      </c>
      <c r="L38" s="61">
        <f t="shared" si="3"/>
        <v>6.0976124326863187E-3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1"/>
  <sheetViews>
    <sheetView showGridLines="0" workbookViewId="0">
      <selection activeCell="C7" sqref="C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Rates!B82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Rates!E83</f>
        <v>19.43</v>
      </c>
      <c r="D14" s="37">
        <f>C6</f>
        <v>1</v>
      </c>
      <c r="E14" s="36">
        <f>C14*D14</f>
        <v>19.43</v>
      </c>
      <c r="F14" s="45"/>
      <c r="G14" s="36">
        <f>Rates!I83</f>
        <v>23.33</v>
      </c>
      <c r="H14" s="37">
        <f>D14</f>
        <v>1</v>
      </c>
      <c r="I14" s="36">
        <f>G14*H14</f>
        <v>23.33</v>
      </c>
      <c r="J14" s="45"/>
      <c r="K14" s="36">
        <f>I14-E14</f>
        <v>3.8999999999999986</v>
      </c>
      <c r="L14" s="47">
        <f>IF((E14)=0," ",K14/E14)</f>
        <v>0.20072053525476061</v>
      </c>
    </row>
    <row r="15" spans="2:12" x14ac:dyDescent="0.2">
      <c r="B15" s="44" t="str">
        <f>Rates!B8</f>
        <v>Distribution Volumetric Rate</v>
      </c>
      <c r="C15" s="25">
        <f>Rates!E85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Rates!I85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1" si="2">I15-E15</f>
        <v>-4.08</v>
      </c>
      <c r="L15" s="47">
        <f t="shared" ref="L15:L41" si="3">IF((E15)=0," ",K15/E15)</f>
        <v>-0.25247524752475248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-0.18000000000000682</v>
      </c>
      <c r="L16" s="55">
        <f t="shared" si="3"/>
        <v>-5.0576004495646752E-3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4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4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Rates!B87</f>
        <v>Rate Rider for Deferral/Variance Account Disposition (2015) - effective until December 31, 2016</v>
      </c>
      <c r="C18" s="25">
        <f>Rates!E87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Rates!I87</f>
        <v>2.9999999999999997E-4</v>
      </c>
      <c r="H18" s="37">
        <f t="shared" ref="H18:H24" si="6">D18</f>
        <v>800</v>
      </c>
      <c r="I18" s="36">
        <f t="shared" si="5"/>
        <v>0.24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Rates!B88</f>
        <v>Rate Rider for Global Adjustment Sub-Account Disposition (2015) - effective until December 31, 2016 Applicable only for Non-RPP Customers</v>
      </c>
      <c r="C19" s="25">
        <f>Rates!E88</f>
        <v>7.4999999999999997E-3</v>
      </c>
      <c r="D19" s="37"/>
      <c r="E19" s="36">
        <f t="shared" si="4"/>
        <v>0</v>
      </c>
      <c r="F19" s="45"/>
      <c r="G19" s="25">
        <f>Rates!I88</f>
        <v>7.4999999999999997E-3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Rates!B89</f>
        <v>Rate Rider for Deferral/Variance Account Disposition (2016) - effective until December 31, 2017</v>
      </c>
      <c r="C20" s="25">
        <f>Rates!E89</f>
        <v>0</v>
      </c>
      <c r="D20" s="37">
        <f>C7</f>
        <v>800</v>
      </c>
      <c r="E20" s="36">
        <f t="shared" si="4"/>
        <v>0</v>
      </c>
      <c r="F20" s="45"/>
      <c r="G20" s="25">
        <f>Rates!I89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7">I20-E20</f>
        <v>-2.16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Rates!B90</f>
        <v>Rate Rider for Global Adjustment Sub-Account Disposition (2016) - effective until December 31, 2017 Applicable only for Non-RPP Customers</v>
      </c>
      <c r="C21" s="25">
        <f>Rates!E90</f>
        <v>0</v>
      </c>
      <c r="D21" s="37"/>
      <c r="E21" s="36">
        <f t="shared" si="4"/>
        <v>0</v>
      </c>
      <c r="F21" s="45"/>
      <c r="G21" s="25">
        <f>Rates!I90</f>
        <v>1.0500000000000001E-2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Rates!B91</f>
        <v>Rate Rider for Loss Revenue Adjustment Mechanism (LRAM) - effective until December 31, 2015</v>
      </c>
      <c r="C22" s="25">
        <f>Rates!E91</f>
        <v>1E-4</v>
      </c>
      <c r="D22" s="37">
        <f>C7</f>
        <v>800</v>
      </c>
      <c r="E22" s="36">
        <f t="shared" si="4"/>
        <v>0.08</v>
      </c>
      <c r="F22" s="45"/>
      <c r="G22" s="25">
        <f>Rates!I91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2"/>
        <v>-0.08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Rates!E86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Rates!I86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41.288790400000003</v>
      </c>
      <c r="F25" s="53"/>
      <c r="G25" s="50"/>
      <c r="H25" s="51"/>
      <c r="I25" s="52">
        <f>SUM(I16:I24)</f>
        <v>38.868790400000002</v>
      </c>
      <c r="J25" s="53"/>
      <c r="K25" s="54">
        <f t="shared" si="2"/>
        <v>-2.4200000000000017</v>
      </c>
      <c r="L25" s="55">
        <f t="shared" si="3"/>
        <v>-5.8611549928088993E-2</v>
      </c>
    </row>
    <row r="26" spans="2:12" x14ac:dyDescent="0.2">
      <c r="B26" s="44" t="str">
        <f>Rates!B15</f>
        <v>Retail Transmission Rate - Network Service Rate</v>
      </c>
      <c r="C26" s="25">
        <f>Rates!E92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Rates!I92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Rates!E93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Rates!I93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52.252470400000007</v>
      </c>
      <c r="F28" s="53"/>
      <c r="G28" s="50"/>
      <c r="H28" s="52"/>
      <c r="I28" s="52">
        <f>SUM(I25:I27)</f>
        <v>49.832470400000005</v>
      </c>
      <c r="J28" s="53"/>
      <c r="K28" s="54">
        <f t="shared" si="2"/>
        <v>-2.4200000000000017</v>
      </c>
      <c r="L28" s="55">
        <f t="shared" si="3"/>
        <v>-4.6313599748960411E-2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5" si="9">C29*D29</f>
        <v>3.7107840000000003</v>
      </c>
      <c r="F29" s="45"/>
      <c r="G29" s="25">
        <f>Rates!I244</f>
        <v>4.4000000000000003E-3</v>
      </c>
      <c r="H29" s="37">
        <f>D29</f>
        <v>843.36</v>
      </c>
      <c r="I29" s="36">
        <f t="shared" ref="I29:I35" si="10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9"/>
        <v>0.25</v>
      </c>
      <c r="F31" s="45"/>
      <c r="G31" s="36">
        <f>Rates!I246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800</v>
      </c>
      <c r="E32" s="36">
        <f t="shared" si="9"/>
        <v>0</v>
      </c>
      <c r="F32" s="45"/>
      <c r="G32" s="25">
        <f>Rates!I251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512</v>
      </c>
      <c r="E33" s="36">
        <f t="shared" si="9"/>
        <v>40.96</v>
      </c>
      <c r="F33" s="45"/>
      <c r="G33" s="25">
        <f>Rates!I262</f>
        <v>0.08</v>
      </c>
      <c r="H33" s="37">
        <f>D33</f>
        <v>512</v>
      </c>
      <c r="I33" s="36">
        <f t="shared" si="10"/>
        <v>40.96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144</v>
      </c>
      <c r="E34" s="36">
        <f t="shared" si="9"/>
        <v>17.567999999999998</v>
      </c>
      <c r="F34" s="45"/>
      <c r="G34" s="25">
        <f>Rates!I263</f>
        <v>0.122</v>
      </c>
      <c r="H34" s="37">
        <f t="shared" ref="H34:H35" si="12">D34</f>
        <v>144</v>
      </c>
      <c r="I34" s="36">
        <f t="shared" si="10"/>
        <v>17.567999999999998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144</v>
      </c>
      <c r="E35" s="36">
        <f t="shared" si="9"/>
        <v>23.184000000000001</v>
      </c>
      <c r="F35" s="45"/>
      <c r="G35" s="25">
        <f>Rates!I264</f>
        <v>0.161</v>
      </c>
      <c r="H35" s="37">
        <f t="shared" si="12"/>
        <v>144</v>
      </c>
      <c r="I35" s="36">
        <f t="shared" si="10"/>
        <v>23.184000000000001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139.02162240000001</v>
      </c>
      <c r="F37" s="45"/>
      <c r="G37" s="35"/>
      <c r="H37" s="39"/>
      <c r="I37" s="39">
        <f>SUM(I28:I35)</f>
        <v>136.60162240000002</v>
      </c>
      <c r="J37" s="45"/>
      <c r="K37" s="36">
        <f t="shared" si="2"/>
        <v>-2.4199999999999875</v>
      </c>
      <c r="L37" s="47">
        <f t="shared" si="3"/>
        <v>-1.7407364107987759E-2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18.072810912000001</v>
      </c>
      <c r="F38" s="45"/>
      <c r="G38" s="41">
        <f>Rates!I268</f>
        <v>0.13</v>
      </c>
      <c r="H38" s="35"/>
      <c r="I38" s="42">
        <f>I37*G38</f>
        <v>17.758210912000003</v>
      </c>
      <c r="J38" s="45"/>
      <c r="K38" s="36">
        <f t="shared" si="2"/>
        <v>-0.31459999999999866</v>
      </c>
      <c r="L38" s="47">
        <f t="shared" si="3"/>
        <v>-1.7407364107987777E-2</v>
      </c>
    </row>
    <row r="39" spans="2:12" x14ac:dyDescent="0.2">
      <c r="B39" s="23" t="s">
        <v>59</v>
      </c>
      <c r="C39" s="35"/>
      <c r="D39" s="35"/>
      <c r="E39" s="42">
        <f>E37+E38</f>
        <v>157.09443331200001</v>
      </c>
      <c r="F39" s="45"/>
      <c r="G39" s="35"/>
      <c r="H39" s="35"/>
      <c r="I39" s="42">
        <f>I37+I38</f>
        <v>154.35983331200003</v>
      </c>
      <c r="J39" s="45"/>
      <c r="K39" s="36">
        <f t="shared" si="2"/>
        <v>-2.7345999999999719</v>
      </c>
      <c r="L39" s="47">
        <f t="shared" si="3"/>
        <v>-1.7407364107987672E-2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157.09443331200001</v>
      </c>
      <c r="F41" s="59"/>
      <c r="G41" s="57"/>
      <c r="H41" s="57"/>
      <c r="I41" s="58">
        <f>I39+I40</f>
        <v>154.35983331200003</v>
      </c>
      <c r="J41" s="59"/>
      <c r="K41" s="60">
        <f t="shared" si="2"/>
        <v>-2.7345999999999719</v>
      </c>
      <c r="L41" s="61">
        <f t="shared" si="3"/>
        <v>-1.7407364107987672E-2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Rates!B82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Rates!E83</f>
        <v>19.43</v>
      </c>
      <c r="D14" s="37">
        <f>C6</f>
        <v>1</v>
      </c>
      <c r="E14" s="36">
        <f>C14*D14</f>
        <v>19.43</v>
      </c>
      <c r="F14" s="45"/>
      <c r="G14" s="36">
        <f>Rates!I83</f>
        <v>23.33</v>
      </c>
      <c r="H14" s="37">
        <f>D14</f>
        <v>1</v>
      </c>
      <c r="I14" s="36">
        <f>G14*H14</f>
        <v>23.33</v>
      </c>
      <c r="J14" s="45"/>
      <c r="K14" s="36">
        <f>I14-E14</f>
        <v>3.8999999999999986</v>
      </c>
      <c r="L14" s="47">
        <f>IF((E14)=0," ",K14/E14)</f>
        <v>0.20072053525476061</v>
      </c>
    </row>
    <row r="15" spans="2:12" x14ac:dyDescent="0.2">
      <c r="B15" s="44" t="str">
        <f>Rates!B8</f>
        <v>Distribution Volumetric Rate</v>
      </c>
      <c r="C15" s="25">
        <f>Rates!E85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Rates!I85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1" si="2">I15-E15</f>
        <v>-4.08</v>
      </c>
      <c r="L15" s="47">
        <f t="shared" ref="L15:L41" si="3">IF((E15)=0," ",K15/E15)</f>
        <v>-0.25247524752475248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-0.18000000000000682</v>
      </c>
      <c r="L16" s="55">
        <f t="shared" si="3"/>
        <v>-5.0576004495646752E-3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4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4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Rates!B87</f>
        <v>Rate Rider for Deferral/Variance Account Disposition (2015) - effective until December 31, 2016</v>
      </c>
      <c r="C18" s="25">
        <f>Rates!E87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Rates!I87</f>
        <v>2.9999999999999997E-4</v>
      </c>
      <c r="H18" s="37">
        <f t="shared" ref="H18:H24" si="6">D18</f>
        <v>800</v>
      </c>
      <c r="I18" s="36">
        <f t="shared" si="5"/>
        <v>0.24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Rates!B88</f>
        <v>Rate Rider for Global Adjustment Sub-Account Disposition (2015) - effective until December 31, 2016 Applicable only for Non-RPP Customers</v>
      </c>
      <c r="C19" s="25">
        <f>Rates!E88</f>
        <v>7.4999999999999997E-3</v>
      </c>
      <c r="D19" s="37">
        <f>C7</f>
        <v>800</v>
      </c>
      <c r="E19" s="36">
        <f t="shared" si="4"/>
        <v>6</v>
      </c>
      <c r="F19" s="45"/>
      <c r="G19" s="25">
        <f>Rates!I88</f>
        <v>7.4999999999999997E-3</v>
      </c>
      <c r="H19" s="37">
        <f t="shared" si="6"/>
        <v>800</v>
      </c>
      <c r="I19" s="36">
        <f t="shared" si="5"/>
        <v>6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Rates!B89</f>
        <v>Rate Rider for Deferral/Variance Account Disposition (2016) - effective until December 31, 2017</v>
      </c>
      <c r="C20" s="25">
        <f>Rates!E89</f>
        <v>0</v>
      </c>
      <c r="D20" s="37">
        <f>C7</f>
        <v>800</v>
      </c>
      <c r="E20" s="36">
        <f t="shared" si="4"/>
        <v>0</v>
      </c>
      <c r="F20" s="45"/>
      <c r="G20" s="25">
        <f>Rates!I89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9">I20-E20</f>
        <v>-2.16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Rates!B90</f>
        <v>Rate Rider for Global Adjustment Sub-Account Disposition (2016) - effective until December 31, 2017 Applicable only for Non-RPP Customers</v>
      </c>
      <c r="C21" s="25">
        <f>Rates!E90</f>
        <v>0</v>
      </c>
      <c r="D21" s="37">
        <f>C7</f>
        <v>800</v>
      </c>
      <c r="E21" s="36">
        <f t="shared" si="4"/>
        <v>0</v>
      </c>
      <c r="F21" s="45"/>
      <c r="G21" s="25">
        <f>Rates!I90</f>
        <v>1.0500000000000001E-2</v>
      </c>
      <c r="H21" s="37">
        <f t="shared" si="6"/>
        <v>800</v>
      </c>
      <c r="I21" s="36">
        <f t="shared" si="5"/>
        <v>8.4</v>
      </c>
      <c r="J21" s="45"/>
      <c r="K21" s="36">
        <f t="shared" si="9"/>
        <v>8.4</v>
      </c>
      <c r="L21" s="47" t="str">
        <f t="shared" si="10"/>
        <v xml:space="preserve"> </v>
      </c>
    </row>
    <row r="22" spans="2:12" x14ac:dyDescent="0.2">
      <c r="B22" s="48" t="str">
        <f>Rates!B91</f>
        <v>Rate Rider for Loss Revenue Adjustment Mechanism (LRAM) - effective until December 31, 2015</v>
      </c>
      <c r="C22" s="25">
        <f>Rates!E91</f>
        <v>1E-4</v>
      </c>
      <c r="D22" s="37">
        <f>C7</f>
        <v>800</v>
      </c>
      <c r="E22" s="36">
        <f t="shared" si="4"/>
        <v>0.08</v>
      </c>
      <c r="F22" s="45"/>
      <c r="G22" s="25">
        <f>Rates!I91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-0.08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Rates!E86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Rates!I86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47.288790400000003</v>
      </c>
      <c r="F25" s="53"/>
      <c r="G25" s="50"/>
      <c r="H25" s="51"/>
      <c r="I25" s="52">
        <f>SUM(I16:I24)</f>
        <v>53.2687904</v>
      </c>
      <c r="J25" s="53"/>
      <c r="K25" s="54">
        <f t="shared" si="2"/>
        <v>5.9799999999999969</v>
      </c>
      <c r="L25" s="55">
        <f t="shared" si="3"/>
        <v>0.12645703029020586</v>
      </c>
    </row>
    <row r="26" spans="2:12" x14ac:dyDescent="0.2">
      <c r="B26" s="44" t="str">
        <f>Rates!B15</f>
        <v>Retail Transmission Rate - Network Service Rate</v>
      </c>
      <c r="C26" s="25">
        <f>Rates!E92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Rates!I92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Rates!E93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Rates!I93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58.252470400000007</v>
      </c>
      <c r="F28" s="53"/>
      <c r="G28" s="50"/>
      <c r="H28" s="52"/>
      <c r="I28" s="52">
        <f>SUM(I25:I27)</f>
        <v>64.232470399999997</v>
      </c>
      <c r="J28" s="53"/>
      <c r="K28" s="54">
        <f t="shared" si="2"/>
        <v>5.9799999999999898</v>
      </c>
      <c r="L28" s="55">
        <f t="shared" si="3"/>
        <v>0.10265659050916387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5" si="11">C29*D29</f>
        <v>3.7107840000000003</v>
      </c>
      <c r="F29" s="45"/>
      <c r="G29" s="25">
        <f>Rates!I244</f>
        <v>4.4000000000000003E-3</v>
      </c>
      <c r="H29" s="37">
        <f>D29</f>
        <v>843.36</v>
      </c>
      <c r="I29" s="36">
        <f t="shared" ref="I29:I35" si="12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11"/>
        <v>1.096368</v>
      </c>
      <c r="F30" s="45"/>
      <c r="G30" s="25">
        <f>Rates!I245</f>
        <v>1.2999999999999999E-3</v>
      </c>
      <c r="H30" s="37">
        <f t="shared" ref="H30:H31" si="13">D30</f>
        <v>843.36</v>
      </c>
      <c r="I30" s="36">
        <f t="shared" si="12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800</v>
      </c>
      <c r="E32" s="36">
        <f t="shared" si="11"/>
        <v>0</v>
      </c>
      <c r="F32" s="45"/>
      <c r="G32" s="25">
        <f>Rates!I251</f>
        <v>0</v>
      </c>
      <c r="H32" s="37">
        <f>D32</f>
        <v>800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512</v>
      </c>
      <c r="E33" s="36">
        <f t="shared" si="11"/>
        <v>40.96</v>
      </c>
      <c r="F33" s="45"/>
      <c r="G33" s="25">
        <f>Rates!I262</f>
        <v>0.08</v>
      </c>
      <c r="H33" s="37">
        <f>D33</f>
        <v>512</v>
      </c>
      <c r="I33" s="36">
        <f t="shared" si="12"/>
        <v>40.96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144</v>
      </c>
      <c r="E34" s="36">
        <f t="shared" si="11"/>
        <v>17.567999999999998</v>
      </c>
      <c r="F34" s="45"/>
      <c r="G34" s="25">
        <f>Rates!I263</f>
        <v>0.122</v>
      </c>
      <c r="H34" s="37">
        <f t="shared" ref="H34:H35" si="14">D34</f>
        <v>144</v>
      </c>
      <c r="I34" s="36">
        <f t="shared" si="12"/>
        <v>17.567999999999998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144</v>
      </c>
      <c r="E35" s="36">
        <f t="shared" si="11"/>
        <v>23.184000000000001</v>
      </c>
      <c r="F35" s="45"/>
      <c r="G35" s="25">
        <f>Rates!I264</f>
        <v>0.161</v>
      </c>
      <c r="H35" s="37">
        <f t="shared" si="14"/>
        <v>144</v>
      </c>
      <c r="I35" s="36">
        <f t="shared" si="12"/>
        <v>23.184000000000001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145.02162240000001</v>
      </c>
      <c r="F37" s="45"/>
      <c r="G37" s="35"/>
      <c r="H37" s="39"/>
      <c r="I37" s="39">
        <f>SUM(I28:I35)</f>
        <v>151.0016224</v>
      </c>
      <c r="J37" s="45"/>
      <c r="K37" s="36">
        <f t="shared" si="2"/>
        <v>5.9799999999999898</v>
      </c>
      <c r="L37" s="47">
        <f t="shared" si="3"/>
        <v>4.1235230312800505E-2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18.852810912000002</v>
      </c>
      <c r="F38" s="45"/>
      <c r="G38" s="41">
        <f>Rates!I268</f>
        <v>0.13</v>
      </c>
      <c r="H38" s="35"/>
      <c r="I38" s="42">
        <f>I37*G38</f>
        <v>19.630210912000003</v>
      </c>
      <c r="J38" s="45"/>
      <c r="K38" s="36">
        <f t="shared" si="2"/>
        <v>0.77740000000000009</v>
      </c>
      <c r="L38" s="47">
        <f t="shared" si="3"/>
        <v>4.1235230312800582E-2</v>
      </c>
    </row>
    <row r="39" spans="2:12" x14ac:dyDescent="0.2">
      <c r="B39" s="23" t="s">
        <v>59</v>
      </c>
      <c r="C39" s="35"/>
      <c r="D39" s="35"/>
      <c r="E39" s="42">
        <f>E37+E38</f>
        <v>163.87443331200001</v>
      </c>
      <c r="F39" s="45"/>
      <c r="G39" s="35"/>
      <c r="H39" s="35"/>
      <c r="I39" s="42">
        <f>I37+I38</f>
        <v>170.631833312</v>
      </c>
      <c r="J39" s="45"/>
      <c r="K39" s="36">
        <f t="shared" si="2"/>
        <v>6.7573999999999899</v>
      </c>
      <c r="L39" s="47">
        <f t="shared" si="3"/>
        <v>4.1235230312800519E-2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163.87443331200001</v>
      </c>
      <c r="F41" s="59"/>
      <c r="G41" s="57"/>
      <c r="H41" s="57"/>
      <c r="I41" s="58">
        <f>I39+I40</f>
        <v>170.631833312</v>
      </c>
      <c r="J41" s="59"/>
      <c r="K41" s="60">
        <f t="shared" si="2"/>
        <v>6.7573999999999899</v>
      </c>
      <c r="L41" s="61">
        <f t="shared" si="3"/>
        <v>4.1235230312800519E-2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Rates!B95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Rates!E96</f>
        <v>26.22</v>
      </c>
      <c r="D14" s="37">
        <f>C6</f>
        <v>1</v>
      </c>
      <c r="E14" s="36">
        <f>C14*D14</f>
        <v>26.22</v>
      </c>
      <c r="F14" s="45"/>
      <c r="G14" s="36">
        <f>Rates!I96</f>
        <v>28.13</v>
      </c>
      <c r="H14" s="37">
        <f>D14</f>
        <v>1</v>
      </c>
      <c r="I14" s="36">
        <f>G14*H14</f>
        <v>28.13</v>
      </c>
      <c r="J14" s="45"/>
      <c r="K14" s="36">
        <f>I14-E14</f>
        <v>1.9100000000000001</v>
      </c>
      <c r="L14" s="47">
        <f>IF((E14)=0," ",K14/E14)</f>
        <v>7.2845156369183844E-2</v>
      </c>
    </row>
    <row r="15" spans="2:12" x14ac:dyDescent="0.2">
      <c r="B15" s="44" t="str">
        <f>Rates!B8</f>
        <v>Distribution Volumetric Rate</v>
      </c>
      <c r="C15" s="25">
        <f>Rates!E98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Rates!I98</f>
        <v>2.29E-2</v>
      </c>
      <c r="H15" s="37">
        <f>D15</f>
        <v>2000</v>
      </c>
      <c r="I15" s="36">
        <f t="shared" ref="I15" si="1">G15*H15</f>
        <v>45.8</v>
      </c>
      <c r="J15" s="45"/>
      <c r="K15" s="36">
        <f t="shared" ref="K15:K41" si="2">I15-E15</f>
        <v>-1.2000000000000028</v>
      </c>
      <c r="L15" s="47">
        <f t="shared" ref="L15:L41" si="3">IF((E15)=0," ",K15/E15)</f>
        <v>-2.5531914893617082E-2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0.70999999999999375</v>
      </c>
      <c r="L16" s="55">
        <f t="shared" si="3"/>
        <v>9.6968041518709878E-3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4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4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Rates!B100</f>
        <v>Rate Rider for Deferral/Variance Account Disposition (2015) - effective until December 31, 2016</v>
      </c>
      <c r="C18" s="25">
        <f>Rates!E100</f>
        <v>2.9999999999999997E-4</v>
      </c>
      <c r="D18" s="37">
        <f>C7</f>
        <v>2000</v>
      </c>
      <c r="E18" s="36">
        <f t="shared" si="4"/>
        <v>0.6</v>
      </c>
      <c r="F18" s="45"/>
      <c r="G18" s="25">
        <f>Rates!I100</f>
        <v>2.9999999999999997E-4</v>
      </c>
      <c r="H18" s="37">
        <f t="shared" ref="H18:H24" si="6">D18</f>
        <v>2000</v>
      </c>
      <c r="I18" s="36">
        <f t="shared" si="5"/>
        <v>0.6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Rates!B101</f>
        <v>Rate Rider for Global Adjustment Sub-Account Disposition (2015) - effective until December 31, 2016 Applicable only for Non-RPP Customers</v>
      </c>
      <c r="C19" s="25">
        <f>Rates!E101</f>
        <v>7.4999999999999997E-3</v>
      </c>
      <c r="D19" s="37"/>
      <c r="E19" s="36">
        <f t="shared" si="4"/>
        <v>0</v>
      </c>
      <c r="F19" s="45"/>
      <c r="G19" s="25">
        <f>Rates!I101</f>
        <v>7.4999999999999997E-3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Rates!B102</f>
        <v>Rate Rider for Deferral/Variance Account Disposition (2016) - effective until December 31, 2017</v>
      </c>
      <c r="C20" s="25">
        <f>Rates!E102</f>
        <v>0</v>
      </c>
      <c r="D20" s="37">
        <f>C7</f>
        <v>2000</v>
      </c>
      <c r="E20" s="36">
        <f t="shared" si="4"/>
        <v>0</v>
      </c>
      <c r="F20" s="45"/>
      <c r="G20" s="25">
        <f>Rates!I102</f>
        <v>-2.7000000000000001E-3</v>
      </c>
      <c r="H20" s="37">
        <f t="shared" si="6"/>
        <v>2000</v>
      </c>
      <c r="I20" s="36">
        <f t="shared" si="5"/>
        <v>-5.4</v>
      </c>
      <c r="J20" s="45"/>
      <c r="K20" s="36">
        <f t="shared" ref="K20:K21" si="7">I20-E20</f>
        <v>-5.4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Rates!B103</f>
        <v>Rate Rider for Global Adjustment Sub-Account Disposition (2016) - effective until December 31, 2017 Applicable only for Non-RPP Customers</v>
      </c>
      <c r="C21" s="25">
        <f>Rates!E103</f>
        <v>0</v>
      </c>
      <c r="D21" s="37"/>
      <c r="E21" s="36">
        <f t="shared" si="4"/>
        <v>0</v>
      </c>
      <c r="F21" s="45"/>
      <c r="G21" s="25">
        <f>Rates!I103</f>
        <v>1.0500000000000001E-2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Rates!B104</f>
        <v>Rate Rider for Loss Revenue Adjustment Mechanism (LRAM) - effective until December 31, 2015</v>
      </c>
      <c r="C22" s="25">
        <f>Rates!E104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Rates!I104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2"/>
        <v>-0.8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Rates!E99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Rates!I99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86.881976000000009</v>
      </c>
      <c r="F25" s="53"/>
      <c r="G25" s="50"/>
      <c r="H25" s="51"/>
      <c r="I25" s="52">
        <f>SUM(I16:I24)</f>
        <v>81.391976</v>
      </c>
      <c r="J25" s="53"/>
      <c r="K25" s="54">
        <f t="shared" si="2"/>
        <v>-5.4900000000000091</v>
      </c>
      <c r="L25" s="55">
        <f t="shared" si="3"/>
        <v>-6.3189170559380559E-2</v>
      </c>
    </row>
    <row r="26" spans="2:12" x14ac:dyDescent="0.2">
      <c r="B26" s="44" t="str">
        <f>Rates!B15</f>
        <v>Retail Transmission Rate - Network Service Rate</v>
      </c>
      <c r="C26" s="25">
        <f>Rates!E105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Rates!I105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Rates!E106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Rates!I106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110.28521600000001</v>
      </c>
      <c r="F28" s="53"/>
      <c r="G28" s="50"/>
      <c r="H28" s="52"/>
      <c r="I28" s="52">
        <f>SUM(I25:I27)</f>
        <v>104.79521600000001</v>
      </c>
      <c r="J28" s="53"/>
      <c r="K28" s="54">
        <f t="shared" si="2"/>
        <v>-5.4899999999999949</v>
      </c>
      <c r="L28" s="55">
        <f t="shared" si="3"/>
        <v>-4.9780017658939843E-2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5" si="9">C29*D29</f>
        <v>9.2769600000000008</v>
      </c>
      <c r="F29" s="45"/>
      <c r="G29" s="25">
        <f>Rates!I244</f>
        <v>4.4000000000000003E-3</v>
      </c>
      <c r="H29" s="37">
        <f>D29</f>
        <v>2108.4</v>
      </c>
      <c r="I29" s="36">
        <f t="shared" ref="I29:I35" si="10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9"/>
        <v>2.74092</v>
      </c>
      <c r="F30" s="45"/>
      <c r="G30" s="25">
        <f>Rates!I245</f>
        <v>1.2999999999999999E-3</v>
      </c>
      <c r="H30" s="37">
        <f t="shared" ref="H30:H31" si="11">D30</f>
        <v>2108.4</v>
      </c>
      <c r="I30" s="36">
        <f t="shared" si="10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9"/>
        <v>0.25</v>
      </c>
      <c r="F31" s="45"/>
      <c r="G31" s="36">
        <f>Rates!I246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2000</v>
      </c>
      <c r="E32" s="36">
        <f t="shared" si="9"/>
        <v>0</v>
      </c>
      <c r="F32" s="45"/>
      <c r="G32" s="25">
        <f>Rates!I251</f>
        <v>0</v>
      </c>
      <c r="H32" s="37">
        <f>D32</f>
        <v>2000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1280</v>
      </c>
      <c r="E33" s="36">
        <f t="shared" si="9"/>
        <v>102.4</v>
      </c>
      <c r="F33" s="45"/>
      <c r="G33" s="25">
        <f>Rates!I262</f>
        <v>0.08</v>
      </c>
      <c r="H33" s="37">
        <f>D33</f>
        <v>1280</v>
      </c>
      <c r="I33" s="36">
        <f t="shared" si="10"/>
        <v>102.4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360</v>
      </c>
      <c r="E34" s="36">
        <f t="shared" si="9"/>
        <v>43.92</v>
      </c>
      <c r="F34" s="45"/>
      <c r="G34" s="25">
        <f>Rates!I263</f>
        <v>0.122</v>
      </c>
      <c r="H34" s="37">
        <f t="shared" ref="H34:H35" si="12">D34</f>
        <v>360</v>
      </c>
      <c r="I34" s="36">
        <f t="shared" si="10"/>
        <v>43.92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360</v>
      </c>
      <c r="E35" s="36">
        <f t="shared" si="9"/>
        <v>57.96</v>
      </c>
      <c r="F35" s="45"/>
      <c r="G35" s="25">
        <f>Rates!I264</f>
        <v>0.161</v>
      </c>
      <c r="H35" s="37">
        <f t="shared" si="12"/>
        <v>360</v>
      </c>
      <c r="I35" s="36">
        <f t="shared" si="10"/>
        <v>57.96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326.83309600000001</v>
      </c>
      <c r="F37" s="45"/>
      <c r="G37" s="35"/>
      <c r="H37" s="39"/>
      <c r="I37" s="39">
        <f>SUM(I28:I35)</f>
        <v>321.343096</v>
      </c>
      <c r="J37" s="45"/>
      <c r="K37" s="36">
        <f t="shared" si="2"/>
        <v>-5.4900000000000091</v>
      </c>
      <c r="L37" s="47">
        <f t="shared" si="3"/>
        <v>-1.6797564466971879E-2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42.488302480000002</v>
      </c>
      <c r="F38" s="45"/>
      <c r="G38" s="41">
        <f>Rates!I268</f>
        <v>0.13</v>
      </c>
      <c r="H38" s="35"/>
      <c r="I38" s="42">
        <f>I37*G38</f>
        <v>41.774602479999999</v>
      </c>
      <c r="J38" s="45"/>
      <c r="K38" s="36">
        <f t="shared" si="2"/>
        <v>-0.71370000000000289</v>
      </c>
      <c r="L38" s="47">
        <f t="shared" si="3"/>
        <v>-1.679756446697192E-2</v>
      </c>
    </row>
    <row r="39" spans="2:12" x14ac:dyDescent="0.2">
      <c r="B39" s="23" t="s">
        <v>59</v>
      </c>
      <c r="C39" s="35"/>
      <c r="D39" s="35"/>
      <c r="E39" s="42">
        <f>E37+E38</f>
        <v>369.32139848000003</v>
      </c>
      <c r="F39" s="45"/>
      <c r="G39" s="35"/>
      <c r="H39" s="35"/>
      <c r="I39" s="42">
        <f>I37+I38</f>
        <v>363.11769848</v>
      </c>
      <c r="J39" s="45"/>
      <c r="K39" s="36">
        <f t="shared" si="2"/>
        <v>-6.2037000000000262</v>
      </c>
      <c r="L39" s="47">
        <f t="shared" si="3"/>
        <v>-1.679756446697192E-2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369.32139848000003</v>
      </c>
      <c r="F41" s="59"/>
      <c r="G41" s="57"/>
      <c r="H41" s="57"/>
      <c r="I41" s="58">
        <f>I39+I40</f>
        <v>363.11769848</v>
      </c>
      <c r="J41" s="59"/>
      <c r="K41" s="60">
        <f t="shared" si="2"/>
        <v>-6.2037000000000262</v>
      </c>
      <c r="L41" s="61">
        <f t="shared" si="3"/>
        <v>-1.679756446697192E-2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Rates!B95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Rates!E96</f>
        <v>26.22</v>
      </c>
      <c r="D14" s="37">
        <f>C6</f>
        <v>1</v>
      </c>
      <c r="E14" s="36">
        <f>C14*D14</f>
        <v>26.22</v>
      </c>
      <c r="F14" s="45"/>
      <c r="G14" s="36">
        <f>Rates!I96</f>
        <v>28.13</v>
      </c>
      <c r="H14" s="37">
        <f>D14</f>
        <v>1</v>
      </c>
      <c r="I14" s="36">
        <f>G14*H14</f>
        <v>28.13</v>
      </c>
      <c r="J14" s="45"/>
      <c r="K14" s="36">
        <f>I14-E14</f>
        <v>1.9100000000000001</v>
      </c>
      <c r="L14" s="47">
        <f>IF((E14)=0," ",K14/E14)</f>
        <v>7.2845156369183844E-2</v>
      </c>
    </row>
    <row r="15" spans="2:12" x14ac:dyDescent="0.2">
      <c r="B15" s="44" t="str">
        <f>Rates!B8</f>
        <v>Distribution Volumetric Rate</v>
      </c>
      <c r="C15" s="25">
        <f>Rates!E98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Rates!I98</f>
        <v>2.29E-2</v>
      </c>
      <c r="H15" s="37">
        <f>D15</f>
        <v>2000</v>
      </c>
      <c r="I15" s="36">
        <f t="shared" ref="I15" si="1">G15*H15</f>
        <v>45.8</v>
      </c>
      <c r="J15" s="45"/>
      <c r="K15" s="36">
        <f t="shared" ref="K15:K41" si="2">I15-E15</f>
        <v>-1.2000000000000028</v>
      </c>
      <c r="L15" s="47">
        <f t="shared" ref="L15:L41" si="3">IF((E15)=0," ",K15/E15)</f>
        <v>-2.5531914893617082E-2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0.70999999999999375</v>
      </c>
      <c r="L16" s="55">
        <f t="shared" si="3"/>
        <v>9.6968041518709878E-3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4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4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Rates!B100</f>
        <v>Rate Rider for Deferral/Variance Account Disposition (2015) - effective until December 31, 2016</v>
      </c>
      <c r="C18" s="25">
        <f>Rates!E100</f>
        <v>2.9999999999999997E-4</v>
      </c>
      <c r="D18" s="37">
        <f>C7</f>
        <v>2000</v>
      </c>
      <c r="E18" s="36">
        <f t="shared" si="4"/>
        <v>0.6</v>
      </c>
      <c r="F18" s="45"/>
      <c r="G18" s="25">
        <f>Rates!I100</f>
        <v>2.9999999999999997E-4</v>
      </c>
      <c r="H18" s="37">
        <f t="shared" ref="H18:H24" si="6">D18</f>
        <v>2000</v>
      </c>
      <c r="I18" s="36">
        <f t="shared" si="5"/>
        <v>0.6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Rates!B101</f>
        <v>Rate Rider for Global Adjustment Sub-Account Disposition (2015) - effective until December 31, 2016 Applicable only for Non-RPP Customers</v>
      </c>
      <c r="C19" s="25">
        <f>Rates!E101</f>
        <v>7.4999999999999997E-3</v>
      </c>
      <c r="D19" s="37">
        <f>C7</f>
        <v>2000</v>
      </c>
      <c r="E19" s="36">
        <f t="shared" si="4"/>
        <v>15</v>
      </c>
      <c r="F19" s="45"/>
      <c r="G19" s="25">
        <f>Rates!I101</f>
        <v>7.4999999999999997E-3</v>
      </c>
      <c r="H19" s="37">
        <f t="shared" si="6"/>
        <v>2000</v>
      </c>
      <c r="I19" s="36">
        <f t="shared" si="5"/>
        <v>15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Rates!B102</f>
        <v>Rate Rider for Deferral/Variance Account Disposition (2016) - effective until December 31, 2017</v>
      </c>
      <c r="C20" s="25">
        <f>Rates!E102</f>
        <v>0</v>
      </c>
      <c r="D20" s="37">
        <f>C7</f>
        <v>2000</v>
      </c>
      <c r="E20" s="36">
        <f t="shared" si="4"/>
        <v>0</v>
      </c>
      <c r="F20" s="45"/>
      <c r="G20" s="25">
        <f>Rates!I102</f>
        <v>-2.7000000000000001E-3</v>
      </c>
      <c r="H20" s="37">
        <f t="shared" si="6"/>
        <v>2000</v>
      </c>
      <c r="I20" s="36">
        <f t="shared" si="5"/>
        <v>-5.4</v>
      </c>
      <c r="J20" s="45"/>
      <c r="K20" s="36">
        <f t="shared" ref="K20:K21" si="9">I20-E20</f>
        <v>-5.4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Rates!B103</f>
        <v>Rate Rider for Global Adjustment Sub-Account Disposition (2016) - effective until December 31, 2017 Applicable only for Non-RPP Customers</v>
      </c>
      <c r="C21" s="25">
        <f>Rates!E103</f>
        <v>0</v>
      </c>
      <c r="D21" s="37">
        <f>C7</f>
        <v>2000</v>
      </c>
      <c r="E21" s="36">
        <f t="shared" si="4"/>
        <v>0</v>
      </c>
      <c r="F21" s="45"/>
      <c r="G21" s="25">
        <f>Rates!I103</f>
        <v>1.0500000000000001E-2</v>
      </c>
      <c r="H21" s="37">
        <f t="shared" si="6"/>
        <v>2000</v>
      </c>
      <c r="I21" s="36">
        <f t="shared" si="5"/>
        <v>21</v>
      </c>
      <c r="J21" s="45"/>
      <c r="K21" s="36">
        <f t="shared" si="9"/>
        <v>21</v>
      </c>
      <c r="L21" s="47" t="str">
        <f t="shared" si="10"/>
        <v xml:space="preserve"> </v>
      </c>
    </row>
    <row r="22" spans="2:12" x14ac:dyDescent="0.2">
      <c r="B22" s="48" t="str">
        <f>Rates!B104</f>
        <v>Rate Rider for Loss Revenue Adjustment Mechanism (LRAM) - effective until December 31, 2015</v>
      </c>
      <c r="C22" s="25">
        <f>Rates!E104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Rates!I104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7"/>
        <v>-0.8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Rates!E99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Rates!I99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101.88197600000001</v>
      </c>
      <c r="F25" s="53"/>
      <c r="G25" s="50"/>
      <c r="H25" s="51"/>
      <c r="I25" s="52">
        <f>SUM(I16:I24)</f>
        <v>117.391976</v>
      </c>
      <c r="J25" s="53"/>
      <c r="K25" s="54">
        <f t="shared" si="2"/>
        <v>15.509999999999991</v>
      </c>
      <c r="L25" s="55">
        <f t="shared" si="3"/>
        <v>0.15223497431969704</v>
      </c>
    </row>
    <row r="26" spans="2:12" x14ac:dyDescent="0.2">
      <c r="B26" s="44" t="str">
        <f>Rates!B15</f>
        <v>Retail Transmission Rate - Network Service Rate</v>
      </c>
      <c r="C26" s="25">
        <f>Rates!E105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Rates!I105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Rates!E106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Rates!I106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125.28521600000001</v>
      </c>
      <c r="F28" s="53"/>
      <c r="G28" s="50"/>
      <c r="H28" s="52"/>
      <c r="I28" s="52">
        <f>SUM(I25:I27)</f>
        <v>140.79521600000001</v>
      </c>
      <c r="J28" s="53"/>
      <c r="K28" s="54">
        <f t="shared" si="2"/>
        <v>15.510000000000005</v>
      </c>
      <c r="L28" s="55">
        <f t="shared" si="3"/>
        <v>0.12379752771468266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5" si="11">C29*D29</f>
        <v>9.2769600000000008</v>
      </c>
      <c r="F29" s="45"/>
      <c r="G29" s="25">
        <f>Rates!I244</f>
        <v>4.4000000000000003E-3</v>
      </c>
      <c r="H29" s="37">
        <f>D29</f>
        <v>2108.4</v>
      </c>
      <c r="I29" s="36">
        <f t="shared" ref="I29:I35" si="12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11"/>
        <v>2.74092</v>
      </c>
      <c r="F30" s="45"/>
      <c r="G30" s="25">
        <f>Rates!I245</f>
        <v>1.2999999999999999E-3</v>
      </c>
      <c r="H30" s="37">
        <f t="shared" ref="H30:H31" si="13">D30</f>
        <v>2108.4</v>
      </c>
      <c r="I30" s="36">
        <f t="shared" si="12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2000</v>
      </c>
      <c r="E32" s="36">
        <f t="shared" si="11"/>
        <v>0</v>
      </c>
      <c r="F32" s="45"/>
      <c r="G32" s="25">
        <f>Rates!I251</f>
        <v>0</v>
      </c>
      <c r="H32" s="37">
        <f>D32</f>
        <v>2000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1280</v>
      </c>
      <c r="E33" s="36">
        <f t="shared" si="11"/>
        <v>102.4</v>
      </c>
      <c r="F33" s="45"/>
      <c r="G33" s="25">
        <f>Rates!I262</f>
        <v>0.08</v>
      </c>
      <c r="H33" s="37">
        <f>D33</f>
        <v>1280</v>
      </c>
      <c r="I33" s="36">
        <f t="shared" si="12"/>
        <v>102.4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360</v>
      </c>
      <c r="E34" s="36">
        <f t="shared" si="11"/>
        <v>43.92</v>
      </c>
      <c r="F34" s="45"/>
      <c r="G34" s="25">
        <f>Rates!I263</f>
        <v>0.122</v>
      </c>
      <c r="H34" s="37">
        <f t="shared" ref="H34:H35" si="14">D34</f>
        <v>360</v>
      </c>
      <c r="I34" s="36">
        <f t="shared" si="12"/>
        <v>43.92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360</v>
      </c>
      <c r="E35" s="36">
        <f t="shared" si="11"/>
        <v>57.96</v>
      </c>
      <c r="F35" s="45"/>
      <c r="G35" s="25">
        <f>Rates!I264</f>
        <v>0.161</v>
      </c>
      <c r="H35" s="37">
        <f t="shared" si="14"/>
        <v>360</v>
      </c>
      <c r="I35" s="36">
        <f t="shared" si="12"/>
        <v>57.96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341.83309599999995</v>
      </c>
      <c r="F37" s="45"/>
      <c r="G37" s="35"/>
      <c r="H37" s="39"/>
      <c r="I37" s="39">
        <f>SUM(I28:I35)</f>
        <v>357.343096</v>
      </c>
      <c r="J37" s="45"/>
      <c r="K37" s="36">
        <f t="shared" si="2"/>
        <v>15.510000000000048</v>
      </c>
      <c r="L37" s="47">
        <f t="shared" si="3"/>
        <v>4.5373020288240466E-2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44.438302479999997</v>
      </c>
      <c r="F38" s="45"/>
      <c r="G38" s="41">
        <f>Rates!I268</f>
        <v>0.13</v>
      </c>
      <c r="H38" s="35"/>
      <c r="I38" s="42">
        <f>I37*G38</f>
        <v>46.454602480000005</v>
      </c>
      <c r="J38" s="45"/>
      <c r="K38" s="36">
        <f t="shared" si="2"/>
        <v>2.0163000000000082</v>
      </c>
      <c r="L38" s="47">
        <f t="shared" si="3"/>
        <v>4.5373020288240501E-2</v>
      </c>
    </row>
    <row r="39" spans="2:12" x14ac:dyDescent="0.2">
      <c r="B39" s="23" t="s">
        <v>59</v>
      </c>
      <c r="C39" s="35"/>
      <c r="D39" s="35"/>
      <c r="E39" s="42">
        <f>E37+E38</f>
        <v>386.27139847999996</v>
      </c>
      <c r="F39" s="45"/>
      <c r="G39" s="35"/>
      <c r="H39" s="35"/>
      <c r="I39" s="42">
        <f>I37+I38</f>
        <v>403.79769848000001</v>
      </c>
      <c r="J39" s="45"/>
      <c r="K39" s="36">
        <f t="shared" si="2"/>
        <v>17.526300000000049</v>
      </c>
      <c r="L39" s="47">
        <f t="shared" si="3"/>
        <v>4.5373020288240445E-2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386.27139847999996</v>
      </c>
      <c r="F41" s="59"/>
      <c r="G41" s="57"/>
      <c r="H41" s="57"/>
      <c r="I41" s="58">
        <f>I39+I40</f>
        <v>403.79769848000001</v>
      </c>
      <c r="J41" s="59"/>
      <c r="K41" s="60">
        <f t="shared" si="2"/>
        <v>17.526300000000049</v>
      </c>
      <c r="L41" s="61">
        <f t="shared" si="3"/>
        <v>4.5373020288240445E-2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I270"/>
  <sheetViews>
    <sheetView showGridLines="0" zoomScaleNormal="100" workbookViewId="0">
      <selection activeCell="I13" sqref="I13"/>
    </sheetView>
  </sheetViews>
  <sheetFormatPr defaultRowHeight="12.75" x14ac:dyDescent="0.2"/>
  <cols>
    <col min="1" max="1" width="3.85546875" customWidth="1"/>
    <col min="2" max="2" width="88.7109375" customWidth="1"/>
    <col min="3" max="3" width="6.7109375" style="2" customWidth="1"/>
    <col min="4" max="4" width="2.85546875" style="2" customWidth="1"/>
    <col min="5" max="5" width="13" customWidth="1"/>
    <col min="6" max="7" width="11.28515625" hidden="1" customWidth="1"/>
    <col min="8" max="8" width="2.85546875" customWidth="1"/>
    <col min="9" max="9" width="13" customWidth="1"/>
  </cols>
  <sheetData>
    <row r="2" spans="2:9" ht="15.75" x14ac:dyDescent="0.25">
      <c r="B2" s="104" t="s">
        <v>35</v>
      </c>
      <c r="C2" s="104"/>
      <c r="D2" s="104"/>
      <c r="E2" s="104"/>
      <c r="F2" s="104"/>
      <c r="G2" s="104"/>
      <c r="H2" s="104"/>
      <c r="I2" s="104"/>
    </row>
    <row r="3" spans="2:9" x14ac:dyDescent="0.2">
      <c r="B3" s="1" t="s">
        <v>52</v>
      </c>
    </row>
    <row r="4" spans="2:9" ht="38.25" x14ac:dyDescent="0.2">
      <c r="B4" s="1" t="s">
        <v>0</v>
      </c>
      <c r="C4" s="7" t="s">
        <v>14</v>
      </c>
      <c r="D4" s="7"/>
      <c r="E4" s="8" t="s">
        <v>93</v>
      </c>
      <c r="F4" s="8"/>
      <c r="G4" s="8"/>
      <c r="H4" s="7"/>
      <c r="I4" s="8" t="s">
        <v>94</v>
      </c>
    </row>
    <row r="5" spans="2:9" x14ac:dyDescent="0.2">
      <c r="B5" s="1" t="s">
        <v>27</v>
      </c>
    </row>
    <row r="6" spans="2:9" x14ac:dyDescent="0.2">
      <c r="B6" t="s">
        <v>1</v>
      </c>
      <c r="C6" s="2" t="s">
        <v>8</v>
      </c>
      <c r="E6" s="3">
        <v>19.43</v>
      </c>
      <c r="F6" s="3"/>
      <c r="G6" s="3"/>
      <c r="H6" s="9"/>
      <c r="I6" s="3">
        <v>23.33</v>
      </c>
    </row>
    <row r="7" spans="2:9" x14ac:dyDescent="0.2">
      <c r="B7" s="10" t="s">
        <v>97</v>
      </c>
      <c r="C7" s="2" t="s">
        <v>8</v>
      </c>
      <c r="E7" s="3">
        <v>0.79</v>
      </c>
      <c r="F7" s="3"/>
      <c r="G7" s="3"/>
      <c r="H7" s="9"/>
      <c r="I7" s="3">
        <v>0.79</v>
      </c>
    </row>
    <row r="8" spans="2:9" x14ac:dyDescent="0.2">
      <c r="B8" t="s">
        <v>2</v>
      </c>
      <c r="C8" s="2" t="s">
        <v>9</v>
      </c>
      <c r="E8" s="4">
        <v>2.0199999999999999E-2</v>
      </c>
      <c r="F8" s="4"/>
      <c r="G8" s="4"/>
      <c r="H8" s="9"/>
      <c r="I8" s="4">
        <v>1.5100000000000001E-2</v>
      </c>
    </row>
    <row r="9" spans="2:9" x14ac:dyDescent="0.2">
      <c r="B9" s="10" t="s">
        <v>34</v>
      </c>
      <c r="C9" s="2" t="s">
        <v>9</v>
      </c>
      <c r="E9" s="4">
        <v>2.0000000000000001E-4</v>
      </c>
      <c r="F9" s="4"/>
      <c r="G9" s="4"/>
      <c r="H9" s="9"/>
      <c r="I9" s="4">
        <v>2.0000000000000001E-4</v>
      </c>
    </row>
    <row r="10" spans="2:9" x14ac:dyDescent="0.2">
      <c r="B10" s="10" t="s">
        <v>95</v>
      </c>
      <c r="C10" s="11" t="s">
        <v>9</v>
      </c>
      <c r="E10" s="4">
        <v>8.0000000000000004E-4</v>
      </c>
      <c r="F10" s="4"/>
      <c r="G10" s="4"/>
      <c r="H10" s="9"/>
      <c r="I10" s="4">
        <v>8.0000000000000004E-4</v>
      </c>
    </row>
    <row r="11" spans="2:9" ht="25.5" x14ac:dyDescent="0.2">
      <c r="B11" s="16" t="s">
        <v>96</v>
      </c>
      <c r="C11" s="20" t="s">
        <v>9</v>
      </c>
      <c r="D11" s="20"/>
      <c r="E11" s="21">
        <v>-2.5000000000000001E-3</v>
      </c>
      <c r="F11" s="21"/>
      <c r="G11" s="21"/>
      <c r="H11" s="22"/>
      <c r="I11" s="21">
        <v>-2.5000000000000001E-3</v>
      </c>
    </row>
    <row r="12" spans="2:9" x14ac:dyDescent="0.2">
      <c r="B12" s="10" t="s">
        <v>102</v>
      </c>
      <c r="C12" s="11" t="s">
        <v>9</v>
      </c>
      <c r="D12" s="20"/>
      <c r="E12" s="21"/>
      <c r="F12" s="21"/>
      <c r="G12" s="21"/>
      <c r="H12" s="22"/>
      <c r="I12" s="21">
        <v>-6.9999999999999999E-4</v>
      </c>
    </row>
    <row r="13" spans="2:9" ht="25.5" x14ac:dyDescent="0.2">
      <c r="B13" s="16" t="s">
        <v>103</v>
      </c>
      <c r="C13" s="20" t="s">
        <v>9</v>
      </c>
      <c r="D13" s="20"/>
      <c r="E13" s="21"/>
      <c r="F13" s="21"/>
      <c r="G13" s="21"/>
      <c r="H13" s="22"/>
      <c r="I13" s="21">
        <v>4.3E-3</v>
      </c>
    </row>
    <row r="14" spans="2:9" x14ac:dyDescent="0.2">
      <c r="B14" s="16" t="s">
        <v>84</v>
      </c>
      <c r="C14" s="20" t="s">
        <v>9</v>
      </c>
      <c r="D14" s="20"/>
      <c r="E14" s="21">
        <v>1E-4</v>
      </c>
      <c r="F14" s="21"/>
      <c r="G14" s="21"/>
      <c r="H14" s="22"/>
      <c r="I14" s="21">
        <v>0</v>
      </c>
    </row>
    <row r="15" spans="2:9" x14ac:dyDescent="0.2">
      <c r="B15" t="s">
        <v>3</v>
      </c>
      <c r="C15" s="2" t="s">
        <v>9</v>
      </c>
      <c r="E15" s="4">
        <v>7.3000000000000001E-3</v>
      </c>
      <c r="F15" s="4"/>
      <c r="G15" s="4"/>
      <c r="H15" s="9"/>
      <c r="I15" s="4">
        <v>7.1999999999999998E-3</v>
      </c>
    </row>
    <row r="16" spans="2:9" x14ac:dyDescent="0.2">
      <c r="B16" t="s">
        <v>4</v>
      </c>
      <c r="C16" s="2" t="s">
        <v>9</v>
      </c>
      <c r="E16" s="4">
        <v>5.7000000000000002E-3</v>
      </c>
      <c r="F16" s="4"/>
      <c r="G16" s="4"/>
      <c r="I16" s="4">
        <v>5.7999999999999996E-3</v>
      </c>
    </row>
    <row r="18" spans="2:9" x14ac:dyDescent="0.2">
      <c r="B18" s="1" t="s">
        <v>17</v>
      </c>
    </row>
    <row r="19" spans="2:9" x14ac:dyDescent="0.2">
      <c r="B19" t="s">
        <v>1</v>
      </c>
      <c r="C19" s="2" t="s">
        <v>8</v>
      </c>
      <c r="E19" s="3">
        <v>26.22</v>
      </c>
      <c r="F19" s="3"/>
      <c r="G19" s="3"/>
      <c r="H19" s="9"/>
      <c r="I19" s="3">
        <v>28.13</v>
      </c>
    </row>
    <row r="20" spans="2:9" x14ac:dyDescent="0.2">
      <c r="B20" s="10" t="s">
        <v>97</v>
      </c>
      <c r="C20" s="2" t="s">
        <v>8</v>
      </c>
      <c r="E20" s="3">
        <v>0.79</v>
      </c>
      <c r="F20" s="3"/>
      <c r="G20" s="3"/>
      <c r="H20" s="9"/>
      <c r="I20" s="3">
        <v>0.79</v>
      </c>
    </row>
    <row r="21" spans="2:9" x14ac:dyDescent="0.2">
      <c r="B21" t="s">
        <v>2</v>
      </c>
      <c r="C21" s="2" t="s">
        <v>9</v>
      </c>
      <c r="E21" s="4">
        <v>2.35E-2</v>
      </c>
      <c r="F21" s="4"/>
      <c r="G21" s="4"/>
      <c r="H21" s="12"/>
      <c r="I21" s="4">
        <v>2.29E-2</v>
      </c>
    </row>
    <row r="22" spans="2:9" x14ac:dyDescent="0.2">
      <c r="B22" s="10" t="s">
        <v>34</v>
      </c>
      <c r="C22" s="2" t="s">
        <v>9</v>
      </c>
      <c r="D22" s="20"/>
      <c r="E22" s="4">
        <v>2.0000000000000001E-4</v>
      </c>
      <c r="F22" s="4"/>
      <c r="G22" s="4"/>
      <c r="I22" s="4">
        <v>2.0000000000000001E-4</v>
      </c>
    </row>
    <row r="23" spans="2:9" x14ac:dyDescent="0.2">
      <c r="B23" s="10" t="s">
        <v>95</v>
      </c>
      <c r="C23" s="11" t="s">
        <v>9</v>
      </c>
      <c r="E23" s="4">
        <v>8.0000000000000004E-4</v>
      </c>
      <c r="F23" s="4"/>
      <c r="G23" s="4"/>
      <c r="I23" s="4">
        <v>8.0000000000000004E-4</v>
      </c>
    </row>
    <row r="24" spans="2:9" ht="25.5" x14ac:dyDescent="0.2">
      <c r="B24" s="16" t="s">
        <v>96</v>
      </c>
      <c r="C24" s="20" t="s">
        <v>9</v>
      </c>
      <c r="E24" s="4">
        <v>-2.5000000000000001E-3</v>
      </c>
      <c r="F24" s="4"/>
      <c r="G24" s="4"/>
      <c r="I24" s="4">
        <v>-2.5000000000000001E-3</v>
      </c>
    </row>
    <row r="25" spans="2:9" x14ac:dyDescent="0.2">
      <c r="B25" s="10" t="s">
        <v>102</v>
      </c>
      <c r="C25" s="11" t="s">
        <v>9</v>
      </c>
      <c r="E25" s="4"/>
      <c r="F25" s="4"/>
      <c r="G25" s="4"/>
      <c r="I25" s="4">
        <v>-6.9999999999999999E-4</v>
      </c>
    </row>
    <row r="26" spans="2:9" ht="25.5" x14ac:dyDescent="0.2">
      <c r="B26" s="16" t="s">
        <v>103</v>
      </c>
      <c r="C26" s="20" t="s">
        <v>9</v>
      </c>
      <c r="E26" s="4"/>
      <c r="F26" s="4"/>
      <c r="G26" s="4"/>
      <c r="I26" s="4">
        <v>4.3E-3</v>
      </c>
    </row>
    <row r="27" spans="2:9" x14ac:dyDescent="0.2">
      <c r="B27" s="16" t="s">
        <v>84</v>
      </c>
      <c r="C27" s="20" t="s">
        <v>9</v>
      </c>
      <c r="E27" s="4">
        <v>4.0000000000000002E-4</v>
      </c>
      <c r="F27" s="4"/>
      <c r="G27" s="4"/>
      <c r="I27" s="4">
        <v>0</v>
      </c>
    </row>
    <row r="28" spans="2:9" x14ac:dyDescent="0.2">
      <c r="B28" t="s">
        <v>3</v>
      </c>
      <c r="C28" s="2" t="s">
        <v>9</v>
      </c>
      <c r="E28" s="4">
        <v>6.1999999999999998E-3</v>
      </c>
      <c r="F28" s="4"/>
      <c r="G28" s="4"/>
      <c r="I28" s="4">
        <v>6.1000000000000004E-3</v>
      </c>
    </row>
    <row r="29" spans="2:9" x14ac:dyDescent="0.2">
      <c r="B29" t="s">
        <v>4</v>
      </c>
      <c r="C29" s="2" t="s">
        <v>9</v>
      </c>
      <c r="E29" s="4">
        <v>4.8999999999999998E-3</v>
      </c>
      <c r="F29" s="4"/>
      <c r="G29" s="4"/>
      <c r="I29" s="4">
        <v>5.0000000000000001E-3</v>
      </c>
    </row>
    <row r="30" spans="2:9" x14ac:dyDescent="0.2">
      <c r="E30" s="3"/>
      <c r="F30" s="3"/>
      <c r="G30" s="3"/>
      <c r="H30" s="3"/>
      <c r="I30" s="3"/>
    </row>
    <row r="31" spans="2:9" x14ac:dyDescent="0.2">
      <c r="B31" s="1" t="s">
        <v>19</v>
      </c>
    </row>
    <row r="32" spans="2:9" x14ac:dyDescent="0.2">
      <c r="B32" t="s">
        <v>1</v>
      </c>
      <c r="C32" s="2" t="s">
        <v>8</v>
      </c>
      <c r="E32" s="3">
        <v>149.36000000000001</v>
      </c>
      <c r="F32" s="3"/>
      <c r="G32" s="3"/>
      <c r="H32" s="9"/>
      <c r="I32" s="3">
        <v>151.08000000000001</v>
      </c>
    </row>
    <row r="33" spans="2:9" x14ac:dyDescent="0.2">
      <c r="B33" t="s">
        <v>2</v>
      </c>
      <c r="C33" s="2" t="s">
        <v>10</v>
      </c>
      <c r="E33" s="4">
        <v>6.5800999999999998</v>
      </c>
      <c r="F33" s="4"/>
      <c r="G33" s="4"/>
      <c r="H33" s="9"/>
      <c r="I33" s="4">
        <v>6.6558000000000002</v>
      </c>
    </row>
    <row r="34" spans="2:9" x14ac:dyDescent="0.2">
      <c r="B34" s="10" t="s">
        <v>34</v>
      </c>
      <c r="C34" s="2" t="s">
        <v>10</v>
      </c>
      <c r="E34" s="4">
        <v>7.3499999999999996E-2</v>
      </c>
      <c r="F34" s="4"/>
      <c r="G34" s="4"/>
      <c r="I34" s="4">
        <v>7.3499999999999996E-2</v>
      </c>
    </row>
    <row r="35" spans="2:9" x14ac:dyDescent="0.2">
      <c r="B35" s="10" t="s">
        <v>95</v>
      </c>
      <c r="C35" s="2" t="s">
        <v>10</v>
      </c>
      <c r="E35" s="4">
        <v>0.26019999999999999</v>
      </c>
      <c r="F35" s="4"/>
      <c r="G35" s="4"/>
      <c r="I35" s="4">
        <v>0.26019999999999999</v>
      </c>
    </row>
    <row r="36" spans="2:9" ht="25.5" x14ac:dyDescent="0.2">
      <c r="B36" s="16" t="s">
        <v>96</v>
      </c>
      <c r="C36" s="2" t="s">
        <v>10</v>
      </c>
      <c r="E36" s="4">
        <v>-0.8619</v>
      </c>
      <c r="F36" s="4"/>
      <c r="G36" s="4"/>
      <c r="I36" s="4">
        <v>-0.8619</v>
      </c>
    </row>
    <row r="37" spans="2:9" x14ac:dyDescent="0.2">
      <c r="B37" s="10" t="s">
        <v>102</v>
      </c>
      <c r="C37" s="2" t="s">
        <v>10</v>
      </c>
      <c r="E37" s="4"/>
      <c r="F37" s="4"/>
      <c r="G37" s="4"/>
      <c r="I37" s="4">
        <v>-0.24399999999999999</v>
      </c>
    </row>
    <row r="38" spans="2:9" ht="25.5" x14ac:dyDescent="0.2">
      <c r="B38" s="16" t="s">
        <v>103</v>
      </c>
      <c r="C38" s="2" t="s">
        <v>10</v>
      </c>
      <c r="E38" s="4"/>
      <c r="F38" s="4"/>
      <c r="G38" s="4"/>
      <c r="I38" s="4">
        <v>1.6066</v>
      </c>
    </row>
    <row r="39" spans="2:9" x14ac:dyDescent="0.2">
      <c r="B39" s="16" t="s">
        <v>84</v>
      </c>
      <c r="C39" s="20" t="s">
        <v>10</v>
      </c>
      <c r="E39" s="4">
        <v>4.41E-2</v>
      </c>
      <c r="F39" s="4"/>
      <c r="G39" s="4"/>
      <c r="I39" s="4">
        <v>0</v>
      </c>
    </row>
    <row r="40" spans="2:9" x14ac:dyDescent="0.2">
      <c r="B40" t="s">
        <v>3</v>
      </c>
      <c r="C40" s="2" t="s">
        <v>10</v>
      </c>
      <c r="E40" s="4">
        <v>2.6433</v>
      </c>
      <c r="F40" s="4"/>
      <c r="G40" s="4"/>
      <c r="I40" s="4">
        <v>2.5966</v>
      </c>
    </row>
    <row r="41" spans="2:9" x14ac:dyDescent="0.2">
      <c r="B41" t="s">
        <v>4</v>
      </c>
      <c r="C41" s="2" t="s">
        <v>10</v>
      </c>
      <c r="E41" s="4">
        <v>2.0314999999999999</v>
      </c>
      <c r="F41" s="4"/>
      <c r="G41" s="4"/>
      <c r="H41" s="5"/>
      <c r="I41" s="4">
        <v>2.0802999999999998</v>
      </c>
    </row>
    <row r="42" spans="2:9" x14ac:dyDescent="0.2">
      <c r="E42" s="3"/>
      <c r="F42" s="3"/>
      <c r="G42" s="3"/>
      <c r="H42" s="3"/>
      <c r="I42" s="3"/>
    </row>
    <row r="43" spans="2:9" x14ac:dyDescent="0.2">
      <c r="B43" s="1" t="s">
        <v>20</v>
      </c>
    </row>
    <row r="44" spans="2:9" x14ac:dyDescent="0.2">
      <c r="B44" s="10" t="s">
        <v>47</v>
      </c>
      <c r="C44" s="2" t="s">
        <v>8</v>
      </c>
      <c r="E44" s="3">
        <v>42.26</v>
      </c>
      <c r="F44" s="3"/>
      <c r="G44" s="3"/>
      <c r="H44" s="9"/>
      <c r="I44" s="3">
        <v>32.799999999999997</v>
      </c>
    </row>
    <row r="45" spans="2:9" x14ac:dyDescent="0.2">
      <c r="B45" t="s">
        <v>2</v>
      </c>
      <c r="C45" s="2" t="s">
        <v>9</v>
      </c>
      <c r="E45" s="4">
        <v>2.5000000000000001E-2</v>
      </c>
      <c r="F45" s="4"/>
      <c r="G45" s="4"/>
      <c r="H45" s="9"/>
      <c r="I45" s="4">
        <v>1.78E-2</v>
      </c>
    </row>
    <row r="46" spans="2:9" x14ac:dyDescent="0.2">
      <c r="B46" s="10" t="s">
        <v>34</v>
      </c>
      <c r="C46" s="2" t="s">
        <v>9</v>
      </c>
      <c r="D46" s="20"/>
      <c r="E46" s="4">
        <v>2.0000000000000001E-4</v>
      </c>
      <c r="F46" s="4"/>
      <c r="G46" s="4"/>
      <c r="H46" s="22"/>
      <c r="I46" s="4">
        <v>2.0000000000000001E-4</v>
      </c>
    </row>
    <row r="47" spans="2:9" x14ac:dyDescent="0.2">
      <c r="B47" s="10" t="s">
        <v>95</v>
      </c>
      <c r="C47" s="11" t="s">
        <v>9</v>
      </c>
      <c r="E47" s="4">
        <v>8.0000000000000004E-4</v>
      </c>
      <c r="F47" s="4"/>
      <c r="G47" s="4"/>
      <c r="I47" s="4">
        <v>8.0000000000000004E-4</v>
      </c>
    </row>
    <row r="48" spans="2:9" ht="25.5" x14ac:dyDescent="0.2">
      <c r="B48" s="16" t="s">
        <v>96</v>
      </c>
      <c r="C48" s="20" t="s">
        <v>9</v>
      </c>
      <c r="E48" s="4">
        <v>-2.5000000000000001E-3</v>
      </c>
      <c r="F48" s="4"/>
      <c r="G48" s="4"/>
      <c r="I48" s="4">
        <v>-2.5000000000000001E-3</v>
      </c>
    </row>
    <row r="49" spans="2:9" x14ac:dyDescent="0.2">
      <c r="B49" s="10" t="s">
        <v>102</v>
      </c>
      <c r="C49" s="11" t="s">
        <v>9</v>
      </c>
      <c r="E49" s="4"/>
      <c r="F49" s="4"/>
      <c r="G49" s="4"/>
      <c r="I49" s="4">
        <v>-6.9999999999999999E-4</v>
      </c>
    </row>
    <row r="50" spans="2:9" ht="25.5" x14ac:dyDescent="0.2">
      <c r="B50" s="16" t="s">
        <v>103</v>
      </c>
      <c r="C50" s="20" t="s">
        <v>9</v>
      </c>
      <c r="E50" s="4"/>
      <c r="F50" s="4"/>
      <c r="G50" s="4"/>
      <c r="I50" s="4">
        <v>4.3E-3</v>
      </c>
    </row>
    <row r="51" spans="2:9" x14ac:dyDescent="0.2">
      <c r="B51" s="16" t="s">
        <v>84</v>
      </c>
      <c r="C51" s="20" t="s">
        <v>9</v>
      </c>
      <c r="E51" s="4"/>
      <c r="F51" s="4"/>
      <c r="G51" s="4"/>
      <c r="I51" s="4"/>
    </row>
    <row r="52" spans="2:9" x14ac:dyDescent="0.2">
      <c r="B52" t="s">
        <v>3</v>
      </c>
      <c r="C52" s="2" t="s">
        <v>9</v>
      </c>
      <c r="E52" s="4">
        <v>6.4999999999999997E-3</v>
      </c>
      <c r="F52" s="4"/>
      <c r="G52" s="4"/>
      <c r="H52" s="5"/>
      <c r="I52" s="4">
        <v>6.4000000000000003E-3</v>
      </c>
    </row>
    <row r="53" spans="2:9" x14ac:dyDescent="0.2">
      <c r="B53" t="s">
        <v>4</v>
      </c>
      <c r="C53" s="2" t="s">
        <v>9</v>
      </c>
      <c r="E53" s="4">
        <v>5.0000000000000001E-3</v>
      </c>
      <c r="F53" s="4"/>
      <c r="G53" s="4"/>
      <c r="H53" s="6"/>
      <c r="I53" s="4">
        <v>5.1000000000000004E-3</v>
      </c>
    </row>
    <row r="54" spans="2:9" x14ac:dyDescent="0.2">
      <c r="E54" s="3"/>
      <c r="F54" s="3"/>
      <c r="G54" s="3"/>
      <c r="H54" s="3"/>
      <c r="I54" s="3"/>
    </row>
    <row r="55" spans="2:9" x14ac:dyDescent="0.2">
      <c r="B55" s="1" t="s">
        <v>21</v>
      </c>
    </row>
    <row r="56" spans="2:9" x14ac:dyDescent="0.2">
      <c r="B56" s="10" t="s">
        <v>48</v>
      </c>
      <c r="C56" s="2" t="s">
        <v>8</v>
      </c>
      <c r="E56" s="3">
        <v>5.17</v>
      </c>
      <c r="F56" s="3"/>
      <c r="G56" s="3"/>
      <c r="H56" s="9"/>
      <c r="I56" s="3">
        <v>5.07</v>
      </c>
    </row>
    <row r="57" spans="2:9" x14ac:dyDescent="0.2">
      <c r="B57" t="s">
        <v>2</v>
      </c>
      <c r="C57" s="2" t="s">
        <v>10</v>
      </c>
      <c r="E57" s="4">
        <v>4.9564000000000004</v>
      </c>
      <c r="F57" s="4"/>
      <c r="G57" s="4"/>
      <c r="H57" s="9"/>
      <c r="I57" s="4">
        <v>5.8719999999999999</v>
      </c>
    </row>
    <row r="58" spans="2:9" x14ac:dyDescent="0.2">
      <c r="B58" s="10" t="s">
        <v>34</v>
      </c>
      <c r="C58" s="2" t="s">
        <v>10</v>
      </c>
      <c r="E58" s="4">
        <v>5.4199999999999998E-2</v>
      </c>
      <c r="F58" s="4"/>
      <c r="G58" s="4"/>
      <c r="H58" s="9"/>
      <c r="I58" s="4">
        <v>5.4199999999999998E-2</v>
      </c>
    </row>
    <row r="59" spans="2:9" x14ac:dyDescent="0.2">
      <c r="B59" s="10" t="s">
        <v>90</v>
      </c>
      <c r="C59" s="2" t="s">
        <v>10</v>
      </c>
      <c r="E59" s="4">
        <v>0.1459</v>
      </c>
      <c r="F59" s="4"/>
      <c r="G59" s="4"/>
      <c r="I59" s="4">
        <v>0.1459</v>
      </c>
    </row>
    <row r="60" spans="2:9" ht="25.5" x14ac:dyDescent="0.2">
      <c r="B60" s="16" t="s">
        <v>89</v>
      </c>
      <c r="C60" s="2" t="s">
        <v>10</v>
      </c>
      <c r="E60" s="4">
        <v>-0.4758</v>
      </c>
      <c r="F60" s="4"/>
      <c r="G60" s="4"/>
      <c r="I60" s="4">
        <v>-0.4758</v>
      </c>
    </row>
    <row r="61" spans="2:9" x14ac:dyDescent="0.2">
      <c r="B61" s="10" t="s">
        <v>102</v>
      </c>
      <c r="C61" s="2" t="s">
        <v>10</v>
      </c>
      <c r="E61" s="4"/>
      <c r="F61" s="4"/>
      <c r="G61" s="4"/>
      <c r="I61" s="4">
        <v>-0.2157</v>
      </c>
    </row>
    <row r="62" spans="2:9" ht="25.5" x14ac:dyDescent="0.2">
      <c r="B62" s="16" t="s">
        <v>103</v>
      </c>
      <c r="C62" s="2" t="s">
        <v>10</v>
      </c>
      <c r="E62" s="4"/>
      <c r="F62" s="4"/>
      <c r="G62" s="4"/>
      <c r="I62" s="4">
        <v>0</v>
      </c>
    </row>
    <row r="63" spans="2:9" x14ac:dyDescent="0.2">
      <c r="B63" s="16" t="s">
        <v>84</v>
      </c>
      <c r="C63" s="20" t="s">
        <v>10</v>
      </c>
      <c r="E63" s="4"/>
      <c r="F63" s="4"/>
      <c r="G63" s="4"/>
      <c r="I63" s="4"/>
    </row>
    <row r="64" spans="2:9" x14ac:dyDescent="0.2">
      <c r="B64" t="s">
        <v>3</v>
      </c>
      <c r="C64" s="2" t="s">
        <v>10</v>
      </c>
      <c r="E64" s="4">
        <v>2.2526999999999999</v>
      </c>
      <c r="F64" s="4"/>
      <c r="G64" s="4"/>
      <c r="I64" s="4">
        <v>2.2128999999999999</v>
      </c>
    </row>
    <row r="65" spans="2:9" x14ac:dyDescent="0.2">
      <c r="B65" t="s">
        <v>4</v>
      </c>
      <c r="C65" s="2" t="s">
        <v>10</v>
      </c>
      <c r="E65" s="4">
        <v>1.6578999999999999</v>
      </c>
      <c r="F65" s="4"/>
      <c r="G65" s="4"/>
      <c r="I65" s="4">
        <v>1.6977</v>
      </c>
    </row>
    <row r="66" spans="2:9" x14ac:dyDescent="0.2">
      <c r="E66" s="3"/>
      <c r="F66" s="3"/>
      <c r="G66" s="3"/>
      <c r="H66" s="3"/>
      <c r="I66" s="3"/>
    </row>
    <row r="67" spans="2:9" x14ac:dyDescent="0.2">
      <c r="B67" s="1" t="s">
        <v>7</v>
      </c>
    </row>
    <row r="68" spans="2:9" x14ac:dyDescent="0.2">
      <c r="B68" s="10" t="s">
        <v>48</v>
      </c>
      <c r="C68" s="2" t="s">
        <v>8</v>
      </c>
      <c r="E68" s="17">
        <v>5.05</v>
      </c>
      <c r="F68" s="17"/>
      <c r="G68" s="17"/>
      <c r="H68" s="9"/>
      <c r="I68" s="17">
        <v>4.93</v>
      </c>
    </row>
    <row r="69" spans="2:9" x14ac:dyDescent="0.2">
      <c r="B69" t="s">
        <v>2</v>
      </c>
      <c r="C69" s="2" t="s">
        <v>10</v>
      </c>
      <c r="E69" s="4">
        <v>10.4941</v>
      </c>
      <c r="F69" s="4"/>
      <c r="G69" s="4"/>
      <c r="I69" s="4">
        <v>10.743399999999999</v>
      </c>
    </row>
    <row r="70" spans="2:9" x14ac:dyDescent="0.2">
      <c r="B70" s="10" t="s">
        <v>34</v>
      </c>
      <c r="C70" s="2" t="s">
        <v>10</v>
      </c>
      <c r="E70" s="4">
        <v>5.0700000000000002E-2</v>
      </c>
      <c r="F70" s="4"/>
      <c r="G70" s="4"/>
      <c r="H70" s="9"/>
      <c r="I70" s="4">
        <v>5.0700000000000002E-2</v>
      </c>
    </row>
    <row r="71" spans="2:9" x14ac:dyDescent="0.2">
      <c r="B71" s="10" t="s">
        <v>95</v>
      </c>
      <c r="C71" s="2" t="s">
        <v>10</v>
      </c>
      <c r="E71" s="4">
        <v>0.24560000000000001</v>
      </c>
      <c r="F71" s="4"/>
      <c r="G71" s="4"/>
      <c r="H71" s="9"/>
      <c r="I71" s="4">
        <v>0.24560000000000001</v>
      </c>
    </row>
    <row r="72" spans="2:9" ht="25.5" x14ac:dyDescent="0.2">
      <c r="B72" s="16" t="s">
        <v>96</v>
      </c>
      <c r="C72" s="2" t="s">
        <v>10</v>
      </c>
      <c r="E72" s="4">
        <v>-0.76700000000000002</v>
      </c>
      <c r="F72" s="4"/>
      <c r="G72" s="4"/>
      <c r="H72" s="9"/>
      <c r="I72" s="4">
        <v>-0.76700000000000002</v>
      </c>
    </row>
    <row r="73" spans="2:9" x14ac:dyDescent="0.2">
      <c r="B73" s="10" t="s">
        <v>102</v>
      </c>
      <c r="C73" s="2" t="s">
        <v>10</v>
      </c>
      <c r="E73" s="4"/>
      <c r="F73" s="4"/>
      <c r="G73" s="4"/>
      <c r="H73" s="9"/>
      <c r="I73" s="4">
        <v>-0.21690000000000001</v>
      </c>
    </row>
    <row r="74" spans="2:9" ht="25.5" x14ac:dyDescent="0.2">
      <c r="B74" s="16" t="s">
        <v>103</v>
      </c>
      <c r="C74" s="2" t="s">
        <v>10</v>
      </c>
      <c r="E74" s="4"/>
      <c r="F74" s="4"/>
      <c r="G74" s="4"/>
      <c r="H74" s="9"/>
      <c r="I74" s="4">
        <v>1.3987000000000001</v>
      </c>
    </row>
    <row r="75" spans="2:9" x14ac:dyDescent="0.2">
      <c r="B75" s="16" t="s">
        <v>84</v>
      </c>
      <c r="C75" s="20" t="s">
        <v>10</v>
      </c>
      <c r="E75" s="4"/>
      <c r="F75" s="4"/>
      <c r="G75" s="4"/>
      <c r="H75" s="9"/>
      <c r="I75" s="4"/>
    </row>
    <row r="76" spans="2:9" x14ac:dyDescent="0.2">
      <c r="B76" t="s">
        <v>3</v>
      </c>
      <c r="C76" s="2" t="s">
        <v>10</v>
      </c>
      <c r="E76" s="4">
        <v>1.9564999999999999</v>
      </c>
      <c r="F76" s="4"/>
      <c r="G76" s="4"/>
      <c r="H76" s="9"/>
      <c r="I76" s="4">
        <v>1.9218999999999999</v>
      </c>
    </row>
    <row r="77" spans="2:9" x14ac:dyDescent="0.2">
      <c r="B77" t="s">
        <v>4</v>
      </c>
      <c r="C77" s="2" t="s">
        <v>10</v>
      </c>
      <c r="E77" s="4">
        <v>1.5501</v>
      </c>
      <c r="F77" s="4"/>
      <c r="G77" s="4"/>
      <c r="I77" s="4">
        <v>1.5872999999999999</v>
      </c>
    </row>
    <row r="78" spans="2:9" x14ac:dyDescent="0.2">
      <c r="E78" s="4"/>
      <c r="F78" s="4"/>
      <c r="G78" s="4"/>
      <c r="I78" s="13"/>
    </row>
    <row r="79" spans="2:9" x14ac:dyDescent="0.2">
      <c r="E79" s="4"/>
      <c r="F79" s="4"/>
      <c r="G79" s="4"/>
      <c r="I79" s="13"/>
    </row>
    <row r="80" spans="2:9" ht="15.75" x14ac:dyDescent="0.25">
      <c r="B80" s="104" t="s">
        <v>49</v>
      </c>
      <c r="C80" s="104"/>
      <c r="D80" s="104"/>
      <c r="E80" s="104"/>
      <c r="F80" s="104"/>
      <c r="G80" s="104"/>
      <c r="H80" s="104"/>
      <c r="I80" s="104"/>
    </row>
    <row r="81" spans="2:9" x14ac:dyDescent="0.2">
      <c r="B81" s="1" t="s">
        <v>66</v>
      </c>
    </row>
    <row r="82" spans="2:9" x14ac:dyDescent="0.2">
      <c r="B82" s="1" t="s">
        <v>27</v>
      </c>
    </row>
    <row r="83" spans="2:9" x14ac:dyDescent="0.2">
      <c r="B83" t="s">
        <v>1</v>
      </c>
      <c r="C83" s="2" t="s">
        <v>8</v>
      </c>
      <c r="E83" s="3">
        <v>19.43</v>
      </c>
      <c r="F83" s="3"/>
      <c r="G83" s="3"/>
      <c r="H83" s="9"/>
      <c r="I83" s="3">
        <f>I6</f>
        <v>23.33</v>
      </c>
    </row>
    <row r="84" spans="2:9" x14ac:dyDescent="0.2">
      <c r="B84" s="10" t="s">
        <v>97</v>
      </c>
      <c r="C84" s="2" t="s">
        <v>8</v>
      </c>
      <c r="E84" s="3">
        <v>0.79</v>
      </c>
      <c r="F84" s="3"/>
      <c r="G84" s="3"/>
      <c r="H84" s="9"/>
      <c r="I84" s="3">
        <v>0.79</v>
      </c>
    </row>
    <row r="85" spans="2:9" x14ac:dyDescent="0.2">
      <c r="B85" t="s">
        <v>2</v>
      </c>
      <c r="C85" s="2" t="s">
        <v>9</v>
      </c>
      <c r="E85" s="4">
        <v>2.0199999999999999E-2</v>
      </c>
      <c r="F85" s="4"/>
      <c r="G85" s="4"/>
      <c r="H85" s="9"/>
      <c r="I85" s="4">
        <f>I8</f>
        <v>1.5100000000000001E-2</v>
      </c>
    </row>
    <row r="86" spans="2:9" x14ac:dyDescent="0.2">
      <c r="B86" s="10" t="s">
        <v>34</v>
      </c>
      <c r="C86" s="2" t="s">
        <v>9</v>
      </c>
      <c r="E86" s="4">
        <v>2.0000000000000001E-4</v>
      </c>
      <c r="F86" s="4"/>
      <c r="G86" s="4"/>
      <c r="H86" s="9"/>
      <c r="I86" s="4">
        <v>2.0000000000000001E-4</v>
      </c>
    </row>
    <row r="87" spans="2:9" x14ac:dyDescent="0.2">
      <c r="B87" s="10" t="s">
        <v>95</v>
      </c>
      <c r="C87" s="11" t="s">
        <v>9</v>
      </c>
      <c r="D87" s="20"/>
      <c r="E87" s="21">
        <v>2.9999999999999997E-4</v>
      </c>
      <c r="F87" s="21"/>
      <c r="G87" s="21"/>
      <c r="H87" s="22"/>
      <c r="I87" s="21">
        <v>2.9999999999999997E-4</v>
      </c>
    </row>
    <row r="88" spans="2:9" ht="25.5" x14ac:dyDescent="0.2">
      <c r="B88" s="16" t="s">
        <v>96</v>
      </c>
      <c r="C88" s="20" t="s">
        <v>9</v>
      </c>
      <c r="D88" s="20"/>
      <c r="E88" s="21">
        <v>7.4999999999999997E-3</v>
      </c>
      <c r="F88" s="21"/>
      <c r="G88" s="21"/>
      <c r="H88" s="22"/>
      <c r="I88" s="21">
        <v>7.4999999999999997E-3</v>
      </c>
    </row>
    <row r="89" spans="2:9" x14ac:dyDescent="0.2">
      <c r="B89" s="10" t="s">
        <v>102</v>
      </c>
      <c r="C89" s="11" t="s">
        <v>9</v>
      </c>
      <c r="D89" s="20"/>
      <c r="E89" s="21"/>
      <c r="F89" s="21"/>
      <c r="G89" s="21"/>
      <c r="H89" s="22"/>
      <c r="I89" s="21">
        <v>-2.7000000000000001E-3</v>
      </c>
    </row>
    <row r="90" spans="2:9" ht="25.5" x14ac:dyDescent="0.2">
      <c r="B90" s="16" t="s">
        <v>103</v>
      </c>
      <c r="C90" s="20" t="s">
        <v>9</v>
      </c>
      <c r="D90" s="20"/>
      <c r="E90" s="21"/>
      <c r="F90" s="21"/>
      <c r="G90" s="21"/>
      <c r="H90" s="22"/>
      <c r="I90" s="21">
        <v>1.0500000000000001E-2</v>
      </c>
    </row>
    <row r="91" spans="2:9" x14ac:dyDescent="0.2">
      <c r="B91" s="16" t="s">
        <v>84</v>
      </c>
      <c r="C91" s="20" t="s">
        <v>9</v>
      </c>
      <c r="D91" s="20"/>
      <c r="E91" s="21">
        <v>1E-4</v>
      </c>
      <c r="F91" s="21"/>
      <c r="G91" s="21"/>
      <c r="H91" s="22"/>
      <c r="I91" s="21">
        <v>0</v>
      </c>
    </row>
    <row r="92" spans="2:9" x14ac:dyDescent="0.2">
      <c r="B92" t="s">
        <v>3</v>
      </c>
      <c r="C92" s="2" t="s">
        <v>9</v>
      </c>
      <c r="E92" s="4">
        <v>7.3000000000000001E-3</v>
      </c>
      <c r="F92" s="4"/>
      <c r="G92" s="4"/>
      <c r="H92" s="9"/>
      <c r="I92" s="4">
        <f>I15</f>
        <v>7.1999999999999998E-3</v>
      </c>
    </row>
    <row r="93" spans="2:9" x14ac:dyDescent="0.2">
      <c r="B93" t="s">
        <v>4</v>
      </c>
      <c r="C93" s="2" t="s">
        <v>9</v>
      </c>
      <c r="E93" s="4">
        <v>5.7000000000000002E-3</v>
      </c>
      <c r="F93" s="4"/>
      <c r="G93" s="4"/>
      <c r="I93" s="4">
        <f>I16</f>
        <v>5.7999999999999996E-3</v>
      </c>
    </row>
    <row r="95" spans="2:9" x14ac:dyDescent="0.2">
      <c r="B95" s="1" t="s">
        <v>17</v>
      </c>
    </row>
    <row r="96" spans="2:9" x14ac:dyDescent="0.2">
      <c r="B96" t="s">
        <v>1</v>
      </c>
      <c r="C96" s="2" t="s">
        <v>8</v>
      </c>
      <c r="E96" s="3">
        <v>26.22</v>
      </c>
      <c r="F96" s="3"/>
      <c r="G96" s="3"/>
      <c r="H96" s="9"/>
      <c r="I96" s="3">
        <f>I19</f>
        <v>28.13</v>
      </c>
    </row>
    <row r="97" spans="2:9" x14ac:dyDescent="0.2">
      <c r="B97" s="10" t="s">
        <v>97</v>
      </c>
      <c r="C97" s="2" t="s">
        <v>8</v>
      </c>
      <c r="E97" s="3">
        <v>0.79</v>
      </c>
      <c r="F97" s="3"/>
      <c r="G97" s="3"/>
      <c r="H97" s="9"/>
      <c r="I97" s="3">
        <v>0.79</v>
      </c>
    </row>
    <row r="98" spans="2:9" x14ac:dyDescent="0.2">
      <c r="B98" t="s">
        <v>2</v>
      </c>
      <c r="C98" s="2" t="s">
        <v>9</v>
      </c>
      <c r="E98" s="4">
        <v>2.35E-2</v>
      </c>
      <c r="F98" s="4"/>
      <c r="G98" s="4"/>
      <c r="H98" s="12"/>
      <c r="I98" s="4">
        <f>I21</f>
        <v>2.29E-2</v>
      </c>
    </row>
    <row r="99" spans="2:9" x14ac:dyDescent="0.2">
      <c r="B99" s="10" t="s">
        <v>34</v>
      </c>
      <c r="C99" s="2" t="s">
        <v>9</v>
      </c>
      <c r="D99" s="20"/>
      <c r="E99" s="4">
        <v>2.0000000000000001E-4</v>
      </c>
      <c r="F99" s="4"/>
      <c r="G99" s="4"/>
      <c r="I99" s="4">
        <v>2.0000000000000001E-4</v>
      </c>
    </row>
    <row r="100" spans="2:9" x14ac:dyDescent="0.2">
      <c r="B100" s="10" t="s">
        <v>95</v>
      </c>
      <c r="C100" s="11" t="s">
        <v>9</v>
      </c>
      <c r="E100" s="4">
        <v>2.9999999999999997E-4</v>
      </c>
      <c r="F100" s="4"/>
      <c r="G100" s="4"/>
      <c r="I100" s="4">
        <v>2.9999999999999997E-4</v>
      </c>
    </row>
    <row r="101" spans="2:9" ht="25.5" x14ac:dyDescent="0.2">
      <c r="B101" s="16" t="s">
        <v>96</v>
      </c>
      <c r="C101" s="20" t="s">
        <v>9</v>
      </c>
      <c r="E101" s="4">
        <v>7.4999999999999997E-3</v>
      </c>
      <c r="F101" s="4"/>
      <c r="G101" s="4"/>
      <c r="I101" s="4">
        <v>7.4999999999999997E-3</v>
      </c>
    </row>
    <row r="102" spans="2:9" x14ac:dyDescent="0.2">
      <c r="B102" s="10" t="s">
        <v>102</v>
      </c>
      <c r="C102" s="11" t="s">
        <v>9</v>
      </c>
      <c r="E102" s="4"/>
      <c r="F102" s="4"/>
      <c r="G102" s="4"/>
      <c r="I102" s="4">
        <v>-2.7000000000000001E-3</v>
      </c>
    </row>
    <row r="103" spans="2:9" ht="25.5" x14ac:dyDescent="0.2">
      <c r="B103" s="16" t="s">
        <v>103</v>
      </c>
      <c r="C103" s="20" t="s">
        <v>9</v>
      </c>
      <c r="E103" s="4"/>
      <c r="F103" s="4"/>
      <c r="G103" s="4"/>
      <c r="I103" s="4">
        <v>1.0500000000000001E-2</v>
      </c>
    </row>
    <row r="104" spans="2:9" x14ac:dyDescent="0.2">
      <c r="B104" s="16" t="s">
        <v>84</v>
      </c>
      <c r="C104" s="20" t="s">
        <v>9</v>
      </c>
      <c r="E104" s="4">
        <v>4.0000000000000002E-4</v>
      </c>
      <c r="F104" s="4"/>
      <c r="G104" s="4"/>
      <c r="I104" s="4">
        <v>0</v>
      </c>
    </row>
    <row r="105" spans="2:9" x14ac:dyDescent="0.2">
      <c r="B105" t="s">
        <v>3</v>
      </c>
      <c r="C105" s="2" t="s">
        <v>9</v>
      </c>
      <c r="E105" s="4">
        <v>6.1999999999999998E-3</v>
      </c>
      <c r="F105" s="4"/>
      <c r="G105" s="4"/>
      <c r="I105" s="4">
        <f>I28</f>
        <v>6.1000000000000004E-3</v>
      </c>
    </row>
    <row r="106" spans="2:9" x14ac:dyDescent="0.2">
      <c r="B106" t="s">
        <v>4</v>
      </c>
      <c r="C106" s="2" t="s">
        <v>9</v>
      </c>
      <c r="E106" s="4">
        <v>4.8999999999999998E-3</v>
      </c>
      <c r="F106" s="4"/>
      <c r="G106" s="4"/>
      <c r="I106" s="4">
        <f>I29</f>
        <v>5.0000000000000001E-3</v>
      </c>
    </row>
    <row r="107" spans="2:9" x14ac:dyDescent="0.2">
      <c r="E107" s="3"/>
      <c r="F107" s="3"/>
      <c r="G107" s="3"/>
      <c r="H107" s="3"/>
      <c r="I107" s="3"/>
    </row>
    <row r="108" spans="2:9" x14ac:dyDescent="0.2">
      <c r="B108" s="1" t="s">
        <v>19</v>
      </c>
    </row>
    <row r="109" spans="2:9" x14ac:dyDescent="0.2">
      <c r="B109" t="s">
        <v>1</v>
      </c>
      <c r="C109" s="2" t="s">
        <v>8</v>
      </c>
      <c r="E109" s="3">
        <v>149.36000000000001</v>
      </c>
      <c r="F109" s="3"/>
      <c r="G109" s="3"/>
      <c r="H109" s="9"/>
      <c r="I109" s="3">
        <f>I32</f>
        <v>151.08000000000001</v>
      </c>
    </row>
    <row r="110" spans="2:9" x14ac:dyDescent="0.2">
      <c r="B110" t="s">
        <v>2</v>
      </c>
      <c r="C110" s="2" t="s">
        <v>10</v>
      </c>
      <c r="E110" s="4">
        <v>6.5800999999999998</v>
      </c>
      <c r="F110" s="4"/>
      <c r="G110" s="4"/>
      <c r="H110" s="9"/>
      <c r="I110" s="4">
        <f>I33</f>
        <v>6.6558000000000002</v>
      </c>
    </row>
    <row r="111" spans="2:9" x14ac:dyDescent="0.2">
      <c r="B111" s="10" t="s">
        <v>34</v>
      </c>
      <c r="C111" s="2" t="s">
        <v>10</v>
      </c>
      <c r="E111" s="4">
        <v>7.3499999999999996E-2</v>
      </c>
      <c r="F111" s="4"/>
      <c r="G111" s="4"/>
      <c r="I111" s="4">
        <v>7.3499999999999996E-2</v>
      </c>
    </row>
    <row r="112" spans="2:9" x14ac:dyDescent="0.2">
      <c r="B112" s="10" t="s">
        <v>95</v>
      </c>
      <c r="C112" s="2" t="s">
        <v>10</v>
      </c>
      <c r="E112" s="4">
        <v>7.5800000000000006E-2</v>
      </c>
      <c r="F112" s="4"/>
      <c r="G112" s="4"/>
      <c r="I112" s="4">
        <v>7.5800000000000006E-2</v>
      </c>
    </row>
    <row r="113" spans="2:9" ht="25.5" x14ac:dyDescent="0.2">
      <c r="B113" s="16" t="s">
        <v>96</v>
      </c>
      <c r="C113" s="2" t="s">
        <v>10</v>
      </c>
      <c r="E113" s="4">
        <v>2.6877</v>
      </c>
      <c r="F113" s="4"/>
      <c r="G113" s="4"/>
      <c r="I113" s="4">
        <v>2.6877</v>
      </c>
    </row>
    <row r="114" spans="2:9" x14ac:dyDescent="0.2">
      <c r="B114" s="10" t="s">
        <v>102</v>
      </c>
      <c r="C114" s="2" t="s">
        <v>10</v>
      </c>
      <c r="E114" s="4"/>
      <c r="F114" s="4"/>
      <c r="G114" s="4"/>
      <c r="I114" s="4">
        <v>-0.995</v>
      </c>
    </row>
    <row r="115" spans="2:9" ht="25.5" x14ac:dyDescent="0.2">
      <c r="B115" s="16" t="s">
        <v>103</v>
      </c>
      <c r="C115" s="2" t="s">
        <v>10</v>
      </c>
      <c r="E115" s="4"/>
      <c r="F115" s="4"/>
      <c r="G115" s="4"/>
      <c r="I115" s="4">
        <v>3.8538000000000001</v>
      </c>
    </row>
    <row r="116" spans="2:9" x14ac:dyDescent="0.2">
      <c r="B116" s="16" t="s">
        <v>84</v>
      </c>
      <c r="C116" s="20" t="s">
        <v>10</v>
      </c>
      <c r="E116" s="4">
        <v>4.41E-2</v>
      </c>
      <c r="F116" s="4"/>
      <c r="G116" s="4"/>
      <c r="I116" s="4">
        <v>0</v>
      </c>
    </row>
    <row r="117" spans="2:9" x14ac:dyDescent="0.2">
      <c r="B117" t="s">
        <v>3</v>
      </c>
      <c r="C117" s="2" t="s">
        <v>10</v>
      </c>
      <c r="E117" s="4">
        <v>2.6433</v>
      </c>
      <c r="F117" s="4"/>
      <c r="G117" s="4"/>
      <c r="I117" s="4">
        <f>I40</f>
        <v>2.5966</v>
      </c>
    </row>
    <row r="118" spans="2:9" x14ac:dyDescent="0.2">
      <c r="B118" t="s">
        <v>4</v>
      </c>
      <c r="C118" s="2" t="s">
        <v>10</v>
      </c>
      <c r="E118" s="4">
        <v>2.0314999999999999</v>
      </c>
      <c r="F118" s="4"/>
      <c r="G118" s="4"/>
      <c r="H118" s="5"/>
      <c r="I118" s="4">
        <f>I41</f>
        <v>2.0802999999999998</v>
      </c>
    </row>
    <row r="119" spans="2:9" x14ac:dyDescent="0.2">
      <c r="E119" s="3"/>
      <c r="F119" s="3"/>
      <c r="G119" s="3"/>
      <c r="H119" s="3"/>
      <c r="I119" s="3"/>
    </row>
    <row r="120" spans="2:9" x14ac:dyDescent="0.2">
      <c r="B120" s="1" t="s">
        <v>20</v>
      </c>
    </row>
    <row r="121" spans="2:9" x14ac:dyDescent="0.2">
      <c r="B121" s="10" t="s">
        <v>47</v>
      </c>
      <c r="C121" s="2" t="s">
        <v>8</v>
      </c>
      <c r="E121" s="3">
        <v>42.26</v>
      </c>
      <c r="F121" s="3"/>
      <c r="G121" s="3"/>
      <c r="H121" s="9"/>
      <c r="I121" s="3">
        <f>I44</f>
        <v>32.799999999999997</v>
      </c>
    </row>
    <row r="122" spans="2:9" x14ac:dyDescent="0.2">
      <c r="B122" t="s">
        <v>2</v>
      </c>
      <c r="C122" s="2" t="s">
        <v>9</v>
      </c>
      <c r="E122" s="4">
        <v>2.5000000000000001E-2</v>
      </c>
      <c r="F122" s="4"/>
      <c r="G122" s="4"/>
      <c r="H122" s="9"/>
      <c r="I122" s="4">
        <f>I45</f>
        <v>1.78E-2</v>
      </c>
    </row>
    <row r="123" spans="2:9" x14ac:dyDescent="0.2">
      <c r="B123" s="10" t="s">
        <v>34</v>
      </c>
      <c r="C123" s="2" t="s">
        <v>9</v>
      </c>
      <c r="D123" s="20"/>
      <c r="E123" s="4">
        <v>2.0000000000000001E-4</v>
      </c>
      <c r="F123" s="4"/>
      <c r="G123" s="4"/>
      <c r="H123" s="22"/>
      <c r="I123" s="4">
        <v>2.0000000000000001E-4</v>
      </c>
    </row>
    <row r="124" spans="2:9" x14ac:dyDescent="0.2">
      <c r="B124" s="10" t="s">
        <v>95</v>
      </c>
      <c r="C124" s="11" t="s">
        <v>9</v>
      </c>
      <c r="E124" s="4">
        <v>2.9999999999999997E-4</v>
      </c>
      <c r="F124" s="4"/>
      <c r="G124" s="4"/>
      <c r="I124" s="4">
        <v>2.9999999999999997E-4</v>
      </c>
    </row>
    <row r="125" spans="2:9" ht="25.5" x14ac:dyDescent="0.2">
      <c r="B125" s="16" t="s">
        <v>96</v>
      </c>
      <c r="C125" s="20" t="s">
        <v>9</v>
      </c>
      <c r="E125" s="4"/>
      <c r="F125" s="4"/>
      <c r="G125" s="4"/>
      <c r="I125" s="4">
        <v>0</v>
      </c>
    </row>
    <row r="126" spans="2:9" x14ac:dyDescent="0.2">
      <c r="B126" s="10" t="s">
        <v>102</v>
      </c>
      <c r="C126" s="11" t="s">
        <v>9</v>
      </c>
      <c r="E126" s="4"/>
      <c r="F126" s="4"/>
      <c r="G126" s="4"/>
      <c r="I126" s="4">
        <v>-2.7000000000000001E-3</v>
      </c>
    </row>
    <row r="127" spans="2:9" ht="25.5" x14ac:dyDescent="0.2">
      <c r="B127" s="16" t="s">
        <v>103</v>
      </c>
      <c r="C127" s="20" t="s">
        <v>9</v>
      </c>
      <c r="E127" s="4"/>
      <c r="F127" s="4"/>
      <c r="G127" s="4"/>
      <c r="I127" s="4">
        <v>0</v>
      </c>
    </row>
    <row r="128" spans="2:9" x14ac:dyDescent="0.2">
      <c r="B128" s="16" t="s">
        <v>84</v>
      </c>
      <c r="C128" s="20" t="s">
        <v>9</v>
      </c>
      <c r="E128" s="4"/>
      <c r="F128" s="4"/>
      <c r="G128" s="4"/>
      <c r="I128" s="4"/>
    </row>
    <row r="129" spans="2:9" x14ac:dyDescent="0.2">
      <c r="B129" t="s">
        <v>3</v>
      </c>
      <c r="C129" s="2" t="s">
        <v>9</v>
      </c>
      <c r="E129" s="4">
        <v>6.4999999999999997E-3</v>
      </c>
      <c r="F129" s="4"/>
      <c r="G129" s="4"/>
      <c r="H129" s="5"/>
      <c r="I129" s="4">
        <f>I52</f>
        <v>6.4000000000000003E-3</v>
      </c>
    </row>
    <row r="130" spans="2:9" x14ac:dyDescent="0.2">
      <c r="B130" t="s">
        <v>4</v>
      </c>
      <c r="C130" s="2" t="s">
        <v>9</v>
      </c>
      <c r="E130" s="4">
        <v>5.0000000000000001E-3</v>
      </c>
      <c r="F130" s="4"/>
      <c r="G130" s="4"/>
      <c r="H130" s="6"/>
      <c r="I130" s="4">
        <f>I53</f>
        <v>5.1000000000000004E-3</v>
      </c>
    </row>
    <row r="131" spans="2:9" x14ac:dyDescent="0.2">
      <c r="E131" s="3"/>
      <c r="F131" s="3"/>
      <c r="G131" s="3"/>
      <c r="H131" s="3"/>
      <c r="I131" s="3"/>
    </row>
    <row r="132" spans="2:9" x14ac:dyDescent="0.2">
      <c r="B132" s="1" t="s">
        <v>21</v>
      </c>
    </row>
    <row r="133" spans="2:9" x14ac:dyDescent="0.2">
      <c r="B133" s="10" t="s">
        <v>48</v>
      </c>
      <c r="C133" s="2" t="s">
        <v>8</v>
      </c>
      <c r="E133" s="3">
        <v>5.17</v>
      </c>
      <c r="F133" s="3"/>
      <c r="G133" s="3"/>
      <c r="H133" s="9"/>
      <c r="I133" s="3">
        <f>I56</f>
        <v>5.07</v>
      </c>
    </row>
    <row r="134" spans="2:9" x14ac:dyDescent="0.2">
      <c r="B134" t="s">
        <v>2</v>
      </c>
      <c r="C134" s="2" t="s">
        <v>10</v>
      </c>
      <c r="E134" s="4">
        <v>4.9564000000000004</v>
      </c>
      <c r="F134" s="4"/>
      <c r="G134" s="4"/>
      <c r="H134" s="9"/>
      <c r="I134" s="4">
        <f>I57</f>
        <v>5.8719999999999999</v>
      </c>
    </row>
    <row r="135" spans="2:9" x14ac:dyDescent="0.2">
      <c r="B135" s="10" t="s">
        <v>34</v>
      </c>
      <c r="C135" s="2" t="s">
        <v>10</v>
      </c>
      <c r="E135" s="4">
        <v>5.4199999999999998E-2</v>
      </c>
      <c r="F135" s="4"/>
      <c r="G135" s="4"/>
      <c r="H135" s="9"/>
      <c r="I135" s="4">
        <v>5.4199999999999998E-2</v>
      </c>
    </row>
    <row r="136" spans="2:9" x14ac:dyDescent="0.2">
      <c r="B136" s="10" t="s">
        <v>95</v>
      </c>
      <c r="C136" s="2" t="s">
        <v>10</v>
      </c>
      <c r="E136" s="4">
        <v>0.22090000000000001</v>
      </c>
      <c r="F136" s="4"/>
      <c r="G136" s="4"/>
      <c r="H136" s="9"/>
      <c r="I136" s="4">
        <v>0.22090000000000001</v>
      </c>
    </row>
    <row r="137" spans="2:9" ht="25.5" x14ac:dyDescent="0.2">
      <c r="B137" s="16" t="s">
        <v>96</v>
      </c>
      <c r="C137" s="2" t="s">
        <v>10</v>
      </c>
      <c r="E137" s="4"/>
      <c r="F137" s="4"/>
      <c r="G137" s="4"/>
      <c r="H137" s="9"/>
      <c r="I137" s="4">
        <v>0</v>
      </c>
    </row>
    <row r="138" spans="2:9" x14ac:dyDescent="0.2">
      <c r="B138" s="10" t="s">
        <v>102</v>
      </c>
      <c r="C138" s="2" t="s">
        <v>10</v>
      </c>
      <c r="E138" s="4"/>
      <c r="F138" s="4"/>
      <c r="G138" s="4"/>
      <c r="H138" s="9"/>
      <c r="I138" s="4">
        <v>-0.88480000000000003</v>
      </c>
    </row>
    <row r="139" spans="2:9" ht="25.5" x14ac:dyDescent="0.2">
      <c r="B139" s="16" t="s">
        <v>103</v>
      </c>
      <c r="C139" s="2" t="s">
        <v>10</v>
      </c>
      <c r="E139" s="4"/>
      <c r="F139" s="4"/>
      <c r="G139" s="4"/>
      <c r="H139" s="9"/>
      <c r="I139" s="4">
        <v>0</v>
      </c>
    </row>
    <row r="140" spans="2:9" x14ac:dyDescent="0.2">
      <c r="B140" s="16" t="s">
        <v>84</v>
      </c>
      <c r="C140" s="20" t="s">
        <v>10</v>
      </c>
      <c r="E140" s="4"/>
      <c r="F140" s="4"/>
      <c r="G140" s="4"/>
      <c r="H140" s="9"/>
      <c r="I140" s="4"/>
    </row>
    <row r="141" spans="2:9" x14ac:dyDescent="0.2">
      <c r="B141" t="s">
        <v>3</v>
      </c>
      <c r="C141" s="2" t="s">
        <v>10</v>
      </c>
      <c r="E141" s="4">
        <v>2.2526999999999999</v>
      </c>
      <c r="F141" s="4"/>
      <c r="G141" s="4"/>
      <c r="I141" s="4">
        <f>I64</f>
        <v>2.2128999999999999</v>
      </c>
    </row>
    <row r="142" spans="2:9" x14ac:dyDescent="0.2">
      <c r="B142" t="s">
        <v>4</v>
      </c>
      <c r="C142" s="2" t="s">
        <v>10</v>
      </c>
      <c r="E142" s="4">
        <v>1.6578999999999999</v>
      </c>
      <c r="F142" s="4"/>
      <c r="G142" s="4"/>
      <c r="I142" s="4">
        <f>I65</f>
        <v>1.6977</v>
      </c>
    </row>
    <row r="143" spans="2:9" x14ac:dyDescent="0.2">
      <c r="E143" s="3"/>
      <c r="F143" s="3"/>
      <c r="G143" s="3"/>
      <c r="H143" s="3"/>
      <c r="I143" s="3"/>
    </row>
    <row r="144" spans="2:9" x14ac:dyDescent="0.2">
      <c r="B144" s="1" t="s">
        <v>7</v>
      </c>
    </row>
    <row r="145" spans="2:9" x14ac:dyDescent="0.2">
      <c r="B145" s="10" t="s">
        <v>48</v>
      </c>
      <c r="C145" s="2" t="s">
        <v>8</v>
      </c>
      <c r="E145" s="17">
        <v>5.05</v>
      </c>
      <c r="F145" s="17"/>
      <c r="G145" s="17"/>
      <c r="H145" s="9"/>
      <c r="I145" s="17">
        <f>I68</f>
        <v>4.93</v>
      </c>
    </row>
    <row r="146" spans="2:9" x14ac:dyDescent="0.2">
      <c r="B146" t="s">
        <v>2</v>
      </c>
      <c r="C146" s="2" t="s">
        <v>10</v>
      </c>
      <c r="E146" s="4">
        <v>10.4941</v>
      </c>
      <c r="F146" s="4"/>
      <c r="G146" s="4"/>
      <c r="I146" s="4">
        <f>I69</f>
        <v>10.743399999999999</v>
      </c>
    </row>
    <row r="147" spans="2:9" x14ac:dyDescent="0.2">
      <c r="B147" s="10" t="s">
        <v>34</v>
      </c>
      <c r="C147" s="2" t="s">
        <v>10</v>
      </c>
      <c r="E147" s="4">
        <v>5.0700000000000002E-2</v>
      </c>
      <c r="F147" s="4"/>
      <c r="G147" s="4"/>
      <c r="H147" s="9"/>
      <c r="I147" s="4">
        <v>5.0700000000000002E-2</v>
      </c>
    </row>
    <row r="148" spans="2:9" x14ac:dyDescent="0.2">
      <c r="B148" s="10" t="s">
        <v>95</v>
      </c>
      <c r="C148" s="2" t="s">
        <v>10</v>
      </c>
      <c r="E148" s="4">
        <v>7.5600000000000001E-2</v>
      </c>
      <c r="F148" s="4"/>
      <c r="G148" s="4"/>
      <c r="H148" s="9"/>
      <c r="I148" s="4">
        <v>7.5600000000000001E-2</v>
      </c>
    </row>
    <row r="149" spans="2:9" ht="25.5" x14ac:dyDescent="0.2">
      <c r="B149" s="16" t="s">
        <v>96</v>
      </c>
      <c r="C149" s="2" t="s">
        <v>10</v>
      </c>
      <c r="E149" s="4">
        <v>2.4809999999999999</v>
      </c>
      <c r="F149" s="4"/>
      <c r="G149" s="4"/>
      <c r="H149" s="9"/>
      <c r="I149" s="4">
        <v>2.4809999999999999</v>
      </c>
    </row>
    <row r="150" spans="2:9" x14ac:dyDescent="0.2">
      <c r="B150" s="10" t="s">
        <v>102</v>
      </c>
      <c r="C150" s="2" t="s">
        <v>10</v>
      </c>
      <c r="E150" s="4"/>
      <c r="F150" s="4"/>
      <c r="G150" s="4"/>
      <c r="H150" s="9"/>
      <c r="I150" s="4">
        <v>-0.89049999999999996</v>
      </c>
    </row>
    <row r="151" spans="2:9" ht="25.5" x14ac:dyDescent="0.2">
      <c r="B151" s="16" t="s">
        <v>103</v>
      </c>
      <c r="C151" s="2" t="s">
        <v>10</v>
      </c>
      <c r="E151" s="4"/>
      <c r="F151" s="4"/>
      <c r="G151" s="4"/>
      <c r="H151" s="9"/>
      <c r="I151" s="4">
        <v>3.4611000000000001</v>
      </c>
    </row>
    <row r="152" spans="2:9" x14ac:dyDescent="0.2">
      <c r="B152" s="16" t="s">
        <v>84</v>
      </c>
      <c r="C152" s="20" t="s">
        <v>10</v>
      </c>
      <c r="E152" s="4"/>
      <c r="F152" s="4"/>
      <c r="G152" s="4"/>
      <c r="H152" s="9"/>
      <c r="I152" s="4"/>
    </row>
    <row r="153" spans="2:9" x14ac:dyDescent="0.2">
      <c r="B153" t="s">
        <v>3</v>
      </c>
      <c r="C153" s="2" t="s">
        <v>10</v>
      </c>
      <c r="E153" s="4">
        <v>1.9564999999999999</v>
      </c>
      <c r="F153" s="4"/>
      <c r="G153" s="4"/>
      <c r="H153" s="9"/>
      <c r="I153" s="4">
        <f>I76</f>
        <v>1.9218999999999999</v>
      </c>
    </row>
    <row r="154" spans="2:9" x14ac:dyDescent="0.2">
      <c r="B154" t="s">
        <v>4</v>
      </c>
      <c r="C154" s="2" t="s">
        <v>10</v>
      </c>
      <c r="E154" s="4">
        <v>1.5501</v>
      </c>
      <c r="F154" s="4"/>
      <c r="G154" s="4"/>
      <c r="I154" s="4">
        <f>I77</f>
        <v>1.5872999999999999</v>
      </c>
    </row>
    <row r="155" spans="2:9" x14ac:dyDescent="0.2">
      <c r="E155" s="4"/>
      <c r="F155" s="4"/>
      <c r="G155" s="4"/>
      <c r="I155" s="13"/>
    </row>
    <row r="156" spans="2:9" x14ac:dyDescent="0.2">
      <c r="E156" s="4"/>
      <c r="F156" s="4"/>
      <c r="G156" s="4"/>
      <c r="I156" s="13"/>
    </row>
    <row r="157" spans="2:9" ht="15.75" x14ac:dyDescent="0.25">
      <c r="B157" s="104" t="s">
        <v>50</v>
      </c>
      <c r="C157" s="104"/>
      <c r="D157" s="104"/>
      <c r="E157" s="104"/>
      <c r="F157" s="104"/>
      <c r="G157" s="104"/>
      <c r="H157" s="104"/>
      <c r="I157" s="104"/>
    </row>
    <row r="158" spans="2:9" x14ac:dyDescent="0.2">
      <c r="B158" s="1" t="s">
        <v>67</v>
      </c>
      <c r="I158" s="13"/>
    </row>
    <row r="159" spans="2:9" x14ac:dyDescent="0.2">
      <c r="B159" s="1" t="s">
        <v>27</v>
      </c>
      <c r="I159" s="13"/>
    </row>
    <row r="160" spans="2:9" x14ac:dyDescent="0.2">
      <c r="B160" t="s">
        <v>1</v>
      </c>
      <c r="C160" s="2" t="s">
        <v>8</v>
      </c>
      <c r="E160" s="3">
        <v>18.760000000000002</v>
      </c>
      <c r="F160" s="3"/>
      <c r="G160" s="3"/>
      <c r="I160" s="3">
        <f>I6</f>
        <v>23.33</v>
      </c>
    </row>
    <row r="161" spans="2:9" x14ac:dyDescent="0.2">
      <c r="B161" s="10" t="s">
        <v>97</v>
      </c>
      <c r="C161" s="2" t="s">
        <v>8</v>
      </c>
      <c r="E161" s="3">
        <v>0.79</v>
      </c>
      <c r="F161" s="3"/>
      <c r="G161" s="3"/>
      <c r="I161" s="3">
        <v>0.79</v>
      </c>
    </row>
    <row r="162" spans="2:9" x14ac:dyDescent="0.2">
      <c r="B162" t="s">
        <v>2</v>
      </c>
      <c r="C162" s="2" t="s">
        <v>9</v>
      </c>
      <c r="E162" s="4">
        <v>2.1299999999999999E-2</v>
      </c>
      <c r="F162" s="4"/>
      <c r="G162" s="4"/>
      <c r="I162" s="4">
        <f>I8</f>
        <v>1.5100000000000001E-2</v>
      </c>
    </row>
    <row r="163" spans="2:9" x14ac:dyDescent="0.2">
      <c r="B163" s="10" t="s">
        <v>34</v>
      </c>
      <c r="C163" s="2" t="s">
        <v>9</v>
      </c>
      <c r="E163" s="4">
        <v>2.0000000000000001E-4</v>
      </c>
      <c r="F163" s="4"/>
      <c r="G163" s="4"/>
      <c r="I163" s="4">
        <v>2.0000000000000001E-4</v>
      </c>
    </row>
    <row r="164" spans="2:9" x14ac:dyDescent="0.2">
      <c r="B164" s="10" t="s">
        <v>95</v>
      </c>
      <c r="C164" s="11" t="s">
        <v>9</v>
      </c>
      <c r="D164" s="20"/>
      <c r="E164" s="21">
        <v>-6.9999999999999999E-4</v>
      </c>
      <c r="F164" s="21"/>
      <c r="G164" s="21"/>
      <c r="I164" s="21">
        <v>-6.9999999999999999E-4</v>
      </c>
    </row>
    <row r="165" spans="2:9" ht="25.5" x14ac:dyDescent="0.2">
      <c r="B165" s="16" t="s">
        <v>96</v>
      </c>
      <c r="C165" s="20" t="s">
        <v>9</v>
      </c>
      <c r="D165" s="20"/>
      <c r="E165" s="21">
        <v>-2.3E-3</v>
      </c>
      <c r="F165" s="21"/>
      <c r="G165" s="21"/>
      <c r="I165" s="21">
        <v>-2.3E-3</v>
      </c>
    </row>
    <row r="166" spans="2:9" x14ac:dyDescent="0.2">
      <c r="B166" s="10" t="s">
        <v>102</v>
      </c>
      <c r="C166" s="11" t="s">
        <v>9</v>
      </c>
      <c r="D166" s="20"/>
      <c r="E166" s="21"/>
      <c r="F166" s="21"/>
      <c r="G166" s="21"/>
      <c r="I166" s="21">
        <v>-1.2999999999999999E-3</v>
      </c>
    </row>
    <row r="167" spans="2:9" ht="25.5" x14ac:dyDescent="0.2">
      <c r="B167" s="16" t="s">
        <v>103</v>
      </c>
      <c r="C167" s="20" t="s">
        <v>9</v>
      </c>
      <c r="D167" s="20"/>
      <c r="E167" s="21"/>
      <c r="F167" s="21"/>
      <c r="G167" s="21"/>
      <c r="I167" s="21">
        <v>1.9E-3</v>
      </c>
    </row>
    <row r="168" spans="2:9" ht="12.75" customHeight="1" x14ac:dyDescent="0.2">
      <c r="B168" s="16" t="s">
        <v>51</v>
      </c>
      <c r="C168" s="20" t="s">
        <v>9</v>
      </c>
      <c r="D168" s="20"/>
      <c r="E168" s="21">
        <v>6.9999999999999999E-4</v>
      </c>
      <c r="F168" s="21"/>
      <c r="G168" s="21"/>
      <c r="I168" s="21">
        <v>6.9999999999999999E-4</v>
      </c>
    </row>
    <row r="169" spans="2:9" ht="12.75" customHeight="1" x14ac:dyDescent="0.2">
      <c r="B169" s="16" t="s">
        <v>84</v>
      </c>
      <c r="C169" s="20" t="s">
        <v>9</v>
      </c>
      <c r="D169" s="20"/>
      <c r="E169" s="21">
        <v>1E-4</v>
      </c>
      <c r="F169" s="21"/>
      <c r="G169" s="21"/>
      <c r="I169" s="21">
        <v>0</v>
      </c>
    </row>
    <row r="170" spans="2:9" x14ac:dyDescent="0.2">
      <c r="B170" t="s">
        <v>3</v>
      </c>
      <c r="C170" s="2" t="s">
        <v>9</v>
      </c>
      <c r="E170" s="4">
        <v>7.3000000000000001E-3</v>
      </c>
      <c r="F170" s="4"/>
      <c r="G170" s="4"/>
      <c r="I170" s="4">
        <f>I15</f>
        <v>7.1999999999999998E-3</v>
      </c>
    </row>
    <row r="171" spans="2:9" x14ac:dyDescent="0.2">
      <c r="B171" t="s">
        <v>4</v>
      </c>
      <c r="C171" s="2" t="s">
        <v>9</v>
      </c>
      <c r="E171" s="4">
        <v>5.7000000000000002E-3</v>
      </c>
      <c r="F171" s="4"/>
      <c r="G171" s="4"/>
      <c r="I171" s="4">
        <f>I16</f>
        <v>5.7999999999999996E-3</v>
      </c>
    </row>
    <row r="173" spans="2:9" x14ac:dyDescent="0.2">
      <c r="B173" s="1" t="s">
        <v>17</v>
      </c>
    </row>
    <row r="174" spans="2:9" x14ac:dyDescent="0.2">
      <c r="B174" t="s">
        <v>1</v>
      </c>
      <c r="C174" s="2" t="s">
        <v>8</v>
      </c>
      <c r="E174" s="3">
        <v>28.76</v>
      </c>
      <c r="F174" s="3"/>
      <c r="G174" s="3"/>
      <c r="I174" s="3">
        <f>I19</f>
        <v>28.13</v>
      </c>
    </row>
    <row r="175" spans="2:9" x14ac:dyDescent="0.2">
      <c r="B175" s="10" t="s">
        <v>97</v>
      </c>
      <c r="C175" s="2" t="s">
        <v>8</v>
      </c>
      <c r="E175" s="3">
        <v>0.79</v>
      </c>
      <c r="F175" s="3"/>
      <c r="G175" s="3"/>
      <c r="I175" s="3">
        <v>0.79</v>
      </c>
    </row>
    <row r="176" spans="2:9" x14ac:dyDescent="0.2">
      <c r="B176" t="s">
        <v>2</v>
      </c>
      <c r="C176" s="2" t="s">
        <v>9</v>
      </c>
      <c r="E176" s="4">
        <v>2.1999999999999999E-2</v>
      </c>
      <c r="F176" s="4"/>
      <c r="G176" s="4"/>
      <c r="I176" s="4">
        <f>I21</f>
        <v>2.29E-2</v>
      </c>
    </row>
    <row r="177" spans="2:9" x14ac:dyDescent="0.2">
      <c r="B177" s="10" t="s">
        <v>34</v>
      </c>
      <c r="C177" s="2" t="s">
        <v>9</v>
      </c>
      <c r="D177" s="20"/>
      <c r="E177" s="4">
        <v>2.0000000000000001E-4</v>
      </c>
      <c r="F177" s="4"/>
      <c r="G177" s="4"/>
      <c r="I177" s="4">
        <v>2.0000000000000001E-4</v>
      </c>
    </row>
    <row r="178" spans="2:9" x14ac:dyDescent="0.2">
      <c r="B178" s="10" t="s">
        <v>95</v>
      </c>
      <c r="C178" s="11" t="s">
        <v>9</v>
      </c>
      <c r="E178" s="4">
        <v>-5.9999999999999995E-4</v>
      </c>
      <c r="F178" s="4"/>
      <c r="G178" s="4"/>
      <c r="I178" s="4">
        <v>-5.9999999999999995E-4</v>
      </c>
    </row>
    <row r="179" spans="2:9" ht="25.5" x14ac:dyDescent="0.2">
      <c r="B179" s="16" t="s">
        <v>96</v>
      </c>
      <c r="C179" s="20" t="s">
        <v>9</v>
      </c>
      <c r="E179" s="4">
        <v>-2.3E-3</v>
      </c>
      <c r="F179" s="4"/>
      <c r="G179" s="4"/>
      <c r="I179" s="4">
        <v>-2.3E-3</v>
      </c>
    </row>
    <row r="180" spans="2:9" x14ac:dyDescent="0.2">
      <c r="B180" s="10" t="s">
        <v>102</v>
      </c>
      <c r="C180" s="11" t="s">
        <v>9</v>
      </c>
      <c r="E180" s="4"/>
      <c r="F180" s="4"/>
      <c r="G180" s="4"/>
      <c r="I180" s="4">
        <v>-1.2999999999999999E-3</v>
      </c>
    </row>
    <row r="181" spans="2:9" ht="25.5" x14ac:dyDescent="0.2">
      <c r="B181" s="16" t="s">
        <v>103</v>
      </c>
      <c r="C181" s="20" t="s">
        <v>9</v>
      </c>
      <c r="E181" s="4"/>
      <c r="F181" s="4"/>
      <c r="G181" s="4"/>
      <c r="I181" s="4">
        <v>1.9E-3</v>
      </c>
    </row>
    <row r="182" spans="2:9" ht="12.75" customHeight="1" x14ac:dyDescent="0.2">
      <c r="B182" s="16" t="s">
        <v>51</v>
      </c>
      <c r="C182" s="20" t="s">
        <v>9</v>
      </c>
      <c r="E182" s="4">
        <v>5.0000000000000001E-4</v>
      </c>
      <c r="F182" s="4"/>
      <c r="G182" s="4"/>
      <c r="I182" s="4">
        <v>5.0000000000000001E-4</v>
      </c>
    </row>
    <row r="183" spans="2:9" ht="12.75" customHeight="1" x14ac:dyDescent="0.2">
      <c r="B183" s="16" t="s">
        <v>84</v>
      </c>
      <c r="C183" s="20" t="s">
        <v>9</v>
      </c>
      <c r="E183" s="4">
        <v>4.0000000000000002E-4</v>
      </c>
      <c r="F183" s="4"/>
      <c r="G183" s="4"/>
      <c r="I183" s="4">
        <v>0</v>
      </c>
    </row>
    <row r="184" spans="2:9" x14ac:dyDescent="0.2">
      <c r="B184" t="s">
        <v>3</v>
      </c>
      <c r="C184" s="2" t="s">
        <v>9</v>
      </c>
      <c r="E184" s="4">
        <v>6.1999999999999998E-3</v>
      </c>
      <c r="F184" s="4"/>
      <c r="G184" s="4"/>
      <c r="I184" s="4">
        <f>I28</f>
        <v>6.1000000000000004E-3</v>
      </c>
    </row>
    <row r="185" spans="2:9" x14ac:dyDescent="0.2">
      <c r="B185" t="s">
        <v>4</v>
      </c>
      <c r="C185" s="2" t="s">
        <v>9</v>
      </c>
      <c r="E185" s="4">
        <v>4.8999999999999998E-3</v>
      </c>
      <c r="F185" s="4"/>
      <c r="G185" s="4"/>
      <c r="I185" s="4">
        <f>I29</f>
        <v>5.0000000000000001E-3</v>
      </c>
    </row>
    <row r="186" spans="2:9" x14ac:dyDescent="0.2">
      <c r="E186" s="3"/>
      <c r="F186" s="3"/>
      <c r="G186" s="3"/>
      <c r="I186" s="3"/>
    </row>
    <row r="187" spans="2:9" x14ac:dyDescent="0.2">
      <c r="B187" s="1" t="s">
        <v>19</v>
      </c>
    </row>
    <row r="188" spans="2:9" x14ac:dyDescent="0.2">
      <c r="B188" t="s">
        <v>1</v>
      </c>
      <c r="C188" s="2" t="s">
        <v>8</v>
      </c>
      <c r="E188" s="3">
        <v>149.36000000000001</v>
      </c>
      <c r="F188" s="3"/>
      <c r="G188" s="3"/>
      <c r="I188" s="3">
        <f>I32</f>
        <v>151.08000000000001</v>
      </c>
    </row>
    <row r="189" spans="2:9" x14ac:dyDescent="0.2">
      <c r="B189" t="s">
        <v>2</v>
      </c>
      <c r="C189" s="2" t="s">
        <v>10</v>
      </c>
      <c r="E189" s="4">
        <v>6.5800999999999998</v>
      </c>
      <c r="F189" s="4"/>
      <c r="G189" s="4"/>
      <c r="I189" s="4">
        <f>I33</f>
        <v>6.6558000000000002</v>
      </c>
    </row>
    <row r="190" spans="2:9" x14ac:dyDescent="0.2">
      <c r="B190" s="10" t="s">
        <v>34</v>
      </c>
      <c r="C190" s="2" t="s">
        <v>10</v>
      </c>
      <c r="E190" s="4">
        <v>7.3499999999999996E-2</v>
      </c>
      <c r="F190" s="4"/>
      <c r="G190" s="4"/>
      <c r="I190" s="4">
        <v>7.3499999999999996E-2</v>
      </c>
    </row>
    <row r="191" spans="2:9" x14ac:dyDescent="0.2">
      <c r="B191" s="10" t="s">
        <v>95</v>
      </c>
      <c r="C191" s="2" t="s">
        <v>10</v>
      </c>
      <c r="E191" s="4">
        <v>-3.8399999999999997E-2</v>
      </c>
      <c r="F191" s="4"/>
      <c r="G191" s="4"/>
      <c r="I191" s="4">
        <v>-3.8399999999999997E-2</v>
      </c>
    </row>
    <row r="192" spans="2:9" ht="25.5" x14ac:dyDescent="0.2">
      <c r="B192" s="16" t="s">
        <v>96</v>
      </c>
      <c r="C192" s="2" t="s">
        <v>10</v>
      </c>
      <c r="E192" s="4">
        <v>-0.67420000000000002</v>
      </c>
      <c r="F192" s="4"/>
      <c r="G192" s="4"/>
      <c r="I192" s="4">
        <v>-0.67420000000000002</v>
      </c>
    </row>
    <row r="193" spans="2:9" x14ac:dyDescent="0.2">
      <c r="B193" s="10" t="s">
        <v>102</v>
      </c>
      <c r="C193" s="2" t="s">
        <v>10</v>
      </c>
      <c r="E193" s="4"/>
      <c r="F193" s="4"/>
      <c r="G193" s="4"/>
      <c r="I193" s="4">
        <v>-0.40539999999999998</v>
      </c>
    </row>
    <row r="194" spans="2:9" ht="25.5" x14ac:dyDescent="0.2">
      <c r="B194" s="16" t="s">
        <v>103</v>
      </c>
      <c r="C194" s="2" t="s">
        <v>10</v>
      </c>
      <c r="E194" s="4"/>
      <c r="F194" s="4"/>
      <c r="G194" s="4"/>
      <c r="I194" s="4">
        <v>0.62239999999999995</v>
      </c>
    </row>
    <row r="195" spans="2:9" ht="12.75" customHeight="1" x14ac:dyDescent="0.2">
      <c r="B195" s="16" t="s">
        <v>51</v>
      </c>
      <c r="C195" s="2" t="s">
        <v>10</v>
      </c>
      <c r="E195" s="4">
        <v>8.1100000000000005E-2</v>
      </c>
      <c r="F195" s="4"/>
      <c r="G195" s="4"/>
      <c r="I195" s="4">
        <v>8.1100000000000005E-2</v>
      </c>
    </row>
    <row r="196" spans="2:9" ht="12.75" customHeight="1" x14ac:dyDescent="0.2">
      <c r="B196" s="16" t="s">
        <v>84</v>
      </c>
      <c r="C196" s="20" t="s">
        <v>10</v>
      </c>
      <c r="E196" s="4">
        <v>4.41E-2</v>
      </c>
      <c r="F196" s="4"/>
      <c r="G196" s="4"/>
      <c r="I196" s="4">
        <v>0</v>
      </c>
    </row>
    <row r="197" spans="2:9" x14ac:dyDescent="0.2">
      <c r="B197" t="s">
        <v>3</v>
      </c>
      <c r="C197" s="2" t="s">
        <v>10</v>
      </c>
      <c r="E197" s="4">
        <v>2.6433</v>
      </c>
      <c r="F197" s="4"/>
      <c r="G197" s="4"/>
      <c r="I197" s="4">
        <f>I40</f>
        <v>2.5966</v>
      </c>
    </row>
    <row r="198" spans="2:9" x14ac:dyDescent="0.2">
      <c r="B198" t="s">
        <v>4</v>
      </c>
      <c r="C198" s="2" t="s">
        <v>10</v>
      </c>
      <c r="E198" s="4">
        <v>2.0314999999999999</v>
      </c>
      <c r="F198" s="4"/>
      <c r="G198" s="4"/>
      <c r="I198" s="4">
        <f>I41</f>
        <v>2.0802999999999998</v>
      </c>
    </row>
    <row r="199" spans="2:9" x14ac:dyDescent="0.2">
      <c r="E199" s="3"/>
      <c r="F199" s="3"/>
      <c r="G199" s="3"/>
      <c r="I199" s="3"/>
    </row>
    <row r="200" spans="2:9" x14ac:dyDescent="0.2">
      <c r="B200" s="1" t="s">
        <v>20</v>
      </c>
    </row>
    <row r="201" spans="2:9" x14ac:dyDescent="0.2">
      <c r="B201" s="10" t="s">
        <v>47</v>
      </c>
      <c r="C201" s="2" t="s">
        <v>8</v>
      </c>
      <c r="E201" s="3">
        <v>37.43</v>
      </c>
      <c r="F201" s="3"/>
      <c r="G201" s="3"/>
      <c r="I201" s="3">
        <f>I44</f>
        <v>32.799999999999997</v>
      </c>
    </row>
    <row r="202" spans="2:9" x14ac:dyDescent="0.2">
      <c r="B202" t="s">
        <v>2</v>
      </c>
      <c r="C202" s="2" t="s">
        <v>9</v>
      </c>
      <c r="E202" s="4">
        <v>2.1999999999999999E-2</v>
      </c>
      <c r="F202" s="4"/>
      <c r="G202" s="4"/>
      <c r="I202" s="4">
        <f>I45</f>
        <v>1.78E-2</v>
      </c>
    </row>
    <row r="203" spans="2:9" x14ac:dyDescent="0.2">
      <c r="B203" s="10" t="s">
        <v>34</v>
      </c>
      <c r="C203" s="2" t="s">
        <v>9</v>
      </c>
      <c r="D203" s="20"/>
      <c r="E203" s="4">
        <v>2.0000000000000001E-4</v>
      </c>
      <c r="F203" s="4"/>
      <c r="G203" s="4"/>
      <c r="I203" s="4">
        <v>2.0000000000000001E-4</v>
      </c>
    </row>
    <row r="204" spans="2:9" x14ac:dyDescent="0.2">
      <c r="B204" s="10" t="s">
        <v>90</v>
      </c>
      <c r="C204" s="11" t="s">
        <v>9</v>
      </c>
      <c r="E204" s="4">
        <v>-8.0000000000000004E-4</v>
      </c>
      <c r="F204" s="4"/>
      <c r="G204" s="4"/>
      <c r="I204" s="4">
        <v>-8.0000000000000004E-4</v>
      </c>
    </row>
    <row r="205" spans="2:9" ht="25.5" x14ac:dyDescent="0.2">
      <c r="B205" s="16" t="s">
        <v>89</v>
      </c>
      <c r="C205" s="20" t="s">
        <v>9</v>
      </c>
      <c r="E205" s="4">
        <v>-2.3E-3</v>
      </c>
      <c r="F205" s="4"/>
      <c r="G205" s="4"/>
      <c r="I205" s="4">
        <v>-2.3E-3</v>
      </c>
    </row>
    <row r="206" spans="2:9" x14ac:dyDescent="0.2">
      <c r="B206" s="10" t="s">
        <v>102</v>
      </c>
      <c r="C206" s="11" t="s">
        <v>9</v>
      </c>
      <c r="E206" s="4"/>
      <c r="F206" s="4"/>
      <c r="G206" s="4"/>
      <c r="I206" s="4">
        <v>-1.2999999999999999E-3</v>
      </c>
    </row>
    <row r="207" spans="2:9" ht="25.5" x14ac:dyDescent="0.2">
      <c r="B207" s="16" t="s">
        <v>103</v>
      </c>
      <c r="C207" s="20" t="s">
        <v>9</v>
      </c>
      <c r="E207" s="4"/>
      <c r="F207" s="4"/>
      <c r="G207" s="4"/>
      <c r="I207" s="4">
        <v>1.9E-3</v>
      </c>
    </row>
    <row r="208" spans="2:9" ht="12.75" customHeight="1" x14ac:dyDescent="0.2">
      <c r="B208" s="16" t="s">
        <v>51</v>
      </c>
      <c r="C208" s="11" t="s">
        <v>9</v>
      </c>
      <c r="E208" s="4">
        <v>5.9999999999999995E-4</v>
      </c>
      <c r="F208" s="4"/>
      <c r="G208" s="4"/>
      <c r="I208" s="4">
        <v>5.9999999999999995E-4</v>
      </c>
    </row>
    <row r="209" spans="2:9" ht="12.75" customHeight="1" x14ac:dyDescent="0.2">
      <c r="B209" s="16" t="s">
        <v>84</v>
      </c>
      <c r="C209" s="20" t="s">
        <v>9</v>
      </c>
      <c r="E209" s="4"/>
      <c r="F209" s="4"/>
      <c r="G209" s="4"/>
      <c r="I209" s="4"/>
    </row>
    <row r="210" spans="2:9" x14ac:dyDescent="0.2">
      <c r="B210" t="s">
        <v>3</v>
      </c>
      <c r="C210" s="2" t="s">
        <v>9</v>
      </c>
      <c r="E210" s="4">
        <v>6.4999999999999997E-3</v>
      </c>
      <c r="F210" s="4"/>
      <c r="G210" s="4"/>
      <c r="I210" s="4">
        <f>I52</f>
        <v>6.4000000000000003E-3</v>
      </c>
    </row>
    <row r="211" spans="2:9" x14ac:dyDescent="0.2">
      <c r="B211" t="s">
        <v>4</v>
      </c>
      <c r="C211" s="2" t="s">
        <v>9</v>
      </c>
      <c r="E211" s="4">
        <v>5.0000000000000001E-3</v>
      </c>
      <c r="F211" s="4"/>
      <c r="G211" s="4"/>
      <c r="I211" s="4">
        <f>I53</f>
        <v>5.1000000000000004E-3</v>
      </c>
    </row>
    <row r="212" spans="2:9" x14ac:dyDescent="0.2">
      <c r="E212" s="3"/>
      <c r="F212" s="3"/>
      <c r="G212" s="3"/>
      <c r="I212" s="3"/>
    </row>
    <row r="213" spans="2:9" x14ac:dyDescent="0.2">
      <c r="B213" s="1" t="s">
        <v>21</v>
      </c>
    </row>
    <row r="214" spans="2:9" x14ac:dyDescent="0.2">
      <c r="B214" s="10" t="s">
        <v>48</v>
      </c>
      <c r="C214" s="2" t="s">
        <v>8</v>
      </c>
      <c r="E214" s="3">
        <v>5.17</v>
      </c>
      <c r="F214" s="3"/>
      <c r="G214" s="3"/>
      <c r="I214" s="3">
        <f>I56</f>
        <v>5.07</v>
      </c>
    </row>
    <row r="215" spans="2:9" x14ac:dyDescent="0.2">
      <c r="B215" t="s">
        <v>2</v>
      </c>
      <c r="C215" s="2" t="s">
        <v>10</v>
      </c>
      <c r="E215" s="4">
        <v>4.9564000000000004</v>
      </c>
      <c r="F215" s="4"/>
      <c r="G215" s="4"/>
      <c r="I215" s="4">
        <f>I57</f>
        <v>5.8719999999999999</v>
      </c>
    </row>
    <row r="216" spans="2:9" x14ac:dyDescent="0.2">
      <c r="B216" s="10" t="s">
        <v>34</v>
      </c>
      <c r="C216" s="2" t="s">
        <v>10</v>
      </c>
      <c r="E216" s="4">
        <v>5.4199999999999998E-2</v>
      </c>
      <c r="F216" s="4"/>
      <c r="G216" s="4"/>
      <c r="I216" s="4">
        <v>5.4199999999999998E-2</v>
      </c>
    </row>
    <row r="217" spans="2:9" x14ac:dyDescent="0.2">
      <c r="B217" s="10" t="s">
        <v>95</v>
      </c>
      <c r="C217" s="2" t="s">
        <v>10</v>
      </c>
      <c r="E217" s="4">
        <v>-0.25600000000000001</v>
      </c>
      <c r="F217" s="4"/>
      <c r="G217" s="4"/>
      <c r="I217" s="4">
        <v>-0.25600000000000001</v>
      </c>
    </row>
    <row r="218" spans="2:9" ht="25.5" x14ac:dyDescent="0.2">
      <c r="B218" s="16" t="s">
        <v>96</v>
      </c>
      <c r="C218" s="2" t="s">
        <v>10</v>
      </c>
      <c r="E218" s="4"/>
      <c r="F218" s="4"/>
      <c r="G218" s="4"/>
      <c r="I218" s="4">
        <v>0</v>
      </c>
    </row>
    <row r="219" spans="2:9" x14ac:dyDescent="0.2">
      <c r="B219" s="10" t="s">
        <v>102</v>
      </c>
      <c r="C219" s="2" t="s">
        <v>10</v>
      </c>
      <c r="E219" s="4"/>
      <c r="F219" s="4"/>
      <c r="G219" s="4"/>
      <c r="I219" s="4">
        <v>-0.38540000000000002</v>
      </c>
    </row>
    <row r="220" spans="2:9" ht="25.5" x14ac:dyDescent="0.2">
      <c r="B220" s="16" t="s">
        <v>103</v>
      </c>
      <c r="C220" s="2" t="s">
        <v>10</v>
      </c>
      <c r="E220" s="4"/>
      <c r="F220" s="4"/>
      <c r="G220" s="4"/>
      <c r="I220" s="4">
        <v>0</v>
      </c>
    </row>
    <row r="221" spans="2:9" ht="12.75" customHeight="1" x14ac:dyDescent="0.2">
      <c r="B221" s="16" t="s">
        <v>51</v>
      </c>
      <c r="C221" s="2" t="s">
        <v>10</v>
      </c>
      <c r="E221" s="4">
        <v>0.94199999999999995</v>
      </c>
      <c r="F221" s="4"/>
      <c r="G221" s="4"/>
      <c r="I221" s="4">
        <v>0.94199999999999995</v>
      </c>
    </row>
    <row r="222" spans="2:9" ht="12.75" customHeight="1" x14ac:dyDescent="0.2">
      <c r="B222" s="16" t="s">
        <v>84</v>
      </c>
      <c r="C222" s="20" t="s">
        <v>10</v>
      </c>
      <c r="E222" s="4"/>
      <c r="F222" s="4"/>
      <c r="G222" s="4"/>
      <c r="I222" s="4"/>
    </row>
    <row r="223" spans="2:9" x14ac:dyDescent="0.2">
      <c r="B223" t="s">
        <v>3</v>
      </c>
      <c r="C223" s="2" t="s">
        <v>10</v>
      </c>
      <c r="E223" s="4">
        <v>2.2526999999999999</v>
      </c>
      <c r="F223" s="4"/>
      <c r="G223" s="4"/>
      <c r="I223" s="4">
        <f>I64</f>
        <v>2.2128999999999999</v>
      </c>
    </row>
    <row r="224" spans="2:9" x14ac:dyDescent="0.2">
      <c r="B224" t="s">
        <v>4</v>
      </c>
      <c r="C224" s="2" t="s">
        <v>10</v>
      </c>
      <c r="E224" s="4">
        <v>1.6578999999999999</v>
      </c>
      <c r="F224" s="4"/>
      <c r="G224" s="4"/>
      <c r="I224" s="4">
        <f>I65</f>
        <v>1.6977</v>
      </c>
    </row>
    <row r="225" spans="2:9" x14ac:dyDescent="0.2">
      <c r="E225" s="3"/>
      <c r="F225" s="3"/>
      <c r="G225" s="3"/>
      <c r="I225" s="3"/>
    </row>
    <row r="226" spans="2:9" x14ac:dyDescent="0.2">
      <c r="B226" s="1" t="s">
        <v>7</v>
      </c>
    </row>
    <row r="227" spans="2:9" x14ac:dyDescent="0.2">
      <c r="B227" s="10" t="s">
        <v>48</v>
      </c>
      <c r="C227" s="2" t="s">
        <v>8</v>
      </c>
      <c r="E227" s="17">
        <v>4.6100000000000003</v>
      </c>
      <c r="F227" s="17"/>
      <c r="G227" s="17"/>
      <c r="I227" s="17">
        <f>I68</f>
        <v>4.93</v>
      </c>
    </row>
    <row r="228" spans="2:9" x14ac:dyDescent="0.2">
      <c r="B228" t="s">
        <v>2</v>
      </c>
      <c r="C228" s="2" t="s">
        <v>10</v>
      </c>
      <c r="E228" s="4">
        <v>10.4941</v>
      </c>
      <c r="F228" s="4"/>
      <c r="G228" s="4"/>
      <c r="I228" s="4">
        <f>I69</f>
        <v>10.743399999999999</v>
      </c>
    </row>
    <row r="229" spans="2:9" x14ac:dyDescent="0.2">
      <c r="B229" s="10" t="s">
        <v>34</v>
      </c>
      <c r="C229" s="2" t="s">
        <v>10</v>
      </c>
      <c r="E229" s="4">
        <v>5.0700000000000002E-2</v>
      </c>
      <c r="F229" s="4"/>
      <c r="G229" s="4"/>
      <c r="I229" s="4">
        <v>5.0700000000000002E-2</v>
      </c>
    </row>
    <row r="230" spans="2:9" x14ac:dyDescent="0.2">
      <c r="B230" s="10" t="s">
        <v>95</v>
      </c>
      <c r="C230" s="2" t="s">
        <v>10</v>
      </c>
      <c r="E230" s="4">
        <v>-4.9000000000000002E-2</v>
      </c>
      <c r="F230" s="4"/>
      <c r="G230" s="4"/>
      <c r="I230" s="4">
        <v>-4.9000000000000002E-2</v>
      </c>
    </row>
    <row r="231" spans="2:9" ht="25.5" x14ac:dyDescent="0.2">
      <c r="B231" s="16" t="s">
        <v>96</v>
      </c>
      <c r="C231" s="2" t="s">
        <v>10</v>
      </c>
      <c r="E231" s="4">
        <v>-0.77990000000000004</v>
      </c>
      <c r="F231" s="4"/>
      <c r="G231" s="4"/>
      <c r="I231" s="4">
        <v>-0.77990000000000004</v>
      </c>
    </row>
    <row r="232" spans="2:9" x14ac:dyDescent="0.2">
      <c r="B232" s="10" t="s">
        <v>102</v>
      </c>
      <c r="C232" s="2" t="s">
        <v>10</v>
      </c>
      <c r="E232" s="4"/>
      <c r="F232" s="4"/>
      <c r="G232" s="4"/>
      <c r="I232" s="4">
        <v>-0.40660000000000002</v>
      </c>
    </row>
    <row r="233" spans="2:9" ht="25.5" x14ac:dyDescent="0.2">
      <c r="B233" s="16" t="s">
        <v>103</v>
      </c>
      <c r="C233" s="2" t="s">
        <v>10</v>
      </c>
      <c r="E233" s="4"/>
      <c r="F233" s="4"/>
      <c r="G233" s="4"/>
      <c r="I233" s="4">
        <v>0.63639999999999997</v>
      </c>
    </row>
    <row r="234" spans="2:9" ht="12.75" customHeight="1" x14ac:dyDescent="0.2">
      <c r="B234" s="16" t="s">
        <v>51</v>
      </c>
      <c r="C234" s="2" t="s">
        <v>10</v>
      </c>
      <c r="E234" s="4">
        <v>0.43690000000000001</v>
      </c>
      <c r="F234" s="4"/>
      <c r="G234" s="4"/>
      <c r="I234" s="4">
        <v>0.43690000000000001</v>
      </c>
    </row>
    <row r="235" spans="2:9" ht="12.75" customHeight="1" x14ac:dyDescent="0.2">
      <c r="B235" s="16" t="s">
        <v>84</v>
      </c>
      <c r="C235" s="20" t="s">
        <v>10</v>
      </c>
      <c r="E235" s="4"/>
      <c r="F235" s="4"/>
      <c r="G235" s="4"/>
      <c r="I235" s="4"/>
    </row>
    <row r="236" spans="2:9" x14ac:dyDescent="0.2">
      <c r="B236" t="s">
        <v>3</v>
      </c>
      <c r="C236" s="2" t="s">
        <v>10</v>
      </c>
      <c r="E236" s="4">
        <v>1.9564999999999999</v>
      </c>
      <c r="F236" s="4"/>
      <c r="G236" s="4"/>
      <c r="I236" s="4">
        <f>I76</f>
        <v>1.9218999999999999</v>
      </c>
    </row>
    <row r="237" spans="2:9" x14ac:dyDescent="0.2">
      <c r="B237" t="s">
        <v>4</v>
      </c>
      <c r="C237" s="2" t="s">
        <v>10</v>
      </c>
      <c r="E237" s="4">
        <v>1.5501</v>
      </c>
      <c r="F237" s="4"/>
      <c r="G237" s="4"/>
      <c r="I237" s="4">
        <f>I77</f>
        <v>1.5872999999999999</v>
      </c>
    </row>
    <row r="238" spans="2:9" x14ac:dyDescent="0.2">
      <c r="E238" s="4"/>
      <c r="F238" s="4"/>
      <c r="G238" s="4"/>
      <c r="I238" s="13"/>
    </row>
    <row r="239" spans="2:9" x14ac:dyDescent="0.2">
      <c r="E239" s="4"/>
      <c r="F239" s="4"/>
      <c r="G239" s="4"/>
      <c r="I239" s="13"/>
    </row>
    <row r="240" spans="2:9" x14ac:dyDescent="0.2">
      <c r="B240" s="1" t="s">
        <v>46</v>
      </c>
      <c r="I240" s="14"/>
    </row>
    <row r="241" spans="2:9" x14ac:dyDescent="0.2">
      <c r="B241" s="10" t="s">
        <v>22</v>
      </c>
      <c r="C241" s="2" t="s">
        <v>8</v>
      </c>
      <c r="E241" s="17">
        <v>5.4</v>
      </c>
      <c r="F241" s="17"/>
      <c r="G241" s="17"/>
      <c r="I241" s="12">
        <v>5.4</v>
      </c>
    </row>
    <row r="242" spans="2:9" x14ac:dyDescent="0.2">
      <c r="B242" s="10"/>
      <c r="E242" s="17"/>
      <c r="F242" s="17"/>
      <c r="G242" s="17"/>
      <c r="I242" s="12"/>
    </row>
    <row r="243" spans="2:9" x14ac:dyDescent="0.2">
      <c r="B243" s="1" t="s">
        <v>41</v>
      </c>
      <c r="E243" s="17"/>
      <c r="F243" s="17"/>
      <c r="G243" s="17"/>
      <c r="I243" s="12"/>
    </row>
    <row r="244" spans="2:9" x14ac:dyDescent="0.2">
      <c r="B244" t="s">
        <v>5</v>
      </c>
      <c r="C244" s="2" t="s">
        <v>9</v>
      </c>
      <c r="E244" s="4">
        <v>4.4000000000000003E-3</v>
      </c>
      <c r="F244" s="4"/>
      <c r="G244" s="4"/>
      <c r="I244" s="4">
        <v>4.4000000000000003E-3</v>
      </c>
    </row>
    <row r="245" spans="2:9" x14ac:dyDescent="0.2">
      <c r="B245" t="s">
        <v>6</v>
      </c>
      <c r="C245" s="2" t="s">
        <v>9</v>
      </c>
      <c r="E245" s="4">
        <v>1.2999999999999999E-3</v>
      </c>
      <c r="F245" s="4"/>
      <c r="G245" s="4"/>
      <c r="I245" s="4">
        <v>1.2999999999999999E-3</v>
      </c>
    </row>
    <row r="246" spans="2:9" x14ac:dyDescent="0.2">
      <c r="B246" s="10" t="s">
        <v>18</v>
      </c>
      <c r="C246" s="2" t="s">
        <v>8</v>
      </c>
      <c r="E246" s="17">
        <v>0.25</v>
      </c>
      <c r="F246" s="17"/>
      <c r="G246" s="17"/>
      <c r="I246" s="17">
        <v>0.25</v>
      </c>
    </row>
    <row r="247" spans="2:9" x14ac:dyDescent="0.2">
      <c r="B247" s="10" t="s">
        <v>45</v>
      </c>
      <c r="C247" s="11" t="s">
        <v>8</v>
      </c>
      <c r="E247" s="17">
        <v>0.79</v>
      </c>
      <c r="F247" s="17"/>
      <c r="G247" s="17"/>
      <c r="I247" s="17">
        <v>0.79</v>
      </c>
    </row>
    <row r="248" spans="2:9" x14ac:dyDescent="0.2">
      <c r="B248" s="10"/>
      <c r="E248" s="17"/>
      <c r="F248" s="17"/>
      <c r="G248" s="17"/>
      <c r="I248" s="12"/>
    </row>
    <row r="249" spans="2:9" x14ac:dyDescent="0.2">
      <c r="B249" s="1" t="s">
        <v>11</v>
      </c>
      <c r="E249" s="17"/>
      <c r="F249" s="17"/>
      <c r="G249" s="17"/>
      <c r="I249" s="12"/>
    </row>
    <row r="250" spans="2:9" x14ac:dyDescent="0.2">
      <c r="B250" s="10" t="s">
        <v>42</v>
      </c>
      <c r="C250" s="2" t="s">
        <v>8</v>
      </c>
      <c r="E250" s="4">
        <v>0</v>
      </c>
      <c r="F250" s="4"/>
      <c r="G250" s="4"/>
      <c r="I250" s="4">
        <v>0</v>
      </c>
    </row>
    <row r="251" spans="2:9" x14ac:dyDescent="0.2">
      <c r="B251" s="10" t="s">
        <v>43</v>
      </c>
      <c r="C251" s="2" t="s">
        <v>8</v>
      </c>
      <c r="E251" s="4">
        <v>0</v>
      </c>
      <c r="F251" s="4"/>
      <c r="G251" s="4"/>
      <c r="I251" s="4">
        <v>0</v>
      </c>
    </row>
    <row r="252" spans="2:9" x14ac:dyDescent="0.2">
      <c r="B252" s="10" t="s">
        <v>44</v>
      </c>
      <c r="C252" s="2" t="s">
        <v>8</v>
      </c>
      <c r="E252" s="4">
        <v>0</v>
      </c>
      <c r="F252" s="4"/>
      <c r="G252" s="4"/>
      <c r="I252" s="4">
        <v>0</v>
      </c>
    </row>
    <row r="253" spans="2:9" x14ac:dyDescent="0.2">
      <c r="B253" s="10"/>
      <c r="E253" s="4"/>
      <c r="F253" s="4"/>
      <c r="G253" s="4"/>
      <c r="I253" s="13"/>
    </row>
    <row r="254" spans="2:9" x14ac:dyDescent="0.2">
      <c r="B254" s="1" t="s">
        <v>28</v>
      </c>
      <c r="E254" s="4"/>
      <c r="F254" s="4"/>
      <c r="G254" s="4"/>
      <c r="I254" s="13"/>
    </row>
    <row r="255" spans="2:9" x14ac:dyDescent="0.2">
      <c r="B255" s="10" t="s">
        <v>23</v>
      </c>
      <c r="C255" s="2" t="s">
        <v>10</v>
      </c>
      <c r="E255" s="4">
        <v>-0.6</v>
      </c>
      <c r="F255" s="4"/>
      <c r="G255" s="4"/>
      <c r="I255" s="13">
        <f>+E255</f>
        <v>-0.6</v>
      </c>
    </row>
    <row r="256" spans="2:9" x14ac:dyDescent="0.2">
      <c r="B256" s="10" t="s">
        <v>24</v>
      </c>
      <c r="C256" s="11" t="s">
        <v>12</v>
      </c>
      <c r="E256" s="4">
        <v>-1</v>
      </c>
      <c r="F256" s="4"/>
      <c r="G256" s="4"/>
      <c r="I256" s="13">
        <f>+E256</f>
        <v>-1</v>
      </c>
    </row>
    <row r="257" spans="2:9" x14ac:dyDescent="0.2">
      <c r="E257" s="3"/>
      <c r="F257" s="3"/>
      <c r="G257" s="3"/>
      <c r="H257" s="3"/>
      <c r="I257" s="12"/>
    </row>
    <row r="258" spans="2:9" x14ac:dyDescent="0.2">
      <c r="B258" s="1" t="s">
        <v>13</v>
      </c>
      <c r="H258" s="3"/>
      <c r="I258" s="14"/>
    </row>
    <row r="259" spans="2:9" x14ac:dyDescent="0.2">
      <c r="B259" s="10" t="s">
        <v>25</v>
      </c>
      <c r="E259" s="4">
        <v>1.0542</v>
      </c>
      <c r="F259" s="4"/>
      <c r="G259" s="4"/>
      <c r="I259" s="13">
        <v>1.0542</v>
      </c>
    </row>
    <row r="260" spans="2:9" x14ac:dyDescent="0.2">
      <c r="B260" s="10" t="s">
        <v>26</v>
      </c>
      <c r="E260" s="4">
        <v>1.043658</v>
      </c>
      <c r="F260" s="4"/>
      <c r="G260" s="4"/>
      <c r="I260" s="13">
        <f>I259*0.99</f>
        <v>1.043658</v>
      </c>
    </row>
    <row r="261" spans="2:9" x14ac:dyDescent="0.2">
      <c r="B261" s="10"/>
      <c r="E261" s="4"/>
      <c r="F261" s="4"/>
      <c r="G261" s="4"/>
      <c r="I261" s="15"/>
    </row>
    <row r="262" spans="2:9" x14ac:dyDescent="0.2">
      <c r="B262" s="10" t="s">
        <v>38</v>
      </c>
      <c r="C262" s="2" t="s">
        <v>9</v>
      </c>
      <c r="E262" s="18">
        <v>0.08</v>
      </c>
      <c r="F262" s="18"/>
      <c r="G262" s="18"/>
      <c r="I262" s="18">
        <v>0.08</v>
      </c>
    </row>
    <row r="263" spans="2:9" x14ac:dyDescent="0.2">
      <c r="B263" s="10" t="s">
        <v>39</v>
      </c>
      <c r="C263" s="2" t="s">
        <v>9</v>
      </c>
      <c r="E263" s="18">
        <v>0.122</v>
      </c>
      <c r="F263" s="18"/>
      <c r="G263" s="18"/>
      <c r="I263" s="18">
        <v>0.122</v>
      </c>
    </row>
    <row r="264" spans="2:9" x14ac:dyDescent="0.2">
      <c r="B264" s="10" t="s">
        <v>40</v>
      </c>
      <c r="C264" s="2" t="s">
        <v>9</v>
      </c>
      <c r="E264" s="18">
        <v>0.161</v>
      </c>
      <c r="F264" s="18"/>
      <c r="G264" s="18"/>
      <c r="I264" s="18">
        <v>0.161</v>
      </c>
    </row>
    <row r="266" spans="2:9" x14ac:dyDescent="0.2">
      <c r="B266" s="10" t="s">
        <v>68</v>
      </c>
      <c r="C266" s="2" t="s">
        <v>9</v>
      </c>
      <c r="E266" s="18">
        <f>(0.64*E262)+(0.18*E263)+(0.18*E264)</f>
        <v>0.10214000000000001</v>
      </c>
      <c r="F266" s="18"/>
      <c r="G266" s="18"/>
      <c r="I266" s="18">
        <f>(0.64*I262)+(0.18*I263)+(0.18*I264)</f>
        <v>0.10214000000000001</v>
      </c>
    </row>
    <row r="268" spans="2:9" x14ac:dyDescent="0.2">
      <c r="B268" s="10" t="s">
        <v>30</v>
      </c>
      <c r="C268" s="11" t="s">
        <v>12</v>
      </c>
      <c r="E268" s="19">
        <v>0.13</v>
      </c>
      <c r="F268" s="19"/>
      <c r="G268" s="19"/>
      <c r="I268" s="19">
        <v>0.13</v>
      </c>
    </row>
    <row r="270" spans="2:9" x14ac:dyDescent="0.2">
      <c r="B270" s="10" t="s">
        <v>31</v>
      </c>
      <c r="C270" s="11" t="s">
        <v>12</v>
      </c>
      <c r="E270" s="19">
        <v>0</v>
      </c>
      <c r="F270" s="19"/>
      <c r="G270" s="19"/>
      <c r="I270" s="19">
        <v>0</v>
      </c>
    </row>
  </sheetData>
  <mergeCells count="3">
    <mergeCell ref="B2:I2"/>
    <mergeCell ref="B80:I80"/>
    <mergeCell ref="B157:I157"/>
  </mergeCells>
  <phoneticPr fontId="2" type="noConversion"/>
  <pageMargins left="0.74803149606299213" right="0.74803149606299213" top="0.98425196850393704" bottom="0.98425196850393704" header="0.51181102362204722" footer="0.51181102362204722"/>
  <pageSetup scale="70" fitToHeight="0" orientation="portrait" r:id="rId1"/>
  <headerFooter alignWithMargins="0">
    <oddHeader xml:space="preserve">&amp;C&amp;"Arial,Bold"&amp;16 </oddHeader>
  </headerFooter>
  <rowBreaks count="2" manualBreakCount="2">
    <brk id="79" max="16383" man="1"/>
    <brk id="15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Rates!B108</f>
        <v>General Service 50kW to 4,999kW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Rates!E109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Rates!I32</f>
        <v>151.08000000000001</v>
      </c>
      <c r="H14" s="37">
        <f>D14</f>
        <v>1</v>
      </c>
      <c r="I14" s="36">
        <f>G14*H14</f>
        <v>151.08000000000001</v>
      </c>
      <c r="J14" s="45"/>
      <c r="K14" s="36">
        <f>I14-E14</f>
        <v>1.7199999999999989</v>
      </c>
      <c r="L14" s="47">
        <f>IF((E14)=0," ",K14/E14)</f>
        <v>1.1515800749866087E-2</v>
      </c>
    </row>
    <row r="15" spans="2:12" x14ac:dyDescent="0.2">
      <c r="B15" s="44" t="str">
        <f>Rates!B8</f>
        <v>Distribution Volumetric Rate</v>
      </c>
      <c r="C15" s="25">
        <f>Rates!E110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Rates!I33</f>
        <v>6.6558000000000002</v>
      </c>
      <c r="H15" s="38">
        <f>D15</f>
        <v>200</v>
      </c>
      <c r="I15" s="36">
        <f t="shared" ref="I15" si="1">G15*H15</f>
        <v>1331.16</v>
      </c>
      <c r="J15" s="45"/>
      <c r="K15" s="36">
        <f t="shared" ref="K15:K38" si="2">I15-E15</f>
        <v>15.1400000000001</v>
      </c>
      <c r="L15" s="47">
        <f t="shared" ref="L15:L38" si="3">IF((E15)=0," ",K15/E15)</f>
        <v>1.1504384431847616E-2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1482.24</v>
      </c>
      <c r="J16" s="53"/>
      <c r="K16" s="54">
        <f t="shared" si="2"/>
        <v>16.8599999999999</v>
      </c>
      <c r="L16" s="55">
        <f t="shared" si="3"/>
        <v>1.1505548048970164E-2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3719.204000000002</v>
      </c>
      <c r="E17" s="36">
        <f t="shared" ref="E17:E23" si="4">C17*D17</f>
        <v>379.87949656000023</v>
      </c>
      <c r="F17" s="45"/>
      <c r="G17" s="25">
        <f>Rates!I266</f>
        <v>0.10214000000000001</v>
      </c>
      <c r="H17" s="40">
        <f>(C5-1)*C7</f>
        <v>3719.204000000002</v>
      </c>
      <c r="I17" s="36">
        <f t="shared" ref="I17:I23" si="5">G17*H17</f>
        <v>379.87949656000023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Rates!B112</f>
        <v>Rate Rider for Deferral/Variance Account Disposition (2015) - effective until December 31, 2016</v>
      </c>
      <c r="C18" s="25">
        <f>Rates!E112</f>
        <v>7.5800000000000006E-2</v>
      </c>
      <c r="D18" s="37">
        <f>C8</f>
        <v>200</v>
      </c>
      <c r="E18" s="36">
        <f t="shared" si="4"/>
        <v>15.160000000000002</v>
      </c>
      <c r="F18" s="45"/>
      <c r="G18" s="25">
        <f>Rates!I112</f>
        <v>7.5800000000000006E-2</v>
      </c>
      <c r="H18" s="37">
        <f t="shared" ref="H18:H23" si="6">D18</f>
        <v>200</v>
      </c>
      <c r="I18" s="36">
        <f t="shared" si="5"/>
        <v>15.160000000000002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Rates!B113</f>
        <v>Rate Rider for Global Adjustment Sub-Account Disposition (2015) - effective until December 31, 2016 Applicable only for Non-RPP Customers</v>
      </c>
      <c r="C19" s="25">
        <f>Rates!E113</f>
        <v>2.6877</v>
      </c>
      <c r="D19" s="37">
        <f>C8</f>
        <v>200</v>
      </c>
      <c r="E19" s="36">
        <f t="shared" si="4"/>
        <v>537.54</v>
      </c>
      <c r="F19" s="45"/>
      <c r="G19" s="25">
        <f>Rates!I113</f>
        <v>2.6877</v>
      </c>
      <c r="H19" s="37">
        <f t="shared" si="6"/>
        <v>200</v>
      </c>
      <c r="I19" s="36">
        <f t="shared" si="5"/>
        <v>537.54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Rates!B114</f>
        <v>Rate Rider for Deferral/Variance Account Disposition (2016) - effective until December 31, 2017</v>
      </c>
      <c r="C20" s="25">
        <f>Rates!E114</f>
        <v>0</v>
      </c>
      <c r="D20" s="37">
        <f>C8</f>
        <v>200</v>
      </c>
      <c r="E20" s="36">
        <f t="shared" si="4"/>
        <v>0</v>
      </c>
      <c r="F20" s="45"/>
      <c r="G20" s="25">
        <f>Rates!I114</f>
        <v>-0.995</v>
      </c>
      <c r="H20" s="37">
        <f t="shared" si="6"/>
        <v>200</v>
      </c>
      <c r="I20" s="36">
        <f t="shared" si="5"/>
        <v>-199</v>
      </c>
      <c r="J20" s="45"/>
      <c r="K20" s="36">
        <f t="shared" ref="K20:K21" si="9">I20-E20</f>
        <v>-199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Rates!B115</f>
        <v>Rate Rider for Global Adjustment Sub-Account Disposition (2016) - effective until December 31, 2017 Applicable only for Non-RPP Customers</v>
      </c>
      <c r="C21" s="25">
        <f>Rates!E115</f>
        <v>0</v>
      </c>
      <c r="D21" s="37">
        <f>C8</f>
        <v>200</v>
      </c>
      <c r="E21" s="36">
        <f t="shared" si="4"/>
        <v>0</v>
      </c>
      <c r="F21" s="45"/>
      <c r="G21" s="25">
        <f>Rates!I115</f>
        <v>3.8538000000000001</v>
      </c>
      <c r="H21" s="37">
        <f t="shared" si="6"/>
        <v>200</v>
      </c>
      <c r="I21" s="36">
        <f t="shared" si="5"/>
        <v>770.76</v>
      </c>
      <c r="J21" s="45"/>
      <c r="K21" s="36">
        <f t="shared" si="9"/>
        <v>770.76</v>
      </c>
      <c r="L21" s="47" t="str">
        <f t="shared" si="10"/>
        <v xml:space="preserve"> </v>
      </c>
    </row>
    <row r="22" spans="2:12" x14ac:dyDescent="0.2">
      <c r="B22" s="48" t="str">
        <f>Rates!B116</f>
        <v>Rate Rider for Loss Revenue Adjustment Mechanism (LRAM) - effective until December 31, 2015</v>
      </c>
      <c r="C22" s="25">
        <f>Rates!E116</f>
        <v>4.41E-2</v>
      </c>
      <c r="D22" s="37">
        <f>C8</f>
        <v>200</v>
      </c>
      <c r="E22" s="36">
        <f t="shared" si="4"/>
        <v>8.82</v>
      </c>
      <c r="F22" s="45"/>
      <c r="G22" s="25">
        <f>Rates!I116</f>
        <v>0</v>
      </c>
      <c r="H22" s="37">
        <f t="shared" si="6"/>
        <v>200</v>
      </c>
      <c r="I22" s="36">
        <f t="shared" si="5"/>
        <v>0</v>
      </c>
      <c r="J22" s="45"/>
      <c r="K22" s="36">
        <f t="shared" si="7"/>
        <v>-8.82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Rates!E111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Rates!I111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2421.4794965600004</v>
      </c>
      <c r="F24" s="53"/>
      <c r="G24" s="50"/>
      <c r="H24" s="51"/>
      <c r="I24" s="52">
        <f>SUM(I16:I23)</f>
        <v>3001.2794965600006</v>
      </c>
      <c r="J24" s="53"/>
      <c r="K24" s="54">
        <f t="shared" si="2"/>
        <v>579.80000000000018</v>
      </c>
      <c r="L24" s="55">
        <f t="shared" si="3"/>
        <v>0.23944039205108902</v>
      </c>
    </row>
    <row r="25" spans="2:12" x14ac:dyDescent="0.2">
      <c r="B25" s="44" t="str">
        <f>Rates!B15</f>
        <v>Retail Transmission Rate - Network Service Rate</v>
      </c>
      <c r="C25" s="25">
        <f>Rates!E117</f>
        <v>2.6433</v>
      </c>
      <c r="D25" s="37">
        <f>C8</f>
        <v>200</v>
      </c>
      <c r="E25" s="36">
        <f>C25*D25</f>
        <v>528.66</v>
      </c>
      <c r="F25" s="45"/>
      <c r="G25" s="25">
        <f>Rates!I117</f>
        <v>2.5966</v>
      </c>
      <c r="H25" s="37">
        <f>D25</f>
        <v>200</v>
      </c>
      <c r="I25" s="36">
        <f>G25*H25</f>
        <v>519.32000000000005</v>
      </c>
      <c r="J25" s="45"/>
      <c r="K25" s="36">
        <f t="shared" si="2"/>
        <v>-9.3399999999999181</v>
      </c>
      <c r="L25" s="47">
        <f t="shared" si="3"/>
        <v>-1.766730980214111E-2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Rates!E118</f>
        <v>2.0314999999999999</v>
      </c>
      <c r="D26" s="37">
        <f>C8</f>
        <v>200</v>
      </c>
      <c r="E26" s="36">
        <f>C26*D26</f>
        <v>406.29999999999995</v>
      </c>
      <c r="F26" s="45"/>
      <c r="G26" s="25">
        <f>Rates!I41</f>
        <v>2.0802999999999998</v>
      </c>
      <c r="H26" s="37">
        <f>D26</f>
        <v>200</v>
      </c>
      <c r="I26" s="36">
        <f>G26*H26</f>
        <v>416.05999999999995</v>
      </c>
      <c r="J26" s="45"/>
      <c r="K26" s="36">
        <f t="shared" si="2"/>
        <v>9.7599999999999909</v>
      </c>
      <c r="L26" s="47">
        <f t="shared" si="3"/>
        <v>2.4021658872754103E-2</v>
      </c>
    </row>
    <row r="27" spans="2:12" x14ac:dyDescent="0.2">
      <c r="B27" s="49" t="s">
        <v>57</v>
      </c>
      <c r="C27" s="50"/>
      <c r="D27" s="51"/>
      <c r="E27" s="52">
        <f>SUM(E24:E26)</f>
        <v>3356.4394965600004</v>
      </c>
      <c r="F27" s="53"/>
      <c r="G27" s="50"/>
      <c r="H27" s="52"/>
      <c r="I27" s="52">
        <f>SUM(I24:I26)</f>
        <v>3936.6594965600007</v>
      </c>
      <c r="J27" s="53"/>
      <c r="K27" s="54">
        <f t="shared" si="2"/>
        <v>580.22000000000025</v>
      </c>
      <c r="L27" s="55">
        <f t="shared" si="3"/>
        <v>0.17286770716250513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72339.203999999998</v>
      </c>
      <c r="E28" s="36">
        <f t="shared" ref="E28:E32" si="11">C28*D28</f>
        <v>318.29249759999999</v>
      </c>
      <c r="F28" s="45"/>
      <c r="G28" s="25">
        <f>Rates!I244</f>
        <v>4.4000000000000003E-3</v>
      </c>
      <c r="H28" s="37">
        <f>D28</f>
        <v>72339.203999999998</v>
      </c>
      <c r="I28" s="36">
        <f t="shared" ref="I28:I32" si="12">G28*H28</f>
        <v>318.29249759999999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72339.203999999998</v>
      </c>
      <c r="E29" s="36">
        <f t="shared" si="11"/>
        <v>94.040965199999988</v>
      </c>
      <c r="F29" s="45"/>
      <c r="G29" s="25">
        <f>Rates!I245</f>
        <v>1.2999999999999999E-3</v>
      </c>
      <c r="H29" s="37">
        <f t="shared" ref="H29:H30" si="13">D29</f>
        <v>72339.203999999998</v>
      </c>
      <c r="I29" s="36">
        <f t="shared" si="12"/>
        <v>94.040965199999988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Rates!E251</f>
        <v>0</v>
      </c>
      <c r="D31" s="37">
        <f>C7</f>
        <v>68620</v>
      </c>
      <c r="E31" s="36">
        <f t="shared" si="11"/>
        <v>0</v>
      </c>
      <c r="F31" s="45"/>
      <c r="G31" s="25">
        <f>Rates!I251</f>
        <v>0</v>
      </c>
      <c r="H31" s="37">
        <f>D31</f>
        <v>68620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68620</v>
      </c>
      <c r="E32" s="36">
        <f t="shared" si="11"/>
        <v>7008.8468000000003</v>
      </c>
      <c r="F32" s="45"/>
      <c r="G32" s="25">
        <f>Rates!I266</f>
        <v>0.10214000000000001</v>
      </c>
      <c r="H32" s="37">
        <f>D32</f>
        <v>68620</v>
      </c>
      <c r="I32" s="36">
        <f t="shared" si="12"/>
        <v>7008.8468000000003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10777.869759360001</v>
      </c>
      <c r="F34" s="45"/>
      <c r="G34" s="35"/>
      <c r="H34" s="39"/>
      <c r="I34" s="39">
        <f>SUM(I27:I32)</f>
        <v>11358.089759360002</v>
      </c>
      <c r="J34" s="45"/>
      <c r="K34" s="36">
        <f t="shared" si="2"/>
        <v>580.22000000000116</v>
      </c>
      <c r="L34" s="47">
        <f t="shared" si="3"/>
        <v>5.3834385918062451E-2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1401.1230687168002</v>
      </c>
      <c r="F35" s="45"/>
      <c r="G35" s="41">
        <f>Rates!I268</f>
        <v>0.13</v>
      </c>
      <c r="H35" s="35"/>
      <c r="I35" s="42">
        <f>I34*G35</f>
        <v>1476.5516687168004</v>
      </c>
      <c r="J35" s="45"/>
      <c r="K35" s="36">
        <f t="shared" si="2"/>
        <v>75.428600000000188</v>
      </c>
      <c r="L35" s="47">
        <f t="shared" si="3"/>
        <v>5.3834385918062472E-2</v>
      </c>
    </row>
    <row r="36" spans="2:12" x14ac:dyDescent="0.2">
      <c r="B36" s="23" t="s">
        <v>59</v>
      </c>
      <c r="C36" s="35"/>
      <c r="D36" s="35"/>
      <c r="E36" s="42">
        <f>E34+E35</f>
        <v>12178.992828076802</v>
      </c>
      <c r="F36" s="45"/>
      <c r="G36" s="35"/>
      <c r="H36" s="35"/>
      <c r="I36" s="42">
        <f>I34+I35</f>
        <v>12834.641428076802</v>
      </c>
      <c r="J36" s="45"/>
      <c r="K36" s="36">
        <f t="shared" si="2"/>
        <v>655.64860000000044</v>
      </c>
      <c r="L36" s="47">
        <f t="shared" si="3"/>
        <v>5.3834385918062375E-2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12178.992828076802</v>
      </c>
      <c r="F38" s="59"/>
      <c r="G38" s="57"/>
      <c r="H38" s="57"/>
      <c r="I38" s="58">
        <f>I36+I37</f>
        <v>12834.641428076802</v>
      </c>
      <c r="J38" s="59"/>
      <c r="K38" s="60">
        <f t="shared" si="2"/>
        <v>655.64860000000044</v>
      </c>
      <c r="L38" s="61">
        <f t="shared" si="3"/>
        <v>5.3834385918062375E-2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Rates!B120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Rates!E121</f>
        <v>42.26</v>
      </c>
      <c r="D14" s="37">
        <f>C6</f>
        <v>1</v>
      </c>
      <c r="E14" s="36">
        <f>C14*D14</f>
        <v>42.26</v>
      </c>
      <c r="F14" s="45"/>
      <c r="G14" s="36">
        <f>Rates!I121</f>
        <v>32.799999999999997</v>
      </c>
      <c r="H14" s="37">
        <f>D14</f>
        <v>1</v>
      </c>
      <c r="I14" s="36">
        <f>G14*H14</f>
        <v>32.799999999999997</v>
      </c>
      <c r="J14" s="45"/>
      <c r="K14" s="36">
        <f>I14-E14</f>
        <v>-9.4600000000000009</v>
      </c>
      <c r="L14" s="47">
        <f>IF((E14)=0," ",K14/E14)</f>
        <v>-0.22385234264079512</v>
      </c>
    </row>
    <row r="15" spans="2:12" x14ac:dyDescent="0.2">
      <c r="B15" s="44" t="str">
        <f>Rates!B8</f>
        <v>Distribution Volumetric Rate</v>
      </c>
      <c r="C15" s="25">
        <f>Rates!E122</f>
        <v>2.5000000000000001E-2</v>
      </c>
      <c r="D15" s="38">
        <f>C7</f>
        <v>800</v>
      </c>
      <c r="E15" s="36">
        <f t="shared" ref="E15" si="0">C15*D15</f>
        <v>20</v>
      </c>
      <c r="F15" s="45"/>
      <c r="G15" s="25">
        <f>Rates!I122</f>
        <v>1.78E-2</v>
      </c>
      <c r="H15" s="38">
        <f>D15</f>
        <v>800</v>
      </c>
      <c r="I15" s="36">
        <f t="shared" ref="I15" si="1">G15*H15</f>
        <v>14.24</v>
      </c>
      <c r="J15" s="45"/>
      <c r="K15" s="36">
        <f t="shared" ref="K15:K38" si="2">I15-E15</f>
        <v>-5.76</v>
      </c>
      <c r="L15" s="47">
        <f t="shared" ref="L15:L38" si="3">IF((E15)=0," ",K15/E15)</f>
        <v>-0.28799999999999998</v>
      </c>
    </row>
    <row r="16" spans="2:12" x14ac:dyDescent="0.2">
      <c r="B16" s="49" t="s">
        <v>36</v>
      </c>
      <c r="C16" s="50"/>
      <c r="D16" s="51"/>
      <c r="E16" s="52">
        <f>SUM(E14:E15)</f>
        <v>62.26</v>
      </c>
      <c r="F16" s="53"/>
      <c r="G16" s="50"/>
      <c r="H16" s="51"/>
      <c r="I16" s="52">
        <f>SUM(I14:I15)</f>
        <v>47.04</v>
      </c>
      <c r="J16" s="53"/>
      <c r="K16" s="54">
        <f t="shared" si="2"/>
        <v>-15.219999999999999</v>
      </c>
      <c r="L16" s="55">
        <f t="shared" si="3"/>
        <v>-0.24445872149052361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3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3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Rates!B124</f>
        <v>Rate Rider for Deferral/Variance Account Disposition (2015) - effective until December 31, 2016</v>
      </c>
      <c r="C18" s="25">
        <f>Rates!E124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Rates!I124</f>
        <v>2.9999999999999997E-4</v>
      </c>
      <c r="H18" s="37">
        <f t="shared" ref="H18:H23" si="6">D18</f>
        <v>800</v>
      </c>
      <c r="I18" s="36">
        <f t="shared" si="5"/>
        <v>0.24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Rates!B125</f>
        <v>Rate Rider for Global Adjustment Sub-Account Disposition (2015) - effective until December 31, 2016 Applicable only for Non-RPP Customers</v>
      </c>
      <c r="C19" s="25">
        <f>Rates!E125</f>
        <v>0</v>
      </c>
      <c r="D19" s="37">
        <f>C7</f>
        <v>800</v>
      </c>
      <c r="E19" s="36">
        <f t="shared" si="4"/>
        <v>0</v>
      </c>
      <c r="F19" s="45"/>
      <c r="G19" s="25">
        <f>Rates!I125</f>
        <v>0</v>
      </c>
      <c r="H19" s="37">
        <f t="shared" si="6"/>
        <v>800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Rates!B126</f>
        <v>Rate Rider for Deferral/Variance Account Disposition (2016) - effective until December 31, 2017</v>
      </c>
      <c r="C20" s="25">
        <f>Rates!E126</f>
        <v>0</v>
      </c>
      <c r="D20" s="37">
        <f>C7</f>
        <v>800</v>
      </c>
      <c r="E20" s="36">
        <f t="shared" si="4"/>
        <v>0</v>
      </c>
      <c r="F20" s="45"/>
      <c r="G20" s="25">
        <f>Rates!I126</f>
        <v>-2.7000000000000001E-3</v>
      </c>
      <c r="H20" s="37">
        <f t="shared" si="6"/>
        <v>800</v>
      </c>
      <c r="I20" s="36">
        <f t="shared" si="5"/>
        <v>-2.16</v>
      </c>
      <c r="J20" s="45"/>
      <c r="K20" s="36">
        <f t="shared" ref="K20:K21" si="9">I20-E20</f>
        <v>-2.16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Rates!B127</f>
        <v>Rate Rider for Global Adjustment Sub-Account Disposition (2016) - effective until December 31, 2017 Applicable only for Non-RPP Customers</v>
      </c>
      <c r="C21" s="25">
        <f>Rates!E127</f>
        <v>0</v>
      </c>
      <c r="D21" s="37">
        <f>C7</f>
        <v>800</v>
      </c>
      <c r="E21" s="36">
        <f t="shared" si="4"/>
        <v>0</v>
      </c>
      <c r="F21" s="45"/>
      <c r="G21" s="25">
        <f>Rates!I127</f>
        <v>0</v>
      </c>
      <c r="H21" s="37">
        <f t="shared" si="6"/>
        <v>800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Rates!B128</f>
        <v>Rate Rider for Loss Revenue Adjustment Mechanism (LRAM) - effective until December 31, 2015</v>
      </c>
      <c r="C22" s="25">
        <f>Rates!E128</f>
        <v>0</v>
      </c>
      <c r="D22" s="37">
        <f>C7</f>
        <v>800</v>
      </c>
      <c r="E22" s="36">
        <f t="shared" si="4"/>
        <v>0</v>
      </c>
      <c r="F22" s="45"/>
      <c r="G22" s="25">
        <f>Rates!I128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Rates!E123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Rates!I123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67.088790399999993</v>
      </c>
      <c r="F24" s="53"/>
      <c r="G24" s="50"/>
      <c r="H24" s="51"/>
      <c r="I24" s="52">
        <f>SUM(I16:I23)</f>
        <v>49.708790399999998</v>
      </c>
      <c r="J24" s="53"/>
      <c r="K24" s="54">
        <f t="shared" si="2"/>
        <v>-17.379999999999995</v>
      </c>
      <c r="L24" s="55">
        <f t="shared" si="3"/>
        <v>-0.25905967146487707</v>
      </c>
    </row>
    <row r="25" spans="2:12" x14ac:dyDescent="0.2">
      <c r="B25" s="44" t="str">
        <f>Rates!B15</f>
        <v>Retail Transmission Rate - Network Service Rate</v>
      </c>
      <c r="C25" s="25">
        <f>Rates!E129</f>
        <v>6.4999999999999997E-3</v>
      </c>
      <c r="D25" s="37">
        <f>C7*C5</f>
        <v>843.36</v>
      </c>
      <c r="E25" s="36">
        <f>C25*D25</f>
        <v>5.48184</v>
      </c>
      <c r="F25" s="45"/>
      <c r="G25" s="25">
        <f>Rates!I129</f>
        <v>6.4000000000000003E-3</v>
      </c>
      <c r="H25" s="37">
        <f>D25</f>
        <v>843.36</v>
      </c>
      <c r="I25" s="36">
        <f>G25*H25</f>
        <v>5.3975040000000005</v>
      </c>
      <c r="J25" s="45"/>
      <c r="K25" s="36">
        <f t="shared" si="2"/>
        <v>-8.4335999999999522E-2</v>
      </c>
      <c r="L25" s="47">
        <f t="shared" si="3"/>
        <v>-1.5384615384615297E-2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Rates!E130</f>
        <v>5.0000000000000001E-3</v>
      </c>
      <c r="D26" s="37">
        <f>C7*C5</f>
        <v>843.36</v>
      </c>
      <c r="E26" s="36">
        <f>C26*D26</f>
        <v>4.2168000000000001</v>
      </c>
      <c r="F26" s="45"/>
      <c r="G26" s="25">
        <f>Rates!I130</f>
        <v>5.1000000000000004E-3</v>
      </c>
      <c r="H26" s="37">
        <f>D26</f>
        <v>843.36</v>
      </c>
      <c r="I26" s="36">
        <f>G26*H26</f>
        <v>4.3011360000000005</v>
      </c>
      <c r="J26" s="45"/>
      <c r="K26" s="36">
        <f t="shared" si="2"/>
        <v>8.4336000000000411E-2</v>
      </c>
      <c r="L26" s="47">
        <f t="shared" si="3"/>
        <v>2.0000000000000098E-2</v>
      </c>
    </row>
    <row r="27" spans="2:12" x14ac:dyDescent="0.2">
      <c r="B27" s="49" t="s">
        <v>57</v>
      </c>
      <c r="C27" s="50"/>
      <c r="D27" s="51"/>
      <c r="E27" s="52">
        <f>SUM(E24:E26)</f>
        <v>76.787430400000005</v>
      </c>
      <c r="F27" s="53"/>
      <c r="G27" s="50"/>
      <c r="H27" s="52"/>
      <c r="I27" s="52">
        <f>SUM(I24:I26)</f>
        <v>59.407430399999996</v>
      </c>
      <c r="J27" s="53"/>
      <c r="K27" s="54">
        <f t="shared" si="2"/>
        <v>-17.38000000000001</v>
      </c>
      <c r="L27" s="55">
        <f t="shared" si="3"/>
        <v>-0.22633912750386825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843.36</v>
      </c>
      <c r="E28" s="36">
        <f t="shared" ref="E28:E32" si="11">C28*D28</f>
        <v>3.7107840000000003</v>
      </c>
      <c r="F28" s="45"/>
      <c r="G28" s="25">
        <f>Rates!I244</f>
        <v>4.4000000000000003E-3</v>
      </c>
      <c r="H28" s="37">
        <f>D28</f>
        <v>843.36</v>
      </c>
      <c r="I28" s="36">
        <f t="shared" ref="I28:I32" si="12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843.36</v>
      </c>
      <c r="E29" s="36">
        <f t="shared" si="11"/>
        <v>1.096368</v>
      </c>
      <c r="F29" s="45"/>
      <c r="G29" s="25">
        <f>Rates!I245</f>
        <v>1.2999999999999999E-3</v>
      </c>
      <c r="H29" s="37">
        <f t="shared" ref="H29:H30" si="13">D29</f>
        <v>843.36</v>
      </c>
      <c r="I29" s="36">
        <f t="shared" si="12"/>
        <v>1.096368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Rates!E251</f>
        <v>0</v>
      </c>
      <c r="D31" s="37">
        <f>C7</f>
        <v>800</v>
      </c>
      <c r="E31" s="36">
        <f t="shared" si="11"/>
        <v>0</v>
      </c>
      <c r="F31" s="45"/>
      <c r="G31" s="25">
        <f>Rates!I251</f>
        <v>0</v>
      </c>
      <c r="H31" s="37">
        <f>D31</f>
        <v>800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800</v>
      </c>
      <c r="E32" s="36">
        <f t="shared" si="11"/>
        <v>81.712000000000003</v>
      </c>
      <c r="F32" s="45"/>
      <c r="G32" s="25">
        <f>Rates!I266</f>
        <v>0.10214000000000001</v>
      </c>
      <c r="H32" s="37">
        <f>D32</f>
        <v>800</v>
      </c>
      <c r="I32" s="36">
        <f t="shared" si="12"/>
        <v>81.712000000000003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163.55658240000002</v>
      </c>
      <c r="F34" s="45"/>
      <c r="G34" s="35"/>
      <c r="H34" s="39"/>
      <c r="I34" s="39">
        <f>SUM(I27:I32)</f>
        <v>146.1765824</v>
      </c>
      <c r="J34" s="45"/>
      <c r="K34" s="36">
        <f t="shared" si="2"/>
        <v>-17.380000000000024</v>
      </c>
      <c r="L34" s="47">
        <f t="shared" si="3"/>
        <v>-0.10626291981019054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21.262355712000005</v>
      </c>
      <c r="F35" s="45"/>
      <c r="G35" s="41">
        <f>Rates!I268</f>
        <v>0.13</v>
      </c>
      <c r="H35" s="35"/>
      <c r="I35" s="42">
        <f>I34*G35</f>
        <v>19.002955712000002</v>
      </c>
      <c r="J35" s="45"/>
      <c r="K35" s="36">
        <f t="shared" si="2"/>
        <v>-2.259400000000003</v>
      </c>
      <c r="L35" s="47">
        <f t="shared" si="3"/>
        <v>-0.10626291981019052</v>
      </c>
    </row>
    <row r="36" spans="2:12" x14ac:dyDescent="0.2">
      <c r="B36" s="23" t="s">
        <v>59</v>
      </c>
      <c r="C36" s="35"/>
      <c r="D36" s="35"/>
      <c r="E36" s="42">
        <f>E34+E35</f>
        <v>184.81893811200004</v>
      </c>
      <c r="F36" s="45"/>
      <c r="G36" s="35"/>
      <c r="H36" s="35"/>
      <c r="I36" s="42">
        <f>I34+I35</f>
        <v>165.17953811199999</v>
      </c>
      <c r="J36" s="45"/>
      <c r="K36" s="36">
        <f t="shared" si="2"/>
        <v>-19.639400000000052</v>
      </c>
      <c r="L36" s="47">
        <f t="shared" si="3"/>
        <v>-0.10626291981019066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184.81893811200004</v>
      </c>
      <c r="F38" s="59"/>
      <c r="G38" s="57"/>
      <c r="H38" s="57"/>
      <c r="I38" s="58">
        <f>I36+I37</f>
        <v>165.17953811199999</v>
      </c>
      <c r="J38" s="59"/>
      <c r="K38" s="60">
        <f t="shared" si="2"/>
        <v>-19.639400000000052</v>
      </c>
      <c r="L38" s="61">
        <f t="shared" si="3"/>
        <v>-0.10626291981019066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Rates!B132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Rates!E133</f>
        <v>5.17</v>
      </c>
      <c r="D14" s="37">
        <f>C6</f>
        <v>1</v>
      </c>
      <c r="E14" s="36">
        <f>C14*D14</f>
        <v>5.17</v>
      </c>
      <c r="F14" s="45"/>
      <c r="G14" s="36">
        <f>Rates!I133</f>
        <v>5.07</v>
      </c>
      <c r="H14" s="37">
        <f>D14</f>
        <v>1</v>
      </c>
      <c r="I14" s="36">
        <f>G14*H14</f>
        <v>5.07</v>
      </c>
      <c r="J14" s="45"/>
      <c r="K14" s="36">
        <f>I14-E14</f>
        <v>-9.9999999999999645E-2</v>
      </c>
      <c r="L14" s="47">
        <f>IF((E14)=0," ",K14/E14)</f>
        <v>-1.9342359767891615E-2</v>
      </c>
    </row>
    <row r="15" spans="2:12" x14ac:dyDescent="0.2">
      <c r="B15" s="44" t="str">
        <f>Rates!B8</f>
        <v>Distribution Volumetric Rate</v>
      </c>
      <c r="C15" s="25">
        <f>Rates!E134</f>
        <v>4.9564000000000004</v>
      </c>
      <c r="D15" s="93">
        <f>C8</f>
        <v>0.2</v>
      </c>
      <c r="E15" s="36">
        <f t="shared" ref="E15" si="0">C15*D15</f>
        <v>0.99128000000000016</v>
      </c>
      <c r="F15" s="45"/>
      <c r="G15" s="25">
        <f>Rates!I134</f>
        <v>5.8719999999999999</v>
      </c>
      <c r="H15" s="93">
        <f>D15</f>
        <v>0.2</v>
      </c>
      <c r="I15" s="36">
        <f t="shared" ref="I15" si="1">G15*H15</f>
        <v>1.1744000000000001</v>
      </c>
      <c r="J15" s="45"/>
      <c r="K15" s="36">
        <f t="shared" ref="K15:K38" si="2">I15-E15</f>
        <v>0.18311999999999995</v>
      </c>
      <c r="L15" s="47">
        <f t="shared" ref="L15:L38" si="3">IF((E15)=0," ",K15/E15)</f>
        <v>0.1847308530384956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6.2444000000000006</v>
      </c>
      <c r="J16" s="53"/>
      <c r="K16" s="54">
        <f t="shared" si="2"/>
        <v>8.3120000000000971E-2</v>
      </c>
      <c r="L16" s="55">
        <f t="shared" si="3"/>
        <v>1.3490703230497718E-2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3.2520000000000016</v>
      </c>
      <c r="E17" s="36">
        <f t="shared" ref="E17:E23" si="4">C17*D17</f>
        <v>0.33215928000000017</v>
      </c>
      <c r="F17" s="45"/>
      <c r="G17" s="25">
        <f>Rates!I266</f>
        <v>0.10214000000000001</v>
      </c>
      <c r="H17" s="40">
        <f>(C5-1)*C7</f>
        <v>3.2520000000000016</v>
      </c>
      <c r="I17" s="36">
        <f t="shared" ref="I17:I23" si="5">G17*H17</f>
        <v>0.33215928000000017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Rates!B136</f>
        <v>Rate Rider for Deferral/Variance Account Disposition (2015) - effective until December 31, 2016</v>
      </c>
      <c r="C18" s="25">
        <f>Rates!E136</f>
        <v>0.22090000000000001</v>
      </c>
      <c r="D18" s="91">
        <f>C8</f>
        <v>0.2</v>
      </c>
      <c r="E18" s="36">
        <f t="shared" si="4"/>
        <v>4.4180000000000004E-2</v>
      </c>
      <c r="F18" s="45"/>
      <c r="G18" s="25">
        <f>Rates!I136</f>
        <v>0.22090000000000001</v>
      </c>
      <c r="H18" s="91">
        <f t="shared" ref="H18:H23" si="6">D18</f>
        <v>0.2</v>
      </c>
      <c r="I18" s="36">
        <f t="shared" si="5"/>
        <v>4.4180000000000004E-2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Rates!B137</f>
        <v>Rate Rider for Global Adjustment Sub-Account Disposition (2015) - effective until December 31, 2016 Applicable only for Non-RPP Customers</v>
      </c>
      <c r="C19" s="25">
        <f>Rates!E137</f>
        <v>0</v>
      </c>
      <c r="D19" s="91">
        <f>C8</f>
        <v>0.2</v>
      </c>
      <c r="E19" s="36">
        <f t="shared" si="4"/>
        <v>0</v>
      </c>
      <c r="F19" s="45"/>
      <c r="G19" s="25">
        <f>Rates!I137</f>
        <v>0</v>
      </c>
      <c r="H19" s="91">
        <f t="shared" si="6"/>
        <v>0.2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Rates!B138</f>
        <v>Rate Rider for Deferral/Variance Account Disposition (2016) - effective until December 31, 2017</v>
      </c>
      <c r="C20" s="25">
        <f>Rates!E138</f>
        <v>0</v>
      </c>
      <c r="D20" s="91">
        <f>C8</f>
        <v>0.2</v>
      </c>
      <c r="E20" s="36">
        <f t="shared" si="4"/>
        <v>0</v>
      </c>
      <c r="F20" s="45"/>
      <c r="G20" s="25">
        <f>Rates!I138</f>
        <v>-0.88480000000000003</v>
      </c>
      <c r="H20" s="91">
        <f t="shared" si="6"/>
        <v>0.2</v>
      </c>
      <c r="I20" s="36">
        <f t="shared" si="5"/>
        <v>-0.17696000000000001</v>
      </c>
      <c r="J20" s="45"/>
      <c r="K20" s="36">
        <f t="shared" ref="K20:K21" si="9">I20-E20</f>
        <v>-0.17696000000000001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Rates!B139</f>
        <v>Rate Rider for Global Adjustment Sub-Account Disposition (2016) - effective until December 31, 2017 Applicable only for Non-RPP Customers</v>
      </c>
      <c r="C21" s="25">
        <f>Rates!E139</f>
        <v>0</v>
      </c>
      <c r="D21" s="91">
        <f>C8</f>
        <v>0.2</v>
      </c>
      <c r="E21" s="36">
        <f t="shared" si="4"/>
        <v>0</v>
      </c>
      <c r="F21" s="45"/>
      <c r="G21" s="25">
        <f>Rates!I139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Rates!B140</f>
        <v>Rate Rider for Loss Revenue Adjustment Mechanism (LRAM) - effective until December 31, 2015</v>
      </c>
      <c r="C22" s="25">
        <f>Rates!E140</f>
        <v>0</v>
      </c>
      <c r="D22" s="91">
        <f>C8</f>
        <v>0.2</v>
      </c>
      <c r="E22" s="36">
        <f t="shared" si="4"/>
        <v>0</v>
      </c>
      <c r="F22" s="45"/>
      <c r="G22" s="25">
        <f>Rates!I140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Rates!E135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Rates!I135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92"/>
      <c r="E24" s="52">
        <f>SUM(E16:E23)</f>
        <v>6.5484592799999994</v>
      </c>
      <c r="F24" s="53"/>
      <c r="G24" s="50"/>
      <c r="H24" s="92"/>
      <c r="I24" s="52">
        <f>SUM(I16:I23)</f>
        <v>6.4546192800000002</v>
      </c>
      <c r="J24" s="53"/>
      <c r="K24" s="54">
        <f t="shared" si="2"/>
        <v>-9.3839999999999257E-2</v>
      </c>
      <c r="L24" s="55">
        <f t="shared" si="3"/>
        <v>-1.4330088344078283E-2</v>
      </c>
    </row>
    <row r="25" spans="2:12" x14ac:dyDescent="0.2">
      <c r="B25" s="44" t="str">
        <f>Rates!B15</f>
        <v>Retail Transmission Rate - Network Service Rate</v>
      </c>
      <c r="C25" s="25">
        <f>Rates!E141</f>
        <v>2.2526999999999999</v>
      </c>
      <c r="D25" s="91">
        <f>C8</f>
        <v>0.2</v>
      </c>
      <c r="E25" s="36">
        <f>C25*D25</f>
        <v>0.45054</v>
      </c>
      <c r="F25" s="45"/>
      <c r="G25" s="25">
        <f>Rates!I141</f>
        <v>2.2128999999999999</v>
      </c>
      <c r="H25" s="91">
        <f>D25</f>
        <v>0.2</v>
      </c>
      <c r="I25" s="36">
        <f>G25*H25</f>
        <v>0.44257999999999997</v>
      </c>
      <c r="J25" s="45"/>
      <c r="K25" s="36">
        <f t="shared" si="2"/>
        <v>-7.9600000000000226E-3</v>
      </c>
      <c r="L25" s="47">
        <f t="shared" si="3"/>
        <v>-1.7667687663692509E-2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Rates!E142</f>
        <v>1.6578999999999999</v>
      </c>
      <c r="D26" s="91">
        <f>C8</f>
        <v>0.2</v>
      </c>
      <c r="E26" s="36">
        <f>C26*D26</f>
        <v>0.33157999999999999</v>
      </c>
      <c r="F26" s="45"/>
      <c r="G26" s="25">
        <f>Rates!I142</f>
        <v>1.6977</v>
      </c>
      <c r="H26" s="91">
        <f>D26</f>
        <v>0.2</v>
      </c>
      <c r="I26" s="36">
        <f>G26*H26</f>
        <v>0.33954000000000001</v>
      </c>
      <c r="J26" s="45"/>
      <c r="K26" s="36">
        <f t="shared" si="2"/>
        <v>7.9600000000000226E-3</v>
      </c>
      <c r="L26" s="47">
        <f t="shared" si="3"/>
        <v>2.4006272995958811E-2</v>
      </c>
    </row>
    <row r="27" spans="2:12" x14ac:dyDescent="0.2">
      <c r="B27" s="49" t="s">
        <v>57</v>
      </c>
      <c r="C27" s="50"/>
      <c r="D27" s="51"/>
      <c r="E27" s="52">
        <f>SUM(E24:E26)</f>
        <v>7.3305792799999994</v>
      </c>
      <c r="F27" s="53"/>
      <c r="G27" s="50"/>
      <c r="H27" s="52"/>
      <c r="I27" s="52">
        <f>SUM(I24:I26)</f>
        <v>7.236739280000001</v>
      </c>
      <c r="J27" s="53"/>
      <c r="K27" s="54">
        <f t="shared" si="2"/>
        <v>-9.3839999999998369E-2</v>
      </c>
      <c r="L27" s="55">
        <f t="shared" si="3"/>
        <v>-1.2801171151101496E-2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63.252000000000002</v>
      </c>
      <c r="E28" s="36">
        <f t="shared" ref="E28:E32" si="11">C28*D28</f>
        <v>0.27830880000000002</v>
      </c>
      <c r="F28" s="45"/>
      <c r="G28" s="25">
        <f>Rates!I244</f>
        <v>4.4000000000000003E-3</v>
      </c>
      <c r="H28" s="37">
        <f>D28</f>
        <v>63.252000000000002</v>
      </c>
      <c r="I28" s="36">
        <f t="shared" ref="I28:I32" si="12">G28*H28</f>
        <v>0.27830880000000002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63.252000000000002</v>
      </c>
      <c r="E29" s="36">
        <f t="shared" si="11"/>
        <v>8.2227599999999998E-2</v>
      </c>
      <c r="F29" s="45"/>
      <c r="G29" s="25">
        <f>Rates!I245</f>
        <v>1.2999999999999999E-3</v>
      </c>
      <c r="H29" s="37">
        <f t="shared" ref="H29:H30" si="13">D29</f>
        <v>63.252000000000002</v>
      </c>
      <c r="I29" s="36">
        <f t="shared" si="12"/>
        <v>8.2227599999999998E-2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Rates!E251</f>
        <v>0</v>
      </c>
      <c r="D31" s="37">
        <f>C7</f>
        <v>60</v>
      </c>
      <c r="E31" s="36">
        <f t="shared" si="11"/>
        <v>0</v>
      </c>
      <c r="F31" s="45"/>
      <c r="G31" s="25">
        <f>Rates!I251</f>
        <v>0</v>
      </c>
      <c r="H31" s="37">
        <f>D31</f>
        <v>60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C7*0.64</f>
        <v>38.4</v>
      </c>
      <c r="E32" s="36">
        <f t="shared" si="11"/>
        <v>3.9221760000000003</v>
      </c>
      <c r="F32" s="45"/>
      <c r="G32" s="25">
        <f>Rates!I266</f>
        <v>0.10214000000000001</v>
      </c>
      <c r="H32" s="37">
        <f>D32</f>
        <v>38.4</v>
      </c>
      <c r="I32" s="36">
        <f t="shared" si="12"/>
        <v>3.9221760000000003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11.86329168</v>
      </c>
      <c r="F34" s="45"/>
      <c r="G34" s="35"/>
      <c r="H34" s="39"/>
      <c r="I34" s="39">
        <f>SUM(I27:I32)</f>
        <v>11.769451680000003</v>
      </c>
      <c r="J34" s="45"/>
      <c r="K34" s="36">
        <f t="shared" si="2"/>
        <v>-9.3839999999996593E-2</v>
      </c>
      <c r="L34" s="47">
        <f t="shared" si="3"/>
        <v>-7.9101148763120188E-3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1.5422279184000001</v>
      </c>
      <c r="F35" s="45"/>
      <c r="G35" s="41">
        <f>Rates!I268</f>
        <v>0.13</v>
      </c>
      <c r="H35" s="35"/>
      <c r="I35" s="42">
        <f>I34*G35</f>
        <v>1.5300287184000005</v>
      </c>
      <c r="J35" s="45"/>
      <c r="K35" s="36">
        <f t="shared" si="2"/>
        <v>-1.2199199999999522E-2</v>
      </c>
      <c r="L35" s="47">
        <f t="shared" si="3"/>
        <v>-7.9101148763119945E-3</v>
      </c>
    </row>
    <row r="36" spans="2:12" x14ac:dyDescent="0.2">
      <c r="B36" s="23" t="s">
        <v>59</v>
      </c>
      <c r="C36" s="35"/>
      <c r="D36" s="35"/>
      <c r="E36" s="42">
        <f>E34+E35</f>
        <v>13.4055195984</v>
      </c>
      <c r="F36" s="45"/>
      <c r="G36" s="35"/>
      <c r="H36" s="35"/>
      <c r="I36" s="42">
        <f>I34+I35</f>
        <v>13.299480398400004</v>
      </c>
      <c r="J36" s="45"/>
      <c r="K36" s="36">
        <f t="shared" si="2"/>
        <v>-0.10603919999999611</v>
      </c>
      <c r="L36" s="47">
        <f t="shared" si="3"/>
        <v>-7.9101148763120153E-3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13.4055195984</v>
      </c>
      <c r="F38" s="59"/>
      <c r="G38" s="57"/>
      <c r="H38" s="57"/>
      <c r="I38" s="58">
        <f>I36+I37</f>
        <v>13.299480398400004</v>
      </c>
      <c r="J38" s="59"/>
      <c r="K38" s="60">
        <f t="shared" si="2"/>
        <v>-0.10603919999999611</v>
      </c>
      <c r="L38" s="61">
        <f t="shared" si="3"/>
        <v>-7.9101148763120153E-3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Rates!B81</f>
        <v>CNPI - Eastern Ontario Power</v>
      </c>
    </row>
    <row r="3" spans="2:12" ht="15.75" x14ac:dyDescent="0.25">
      <c r="B3" s="24" t="str">
        <f>Rates!B144</f>
        <v>Street Lighting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900</v>
      </c>
    </row>
    <row r="7" spans="2:12" x14ac:dyDescent="0.2">
      <c r="B7" s="28" t="s">
        <v>62</v>
      </c>
      <c r="C7" s="29">
        <v>46000</v>
      </c>
    </row>
    <row r="8" spans="2:12" x14ac:dyDescent="0.2">
      <c r="B8" s="28" t="s">
        <v>63</v>
      </c>
      <c r="C8" s="62">
        <v>129</v>
      </c>
    </row>
    <row r="9" spans="2:12" ht="13.5" thickBot="1" x14ac:dyDescent="0.25">
      <c r="B9" s="30" t="s">
        <v>64</v>
      </c>
      <c r="C9" s="31">
        <f>IF(C8=0,"n/a",C7/(C8*24*365/12))</f>
        <v>0.48847828395455029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Rates!E145</f>
        <v>5.05</v>
      </c>
      <c r="D14" s="37">
        <f>C6</f>
        <v>900</v>
      </c>
      <c r="E14" s="36">
        <f>C14*D14</f>
        <v>4545</v>
      </c>
      <c r="F14" s="45"/>
      <c r="G14" s="36">
        <f>Rates!I145</f>
        <v>4.93</v>
      </c>
      <c r="H14" s="37">
        <f>D14</f>
        <v>900</v>
      </c>
      <c r="I14" s="36">
        <f>G14*H14</f>
        <v>4437</v>
      </c>
      <c r="J14" s="45"/>
      <c r="K14" s="36">
        <f>I14-E14</f>
        <v>-108</v>
      </c>
      <c r="L14" s="47">
        <f>IF((E14)=0," ",K14/E14)</f>
        <v>-2.3762376237623763E-2</v>
      </c>
    </row>
    <row r="15" spans="2:12" x14ac:dyDescent="0.2">
      <c r="B15" s="44" t="str">
        <f>Rates!B8</f>
        <v>Distribution Volumetric Rate</v>
      </c>
      <c r="C15" s="25">
        <f>Rates!E146</f>
        <v>10.4941</v>
      </c>
      <c r="D15" s="38">
        <f>C8</f>
        <v>129</v>
      </c>
      <c r="E15" s="36">
        <f t="shared" ref="E15" si="0">C15*D15</f>
        <v>1353.7388999999998</v>
      </c>
      <c r="F15" s="45"/>
      <c r="G15" s="25">
        <f>Rates!I146</f>
        <v>10.743399999999999</v>
      </c>
      <c r="H15" s="38">
        <f>D15</f>
        <v>129</v>
      </c>
      <c r="I15" s="36">
        <f t="shared" ref="I15" si="1">G15*H15</f>
        <v>1385.8986</v>
      </c>
      <c r="J15" s="45"/>
      <c r="K15" s="36">
        <f t="shared" ref="K15:K38" si="2">I15-E15</f>
        <v>32.159700000000157</v>
      </c>
      <c r="L15" s="47">
        <f t="shared" ref="L15:L38" si="3">IF((E15)=0," ",K15/E15)</f>
        <v>2.3756205868059314E-2</v>
      </c>
    </row>
    <row r="16" spans="2:12" x14ac:dyDescent="0.2">
      <c r="B16" s="49" t="s">
        <v>36</v>
      </c>
      <c r="C16" s="50"/>
      <c r="D16" s="51"/>
      <c r="E16" s="52">
        <f>SUM(E14:E15)</f>
        <v>5898.7389000000003</v>
      </c>
      <c r="F16" s="53"/>
      <c r="G16" s="50"/>
      <c r="H16" s="51"/>
      <c r="I16" s="52">
        <f>SUM(I14:I15)</f>
        <v>5822.8986000000004</v>
      </c>
      <c r="J16" s="53"/>
      <c r="K16" s="54">
        <f t="shared" si="2"/>
        <v>-75.840299999999843</v>
      </c>
      <c r="L16" s="55">
        <f t="shared" si="3"/>
        <v>-1.2857036272617499E-2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2493.2000000000012</v>
      </c>
      <c r="E17" s="36">
        <f t="shared" ref="E17:E23" si="4">C17*D17</f>
        <v>254.65544800000015</v>
      </c>
      <c r="F17" s="45"/>
      <c r="G17" s="25">
        <f>Rates!I266</f>
        <v>0.10214000000000001</v>
      </c>
      <c r="H17" s="40">
        <f>(C5-1)*C7</f>
        <v>2493.2000000000012</v>
      </c>
      <c r="I17" s="36">
        <f t="shared" ref="I17:I23" si="5">G17*H17</f>
        <v>254.65544800000015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Rates!B148</f>
        <v>Rate Rider for Deferral/Variance Account Disposition (2015) - effective until December 31, 2016</v>
      </c>
      <c r="C18" s="25">
        <f>Rates!E148</f>
        <v>7.5600000000000001E-2</v>
      </c>
      <c r="D18" s="37">
        <f>C8</f>
        <v>129</v>
      </c>
      <c r="E18" s="36">
        <f t="shared" si="4"/>
        <v>9.7523999999999997</v>
      </c>
      <c r="F18" s="45"/>
      <c r="G18" s="25">
        <f>Rates!I148</f>
        <v>7.5600000000000001E-2</v>
      </c>
      <c r="H18" s="37">
        <f t="shared" ref="H18:H23" si="6">D18</f>
        <v>129</v>
      </c>
      <c r="I18" s="36">
        <f t="shared" si="5"/>
        <v>9.7523999999999997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Rates!B149</f>
        <v>Rate Rider for Global Adjustment Sub-Account Disposition (2015) - effective until December 31, 2016 Applicable only for Non-RPP Customers</v>
      </c>
      <c r="C19" s="25">
        <f>Rates!E149</f>
        <v>2.4809999999999999</v>
      </c>
      <c r="D19" s="37">
        <f>C8</f>
        <v>129</v>
      </c>
      <c r="E19" s="36">
        <f t="shared" si="4"/>
        <v>320.04899999999998</v>
      </c>
      <c r="F19" s="45"/>
      <c r="G19" s="25">
        <f>Rates!I149</f>
        <v>2.4809999999999999</v>
      </c>
      <c r="H19" s="37">
        <f t="shared" si="6"/>
        <v>129</v>
      </c>
      <c r="I19" s="36">
        <f t="shared" si="5"/>
        <v>320.04899999999998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Rates!B150</f>
        <v>Rate Rider for Deferral/Variance Account Disposition (2016) - effective until December 31, 2017</v>
      </c>
      <c r="C20" s="25">
        <f>Rates!E150</f>
        <v>0</v>
      </c>
      <c r="D20" s="37">
        <f>C8</f>
        <v>129</v>
      </c>
      <c r="E20" s="36">
        <f t="shared" si="4"/>
        <v>0</v>
      </c>
      <c r="F20" s="45"/>
      <c r="G20" s="25">
        <f>Rates!I150</f>
        <v>-0.89049999999999996</v>
      </c>
      <c r="H20" s="37">
        <f t="shared" si="6"/>
        <v>129</v>
      </c>
      <c r="I20" s="36">
        <f t="shared" si="5"/>
        <v>-114.8745</v>
      </c>
      <c r="J20" s="45"/>
      <c r="K20" s="36">
        <f t="shared" ref="K20:K21" si="9">I20-E20</f>
        <v>-114.8745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Rates!B151</f>
        <v>Rate Rider for Global Adjustment Sub-Account Disposition (2016) - effective until December 31, 2017 Applicable only for Non-RPP Customers</v>
      </c>
      <c r="C21" s="25">
        <f>Rates!E151</f>
        <v>0</v>
      </c>
      <c r="D21" s="37">
        <f>C8</f>
        <v>129</v>
      </c>
      <c r="E21" s="36">
        <f t="shared" si="4"/>
        <v>0</v>
      </c>
      <c r="F21" s="45"/>
      <c r="G21" s="25">
        <f>Rates!I151</f>
        <v>3.4611000000000001</v>
      </c>
      <c r="H21" s="37">
        <f t="shared" si="6"/>
        <v>129</v>
      </c>
      <c r="I21" s="36">
        <f t="shared" si="5"/>
        <v>446.4819</v>
      </c>
      <c r="J21" s="45"/>
      <c r="K21" s="36">
        <f t="shared" si="9"/>
        <v>446.4819</v>
      </c>
      <c r="L21" s="47" t="str">
        <f t="shared" si="10"/>
        <v xml:space="preserve"> </v>
      </c>
    </row>
    <row r="22" spans="2:12" x14ac:dyDescent="0.2">
      <c r="B22" s="48" t="str">
        <f>Rates!B152</f>
        <v>Rate Rider for Loss Revenue Adjustment Mechanism (LRAM) - effective until December 31, 2015</v>
      </c>
      <c r="C22" s="25">
        <f>Rates!E152</f>
        <v>0</v>
      </c>
      <c r="D22" s="37">
        <f>C8</f>
        <v>129</v>
      </c>
      <c r="E22" s="36">
        <f t="shared" si="4"/>
        <v>0</v>
      </c>
      <c r="F22" s="45"/>
      <c r="G22" s="25">
        <f>Rates!I152</f>
        <v>0</v>
      </c>
      <c r="H22" s="37">
        <f t="shared" si="6"/>
        <v>129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Rates!E147</f>
        <v>5.0700000000000002E-2</v>
      </c>
      <c r="D23" s="37">
        <f>C8</f>
        <v>129</v>
      </c>
      <c r="E23" s="36">
        <f t="shared" si="4"/>
        <v>6.5403000000000002</v>
      </c>
      <c r="F23" s="45"/>
      <c r="G23" s="25">
        <f>Rates!I147</f>
        <v>5.0700000000000002E-2</v>
      </c>
      <c r="H23" s="37">
        <f t="shared" si="6"/>
        <v>129</v>
      </c>
      <c r="I23" s="36">
        <f t="shared" si="5"/>
        <v>6.5403000000000002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6489.7360480000007</v>
      </c>
      <c r="F24" s="53"/>
      <c r="G24" s="50"/>
      <c r="H24" s="51"/>
      <c r="I24" s="52">
        <f>SUM(I16:I23)</f>
        <v>6745.5031480000007</v>
      </c>
      <c r="J24" s="53"/>
      <c r="K24" s="54">
        <f t="shared" si="2"/>
        <v>255.76710000000003</v>
      </c>
      <c r="L24" s="55">
        <f t="shared" si="3"/>
        <v>3.9411017352365518E-2</v>
      </c>
    </row>
    <row r="25" spans="2:12" x14ac:dyDescent="0.2">
      <c r="B25" s="44" t="str">
        <f>Rates!B15</f>
        <v>Retail Transmission Rate - Network Service Rate</v>
      </c>
      <c r="C25" s="25">
        <f>Rates!E153</f>
        <v>1.9564999999999999</v>
      </c>
      <c r="D25" s="37">
        <f>C8</f>
        <v>129</v>
      </c>
      <c r="E25" s="36">
        <f>C25*D25</f>
        <v>252.38849999999999</v>
      </c>
      <c r="F25" s="45"/>
      <c r="G25" s="25">
        <f>Rates!I153</f>
        <v>1.9218999999999999</v>
      </c>
      <c r="H25" s="37">
        <f>D25</f>
        <v>129</v>
      </c>
      <c r="I25" s="36">
        <f>G25*H25</f>
        <v>247.92509999999999</v>
      </c>
      <c r="J25" s="45"/>
      <c r="K25" s="36">
        <f t="shared" si="2"/>
        <v>-4.4634000000000071</v>
      </c>
      <c r="L25" s="47">
        <f t="shared" si="3"/>
        <v>-1.7684640940454924E-2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Rates!E154</f>
        <v>1.5501</v>
      </c>
      <c r="D26" s="37">
        <f>C8</f>
        <v>129</v>
      </c>
      <c r="E26" s="36">
        <f>C26*D26</f>
        <v>199.96289999999999</v>
      </c>
      <c r="F26" s="45"/>
      <c r="G26" s="25">
        <f>Rates!I154</f>
        <v>1.5872999999999999</v>
      </c>
      <c r="H26" s="37">
        <f>D26</f>
        <v>129</v>
      </c>
      <c r="I26" s="36">
        <f>G26*H26</f>
        <v>204.76169999999999</v>
      </c>
      <c r="J26" s="45"/>
      <c r="K26" s="36">
        <f t="shared" si="2"/>
        <v>4.7988</v>
      </c>
      <c r="L26" s="47">
        <f t="shared" si="3"/>
        <v>2.3998451712792725E-2</v>
      </c>
    </row>
    <row r="27" spans="2:12" x14ac:dyDescent="0.2">
      <c r="B27" s="49" t="s">
        <v>57</v>
      </c>
      <c r="C27" s="50"/>
      <c r="D27" s="51"/>
      <c r="E27" s="52">
        <f>SUM(E24:E26)</f>
        <v>6942.0874480000002</v>
      </c>
      <c r="F27" s="53"/>
      <c r="G27" s="50"/>
      <c r="H27" s="52"/>
      <c r="I27" s="52">
        <f>SUM(I24:I26)</f>
        <v>7198.1899480000011</v>
      </c>
      <c r="J27" s="53"/>
      <c r="K27" s="54">
        <f t="shared" si="2"/>
        <v>256.10250000000087</v>
      </c>
      <c r="L27" s="55">
        <f t="shared" si="3"/>
        <v>3.6891281177073534E-2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48493.200000000004</v>
      </c>
      <c r="E28" s="36">
        <f t="shared" ref="E28:E32" si="11">C28*D28</f>
        <v>213.37008000000003</v>
      </c>
      <c r="F28" s="45"/>
      <c r="G28" s="25">
        <f>Rates!I244</f>
        <v>4.4000000000000003E-3</v>
      </c>
      <c r="H28" s="37">
        <f>D28</f>
        <v>48493.200000000004</v>
      </c>
      <c r="I28" s="36">
        <f t="shared" ref="I28:I32" si="12">G28*H28</f>
        <v>213.37008000000003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48493.200000000004</v>
      </c>
      <c r="E29" s="36">
        <f t="shared" si="11"/>
        <v>63.041160000000005</v>
      </c>
      <c r="F29" s="45"/>
      <c r="G29" s="25">
        <f>Rates!I245</f>
        <v>1.2999999999999999E-3</v>
      </c>
      <c r="H29" s="37">
        <f t="shared" ref="H29:H30" si="13">D29</f>
        <v>48493.200000000004</v>
      </c>
      <c r="I29" s="36">
        <f t="shared" si="12"/>
        <v>63.041160000000005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Rates!E251</f>
        <v>0</v>
      </c>
      <c r="D31" s="37">
        <f>C7</f>
        <v>46000</v>
      </c>
      <c r="E31" s="36">
        <f t="shared" si="11"/>
        <v>0</v>
      </c>
      <c r="F31" s="45"/>
      <c r="G31" s="25">
        <f>Rates!I251</f>
        <v>0</v>
      </c>
      <c r="H31" s="37">
        <f>D31</f>
        <v>46000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46000</v>
      </c>
      <c r="E32" s="36">
        <f t="shared" si="11"/>
        <v>4698.4400000000005</v>
      </c>
      <c r="F32" s="45"/>
      <c r="G32" s="25">
        <f>Rates!I266</f>
        <v>0.10214000000000001</v>
      </c>
      <c r="H32" s="37">
        <f>D32</f>
        <v>46000</v>
      </c>
      <c r="I32" s="36">
        <f t="shared" si="12"/>
        <v>4698.4400000000005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11917.188688</v>
      </c>
      <c r="F34" s="45"/>
      <c r="G34" s="35"/>
      <c r="H34" s="39"/>
      <c r="I34" s="39">
        <f>SUM(I27:I32)</f>
        <v>12173.291188000001</v>
      </c>
      <c r="J34" s="45"/>
      <c r="K34" s="36">
        <f t="shared" si="2"/>
        <v>256.10250000000087</v>
      </c>
      <c r="L34" s="47">
        <f t="shared" si="3"/>
        <v>2.1490177482704709E-2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1549.2345294400002</v>
      </c>
      <c r="F35" s="45"/>
      <c r="G35" s="41">
        <f>Rates!I268</f>
        <v>0.13</v>
      </c>
      <c r="H35" s="35"/>
      <c r="I35" s="42">
        <f>I34*G35</f>
        <v>1582.5278544400003</v>
      </c>
      <c r="J35" s="45"/>
      <c r="K35" s="36">
        <f t="shared" si="2"/>
        <v>33.293325000000095</v>
      </c>
      <c r="L35" s="47">
        <f t="shared" si="3"/>
        <v>2.1490177482704695E-2</v>
      </c>
    </row>
    <row r="36" spans="2:12" x14ac:dyDescent="0.2">
      <c r="B36" s="23" t="s">
        <v>59</v>
      </c>
      <c r="C36" s="35"/>
      <c r="D36" s="35"/>
      <c r="E36" s="42">
        <f>E34+E35</f>
        <v>13466.42321744</v>
      </c>
      <c r="F36" s="45"/>
      <c r="G36" s="35"/>
      <c r="H36" s="35"/>
      <c r="I36" s="42">
        <f>I34+I35</f>
        <v>13755.819042440002</v>
      </c>
      <c r="J36" s="45"/>
      <c r="K36" s="36">
        <f t="shared" si="2"/>
        <v>289.39582500000142</v>
      </c>
      <c r="L36" s="47">
        <f t="shared" si="3"/>
        <v>2.149017748270474E-2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13466.42321744</v>
      </c>
      <c r="F38" s="59"/>
      <c r="G38" s="57"/>
      <c r="H38" s="57"/>
      <c r="I38" s="58">
        <f>I36+I37</f>
        <v>13755.819042440002</v>
      </c>
      <c r="J38" s="59"/>
      <c r="K38" s="60">
        <f t="shared" si="2"/>
        <v>289.39582500000142</v>
      </c>
      <c r="L38" s="61">
        <f t="shared" si="3"/>
        <v>2.149017748270474E-2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2"/>
  <sheetViews>
    <sheetView showGridLines="0" topLeftCell="A16" workbookViewId="0">
      <selection activeCell="C8" sqref="C8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Rates!B159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Rates!E160</f>
        <v>18.760000000000002</v>
      </c>
      <c r="D14" s="37">
        <f>C6</f>
        <v>1</v>
      </c>
      <c r="E14" s="36">
        <f>C14*D14</f>
        <v>18.760000000000002</v>
      </c>
      <c r="F14" s="45"/>
      <c r="G14" s="36">
        <f>Rates!I160</f>
        <v>23.33</v>
      </c>
      <c r="H14" s="37">
        <f>D14</f>
        <v>1</v>
      </c>
      <c r="I14" s="36">
        <f>G14*H14</f>
        <v>23.33</v>
      </c>
      <c r="J14" s="45"/>
      <c r="K14" s="36">
        <f>I14-E14</f>
        <v>4.5699999999999967</v>
      </c>
      <c r="L14" s="47">
        <f>IF((E14)=0," ",K14/E14)</f>
        <v>0.24360341151385909</v>
      </c>
    </row>
    <row r="15" spans="2:12" x14ac:dyDescent="0.2">
      <c r="B15" s="44" t="str">
        <f>Rates!B8</f>
        <v>Distribution Volumetric Rate</v>
      </c>
      <c r="C15" s="25">
        <f>Rates!E162</f>
        <v>2.1299999999999999E-2</v>
      </c>
      <c r="D15" s="38">
        <f>C7</f>
        <v>800</v>
      </c>
      <c r="E15" s="36">
        <f t="shared" ref="E15" si="0">C15*D15</f>
        <v>17.04</v>
      </c>
      <c r="F15" s="45"/>
      <c r="G15" s="25">
        <f>Rates!I162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2" si="2">I15-E15</f>
        <v>-4.9599999999999991</v>
      </c>
      <c r="L15" s="47">
        <f t="shared" ref="L15:L42" si="3">IF((E15)=0," ",K15/E15)</f>
        <v>-0.29107981220657275</v>
      </c>
    </row>
    <row r="16" spans="2:12" x14ac:dyDescent="0.2">
      <c r="B16" s="49" t="s">
        <v>36</v>
      </c>
      <c r="C16" s="50"/>
      <c r="D16" s="51"/>
      <c r="E16" s="52">
        <f>SUM(E14:E15)</f>
        <v>35.799999999999997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-0.39000000000000057</v>
      </c>
      <c r="L16" s="55">
        <f t="shared" si="3"/>
        <v>-1.0893854748603368E-2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5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5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Rates!B164</f>
        <v>Rate Rider for Deferral/Variance Account Disposition (2015) - effective until December 31, 2016</v>
      </c>
      <c r="C18" s="25">
        <f>Rates!E164</f>
        <v>-6.9999999999999999E-4</v>
      </c>
      <c r="D18" s="37">
        <f>C7</f>
        <v>800</v>
      </c>
      <c r="E18" s="36">
        <f t="shared" si="4"/>
        <v>-0.55999999999999994</v>
      </c>
      <c r="F18" s="45"/>
      <c r="G18" s="25">
        <f>Rates!I164</f>
        <v>-6.9999999999999999E-4</v>
      </c>
      <c r="H18" s="37">
        <f t="shared" ref="H18:H25" si="6">D18</f>
        <v>800</v>
      </c>
      <c r="I18" s="36">
        <f t="shared" si="5"/>
        <v>-0.55999999999999994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Rates!B165</f>
        <v>Rate Rider for Global Adjustment Sub-Account Disposition (2015) - effective until December 31, 2016 Applicable only for Non-RPP Customers</v>
      </c>
      <c r="C19" s="25">
        <f>Rates!E165</f>
        <v>-2.3E-3</v>
      </c>
      <c r="D19" s="37"/>
      <c r="E19" s="36">
        <f t="shared" si="4"/>
        <v>0</v>
      </c>
      <c r="F19" s="45"/>
      <c r="G19" s="25">
        <f>Rates!I165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Rates!B166</f>
        <v>Rate Rider for Deferral/Variance Account Disposition (2016) - effective until December 31, 2017</v>
      </c>
      <c r="C20" s="25">
        <f>Rates!E166</f>
        <v>0</v>
      </c>
      <c r="D20" s="37">
        <f>C7</f>
        <v>800</v>
      </c>
      <c r="E20" s="36">
        <f t="shared" si="4"/>
        <v>0</v>
      </c>
      <c r="F20" s="45"/>
      <c r="G20" s="25">
        <f>Rates!I166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7">I20-E20</f>
        <v>-1.04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Rates!B167</f>
        <v>Rate Rider for Global Adjustment Sub-Account Disposition (2016) - effective until December 31, 2017 Applicable only for Non-RPP Customers</v>
      </c>
      <c r="C21" s="25">
        <f>Rates!E167</f>
        <v>0</v>
      </c>
      <c r="D21" s="37"/>
      <c r="E21" s="36">
        <f t="shared" si="4"/>
        <v>0</v>
      </c>
      <c r="F21" s="45"/>
      <c r="G21" s="25">
        <f>Rates!I167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Rates!E168</f>
        <v>6.9999999999999999E-4</v>
      </c>
      <c r="D22" s="37">
        <f>C7</f>
        <v>800</v>
      </c>
      <c r="E22" s="36">
        <f t="shared" si="4"/>
        <v>0.55999999999999994</v>
      </c>
      <c r="F22" s="45"/>
      <c r="G22" s="25">
        <f>Rates!I168</f>
        <v>6.9999999999999999E-4</v>
      </c>
      <c r="H22" s="37">
        <f t="shared" si="6"/>
        <v>800</v>
      </c>
      <c r="I22" s="36">
        <f t="shared" si="5"/>
        <v>0.55999999999999994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8" t="str">
        <f>Rates!B169</f>
        <v>Rate Rider for Loss Revenue Adjustment Mechanism (LRAM) - effective until December 31, 2015</v>
      </c>
      <c r="C23" s="25">
        <f>Rates!E169</f>
        <v>1E-4</v>
      </c>
      <c r="D23" s="37">
        <f>C7</f>
        <v>800</v>
      </c>
      <c r="E23" s="36">
        <f t="shared" si="4"/>
        <v>0.08</v>
      </c>
      <c r="F23" s="45"/>
      <c r="G23" s="25">
        <f>Rates!I169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2"/>
        <v>-0.08</v>
      </c>
      <c r="L23" s="47">
        <f t="shared" si="3"/>
        <v>-1</v>
      </c>
    </row>
    <row r="24" spans="2:12" x14ac:dyDescent="0.2">
      <c r="B24" s="44" t="str">
        <f>Rates!B9</f>
        <v>Low Voltage Service Rate</v>
      </c>
      <c r="C24" s="25">
        <f>Rates!E163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Rates!I163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Rates!B247</f>
        <v>Smart Meter Entity Charge</v>
      </c>
      <c r="C25" s="36">
        <f>Rates!E247</f>
        <v>0.79</v>
      </c>
      <c r="D25" s="37">
        <f>C6</f>
        <v>1</v>
      </c>
      <c r="E25" s="36">
        <f t="shared" si="4"/>
        <v>0.79</v>
      </c>
      <c r="F25" s="45"/>
      <c r="G25" s="36">
        <f>Rates!I247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41.258790399999995</v>
      </c>
      <c r="F26" s="53"/>
      <c r="G26" s="50"/>
      <c r="H26" s="51"/>
      <c r="I26" s="52">
        <f>SUM(I16:I25)</f>
        <v>39.748790399999997</v>
      </c>
      <c r="J26" s="53"/>
      <c r="K26" s="54">
        <f t="shared" si="2"/>
        <v>-1.509999999999998</v>
      </c>
      <c r="L26" s="55">
        <f t="shared" si="3"/>
        <v>-3.6598261494355348E-2</v>
      </c>
    </row>
    <row r="27" spans="2:12" x14ac:dyDescent="0.2">
      <c r="B27" s="44" t="str">
        <f>Rates!B15</f>
        <v>Retail Transmission Rate - Network Service Rate</v>
      </c>
      <c r="C27" s="25">
        <f>Rates!E170</f>
        <v>7.3000000000000001E-3</v>
      </c>
      <c r="D27" s="37">
        <f>C7*C5</f>
        <v>843.36</v>
      </c>
      <c r="E27" s="36">
        <f>C27*D27</f>
        <v>6.1565279999999998</v>
      </c>
      <c r="F27" s="45"/>
      <c r="G27" s="25">
        <f>Rates!I170</f>
        <v>7.1999999999999998E-3</v>
      </c>
      <c r="H27" s="37">
        <f>D27</f>
        <v>843.36</v>
      </c>
      <c r="I27" s="36">
        <f>G27*H27</f>
        <v>6.0721920000000003</v>
      </c>
      <c r="J27" s="45"/>
      <c r="K27" s="36">
        <f t="shared" si="2"/>
        <v>-8.4335999999999522E-2</v>
      </c>
      <c r="L27" s="47">
        <f t="shared" si="3"/>
        <v>-1.3698630136986224E-2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Rates!E171</f>
        <v>5.7000000000000002E-3</v>
      </c>
      <c r="D28" s="37">
        <f>C7*C5</f>
        <v>843.36</v>
      </c>
      <c r="E28" s="36">
        <f>C28*D28</f>
        <v>4.8071520000000003</v>
      </c>
      <c r="F28" s="45"/>
      <c r="G28" s="25">
        <f>Rates!I171</f>
        <v>5.7999999999999996E-3</v>
      </c>
      <c r="H28" s="37">
        <f>D28</f>
        <v>843.36</v>
      </c>
      <c r="I28" s="36">
        <f>G28*H28</f>
        <v>4.8914879999999998</v>
      </c>
      <c r="J28" s="45"/>
      <c r="K28" s="36">
        <f t="shared" si="2"/>
        <v>8.4335999999999522E-2</v>
      </c>
      <c r="L28" s="47">
        <f t="shared" si="3"/>
        <v>1.7543859649122705E-2</v>
      </c>
    </row>
    <row r="29" spans="2:12" x14ac:dyDescent="0.2">
      <c r="B29" s="49" t="s">
        <v>57</v>
      </c>
      <c r="C29" s="50"/>
      <c r="D29" s="51"/>
      <c r="E29" s="52">
        <f>SUM(E26:E28)</f>
        <v>52.222470399999999</v>
      </c>
      <c r="F29" s="53"/>
      <c r="G29" s="50"/>
      <c r="H29" s="52"/>
      <c r="I29" s="52">
        <f>SUM(I26:I28)</f>
        <v>50.712470400000001</v>
      </c>
      <c r="J29" s="53"/>
      <c r="K29" s="54">
        <f t="shared" si="2"/>
        <v>-1.509999999999998</v>
      </c>
      <c r="L29" s="55">
        <f t="shared" si="3"/>
        <v>-2.8914756204256434E-2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843.36</v>
      </c>
      <c r="E30" s="36">
        <f t="shared" ref="E30:E36" si="9">C30*D30</f>
        <v>3.7107840000000003</v>
      </c>
      <c r="F30" s="45"/>
      <c r="G30" s="25">
        <f>Rates!I244</f>
        <v>4.4000000000000003E-3</v>
      </c>
      <c r="H30" s="37">
        <f>D30</f>
        <v>843.36</v>
      </c>
      <c r="I30" s="36">
        <f t="shared" ref="I30:I36" si="10">G30*H30</f>
        <v>3.7107840000000003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843.36</v>
      </c>
      <c r="E31" s="36">
        <f t="shared" si="9"/>
        <v>1.096368</v>
      </c>
      <c r="F31" s="45"/>
      <c r="G31" s="25">
        <f>Rates!I245</f>
        <v>1.2999999999999999E-3</v>
      </c>
      <c r="H31" s="37">
        <f t="shared" ref="H31:H32" si="11">D31</f>
        <v>843.36</v>
      </c>
      <c r="I31" s="36">
        <f t="shared" si="10"/>
        <v>1.096368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Rates!B246</f>
        <v>Standard Supply Service - Administrative Charge (if applicable)</v>
      </c>
      <c r="C32" s="36">
        <f>Rates!E246</f>
        <v>0.25</v>
      </c>
      <c r="D32" s="37">
        <v>1</v>
      </c>
      <c r="E32" s="36">
        <f t="shared" si="9"/>
        <v>0.25</v>
      </c>
      <c r="F32" s="45"/>
      <c r="G32" s="36">
        <f>Rates!I246</f>
        <v>0.25</v>
      </c>
      <c r="H32" s="37">
        <f t="shared" si="11"/>
        <v>1</v>
      </c>
      <c r="I32" s="36">
        <f t="shared" si="10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Rates!B249</f>
        <v>Debt Retirement Charge</v>
      </c>
      <c r="C33" s="25">
        <f>Rates!E252</f>
        <v>0</v>
      </c>
      <c r="D33" s="37">
        <f>C7</f>
        <v>800</v>
      </c>
      <c r="E33" s="36">
        <f t="shared" si="9"/>
        <v>0</v>
      </c>
      <c r="F33" s="45"/>
      <c r="G33" s="25">
        <f>Rates!I252</f>
        <v>0</v>
      </c>
      <c r="H33" s="37">
        <f>D33</f>
        <v>800</v>
      </c>
      <c r="I33" s="36">
        <f t="shared" si="10"/>
        <v>0</v>
      </c>
      <c r="J33" s="45"/>
      <c r="K33" s="36">
        <f t="shared" si="2"/>
        <v>0</v>
      </c>
      <c r="L33" s="47" t="str">
        <f t="shared" si="3"/>
        <v xml:space="preserve"> </v>
      </c>
    </row>
    <row r="34" spans="2:12" x14ac:dyDescent="0.2">
      <c r="B34" s="44" t="str">
        <f>Rates!B262</f>
        <v>TOU - Off Peak</v>
      </c>
      <c r="C34" s="25">
        <f>Rates!E262</f>
        <v>0.08</v>
      </c>
      <c r="D34" s="37">
        <f>C7*0.64</f>
        <v>512</v>
      </c>
      <c r="E34" s="36">
        <f t="shared" si="9"/>
        <v>40.96</v>
      </c>
      <c r="F34" s="45"/>
      <c r="G34" s="25">
        <f>Rates!I262</f>
        <v>0.08</v>
      </c>
      <c r="H34" s="37">
        <f>D34</f>
        <v>512</v>
      </c>
      <c r="I34" s="36">
        <f t="shared" si="10"/>
        <v>40.96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Rates!B263</f>
        <v>TOU - Mid Peak</v>
      </c>
      <c r="C35" s="25">
        <f>Rates!E263</f>
        <v>0.122</v>
      </c>
      <c r="D35" s="37">
        <f>C7*0.18</f>
        <v>144</v>
      </c>
      <c r="E35" s="36">
        <f t="shared" si="9"/>
        <v>17.567999999999998</v>
      </c>
      <c r="F35" s="45"/>
      <c r="G35" s="25">
        <f>Rates!I263</f>
        <v>0.122</v>
      </c>
      <c r="H35" s="37">
        <f t="shared" ref="H35:H36" si="12">D35</f>
        <v>144</v>
      </c>
      <c r="I35" s="36">
        <f t="shared" si="10"/>
        <v>17.567999999999998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On Peak</v>
      </c>
      <c r="C36" s="25">
        <f>Rates!E264</f>
        <v>0.161</v>
      </c>
      <c r="D36" s="37">
        <f>C7*0.18</f>
        <v>144</v>
      </c>
      <c r="E36" s="36">
        <f t="shared" si="9"/>
        <v>23.184000000000001</v>
      </c>
      <c r="F36" s="45"/>
      <c r="G36" s="25">
        <f>Rates!I264</f>
        <v>0.161</v>
      </c>
      <c r="H36" s="37">
        <f t="shared" si="12"/>
        <v>144</v>
      </c>
      <c r="I36" s="36">
        <f t="shared" si="10"/>
        <v>23.184000000000001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SUM(E29:E36)</f>
        <v>138.99162240000001</v>
      </c>
      <c r="F38" s="45"/>
      <c r="G38" s="35"/>
      <c r="H38" s="39"/>
      <c r="I38" s="39">
        <f>SUM(I29:I36)</f>
        <v>137.48162240000002</v>
      </c>
      <c r="J38" s="45"/>
      <c r="K38" s="36">
        <f t="shared" si="2"/>
        <v>-1.5099999999999909</v>
      </c>
      <c r="L38" s="47">
        <f t="shared" si="3"/>
        <v>-1.0863964129107041E-2</v>
      </c>
    </row>
    <row r="39" spans="2:12" x14ac:dyDescent="0.2">
      <c r="B39" s="44" t="str">
        <f>Rates!B268</f>
        <v>HST</v>
      </c>
      <c r="C39" s="41">
        <f>Rates!E268</f>
        <v>0.13</v>
      </c>
      <c r="D39" s="35"/>
      <c r="E39" s="42">
        <f>E38*C39</f>
        <v>18.068910912000003</v>
      </c>
      <c r="F39" s="45"/>
      <c r="G39" s="41">
        <f>Rates!I268</f>
        <v>0.13</v>
      </c>
      <c r="H39" s="35"/>
      <c r="I39" s="42">
        <f>I38*G39</f>
        <v>17.872610912000003</v>
      </c>
      <c r="J39" s="45"/>
      <c r="K39" s="36">
        <f t="shared" si="2"/>
        <v>-0.19630000000000081</v>
      </c>
      <c r="L39" s="47">
        <f t="shared" si="3"/>
        <v>-1.0863964129107151E-2</v>
      </c>
    </row>
    <row r="40" spans="2:12" x14ac:dyDescent="0.2">
      <c r="B40" s="23" t="s">
        <v>59</v>
      </c>
      <c r="C40" s="35"/>
      <c r="D40" s="35"/>
      <c r="E40" s="42">
        <f>E38+E39</f>
        <v>157.06053331200002</v>
      </c>
      <c r="F40" s="45"/>
      <c r="G40" s="35"/>
      <c r="H40" s="35"/>
      <c r="I40" s="42">
        <f>I38+I39</f>
        <v>155.35423331200002</v>
      </c>
      <c r="J40" s="45"/>
      <c r="K40" s="36">
        <f t="shared" si="2"/>
        <v>-1.7062999999999988</v>
      </c>
      <c r="L40" s="47">
        <f t="shared" si="3"/>
        <v>-1.0863964129107099E-2</v>
      </c>
    </row>
    <row r="41" spans="2:12" x14ac:dyDescent="0.2">
      <c r="B41" s="44" t="str">
        <f>Rates!B270</f>
        <v>OCEB</v>
      </c>
      <c r="C41" s="41">
        <f>Rates!E270</f>
        <v>0</v>
      </c>
      <c r="D41" s="35"/>
      <c r="E41" s="42">
        <f>E40*C41</f>
        <v>0</v>
      </c>
      <c r="F41" s="45"/>
      <c r="G41" s="41">
        <f>Rates!I270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157.06053331200002</v>
      </c>
      <c r="F42" s="59"/>
      <c r="G42" s="57"/>
      <c r="H42" s="57"/>
      <c r="I42" s="58">
        <f>I40+I41</f>
        <v>155.35423331200002</v>
      </c>
      <c r="J42" s="59"/>
      <c r="K42" s="60">
        <f t="shared" si="2"/>
        <v>-1.7062999999999988</v>
      </c>
      <c r="L42" s="61">
        <f t="shared" si="3"/>
        <v>-1.0863964129107099E-2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2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9.1406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Rates!B159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Rates!E160</f>
        <v>18.760000000000002</v>
      </c>
      <c r="D14" s="37">
        <f>C6</f>
        <v>1</v>
      </c>
      <c r="E14" s="36">
        <f>C14*D14</f>
        <v>18.760000000000002</v>
      </c>
      <c r="F14" s="45"/>
      <c r="G14" s="36">
        <f>Rates!I160</f>
        <v>23.33</v>
      </c>
      <c r="H14" s="37">
        <f>D14</f>
        <v>1</v>
      </c>
      <c r="I14" s="36">
        <f>G14*H14</f>
        <v>23.33</v>
      </c>
      <c r="J14" s="45"/>
      <c r="K14" s="36">
        <f>I14-E14</f>
        <v>4.5699999999999967</v>
      </c>
      <c r="L14" s="47">
        <f>IF((E14)=0," ",K14/E14)</f>
        <v>0.24360341151385909</v>
      </c>
    </row>
    <row r="15" spans="2:12" x14ac:dyDescent="0.2">
      <c r="B15" s="44" t="str">
        <f>Rates!B8</f>
        <v>Distribution Volumetric Rate</v>
      </c>
      <c r="C15" s="25">
        <f>Rates!E162</f>
        <v>2.1299999999999999E-2</v>
      </c>
      <c r="D15" s="38">
        <f>C7</f>
        <v>800</v>
      </c>
      <c r="E15" s="36">
        <f t="shared" ref="E15" si="0">C15*D15</f>
        <v>17.04</v>
      </c>
      <c r="F15" s="45"/>
      <c r="G15" s="25">
        <f>Rates!I162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2" si="2">I15-E15</f>
        <v>-4.9599999999999991</v>
      </c>
      <c r="L15" s="47">
        <f t="shared" ref="L15:L42" si="3">IF((E15)=0," ",K15/E15)</f>
        <v>-0.29107981220657275</v>
      </c>
    </row>
    <row r="16" spans="2:12" x14ac:dyDescent="0.2">
      <c r="B16" s="49" t="s">
        <v>36</v>
      </c>
      <c r="C16" s="50"/>
      <c r="D16" s="51"/>
      <c r="E16" s="52">
        <f>SUM(E14:E15)</f>
        <v>35.799999999999997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-0.39000000000000057</v>
      </c>
      <c r="L16" s="55">
        <f t="shared" si="3"/>
        <v>-1.0893854748603368E-2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5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5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Rates!B164</f>
        <v>Rate Rider for Deferral/Variance Account Disposition (2015) - effective until December 31, 2016</v>
      </c>
      <c r="C18" s="25">
        <f>Rates!E164</f>
        <v>-6.9999999999999999E-4</v>
      </c>
      <c r="D18" s="37">
        <f>C7</f>
        <v>800</v>
      </c>
      <c r="E18" s="36">
        <f t="shared" si="4"/>
        <v>-0.55999999999999994</v>
      </c>
      <c r="F18" s="45"/>
      <c r="G18" s="25">
        <f>Rates!I164</f>
        <v>-6.9999999999999999E-4</v>
      </c>
      <c r="H18" s="37">
        <f t="shared" ref="H18:H25" si="6">D18</f>
        <v>800</v>
      </c>
      <c r="I18" s="36">
        <f t="shared" si="5"/>
        <v>-0.55999999999999994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Rates!B165</f>
        <v>Rate Rider for Global Adjustment Sub-Account Disposition (2015) - effective until December 31, 2016 Applicable only for Non-RPP Customers</v>
      </c>
      <c r="C19" s="25">
        <f>Rates!E165</f>
        <v>-2.3E-3</v>
      </c>
      <c r="D19" s="37">
        <f>C7</f>
        <v>800</v>
      </c>
      <c r="E19" s="36">
        <f t="shared" si="4"/>
        <v>-1.8399999999999999</v>
      </c>
      <c r="F19" s="45"/>
      <c r="G19" s="25">
        <f>Rates!I165</f>
        <v>-2.3E-3</v>
      </c>
      <c r="H19" s="37">
        <f t="shared" si="6"/>
        <v>800</v>
      </c>
      <c r="I19" s="36">
        <f t="shared" si="5"/>
        <v>-1.8399999999999999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Rates!B166</f>
        <v>Rate Rider for Deferral/Variance Account Disposition (2016) - effective until December 31, 2017</v>
      </c>
      <c r="C20" s="25">
        <f>Rates!E166</f>
        <v>0</v>
      </c>
      <c r="D20" s="37">
        <f>C7</f>
        <v>800</v>
      </c>
      <c r="E20" s="36">
        <f t="shared" si="4"/>
        <v>0</v>
      </c>
      <c r="F20" s="45"/>
      <c r="G20" s="25">
        <f>Rates!I166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9">I20-E20</f>
        <v>-1.04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Rates!B167</f>
        <v>Rate Rider for Global Adjustment Sub-Account Disposition (2016) - effective until December 31, 2017 Applicable only for Non-RPP Customers</v>
      </c>
      <c r="C21" s="25">
        <f>Rates!E167</f>
        <v>0</v>
      </c>
      <c r="D21" s="37">
        <f>C7</f>
        <v>800</v>
      </c>
      <c r="E21" s="36">
        <f t="shared" si="4"/>
        <v>0</v>
      </c>
      <c r="F21" s="45"/>
      <c r="G21" s="25">
        <f>Rates!I167</f>
        <v>1.9E-3</v>
      </c>
      <c r="H21" s="37">
        <f t="shared" si="6"/>
        <v>800</v>
      </c>
      <c r="I21" s="36">
        <f t="shared" si="5"/>
        <v>1.52</v>
      </c>
      <c r="J21" s="45"/>
      <c r="K21" s="36">
        <f t="shared" si="9"/>
        <v>1.52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Rates!E168</f>
        <v>6.9999999999999999E-4</v>
      </c>
      <c r="D22" s="37">
        <f>C7</f>
        <v>800</v>
      </c>
      <c r="E22" s="36">
        <f t="shared" si="4"/>
        <v>0.55999999999999994</v>
      </c>
      <c r="F22" s="45"/>
      <c r="G22" s="25">
        <f>Rates!I168</f>
        <v>6.9999999999999999E-4</v>
      </c>
      <c r="H22" s="37">
        <f t="shared" si="6"/>
        <v>800</v>
      </c>
      <c r="I22" s="36">
        <f t="shared" si="5"/>
        <v>0.55999999999999994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Rates!B169</f>
        <v>Rate Rider for Loss Revenue Adjustment Mechanism (LRAM) - effective until December 31, 2015</v>
      </c>
      <c r="C23" s="25">
        <f>Rates!E169</f>
        <v>1E-4</v>
      </c>
      <c r="D23" s="37">
        <f>C7</f>
        <v>800</v>
      </c>
      <c r="E23" s="36">
        <f t="shared" si="4"/>
        <v>0.08</v>
      </c>
      <c r="F23" s="45"/>
      <c r="G23" s="25">
        <f>Rates!I169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7"/>
        <v>-0.08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Rates!E163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Rates!I163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Rates!B247</f>
        <v>Smart Meter Entity Charge</v>
      </c>
      <c r="C25" s="36">
        <f>Rates!E247</f>
        <v>0.79</v>
      </c>
      <c r="D25" s="37">
        <f>C6</f>
        <v>1</v>
      </c>
      <c r="E25" s="36">
        <f t="shared" si="4"/>
        <v>0.79</v>
      </c>
      <c r="F25" s="45"/>
      <c r="G25" s="36">
        <f>Rates!I247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39.418790399999999</v>
      </c>
      <c r="F26" s="53"/>
      <c r="G26" s="50"/>
      <c r="H26" s="51"/>
      <c r="I26" s="52">
        <f>SUM(I16:I25)</f>
        <v>39.428790400000004</v>
      </c>
      <c r="J26" s="53"/>
      <c r="K26" s="54">
        <f t="shared" si="2"/>
        <v>1.0000000000005116E-2</v>
      </c>
      <c r="L26" s="55">
        <f t="shared" si="3"/>
        <v>2.536861202114694E-4</v>
      </c>
    </row>
    <row r="27" spans="2:12" x14ac:dyDescent="0.2">
      <c r="B27" s="44" t="str">
        <f>Rates!B15</f>
        <v>Retail Transmission Rate - Network Service Rate</v>
      </c>
      <c r="C27" s="25">
        <f>Rates!E170</f>
        <v>7.3000000000000001E-3</v>
      </c>
      <c r="D27" s="37">
        <f>C7*C5</f>
        <v>843.36</v>
      </c>
      <c r="E27" s="36">
        <f>C27*D27</f>
        <v>6.1565279999999998</v>
      </c>
      <c r="F27" s="45"/>
      <c r="G27" s="25">
        <f>Rates!I170</f>
        <v>7.1999999999999998E-3</v>
      </c>
      <c r="H27" s="37">
        <f>D27</f>
        <v>843.36</v>
      </c>
      <c r="I27" s="36">
        <f>G27*H27</f>
        <v>6.0721920000000003</v>
      </c>
      <c r="J27" s="45"/>
      <c r="K27" s="36">
        <f t="shared" si="2"/>
        <v>-8.4335999999999522E-2</v>
      </c>
      <c r="L27" s="47">
        <f t="shared" si="3"/>
        <v>-1.3698630136986224E-2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Rates!E171</f>
        <v>5.7000000000000002E-3</v>
      </c>
      <c r="D28" s="37">
        <f>C7*C5</f>
        <v>843.36</v>
      </c>
      <c r="E28" s="36">
        <f>C28*D28</f>
        <v>4.8071520000000003</v>
      </c>
      <c r="F28" s="45"/>
      <c r="G28" s="25">
        <f>Rates!I171</f>
        <v>5.7999999999999996E-3</v>
      </c>
      <c r="H28" s="37">
        <f>D28</f>
        <v>843.36</v>
      </c>
      <c r="I28" s="36">
        <f>G28*H28</f>
        <v>4.8914879999999998</v>
      </c>
      <c r="J28" s="45"/>
      <c r="K28" s="36">
        <f t="shared" si="2"/>
        <v>8.4335999999999522E-2</v>
      </c>
      <c r="L28" s="47">
        <f t="shared" si="3"/>
        <v>1.7543859649122705E-2</v>
      </c>
    </row>
    <row r="29" spans="2:12" x14ac:dyDescent="0.2">
      <c r="B29" s="49" t="s">
        <v>57</v>
      </c>
      <c r="C29" s="50"/>
      <c r="D29" s="51"/>
      <c r="E29" s="52">
        <f>SUM(E26:E28)</f>
        <v>50.382470400000003</v>
      </c>
      <c r="F29" s="53"/>
      <c r="G29" s="50"/>
      <c r="H29" s="52"/>
      <c r="I29" s="52">
        <f>SUM(I26:I28)</f>
        <v>50.392470400000008</v>
      </c>
      <c r="J29" s="53"/>
      <c r="K29" s="54">
        <f t="shared" si="2"/>
        <v>1.0000000000005116E-2</v>
      </c>
      <c r="L29" s="55">
        <f t="shared" si="3"/>
        <v>1.9848173224957852E-4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843.36</v>
      </c>
      <c r="E30" s="36">
        <f t="shared" ref="E30:E36" si="11">C30*D30</f>
        <v>3.7107840000000003</v>
      </c>
      <c r="F30" s="45"/>
      <c r="G30" s="25">
        <f>Rates!I244</f>
        <v>4.4000000000000003E-3</v>
      </c>
      <c r="H30" s="37">
        <f>D30</f>
        <v>843.36</v>
      </c>
      <c r="I30" s="36">
        <f t="shared" ref="I30:I36" si="12">G30*H30</f>
        <v>3.7107840000000003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843.36</v>
      </c>
      <c r="E31" s="36">
        <f t="shared" si="11"/>
        <v>1.096368</v>
      </c>
      <c r="F31" s="45"/>
      <c r="G31" s="25">
        <f>Rates!I245</f>
        <v>1.2999999999999999E-3</v>
      </c>
      <c r="H31" s="37">
        <f t="shared" ref="H31:H32" si="13">D31</f>
        <v>843.36</v>
      </c>
      <c r="I31" s="36">
        <f t="shared" si="12"/>
        <v>1.096368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Rates!B246</f>
        <v>Standard Supply Service - Administrative Charge (if applicable)</v>
      </c>
      <c r="C32" s="36">
        <f>Rates!E246</f>
        <v>0.25</v>
      </c>
      <c r="D32" s="37">
        <v>1</v>
      </c>
      <c r="E32" s="36">
        <f t="shared" si="11"/>
        <v>0.25</v>
      </c>
      <c r="F32" s="45"/>
      <c r="G32" s="36">
        <f>Rates!I246</f>
        <v>0.25</v>
      </c>
      <c r="H32" s="37">
        <f t="shared" si="13"/>
        <v>1</v>
      </c>
      <c r="I32" s="36">
        <f t="shared" si="12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Rates!B249</f>
        <v>Debt Retirement Charge</v>
      </c>
      <c r="C33" s="25">
        <f>Rates!E252</f>
        <v>0</v>
      </c>
      <c r="D33" s="37">
        <f>C7</f>
        <v>800</v>
      </c>
      <c r="E33" s="36">
        <f t="shared" si="11"/>
        <v>0</v>
      </c>
      <c r="F33" s="45"/>
      <c r="G33" s="25">
        <f>Rates!I252</f>
        <v>0</v>
      </c>
      <c r="H33" s="37">
        <f>D33</f>
        <v>800</v>
      </c>
      <c r="I33" s="36">
        <f t="shared" si="12"/>
        <v>0</v>
      </c>
      <c r="J33" s="45"/>
      <c r="K33" s="36">
        <f t="shared" si="2"/>
        <v>0</v>
      </c>
      <c r="L33" s="47" t="str">
        <f t="shared" si="3"/>
        <v xml:space="preserve"> </v>
      </c>
    </row>
    <row r="34" spans="2:12" x14ac:dyDescent="0.2">
      <c r="B34" s="44" t="str">
        <f>Rates!B262</f>
        <v>TOU - Off Peak</v>
      </c>
      <c r="C34" s="25">
        <f>Rates!E262</f>
        <v>0.08</v>
      </c>
      <c r="D34" s="37">
        <f>C7*0.64</f>
        <v>512</v>
      </c>
      <c r="E34" s="36">
        <f t="shared" si="11"/>
        <v>40.96</v>
      </c>
      <c r="F34" s="45"/>
      <c r="G34" s="25">
        <f>Rates!I262</f>
        <v>0.08</v>
      </c>
      <c r="H34" s="37">
        <f>D34</f>
        <v>512</v>
      </c>
      <c r="I34" s="36">
        <f t="shared" si="12"/>
        <v>40.96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Rates!B263</f>
        <v>TOU - Mid Peak</v>
      </c>
      <c r="C35" s="25">
        <f>Rates!E263</f>
        <v>0.122</v>
      </c>
      <c r="D35" s="37">
        <f>C7*0.18</f>
        <v>144</v>
      </c>
      <c r="E35" s="36">
        <f t="shared" si="11"/>
        <v>17.567999999999998</v>
      </c>
      <c r="F35" s="45"/>
      <c r="G35" s="25">
        <f>Rates!I263</f>
        <v>0.122</v>
      </c>
      <c r="H35" s="37">
        <f t="shared" ref="H35:H36" si="14">D35</f>
        <v>144</v>
      </c>
      <c r="I35" s="36">
        <f t="shared" si="12"/>
        <v>17.567999999999998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On Peak</v>
      </c>
      <c r="C36" s="25">
        <f>Rates!E264</f>
        <v>0.161</v>
      </c>
      <c r="D36" s="37">
        <f>C7*0.18</f>
        <v>144</v>
      </c>
      <c r="E36" s="36">
        <f t="shared" si="11"/>
        <v>23.184000000000001</v>
      </c>
      <c r="F36" s="45"/>
      <c r="G36" s="25">
        <f>Rates!I264</f>
        <v>0.161</v>
      </c>
      <c r="H36" s="37">
        <f t="shared" si="14"/>
        <v>144</v>
      </c>
      <c r="I36" s="36">
        <f t="shared" si="12"/>
        <v>23.184000000000001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SUM(E29:E36)</f>
        <v>137.15162240000001</v>
      </c>
      <c r="F38" s="45"/>
      <c r="G38" s="35"/>
      <c r="H38" s="39"/>
      <c r="I38" s="39">
        <f>SUM(I29:I36)</f>
        <v>137.16162240000003</v>
      </c>
      <c r="J38" s="45"/>
      <c r="K38" s="36">
        <f t="shared" si="2"/>
        <v>1.0000000000019327E-2</v>
      </c>
      <c r="L38" s="47">
        <f t="shared" si="3"/>
        <v>7.2912006617424649E-5</v>
      </c>
    </row>
    <row r="39" spans="2:12" x14ac:dyDescent="0.2">
      <c r="B39" s="44" t="str">
        <f>Rates!B268</f>
        <v>HST</v>
      </c>
      <c r="C39" s="41">
        <f>Rates!E268</f>
        <v>0.13</v>
      </c>
      <c r="D39" s="35"/>
      <c r="E39" s="42">
        <f>E38*C39</f>
        <v>17.829710912000003</v>
      </c>
      <c r="F39" s="45"/>
      <c r="G39" s="41">
        <f>Rates!I268</f>
        <v>0.13</v>
      </c>
      <c r="H39" s="35"/>
      <c r="I39" s="42">
        <f>I38*G39</f>
        <v>17.831010912000004</v>
      </c>
      <c r="J39" s="45"/>
      <c r="K39" s="36">
        <f t="shared" si="2"/>
        <v>1.300000000000523E-3</v>
      </c>
      <c r="L39" s="47">
        <f t="shared" si="3"/>
        <v>7.2912006617313057E-5</v>
      </c>
    </row>
    <row r="40" spans="2:12" x14ac:dyDescent="0.2">
      <c r="B40" s="23" t="s">
        <v>59</v>
      </c>
      <c r="C40" s="35"/>
      <c r="D40" s="35"/>
      <c r="E40" s="42">
        <f>E38+E39</f>
        <v>154.981333312</v>
      </c>
      <c r="F40" s="45"/>
      <c r="G40" s="35"/>
      <c r="H40" s="35"/>
      <c r="I40" s="42">
        <f>I38+I39</f>
        <v>154.99263331200004</v>
      </c>
      <c r="J40" s="45"/>
      <c r="K40" s="36">
        <f t="shared" si="2"/>
        <v>1.1300000000034061E-2</v>
      </c>
      <c r="L40" s="47">
        <f t="shared" si="3"/>
        <v>7.2912006617503511E-5</v>
      </c>
    </row>
    <row r="41" spans="2:12" x14ac:dyDescent="0.2">
      <c r="B41" s="44" t="str">
        <f>Rates!B270</f>
        <v>OCEB</v>
      </c>
      <c r="C41" s="41">
        <f>Rates!E270</f>
        <v>0</v>
      </c>
      <c r="D41" s="35"/>
      <c r="E41" s="42">
        <f>E40*C41</f>
        <v>0</v>
      </c>
      <c r="F41" s="45"/>
      <c r="G41" s="41">
        <f>Rates!I270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154.981333312</v>
      </c>
      <c r="F42" s="59"/>
      <c r="G42" s="57"/>
      <c r="H42" s="57"/>
      <c r="I42" s="58">
        <f>I40+I41</f>
        <v>154.99263331200004</v>
      </c>
      <c r="J42" s="59"/>
      <c r="K42" s="60">
        <f t="shared" si="2"/>
        <v>1.1300000000034061E-2</v>
      </c>
      <c r="L42" s="61">
        <f t="shared" si="3"/>
        <v>7.2912006617503511E-5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2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Rates!B173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Rates!E174</f>
        <v>28.76</v>
      </c>
      <c r="D14" s="37">
        <f>C6</f>
        <v>1</v>
      </c>
      <c r="E14" s="36">
        <f>C14*D14</f>
        <v>28.76</v>
      </c>
      <c r="F14" s="45"/>
      <c r="G14" s="36">
        <f>Rates!I174</f>
        <v>28.13</v>
      </c>
      <c r="H14" s="37">
        <f>D14</f>
        <v>1</v>
      </c>
      <c r="I14" s="36">
        <f>G14*H14</f>
        <v>28.13</v>
      </c>
      <c r="J14" s="45"/>
      <c r="K14" s="36">
        <f>I14-E14</f>
        <v>-0.63000000000000256</v>
      </c>
      <c r="L14" s="47">
        <f>IF((E14)=0," ",K14/E14)</f>
        <v>-2.1905424200278252E-2</v>
      </c>
    </row>
    <row r="15" spans="2:12" x14ac:dyDescent="0.2">
      <c r="B15" s="44" t="str">
        <f>Rates!B8</f>
        <v>Distribution Volumetric Rate</v>
      </c>
      <c r="C15" s="25">
        <f>Rates!E176</f>
        <v>2.1999999999999999E-2</v>
      </c>
      <c r="D15" s="38">
        <f>C7</f>
        <v>2000</v>
      </c>
      <c r="E15" s="36">
        <f t="shared" ref="E15" si="0">C15*D15</f>
        <v>44</v>
      </c>
      <c r="F15" s="45"/>
      <c r="G15" s="25">
        <f>Rates!I176</f>
        <v>2.29E-2</v>
      </c>
      <c r="H15" s="38">
        <f>D15</f>
        <v>2000</v>
      </c>
      <c r="I15" s="36">
        <f t="shared" ref="I15" si="1">G15*H15</f>
        <v>45.8</v>
      </c>
      <c r="J15" s="45"/>
      <c r="K15" s="36">
        <f t="shared" ref="K15:K42" si="2">I15-E15</f>
        <v>1.7999999999999972</v>
      </c>
      <c r="L15" s="47">
        <f t="shared" ref="L15:L42" si="3">IF((E15)=0," ",K15/E15)</f>
        <v>4.0909090909090846E-2</v>
      </c>
    </row>
    <row r="16" spans="2:12" x14ac:dyDescent="0.2">
      <c r="B16" s="49" t="s">
        <v>36</v>
      </c>
      <c r="C16" s="50"/>
      <c r="D16" s="51"/>
      <c r="E16" s="52">
        <f>SUM(E14:E15)</f>
        <v>72.760000000000005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1.1699999999999875</v>
      </c>
      <c r="L16" s="55">
        <f t="shared" si="3"/>
        <v>1.6080263881253262E-2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5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5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Rates!B178</f>
        <v>Rate Rider for Deferral/Variance Account Disposition (2015) - effective until December 31, 2016</v>
      </c>
      <c r="C18" s="25">
        <f>Rates!E178</f>
        <v>-5.9999999999999995E-4</v>
      </c>
      <c r="D18" s="37">
        <f>C7</f>
        <v>2000</v>
      </c>
      <c r="E18" s="36">
        <f t="shared" si="4"/>
        <v>-1.2</v>
      </c>
      <c r="F18" s="45"/>
      <c r="G18" s="25">
        <f>Rates!I178</f>
        <v>-5.9999999999999995E-4</v>
      </c>
      <c r="H18" s="37">
        <f t="shared" ref="H18:H25" si="6">D18</f>
        <v>2000</v>
      </c>
      <c r="I18" s="36">
        <f t="shared" si="5"/>
        <v>-1.2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Rates!B179</f>
        <v>Rate Rider for Global Adjustment Sub-Account Disposition (2015) - effective until December 31, 2016 Applicable only for Non-RPP Customers</v>
      </c>
      <c r="C19" s="25">
        <f>Rates!E179</f>
        <v>-2.3E-3</v>
      </c>
      <c r="D19" s="37"/>
      <c r="E19" s="36">
        <f t="shared" si="4"/>
        <v>0</v>
      </c>
      <c r="F19" s="45"/>
      <c r="G19" s="25">
        <f>Rates!I179</f>
        <v>-2.3E-3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Rates!B180</f>
        <v>Rate Rider for Deferral/Variance Account Disposition (2016) - effective until December 31, 2017</v>
      </c>
      <c r="C20" s="25">
        <f>Rates!E180</f>
        <v>0</v>
      </c>
      <c r="D20" s="37">
        <f>C7</f>
        <v>2000</v>
      </c>
      <c r="E20" s="36">
        <f t="shared" si="4"/>
        <v>0</v>
      </c>
      <c r="F20" s="45"/>
      <c r="G20" s="25">
        <f>Rates!I180</f>
        <v>-1.2999999999999999E-3</v>
      </c>
      <c r="H20" s="37">
        <f t="shared" si="6"/>
        <v>2000</v>
      </c>
      <c r="I20" s="36">
        <f t="shared" si="5"/>
        <v>-2.6</v>
      </c>
      <c r="J20" s="45"/>
      <c r="K20" s="36">
        <f t="shared" ref="K20:K21" si="7">I20-E20</f>
        <v>-2.6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Rates!B181</f>
        <v>Rate Rider for Global Adjustment Sub-Account Disposition (2016) - effective until December 31, 2017 Applicable only for Non-RPP Customers</v>
      </c>
      <c r="C21" s="25">
        <f>Rates!E181</f>
        <v>0</v>
      </c>
      <c r="D21" s="37"/>
      <c r="E21" s="36">
        <f t="shared" si="4"/>
        <v>0</v>
      </c>
      <c r="F21" s="45"/>
      <c r="G21" s="25">
        <f>Rates!I181</f>
        <v>1.9E-3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Rates!E182</f>
        <v>5.0000000000000001E-4</v>
      </c>
      <c r="D22" s="37">
        <f>C7</f>
        <v>2000</v>
      </c>
      <c r="E22" s="36">
        <f t="shared" si="4"/>
        <v>1</v>
      </c>
      <c r="F22" s="45"/>
      <c r="G22" s="25">
        <f>Rates!I182</f>
        <v>5.0000000000000001E-4</v>
      </c>
      <c r="H22" s="37">
        <f t="shared" si="6"/>
        <v>2000</v>
      </c>
      <c r="I22" s="36">
        <f t="shared" si="5"/>
        <v>1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8" t="str">
        <f>Rates!B183</f>
        <v>Rate Rider for Loss Revenue Adjustment Mechanism (LRAM) - effective until December 31, 2015</v>
      </c>
      <c r="C23" s="25">
        <f>Rates!E183</f>
        <v>4.0000000000000002E-4</v>
      </c>
      <c r="D23" s="37">
        <f>C7</f>
        <v>2000</v>
      </c>
      <c r="E23" s="36">
        <f t="shared" si="4"/>
        <v>0.8</v>
      </c>
      <c r="F23" s="45"/>
      <c r="G23" s="25">
        <f>Rates!I183</f>
        <v>0</v>
      </c>
      <c r="H23" s="37">
        <f t="shared" si="6"/>
        <v>2000</v>
      </c>
      <c r="I23" s="36">
        <f t="shared" si="5"/>
        <v>0</v>
      </c>
      <c r="J23" s="45"/>
      <c r="K23" s="36">
        <f t="shared" si="2"/>
        <v>-0.8</v>
      </c>
      <c r="L23" s="47">
        <f t="shared" si="3"/>
        <v>-1</v>
      </c>
    </row>
    <row r="24" spans="2:12" x14ac:dyDescent="0.2">
      <c r="B24" s="44" t="str">
        <f>Rates!B9</f>
        <v>Low Voltage Service Rate</v>
      </c>
      <c r="C24" s="25">
        <f>Rates!E177</f>
        <v>2.0000000000000001E-4</v>
      </c>
      <c r="D24" s="37">
        <f>C7</f>
        <v>2000</v>
      </c>
      <c r="E24" s="36">
        <f t="shared" si="4"/>
        <v>0.4</v>
      </c>
      <c r="F24" s="45"/>
      <c r="G24" s="25">
        <f>Rates!I177</f>
        <v>2.0000000000000001E-4</v>
      </c>
      <c r="H24" s="37">
        <f t="shared" si="6"/>
        <v>2000</v>
      </c>
      <c r="I24" s="36">
        <f t="shared" si="5"/>
        <v>0.4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Rates!B247</f>
        <v>Smart Meter Entity Charge</v>
      </c>
      <c r="C25" s="36">
        <f>Rates!E247</f>
        <v>0.79</v>
      </c>
      <c r="D25" s="37">
        <f>C6</f>
        <v>1</v>
      </c>
      <c r="E25" s="36">
        <f t="shared" si="4"/>
        <v>0.79</v>
      </c>
      <c r="F25" s="45"/>
      <c r="G25" s="36">
        <f>Rates!I247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85.621976000000018</v>
      </c>
      <c r="F26" s="53"/>
      <c r="G26" s="50"/>
      <c r="H26" s="51"/>
      <c r="I26" s="52">
        <f>SUM(I16:I25)</f>
        <v>83.391976000000014</v>
      </c>
      <c r="J26" s="53"/>
      <c r="K26" s="54">
        <f t="shared" si="2"/>
        <v>-2.230000000000004</v>
      </c>
      <c r="L26" s="55">
        <f t="shared" si="3"/>
        <v>-2.604471543613994E-2</v>
      </c>
    </row>
    <row r="27" spans="2:12" x14ac:dyDescent="0.2">
      <c r="B27" s="44" t="str">
        <f>Rates!B15</f>
        <v>Retail Transmission Rate - Network Service Rate</v>
      </c>
      <c r="C27" s="25">
        <f>Rates!E184</f>
        <v>6.1999999999999998E-3</v>
      </c>
      <c r="D27" s="37">
        <f>C7*C5</f>
        <v>2108.4</v>
      </c>
      <c r="E27" s="36">
        <f>C27*D27</f>
        <v>13.07208</v>
      </c>
      <c r="F27" s="45"/>
      <c r="G27" s="25">
        <f>Rates!I184</f>
        <v>6.1000000000000004E-3</v>
      </c>
      <c r="H27" s="37">
        <f>D27</f>
        <v>2108.4</v>
      </c>
      <c r="I27" s="36">
        <f>G27*H27</f>
        <v>12.861240000000002</v>
      </c>
      <c r="J27" s="45"/>
      <c r="K27" s="36">
        <f t="shared" si="2"/>
        <v>-0.21083999999999747</v>
      </c>
      <c r="L27" s="47">
        <f t="shared" si="3"/>
        <v>-1.6129032258064325E-2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Rates!E185</f>
        <v>4.8999999999999998E-3</v>
      </c>
      <c r="D28" s="37">
        <f>C7*C5</f>
        <v>2108.4</v>
      </c>
      <c r="E28" s="36">
        <f>C28*D28</f>
        <v>10.331160000000001</v>
      </c>
      <c r="F28" s="45"/>
      <c r="G28" s="25">
        <f>Rates!I185</f>
        <v>5.0000000000000001E-3</v>
      </c>
      <c r="H28" s="37">
        <f>D28</f>
        <v>2108.4</v>
      </c>
      <c r="I28" s="36">
        <f>G28*H28</f>
        <v>10.542</v>
      </c>
      <c r="J28" s="45"/>
      <c r="K28" s="36">
        <f t="shared" si="2"/>
        <v>0.21083999999999925</v>
      </c>
      <c r="L28" s="47">
        <f t="shared" si="3"/>
        <v>2.0408163265306048E-2</v>
      </c>
    </row>
    <row r="29" spans="2:12" x14ac:dyDescent="0.2">
      <c r="B29" s="49" t="s">
        <v>57</v>
      </c>
      <c r="C29" s="50"/>
      <c r="D29" s="51"/>
      <c r="E29" s="52">
        <f>SUM(E26:E28)</f>
        <v>109.02521600000001</v>
      </c>
      <c r="F29" s="53"/>
      <c r="G29" s="50"/>
      <c r="H29" s="52"/>
      <c r="I29" s="52">
        <f>SUM(I26:I28)</f>
        <v>106.79521600000001</v>
      </c>
      <c r="J29" s="53"/>
      <c r="K29" s="54">
        <f t="shared" si="2"/>
        <v>-2.230000000000004</v>
      </c>
      <c r="L29" s="55">
        <f t="shared" si="3"/>
        <v>-2.0453983782981029E-2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2108.4</v>
      </c>
      <c r="E30" s="36">
        <f t="shared" ref="E30:E36" si="9">C30*D30</f>
        <v>9.2769600000000008</v>
      </c>
      <c r="F30" s="45"/>
      <c r="G30" s="25">
        <f>Rates!I244</f>
        <v>4.4000000000000003E-3</v>
      </c>
      <c r="H30" s="37">
        <f>D30</f>
        <v>2108.4</v>
      </c>
      <c r="I30" s="36">
        <f t="shared" ref="I30:I36" si="10">G30*H30</f>
        <v>9.2769600000000008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2108.4</v>
      </c>
      <c r="E31" s="36">
        <f t="shared" si="9"/>
        <v>2.74092</v>
      </c>
      <c r="F31" s="45"/>
      <c r="G31" s="25">
        <f>Rates!I245</f>
        <v>1.2999999999999999E-3</v>
      </c>
      <c r="H31" s="37">
        <f t="shared" ref="H31:H32" si="11">D31</f>
        <v>2108.4</v>
      </c>
      <c r="I31" s="36">
        <f t="shared" si="10"/>
        <v>2.74092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Rates!B246</f>
        <v>Standard Supply Service - Administrative Charge (if applicable)</v>
      </c>
      <c r="C32" s="36">
        <f>Rates!E246</f>
        <v>0.25</v>
      </c>
      <c r="D32" s="37">
        <v>1</v>
      </c>
      <c r="E32" s="36">
        <f t="shared" si="9"/>
        <v>0.25</v>
      </c>
      <c r="F32" s="45"/>
      <c r="G32" s="36">
        <f>Rates!I246</f>
        <v>0.25</v>
      </c>
      <c r="H32" s="37">
        <f t="shared" si="11"/>
        <v>1</v>
      </c>
      <c r="I32" s="36">
        <f t="shared" si="10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Rates!B249</f>
        <v>Debt Retirement Charge</v>
      </c>
      <c r="C33" s="25">
        <f>Rates!E252</f>
        <v>0</v>
      </c>
      <c r="D33" s="37">
        <f>C7</f>
        <v>2000</v>
      </c>
      <c r="E33" s="36">
        <f t="shared" si="9"/>
        <v>0</v>
      </c>
      <c r="F33" s="45"/>
      <c r="G33" s="25">
        <f>Rates!I252</f>
        <v>0</v>
      </c>
      <c r="H33" s="37">
        <f>D33</f>
        <v>2000</v>
      </c>
      <c r="I33" s="36">
        <f t="shared" si="10"/>
        <v>0</v>
      </c>
      <c r="J33" s="45"/>
      <c r="K33" s="36">
        <f t="shared" si="2"/>
        <v>0</v>
      </c>
      <c r="L33" s="47" t="str">
        <f t="shared" si="3"/>
        <v xml:space="preserve"> </v>
      </c>
    </row>
    <row r="34" spans="2:12" x14ac:dyDescent="0.2">
      <c r="B34" s="44" t="str">
        <f>Rates!B262</f>
        <v>TOU - Off Peak</v>
      </c>
      <c r="C34" s="25">
        <f>Rates!E262</f>
        <v>0.08</v>
      </c>
      <c r="D34" s="37">
        <f>C7*0.64</f>
        <v>1280</v>
      </c>
      <c r="E34" s="36">
        <f t="shared" si="9"/>
        <v>102.4</v>
      </c>
      <c r="F34" s="45"/>
      <c r="G34" s="25">
        <f>Rates!I262</f>
        <v>0.08</v>
      </c>
      <c r="H34" s="37">
        <f>D34</f>
        <v>1280</v>
      </c>
      <c r="I34" s="36">
        <f t="shared" si="10"/>
        <v>102.4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Rates!B263</f>
        <v>TOU - Mid Peak</v>
      </c>
      <c r="C35" s="25">
        <f>Rates!E263</f>
        <v>0.122</v>
      </c>
      <c r="D35" s="37">
        <f>C7*0.18</f>
        <v>360</v>
      </c>
      <c r="E35" s="36">
        <f t="shared" si="9"/>
        <v>43.92</v>
      </c>
      <c r="F35" s="45"/>
      <c r="G35" s="25">
        <f>Rates!I263</f>
        <v>0.122</v>
      </c>
      <c r="H35" s="37">
        <f t="shared" ref="H35:H36" si="12">D35</f>
        <v>360</v>
      </c>
      <c r="I35" s="36">
        <f t="shared" si="10"/>
        <v>43.92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On Peak</v>
      </c>
      <c r="C36" s="25">
        <f>Rates!E264</f>
        <v>0.161</v>
      </c>
      <c r="D36" s="37">
        <f>C7*0.18</f>
        <v>360</v>
      </c>
      <c r="E36" s="36">
        <f t="shared" si="9"/>
        <v>57.96</v>
      </c>
      <c r="F36" s="45"/>
      <c r="G36" s="25">
        <f>Rates!I264</f>
        <v>0.161</v>
      </c>
      <c r="H36" s="37">
        <f t="shared" si="12"/>
        <v>360</v>
      </c>
      <c r="I36" s="36">
        <f t="shared" si="10"/>
        <v>57.96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SUM(E29:E36)</f>
        <v>325.57309600000002</v>
      </c>
      <c r="F38" s="45"/>
      <c r="G38" s="35"/>
      <c r="H38" s="39"/>
      <c r="I38" s="39">
        <f>SUM(I29:I36)</f>
        <v>323.343096</v>
      </c>
      <c r="J38" s="45"/>
      <c r="K38" s="36">
        <f t="shared" si="2"/>
        <v>-2.2300000000000182</v>
      </c>
      <c r="L38" s="47">
        <f t="shared" si="3"/>
        <v>-6.8494603129001111E-3</v>
      </c>
    </row>
    <row r="39" spans="2:12" x14ac:dyDescent="0.2">
      <c r="B39" s="44" t="str">
        <f>Rates!B268</f>
        <v>HST</v>
      </c>
      <c r="C39" s="41">
        <f>Rates!E268</f>
        <v>0.13</v>
      </c>
      <c r="D39" s="35"/>
      <c r="E39" s="42">
        <f>E38*C39</f>
        <v>42.324502480000007</v>
      </c>
      <c r="F39" s="45"/>
      <c r="G39" s="41">
        <f>Rates!I268</f>
        <v>0.13</v>
      </c>
      <c r="H39" s="35"/>
      <c r="I39" s="42">
        <f>I38*G39</f>
        <v>42.034602480000004</v>
      </c>
      <c r="J39" s="45"/>
      <c r="K39" s="36">
        <f t="shared" si="2"/>
        <v>-0.28990000000000293</v>
      </c>
      <c r="L39" s="47">
        <f t="shared" si="3"/>
        <v>-6.8494603129001241E-3</v>
      </c>
    </row>
    <row r="40" spans="2:12" x14ac:dyDescent="0.2">
      <c r="B40" s="23" t="s">
        <v>59</v>
      </c>
      <c r="C40" s="35"/>
      <c r="D40" s="35"/>
      <c r="E40" s="42">
        <f>E38+E39</f>
        <v>367.89759848000006</v>
      </c>
      <c r="F40" s="45"/>
      <c r="G40" s="35"/>
      <c r="H40" s="35"/>
      <c r="I40" s="42">
        <f>I38+I39</f>
        <v>365.37769847999999</v>
      </c>
      <c r="J40" s="45"/>
      <c r="K40" s="36">
        <f t="shared" si="2"/>
        <v>-2.5199000000000638</v>
      </c>
      <c r="L40" s="47">
        <f t="shared" si="3"/>
        <v>-6.8494603129002282E-3</v>
      </c>
    </row>
    <row r="41" spans="2:12" x14ac:dyDescent="0.2">
      <c r="B41" s="44" t="str">
        <f>Rates!B270</f>
        <v>OCEB</v>
      </c>
      <c r="C41" s="41">
        <f>Rates!E270</f>
        <v>0</v>
      </c>
      <c r="D41" s="35"/>
      <c r="E41" s="42">
        <f>E40*C41</f>
        <v>0</v>
      </c>
      <c r="F41" s="45"/>
      <c r="G41" s="41">
        <f>Rates!I270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367.89759848000006</v>
      </c>
      <c r="F42" s="59"/>
      <c r="G42" s="57"/>
      <c r="H42" s="57"/>
      <c r="I42" s="58">
        <f>I40+I41</f>
        <v>365.37769847999999</v>
      </c>
      <c r="J42" s="59"/>
      <c r="K42" s="60">
        <f t="shared" si="2"/>
        <v>-2.5199000000000638</v>
      </c>
      <c r="L42" s="61">
        <f t="shared" si="3"/>
        <v>-6.8494603129002282E-3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2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Rates!B173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Rates!E174</f>
        <v>28.76</v>
      </c>
      <c r="D14" s="37">
        <f>C6</f>
        <v>1</v>
      </c>
      <c r="E14" s="36">
        <f>C14*D14</f>
        <v>28.76</v>
      </c>
      <c r="F14" s="45"/>
      <c r="G14" s="36">
        <f>Rates!I174</f>
        <v>28.13</v>
      </c>
      <c r="H14" s="37">
        <f>D14</f>
        <v>1</v>
      </c>
      <c r="I14" s="36">
        <f>G14*H14</f>
        <v>28.13</v>
      </c>
      <c r="J14" s="45"/>
      <c r="K14" s="36">
        <f>I14-E14</f>
        <v>-0.63000000000000256</v>
      </c>
      <c r="L14" s="47">
        <f>IF((E14)=0," ",K14/E14)</f>
        <v>-2.1905424200278252E-2</v>
      </c>
    </row>
    <row r="15" spans="2:12" x14ac:dyDescent="0.2">
      <c r="B15" s="44" t="str">
        <f>Rates!B8</f>
        <v>Distribution Volumetric Rate</v>
      </c>
      <c r="C15" s="25">
        <f>Rates!E176</f>
        <v>2.1999999999999999E-2</v>
      </c>
      <c r="D15" s="38">
        <f>C7</f>
        <v>2000</v>
      </c>
      <c r="E15" s="36">
        <f t="shared" ref="E15" si="0">C15*D15</f>
        <v>44</v>
      </c>
      <c r="F15" s="45"/>
      <c r="G15" s="25">
        <f>Rates!I176</f>
        <v>2.29E-2</v>
      </c>
      <c r="H15" s="38">
        <f>D15</f>
        <v>2000</v>
      </c>
      <c r="I15" s="36">
        <f t="shared" ref="I15" si="1">G15*H15</f>
        <v>45.8</v>
      </c>
      <c r="J15" s="45"/>
      <c r="K15" s="36">
        <f t="shared" ref="K15:K42" si="2">I15-E15</f>
        <v>1.7999999999999972</v>
      </c>
      <c r="L15" s="47">
        <f t="shared" ref="L15:L42" si="3">IF((E15)=0," ",K15/E15)</f>
        <v>4.0909090909090846E-2</v>
      </c>
    </row>
    <row r="16" spans="2:12" x14ac:dyDescent="0.2">
      <c r="B16" s="49" t="s">
        <v>36</v>
      </c>
      <c r="C16" s="50"/>
      <c r="D16" s="51"/>
      <c r="E16" s="52">
        <f>SUM(E14:E15)</f>
        <v>72.760000000000005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1.1699999999999875</v>
      </c>
      <c r="L16" s="55">
        <f t="shared" si="3"/>
        <v>1.6080263881253262E-2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5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5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Rates!B178</f>
        <v>Rate Rider for Deferral/Variance Account Disposition (2015) - effective until December 31, 2016</v>
      </c>
      <c r="C18" s="25">
        <f>Rates!E178</f>
        <v>-5.9999999999999995E-4</v>
      </c>
      <c r="D18" s="37">
        <f>C7</f>
        <v>2000</v>
      </c>
      <c r="E18" s="36">
        <f t="shared" si="4"/>
        <v>-1.2</v>
      </c>
      <c r="F18" s="45"/>
      <c r="G18" s="25">
        <f>Rates!I178</f>
        <v>-5.9999999999999995E-4</v>
      </c>
      <c r="H18" s="37">
        <f t="shared" ref="H18:H25" si="6">D18</f>
        <v>2000</v>
      </c>
      <c r="I18" s="36">
        <f t="shared" si="5"/>
        <v>-1.2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Rates!B179</f>
        <v>Rate Rider for Global Adjustment Sub-Account Disposition (2015) - effective until December 31, 2016 Applicable only for Non-RPP Customers</v>
      </c>
      <c r="C19" s="25">
        <f>Rates!E179</f>
        <v>-2.3E-3</v>
      </c>
      <c r="D19" s="37">
        <f>C7</f>
        <v>2000</v>
      </c>
      <c r="E19" s="36">
        <f t="shared" si="4"/>
        <v>-4.5999999999999996</v>
      </c>
      <c r="F19" s="45"/>
      <c r="G19" s="25">
        <f>Rates!I179</f>
        <v>-2.3E-3</v>
      </c>
      <c r="H19" s="37">
        <f t="shared" si="6"/>
        <v>2000</v>
      </c>
      <c r="I19" s="36">
        <f t="shared" si="5"/>
        <v>-4.5999999999999996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Rates!B180</f>
        <v>Rate Rider for Deferral/Variance Account Disposition (2016) - effective until December 31, 2017</v>
      </c>
      <c r="C20" s="25">
        <f>Rates!E180</f>
        <v>0</v>
      </c>
      <c r="D20" s="37">
        <f>C7</f>
        <v>2000</v>
      </c>
      <c r="E20" s="36">
        <f t="shared" si="4"/>
        <v>0</v>
      </c>
      <c r="F20" s="45"/>
      <c r="G20" s="25">
        <f>Rates!I180</f>
        <v>-1.2999999999999999E-3</v>
      </c>
      <c r="H20" s="37">
        <f t="shared" si="6"/>
        <v>2000</v>
      </c>
      <c r="I20" s="36">
        <f t="shared" si="5"/>
        <v>-2.6</v>
      </c>
      <c r="J20" s="45"/>
      <c r="K20" s="36">
        <f t="shared" ref="K20:K21" si="9">I20-E20</f>
        <v>-2.6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Rates!B181</f>
        <v>Rate Rider for Global Adjustment Sub-Account Disposition (2016) - effective until December 31, 2017 Applicable only for Non-RPP Customers</v>
      </c>
      <c r="C21" s="25">
        <f>Rates!E181</f>
        <v>0</v>
      </c>
      <c r="D21" s="37">
        <f>C7</f>
        <v>2000</v>
      </c>
      <c r="E21" s="36">
        <f t="shared" si="4"/>
        <v>0</v>
      </c>
      <c r="F21" s="45"/>
      <c r="G21" s="25">
        <f>Rates!I181</f>
        <v>1.9E-3</v>
      </c>
      <c r="H21" s="37">
        <f t="shared" si="6"/>
        <v>2000</v>
      </c>
      <c r="I21" s="36">
        <f t="shared" si="5"/>
        <v>3.8</v>
      </c>
      <c r="J21" s="45"/>
      <c r="K21" s="36">
        <f t="shared" si="9"/>
        <v>3.8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Rates!E182</f>
        <v>5.0000000000000001E-4</v>
      </c>
      <c r="D22" s="37">
        <f>C7</f>
        <v>2000</v>
      </c>
      <c r="E22" s="36">
        <f t="shared" si="4"/>
        <v>1</v>
      </c>
      <c r="F22" s="45"/>
      <c r="G22" s="25">
        <f>Rates!I182</f>
        <v>5.0000000000000001E-4</v>
      </c>
      <c r="H22" s="37">
        <f t="shared" si="6"/>
        <v>2000</v>
      </c>
      <c r="I22" s="36">
        <f t="shared" si="5"/>
        <v>1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Rates!B183</f>
        <v>Rate Rider for Loss Revenue Adjustment Mechanism (LRAM) - effective until December 31, 2015</v>
      </c>
      <c r="C23" s="25">
        <f>Rates!E183</f>
        <v>4.0000000000000002E-4</v>
      </c>
      <c r="D23" s="37">
        <f>C7</f>
        <v>2000</v>
      </c>
      <c r="E23" s="36">
        <f t="shared" si="4"/>
        <v>0.8</v>
      </c>
      <c r="F23" s="45"/>
      <c r="G23" s="25">
        <f>Rates!I183</f>
        <v>0</v>
      </c>
      <c r="H23" s="37">
        <f t="shared" si="6"/>
        <v>2000</v>
      </c>
      <c r="I23" s="36">
        <f t="shared" si="5"/>
        <v>0</v>
      </c>
      <c r="J23" s="45"/>
      <c r="K23" s="36">
        <f t="shared" si="7"/>
        <v>-0.8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Rates!E177</f>
        <v>2.0000000000000001E-4</v>
      </c>
      <c r="D24" s="37">
        <f>C7</f>
        <v>2000</v>
      </c>
      <c r="E24" s="36">
        <f t="shared" si="4"/>
        <v>0.4</v>
      </c>
      <c r="F24" s="45"/>
      <c r="G24" s="25">
        <f>Rates!I177</f>
        <v>2.0000000000000001E-4</v>
      </c>
      <c r="H24" s="37">
        <f t="shared" si="6"/>
        <v>2000</v>
      </c>
      <c r="I24" s="36">
        <f t="shared" si="5"/>
        <v>0.4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Rates!B247</f>
        <v>Smart Meter Entity Charge</v>
      </c>
      <c r="C25" s="36">
        <f>Rates!E247</f>
        <v>0.79</v>
      </c>
      <c r="D25" s="37">
        <f>C6</f>
        <v>1</v>
      </c>
      <c r="E25" s="36">
        <f t="shared" si="4"/>
        <v>0.79</v>
      </c>
      <c r="F25" s="45"/>
      <c r="G25" s="36">
        <f>Rates!I247</f>
        <v>0.79</v>
      </c>
      <c r="H25" s="37">
        <f t="shared" si="6"/>
        <v>1</v>
      </c>
      <c r="I25" s="36">
        <f t="shared" si="5"/>
        <v>0.79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9" t="s">
        <v>56</v>
      </c>
      <c r="C26" s="50"/>
      <c r="D26" s="51"/>
      <c r="E26" s="52">
        <f>SUM(E16:E25)</f>
        <v>81.021976000000024</v>
      </c>
      <c r="F26" s="53"/>
      <c r="G26" s="50"/>
      <c r="H26" s="51"/>
      <c r="I26" s="52">
        <f>SUM(I16:I25)</f>
        <v>82.591976000000017</v>
      </c>
      <c r="J26" s="53"/>
      <c r="K26" s="54">
        <f t="shared" si="2"/>
        <v>1.5699999999999932</v>
      </c>
      <c r="L26" s="55">
        <f t="shared" si="3"/>
        <v>1.9377458777356808E-2</v>
      </c>
    </row>
    <row r="27" spans="2:12" x14ac:dyDescent="0.2">
      <c r="B27" s="44" t="str">
        <f>Rates!B15</f>
        <v>Retail Transmission Rate - Network Service Rate</v>
      </c>
      <c r="C27" s="25">
        <f>Rates!E184</f>
        <v>6.1999999999999998E-3</v>
      </c>
      <c r="D27" s="37">
        <f>C7*C5</f>
        <v>2108.4</v>
      </c>
      <c r="E27" s="36">
        <f>C27*D27</f>
        <v>13.07208</v>
      </c>
      <c r="F27" s="45"/>
      <c r="G27" s="25">
        <f>Rates!I184</f>
        <v>6.1000000000000004E-3</v>
      </c>
      <c r="H27" s="37">
        <f>D27</f>
        <v>2108.4</v>
      </c>
      <c r="I27" s="36">
        <f>G27*H27</f>
        <v>12.861240000000002</v>
      </c>
      <c r="J27" s="45"/>
      <c r="K27" s="36">
        <f t="shared" si="2"/>
        <v>-0.21083999999999747</v>
      </c>
      <c r="L27" s="47">
        <f t="shared" si="3"/>
        <v>-1.6129032258064325E-2</v>
      </c>
    </row>
    <row r="28" spans="2:12" x14ac:dyDescent="0.2">
      <c r="B28" s="44" t="str">
        <f>Rates!B16</f>
        <v>Retail Transmission Rate - Line and Transformation Connection Service Rate</v>
      </c>
      <c r="C28" s="25">
        <f>Rates!E185</f>
        <v>4.8999999999999998E-3</v>
      </c>
      <c r="D28" s="37">
        <f>C7*C5</f>
        <v>2108.4</v>
      </c>
      <c r="E28" s="36">
        <f>C28*D28</f>
        <v>10.331160000000001</v>
      </c>
      <c r="F28" s="45"/>
      <c r="G28" s="25">
        <f>Rates!I185</f>
        <v>5.0000000000000001E-3</v>
      </c>
      <c r="H28" s="37">
        <f>D28</f>
        <v>2108.4</v>
      </c>
      <c r="I28" s="36">
        <f>G28*H28</f>
        <v>10.542</v>
      </c>
      <c r="J28" s="45"/>
      <c r="K28" s="36">
        <f t="shared" si="2"/>
        <v>0.21083999999999925</v>
      </c>
      <c r="L28" s="47">
        <f t="shared" si="3"/>
        <v>2.0408163265306048E-2</v>
      </c>
    </row>
    <row r="29" spans="2:12" x14ac:dyDescent="0.2">
      <c r="B29" s="49" t="s">
        <v>57</v>
      </c>
      <c r="C29" s="50"/>
      <c r="D29" s="51"/>
      <c r="E29" s="52">
        <f>SUM(E26:E28)</f>
        <v>104.42521600000002</v>
      </c>
      <c r="F29" s="53"/>
      <c r="G29" s="50"/>
      <c r="H29" s="52"/>
      <c r="I29" s="52">
        <f>SUM(I26:I28)</f>
        <v>105.99521600000003</v>
      </c>
      <c r="J29" s="53"/>
      <c r="K29" s="54">
        <f t="shared" si="2"/>
        <v>1.5700000000000074</v>
      </c>
      <c r="L29" s="55">
        <f t="shared" si="3"/>
        <v>1.5034682810711228E-2</v>
      </c>
    </row>
    <row r="30" spans="2:12" x14ac:dyDescent="0.2">
      <c r="B30" s="44" t="str">
        <f>Rates!B244</f>
        <v>Wholesale Market Service Rate</v>
      </c>
      <c r="C30" s="25">
        <f>Rates!E244</f>
        <v>4.4000000000000003E-3</v>
      </c>
      <c r="D30" s="37">
        <f>C5*C7</f>
        <v>2108.4</v>
      </c>
      <c r="E30" s="36">
        <f t="shared" ref="E30:E36" si="11">C30*D30</f>
        <v>9.2769600000000008</v>
      </c>
      <c r="F30" s="45"/>
      <c r="G30" s="25">
        <f>Rates!I244</f>
        <v>4.4000000000000003E-3</v>
      </c>
      <c r="H30" s="37">
        <f>D30</f>
        <v>2108.4</v>
      </c>
      <c r="I30" s="36">
        <f t="shared" ref="I30:I36" si="12">G30*H30</f>
        <v>9.2769600000000008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Rates!B245</f>
        <v>Rural Rate Protection Charge</v>
      </c>
      <c r="C31" s="25">
        <f>Rates!E245</f>
        <v>1.2999999999999999E-3</v>
      </c>
      <c r="D31" s="37">
        <f>C5*C7</f>
        <v>2108.4</v>
      </c>
      <c r="E31" s="36">
        <f t="shared" si="11"/>
        <v>2.74092</v>
      </c>
      <c r="F31" s="45"/>
      <c r="G31" s="25">
        <f>Rates!I245</f>
        <v>1.2999999999999999E-3</v>
      </c>
      <c r="H31" s="37">
        <f t="shared" ref="H31:H32" si="13">D31</f>
        <v>2108.4</v>
      </c>
      <c r="I31" s="36">
        <f t="shared" si="12"/>
        <v>2.74092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Rates!B246</f>
        <v>Standard Supply Service - Administrative Charge (if applicable)</v>
      </c>
      <c r="C32" s="36">
        <f>Rates!E246</f>
        <v>0.25</v>
      </c>
      <c r="D32" s="37">
        <v>1</v>
      </c>
      <c r="E32" s="36">
        <f t="shared" si="11"/>
        <v>0.25</v>
      </c>
      <c r="F32" s="45"/>
      <c r="G32" s="36">
        <f>Rates!I246</f>
        <v>0.25</v>
      </c>
      <c r="H32" s="37">
        <f t="shared" si="13"/>
        <v>1</v>
      </c>
      <c r="I32" s="36">
        <f t="shared" si="12"/>
        <v>0.25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Rates!B249</f>
        <v>Debt Retirement Charge</v>
      </c>
      <c r="C33" s="25">
        <f>Rates!E252</f>
        <v>0</v>
      </c>
      <c r="D33" s="37">
        <f>C7</f>
        <v>2000</v>
      </c>
      <c r="E33" s="36">
        <f t="shared" si="11"/>
        <v>0</v>
      </c>
      <c r="F33" s="45"/>
      <c r="G33" s="25">
        <f>Rates!I252</f>
        <v>0</v>
      </c>
      <c r="H33" s="37">
        <f>D33</f>
        <v>2000</v>
      </c>
      <c r="I33" s="36">
        <f t="shared" si="12"/>
        <v>0</v>
      </c>
      <c r="J33" s="45"/>
      <c r="K33" s="36">
        <f t="shared" si="2"/>
        <v>0</v>
      </c>
      <c r="L33" s="47" t="str">
        <f t="shared" si="3"/>
        <v xml:space="preserve"> </v>
      </c>
    </row>
    <row r="34" spans="2:12" x14ac:dyDescent="0.2">
      <c r="B34" s="44" t="str">
        <f>Rates!B262</f>
        <v>TOU - Off Peak</v>
      </c>
      <c r="C34" s="25">
        <f>Rates!E262</f>
        <v>0.08</v>
      </c>
      <c r="D34" s="37">
        <f>C7*0.64</f>
        <v>1280</v>
      </c>
      <c r="E34" s="36">
        <f t="shared" si="11"/>
        <v>102.4</v>
      </c>
      <c r="F34" s="45"/>
      <c r="G34" s="25">
        <f>Rates!I262</f>
        <v>0.08</v>
      </c>
      <c r="H34" s="37">
        <f>D34</f>
        <v>1280</v>
      </c>
      <c r="I34" s="36">
        <f t="shared" si="12"/>
        <v>102.4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Rates!B263</f>
        <v>TOU - Mid Peak</v>
      </c>
      <c r="C35" s="25">
        <f>Rates!E263</f>
        <v>0.122</v>
      </c>
      <c r="D35" s="37">
        <f>C7*0.18</f>
        <v>360</v>
      </c>
      <c r="E35" s="36">
        <f t="shared" si="11"/>
        <v>43.92</v>
      </c>
      <c r="F35" s="45"/>
      <c r="G35" s="25">
        <f>Rates!I263</f>
        <v>0.122</v>
      </c>
      <c r="H35" s="37">
        <f t="shared" ref="H35:H36" si="14">D35</f>
        <v>360</v>
      </c>
      <c r="I35" s="36">
        <f t="shared" si="12"/>
        <v>43.92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44" t="str">
        <f>Rates!B264</f>
        <v>TOU - On Peak</v>
      </c>
      <c r="C36" s="25">
        <f>Rates!E264</f>
        <v>0.161</v>
      </c>
      <c r="D36" s="37">
        <f>C7*0.18</f>
        <v>360</v>
      </c>
      <c r="E36" s="36">
        <f t="shared" si="11"/>
        <v>57.96</v>
      </c>
      <c r="F36" s="45"/>
      <c r="G36" s="25">
        <f>Rates!I264</f>
        <v>0.161</v>
      </c>
      <c r="H36" s="37">
        <f t="shared" si="14"/>
        <v>360</v>
      </c>
      <c r="I36" s="36">
        <f t="shared" si="12"/>
        <v>57.96</v>
      </c>
      <c r="J36" s="45"/>
      <c r="K36" s="36">
        <f t="shared" si="2"/>
        <v>0</v>
      </c>
      <c r="L36" s="47">
        <f t="shared" si="3"/>
        <v>0</v>
      </c>
    </row>
    <row r="37" spans="2:12" x14ac:dyDescent="0.2">
      <c r="B37" s="56"/>
      <c r="C37" s="51"/>
      <c r="D37" s="51"/>
      <c r="E37" s="51"/>
      <c r="F37" s="53"/>
      <c r="G37" s="51"/>
      <c r="H37" s="51"/>
      <c r="I37" s="51"/>
      <c r="J37" s="53"/>
      <c r="K37" s="54"/>
      <c r="L37" s="55"/>
    </row>
    <row r="38" spans="2:12" x14ac:dyDescent="0.2">
      <c r="B38" s="23" t="s">
        <v>58</v>
      </c>
      <c r="C38" s="35"/>
      <c r="D38" s="35"/>
      <c r="E38" s="39">
        <f>SUM(E29:E36)</f>
        <v>320.973096</v>
      </c>
      <c r="F38" s="45"/>
      <c r="G38" s="35"/>
      <c r="H38" s="39"/>
      <c r="I38" s="39">
        <f>SUM(I29:I36)</f>
        <v>322.54309600000005</v>
      </c>
      <c r="J38" s="45"/>
      <c r="K38" s="36">
        <f t="shared" si="2"/>
        <v>1.57000000000005</v>
      </c>
      <c r="L38" s="47">
        <f t="shared" si="3"/>
        <v>4.8913756933697955E-3</v>
      </c>
    </row>
    <row r="39" spans="2:12" x14ac:dyDescent="0.2">
      <c r="B39" s="44" t="str">
        <f>Rates!B268</f>
        <v>HST</v>
      </c>
      <c r="C39" s="41">
        <f>Rates!E268</f>
        <v>0.13</v>
      </c>
      <c r="D39" s="35"/>
      <c r="E39" s="42">
        <f>E38*C39</f>
        <v>41.726502480000001</v>
      </c>
      <c r="F39" s="45"/>
      <c r="G39" s="41">
        <f>Rates!I268</f>
        <v>0.13</v>
      </c>
      <c r="H39" s="35"/>
      <c r="I39" s="42">
        <f>I38*G39</f>
        <v>41.930602480000005</v>
      </c>
      <c r="J39" s="45"/>
      <c r="K39" s="36">
        <f t="shared" si="2"/>
        <v>0.20410000000000394</v>
      </c>
      <c r="L39" s="47">
        <f t="shared" si="3"/>
        <v>4.8913756933697348E-3</v>
      </c>
    </row>
    <row r="40" spans="2:12" x14ac:dyDescent="0.2">
      <c r="B40" s="23" t="s">
        <v>59</v>
      </c>
      <c r="C40" s="35"/>
      <c r="D40" s="35"/>
      <c r="E40" s="42">
        <f>E38+E39</f>
        <v>362.69959848000002</v>
      </c>
      <c r="F40" s="45"/>
      <c r="G40" s="35"/>
      <c r="H40" s="35"/>
      <c r="I40" s="42">
        <f>I38+I39</f>
        <v>364.47369848000005</v>
      </c>
      <c r="J40" s="45"/>
      <c r="K40" s="36">
        <f t="shared" si="2"/>
        <v>1.7741000000000327</v>
      </c>
      <c r="L40" s="47">
        <f t="shared" si="3"/>
        <v>4.8913756933697296E-3</v>
      </c>
    </row>
    <row r="41" spans="2:12" x14ac:dyDescent="0.2">
      <c r="B41" s="44" t="str">
        <f>Rates!B270</f>
        <v>OCEB</v>
      </c>
      <c r="C41" s="41">
        <f>Rates!E270</f>
        <v>0</v>
      </c>
      <c r="D41" s="35"/>
      <c r="E41" s="42">
        <f>E40*C41</f>
        <v>0</v>
      </c>
      <c r="F41" s="45"/>
      <c r="G41" s="41">
        <f>Rates!I270</f>
        <v>0</v>
      </c>
      <c r="H41" s="35"/>
      <c r="I41" s="42">
        <f>I40*G41</f>
        <v>0</v>
      </c>
      <c r="J41" s="45"/>
      <c r="K41" s="36">
        <f t="shared" si="2"/>
        <v>0</v>
      </c>
      <c r="L41" s="47" t="str">
        <f t="shared" si="3"/>
        <v xml:space="preserve"> </v>
      </c>
    </row>
    <row r="42" spans="2:12" ht="13.5" thickBot="1" x14ac:dyDescent="0.25">
      <c r="B42" s="30" t="s">
        <v>60</v>
      </c>
      <c r="C42" s="57"/>
      <c r="D42" s="57"/>
      <c r="E42" s="58">
        <f>E40+E41</f>
        <v>362.69959848000002</v>
      </c>
      <c r="F42" s="59"/>
      <c r="G42" s="57"/>
      <c r="H42" s="57"/>
      <c r="I42" s="58">
        <f>I40+I41</f>
        <v>364.47369848000005</v>
      </c>
      <c r="J42" s="59"/>
      <c r="K42" s="60">
        <f t="shared" si="2"/>
        <v>1.7741000000000327</v>
      </c>
      <c r="L42" s="61">
        <f t="shared" si="3"/>
        <v>4.8913756933697296E-3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1"/>
  <sheetViews>
    <sheetView showGridLines="0" workbookViewId="0">
      <selection activeCell="C7" sqref="C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19.43</v>
      </c>
      <c r="D14" s="37">
        <f>C6</f>
        <v>1</v>
      </c>
      <c r="E14" s="36">
        <f>C14*D14</f>
        <v>19.43</v>
      </c>
      <c r="F14" s="45"/>
      <c r="G14" s="36">
        <f>Rates!I6</f>
        <v>23.33</v>
      </c>
      <c r="H14" s="37">
        <f>D14</f>
        <v>1</v>
      </c>
      <c r="I14" s="36">
        <f>G14*H14</f>
        <v>23.33</v>
      </c>
      <c r="J14" s="45"/>
      <c r="K14" s="36">
        <f>I14-E14</f>
        <v>3.8999999999999986</v>
      </c>
      <c r="L14" s="47">
        <f>IF((E14)=0," ",K14/E14)</f>
        <v>0.20072053525476061</v>
      </c>
    </row>
    <row r="15" spans="2:12" x14ac:dyDescent="0.2">
      <c r="B15" s="44" t="str">
        <f>Rates!B8</f>
        <v>Distribution Volumetric Rate</v>
      </c>
      <c r="C15" s="25">
        <f>Rates!E8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1" si="2">I15-E15</f>
        <v>-4.08</v>
      </c>
      <c r="L15" s="47">
        <f t="shared" ref="L15:L41" si="3">IF((E15)=0," ",K15/E15)</f>
        <v>-0.25247524752475248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-0.18000000000000682</v>
      </c>
      <c r="L16" s="55">
        <f t="shared" si="3"/>
        <v>-5.0576004495646752E-3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4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4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Rates!B10</f>
        <v>Rate Rider for Deferral/Variance Account Disposition (2015) - effective until December 31, 2016</v>
      </c>
      <c r="C18" s="25">
        <f>Rates!E10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Rates!I10</f>
        <v>8.0000000000000004E-4</v>
      </c>
      <c r="H18" s="37">
        <f t="shared" ref="H18:H24" si="6">D18</f>
        <v>800</v>
      </c>
      <c r="I18" s="36">
        <f t="shared" si="5"/>
        <v>0.64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Rates!B11</f>
        <v>Rate Rider for Global Adjustment Sub-Account Disposition (2015) - effective until December 31, 2016 Applicable only for Non-RPP Customers</v>
      </c>
      <c r="C19" s="25">
        <f>Rates!E11</f>
        <v>-2.5000000000000001E-3</v>
      </c>
      <c r="D19" s="37"/>
      <c r="E19" s="36">
        <f t="shared" si="4"/>
        <v>0</v>
      </c>
      <c r="F19" s="45"/>
      <c r="G19" s="25">
        <f>Rates!I11</f>
        <v>-2.5000000000000001E-3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Rates!B12</f>
        <v>Rate Rider for Deferral/Variance Account Disposition (2016) - effective until December 31, 2017</v>
      </c>
      <c r="C20" s="25">
        <f>Rates!E12</f>
        <v>0</v>
      </c>
      <c r="D20" s="37">
        <f>C7</f>
        <v>800</v>
      </c>
      <c r="E20" s="36">
        <f t="shared" si="4"/>
        <v>0</v>
      </c>
      <c r="F20" s="45"/>
      <c r="G20" s="25"/>
      <c r="H20" s="37">
        <f t="shared" si="6"/>
        <v>800</v>
      </c>
      <c r="I20" s="36">
        <f t="shared" si="5"/>
        <v>0</v>
      </c>
      <c r="J20" s="45"/>
      <c r="K20" s="36">
        <f t="shared" ref="K20:K21" si="7">I20-E20</f>
        <v>0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Rates!B13</f>
        <v>Rate Rider for Global Adjustment Sub-Account Disposition (2016) - effective until December 31, 2017 Applicable only for Non-RPP Customers</v>
      </c>
      <c r="C21" s="25">
        <f>Rates!E13</f>
        <v>0</v>
      </c>
      <c r="D21" s="37"/>
      <c r="E21" s="36">
        <f t="shared" si="4"/>
        <v>0</v>
      </c>
      <c r="F21" s="45"/>
      <c r="G21" s="25"/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Rates!B14</f>
        <v>Rate Rider for Loss Revenue Adjustment Mechanism (LRAM) - effective until December 31, 2015</v>
      </c>
      <c r="C22" s="25">
        <f>Rates!E14</f>
        <v>1E-4</v>
      </c>
      <c r="D22" s="37">
        <f>C7</f>
        <v>800</v>
      </c>
      <c r="E22" s="36">
        <f t="shared" si="4"/>
        <v>0.08</v>
      </c>
      <c r="F22" s="45"/>
      <c r="G22" s="25">
        <f>Rates!I14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2"/>
        <v>-0.08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Rates!E9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Rates!I9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41.688790400000002</v>
      </c>
      <c r="F25" s="53"/>
      <c r="G25" s="50"/>
      <c r="H25" s="51"/>
      <c r="I25" s="52">
        <f>SUM(I16:I24)</f>
        <v>41.428790399999997</v>
      </c>
      <c r="J25" s="53"/>
      <c r="K25" s="54">
        <f t="shared" si="2"/>
        <v>-0.26000000000000512</v>
      </c>
      <c r="L25" s="55">
        <f t="shared" si="3"/>
        <v>-6.2366885079977062E-3</v>
      </c>
    </row>
    <row r="26" spans="2:12" x14ac:dyDescent="0.2">
      <c r="B26" s="44" t="str">
        <f>Rates!B15</f>
        <v>Retail Transmission Rate - Network Service Rate</v>
      </c>
      <c r="C26" s="25">
        <f>Rates!E15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Rates!I15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Rates!E16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Rates!I16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52.652470400000006</v>
      </c>
      <c r="F28" s="53"/>
      <c r="G28" s="50"/>
      <c r="H28" s="52"/>
      <c r="I28" s="52">
        <f>SUM(I25:I27)</f>
        <v>52.392470400000001</v>
      </c>
      <c r="J28" s="53"/>
      <c r="K28" s="54">
        <f t="shared" si="2"/>
        <v>-0.26000000000000512</v>
      </c>
      <c r="L28" s="55">
        <f t="shared" si="3"/>
        <v>-4.9380399062909893E-3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5" si="9">C29*D29</f>
        <v>3.7107840000000003</v>
      </c>
      <c r="F29" s="45"/>
      <c r="G29" s="25">
        <f>Rates!I244</f>
        <v>4.4000000000000003E-3</v>
      </c>
      <c r="H29" s="37">
        <f>D29</f>
        <v>843.36</v>
      </c>
      <c r="I29" s="36">
        <f t="shared" ref="I29:I35" si="10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9"/>
        <v>0.25</v>
      </c>
      <c r="F31" s="45"/>
      <c r="G31" s="36">
        <f>Rates!I246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Rates!E250</f>
        <v>0</v>
      </c>
      <c r="D32" s="37">
        <f>C7</f>
        <v>800</v>
      </c>
      <c r="E32" s="36">
        <f t="shared" si="9"/>
        <v>0</v>
      </c>
      <c r="F32" s="45"/>
      <c r="G32" s="25">
        <f>Rates!I250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512</v>
      </c>
      <c r="E33" s="36">
        <f t="shared" si="9"/>
        <v>40.96</v>
      </c>
      <c r="F33" s="45"/>
      <c r="G33" s="25">
        <f>Rates!I262</f>
        <v>0.08</v>
      </c>
      <c r="H33" s="37">
        <f>D33</f>
        <v>512</v>
      </c>
      <c r="I33" s="36">
        <f t="shared" si="10"/>
        <v>40.96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144</v>
      </c>
      <c r="E34" s="36">
        <f t="shared" si="9"/>
        <v>17.567999999999998</v>
      </c>
      <c r="F34" s="45"/>
      <c r="G34" s="25">
        <f>Rates!I263</f>
        <v>0.122</v>
      </c>
      <c r="H34" s="37">
        <f t="shared" ref="H34:H35" si="12">D34</f>
        <v>144</v>
      </c>
      <c r="I34" s="36">
        <f t="shared" si="10"/>
        <v>17.567999999999998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144</v>
      </c>
      <c r="E35" s="36">
        <f t="shared" si="9"/>
        <v>23.184000000000001</v>
      </c>
      <c r="F35" s="45"/>
      <c r="G35" s="25">
        <f>Rates!I264</f>
        <v>0.161</v>
      </c>
      <c r="H35" s="37">
        <f t="shared" si="12"/>
        <v>144</v>
      </c>
      <c r="I35" s="36">
        <f t="shared" si="10"/>
        <v>23.184000000000001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139.42162240000002</v>
      </c>
      <c r="F37" s="45"/>
      <c r="G37" s="35"/>
      <c r="H37" s="39"/>
      <c r="I37" s="39">
        <f>SUM(I28:I35)</f>
        <v>139.1616224</v>
      </c>
      <c r="J37" s="45"/>
      <c r="K37" s="36">
        <f t="shared" si="2"/>
        <v>-0.26000000000001933</v>
      </c>
      <c r="L37" s="47">
        <f t="shared" si="3"/>
        <v>-1.8648470411144727E-3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18.124810912000004</v>
      </c>
      <c r="F38" s="45"/>
      <c r="G38" s="41">
        <f>Rates!I268</f>
        <v>0.13</v>
      </c>
      <c r="H38" s="35"/>
      <c r="I38" s="42">
        <f>I37*G38</f>
        <v>18.091010912000002</v>
      </c>
      <c r="J38" s="45"/>
      <c r="K38" s="36">
        <f t="shared" si="2"/>
        <v>-3.3800000000002939E-2</v>
      </c>
      <c r="L38" s="47">
        <f t="shared" si="3"/>
        <v>-1.8648470411144961E-3</v>
      </c>
    </row>
    <row r="39" spans="2:12" x14ac:dyDescent="0.2">
      <c r="B39" s="23" t="s">
        <v>59</v>
      </c>
      <c r="C39" s="35"/>
      <c r="D39" s="35"/>
      <c r="E39" s="42">
        <f>E37+E38</f>
        <v>157.54643331200003</v>
      </c>
      <c r="F39" s="45"/>
      <c r="G39" s="35"/>
      <c r="H39" s="35"/>
      <c r="I39" s="42">
        <f>I37+I38</f>
        <v>157.252633312</v>
      </c>
      <c r="J39" s="45"/>
      <c r="K39" s="36">
        <f t="shared" si="2"/>
        <v>-0.29380000000003292</v>
      </c>
      <c r="L39" s="47">
        <f t="shared" si="3"/>
        <v>-1.864847041114543E-3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157.54643331200003</v>
      </c>
      <c r="F41" s="59"/>
      <c r="G41" s="57"/>
      <c r="H41" s="57"/>
      <c r="I41" s="58">
        <f>I39+I40</f>
        <v>157.252633312</v>
      </c>
      <c r="J41" s="59"/>
      <c r="K41" s="60">
        <f t="shared" si="2"/>
        <v>-0.29380000000003292</v>
      </c>
      <c r="L41" s="61">
        <f t="shared" si="3"/>
        <v>-1.864847041114543E-3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9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Rates!B187</f>
        <v>General Service 50kW to 4,999kW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Rates!E188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Rates!I188</f>
        <v>151.08000000000001</v>
      </c>
      <c r="H14" s="37">
        <f>D14</f>
        <v>1</v>
      </c>
      <c r="I14" s="36">
        <f>G14*H14</f>
        <v>151.08000000000001</v>
      </c>
      <c r="J14" s="45"/>
      <c r="K14" s="36">
        <f>I14-E14</f>
        <v>1.7199999999999989</v>
      </c>
      <c r="L14" s="47">
        <f>IF((E14)=0," ",K14/E14)</f>
        <v>1.1515800749866087E-2</v>
      </c>
    </row>
    <row r="15" spans="2:12" x14ac:dyDescent="0.2">
      <c r="B15" s="44" t="str">
        <f>Rates!B8</f>
        <v>Distribution Volumetric Rate</v>
      </c>
      <c r="C15" s="25">
        <f>Rates!E189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Rates!I189</f>
        <v>6.6558000000000002</v>
      </c>
      <c r="H15" s="38">
        <f>D15</f>
        <v>200</v>
      </c>
      <c r="I15" s="36">
        <f t="shared" ref="I15" si="1">G15*H15</f>
        <v>1331.16</v>
      </c>
      <c r="J15" s="45"/>
      <c r="K15" s="36">
        <f t="shared" ref="K15:K39" si="2">I15-E15</f>
        <v>15.1400000000001</v>
      </c>
      <c r="L15" s="47">
        <f t="shared" ref="L15:L39" si="3">IF((E15)=0," ",K15/E15)</f>
        <v>1.1504384431847616E-2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1482.24</v>
      </c>
      <c r="J16" s="53"/>
      <c r="K16" s="54">
        <f t="shared" si="2"/>
        <v>16.8599999999999</v>
      </c>
      <c r="L16" s="55">
        <f t="shared" si="3"/>
        <v>1.1505548048970164E-2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3719.204000000002</v>
      </c>
      <c r="E17" s="36">
        <f t="shared" ref="E17:E24" si="4">C17*D17</f>
        <v>379.87949656000023</v>
      </c>
      <c r="F17" s="45"/>
      <c r="G17" s="25">
        <f>Rates!I266</f>
        <v>0.10214000000000001</v>
      </c>
      <c r="H17" s="40">
        <f>(C5-1)*C7</f>
        <v>3719.204000000002</v>
      </c>
      <c r="I17" s="36">
        <f t="shared" ref="I17:I24" si="5">G17*H17</f>
        <v>379.87949656000023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Rates!B191</f>
        <v>Rate Rider for Deferral/Variance Account Disposition (2015) - effective until December 31, 2016</v>
      </c>
      <c r="C18" s="25">
        <f>Rates!E191</f>
        <v>-3.8399999999999997E-2</v>
      </c>
      <c r="D18" s="37">
        <f>C8</f>
        <v>200</v>
      </c>
      <c r="E18" s="36">
        <f t="shared" si="4"/>
        <v>-7.68</v>
      </c>
      <c r="F18" s="45"/>
      <c r="G18" s="25">
        <f>Rates!I191</f>
        <v>-3.8399999999999997E-2</v>
      </c>
      <c r="H18" s="37">
        <f t="shared" ref="H18:H24" si="6">D18</f>
        <v>200</v>
      </c>
      <c r="I18" s="36">
        <f t="shared" si="5"/>
        <v>-7.68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Rates!B192</f>
        <v>Rate Rider for Global Adjustment Sub-Account Disposition (2015) - effective until December 31, 2016 Applicable only for Non-RPP Customers</v>
      </c>
      <c r="C19" s="25">
        <f>Rates!E192</f>
        <v>-0.67420000000000002</v>
      </c>
      <c r="D19" s="37">
        <f>C8</f>
        <v>200</v>
      </c>
      <c r="E19" s="36">
        <f t="shared" si="4"/>
        <v>-134.84</v>
      </c>
      <c r="F19" s="45"/>
      <c r="G19" s="25">
        <f>Rates!I192</f>
        <v>-0.67420000000000002</v>
      </c>
      <c r="H19" s="37">
        <f t="shared" si="6"/>
        <v>200</v>
      </c>
      <c r="I19" s="36">
        <f t="shared" si="5"/>
        <v>-134.84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Rates!B193</f>
        <v>Rate Rider for Deferral/Variance Account Disposition (2016) - effective until December 31, 2017</v>
      </c>
      <c r="C20" s="25">
        <f>Rates!E193</f>
        <v>0</v>
      </c>
      <c r="D20" s="37">
        <f>C8</f>
        <v>200</v>
      </c>
      <c r="E20" s="36">
        <f t="shared" si="4"/>
        <v>0</v>
      </c>
      <c r="F20" s="45"/>
      <c r="G20" s="25">
        <f>Rates!I193</f>
        <v>-0.40539999999999998</v>
      </c>
      <c r="H20" s="37">
        <f t="shared" si="6"/>
        <v>200</v>
      </c>
      <c r="I20" s="36">
        <f t="shared" si="5"/>
        <v>-81.08</v>
      </c>
      <c r="J20" s="45"/>
      <c r="K20" s="36">
        <f t="shared" ref="K20:K21" si="9">I20-E20</f>
        <v>-81.08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Rates!B194</f>
        <v>Rate Rider for Global Adjustment Sub-Account Disposition (2016) - effective until December 31, 2017 Applicable only for Non-RPP Customers</v>
      </c>
      <c r="C21" s="25">
        <f>Rates!E194</f>
        <v>0</v>
      </c>
      <c r="D21" s="37">
        <f>C8</f>
        <v>200</v>
      </c>
      <c r="E21" s="36">
        <f t="shared" si="4"/>
        <v>0</v>
      </c>
      <c r="F21" s="45"/>
      <c r="G21" s="25">
        <f>Rates!I194</f>
        <v>0.62239999999999995</v>
      </c>
      <c r="H21" s="37">
        <f t="shared" si="6"/>
        <v>200</v>
      </c>
      <c r="I21" s="36">
        <f t="shared" si="5"/>
        <v>124.47999999999999</v>
      </c>
      <c r="J21" s="45"/>
      <c r="K21" s="36">
        <f t="shared" si="9"/>
        <v>124.47999999999999</v>
      </c>
      <c r="L21" s="47" t="str">
        <f t="shared" si="10"/>
        <v xml:space="preserve"> </v>
      </c>
    </row>
    <row r="22" spans="2:12" x14ac:dyDescent="0.2">
      <c r="B22" s="44" t="str">
        <f>Rates!B195</f>
        <v>Rate Rider for the Disposition of Deferred PILs Variance Account 1562 - effective until December 31, 2016</v>
      </c>
      <c r="C22" s="25">
        <f>Rates!E195</f>
        <v>8.1100000000000005E-2</v>
      </c>
      <c r="D22" s="37">
        <f>C8</f>
        <v>200</v>
      </c>
      <c r="E22" s="36">
        <f t="shared" si="4"/>
        <v>16.220000000000002</v>
      </c>
      <c r="F22" s="45"/>
      <c r="G22" s="25">
        <f>Rates!I195</f>
        <v>8.1100000000000005E-2</v>
      </c>
      <c r="H22" s="37">
        <f t="shared" si="6"/>
        <v>200</v>
      </c>
      <c r="I22" s="36">
        <f t="shared" si="5"/>
        <v>16.220000000000002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Rates!B196</f>
        <v>Rate Rider for Loss Revenue Adjustment Mechanism (LRAM) - effective until December 31, 2015</v>
      </c>
      <c r="C23" s="25">
        <f>Rates!E196</f>
        <v>4.41E-2</v>
      </c>
      <c r="D23" s="37">
        <f>C8</f>
        <v>200</v>
      </c>
      <c r="E23" s="36">
        <f t="shared" si="4"/>
        <v>8.82</v>
      </c>
      <c r="F23" s="45"/>
      <c r="G23" s="25">
        <f>Rates!I196</f>
        <v>0</v>
      </c>
      <c r="H23" s="37">
        <f t="shared" si="6"/>
        <v>200</v>
      </c>
      <c r="I23" s="36">
        <f t="shared" si="5"/>
        <v>0</v>
      </c>
      <c r="J23" s="45"/>
      <c r="K23" s="36">
        <f t="shared" si="7"/>
        <v>-8.82</v>
      </c>
      <c r="L23" s="47">
        <f t="shared" si="8"/>
        <v>-1</v>
      </c>
    </row>
    <row r="24" spans="2:12" x14ac:dyDescent="0.2">
      <c r="B24" s="44" t="str">
        <f>Rates!B9</f>
        <v>Low Voltage Service Rate</v>
      </c>
      <c r="C24" s="25">
        <f>Rates!E190</f>
        <v>7.3499999999999996E-2</v>
      </c>
      <c r="D24" s="37">
        <f>C8</f>
        <v>200</v>
      </c>
      <c r="E24" s="36">
        <f t="shared" si="4"/>
        <v>14.7</v>
      </c>
      <c r="F24" s="45"/>
      <c r="G24" s="25">
        <f>Rates!I190</f>
        <v>7.3499999999999996E-2</v>
      </c>
      <c r="H24" s="37">
        <f t="shared" si="6"/>
        <v>200</v>
      </c>
      <c r="I24" s="36">
        <f t="shared" si="5"/>
        <v>14.7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1742.4794965600004</v>
      </c>
      <c r="F25" s="53"/>
      <c r="G25" s="50"/>
      <c r="H25" s="51"/>
      <c r="I25" s="52">
        <f>SUM(I16:I24)</f>
        <v>1793.9194965600004</v>
      </c>
      <c r="J25" s="53"/>
      <c r="K25" s="54">
        <f t="shared" si="2"/>
        <v>51.440000000000055</v>
      </c>
      <c r="L25" s="55">
        <f t="shared" si="3"/>
        <v>2.9521150809265075E-2</v>
      </c>
    </row>
    <row r="26" spans="2:12" x14ac:dyDescent="0.2">
      <c r="B26" s="44" t="str">
        <f>Rates!B15</f>
        <v>Retail Transmission Rate - Network Service Rate</v>
      </c>
      <c r="C26" s="25">
        <f>Rates!E197</f>
        <v>2.6433</v>
      </c>
      <c r="D26" s="37">
        <f>C8</f>
        <v>200</v>
      </c>
      <c r="E26" s="36">
        <f>C26*D26</f>
        <v>528.66</v>
      </c>
      <c r="F26" s="45"/>
      <c r="G26" s="25">
        <f>Rates!I197</f>
        <v>2.5966</v>
      </c>
      <c r="H26" s="37">
        <f>D26</f>
        <v>200</v>
      </c>
      <c r="I26" s="36">
        <f>G26*H26</f>
        <v>519.32000000000005</v>
      </c>
      <c r="J26" s="45"/>
      <c r="K26" s="36">
        <f t="shared" si="2"/>
        <v>-9.3399999999999181</v>
      </c>
      <c r="L26" s="47">
        <f t="shared" si="3"/>
        <v>-1.766730980214111E-2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Rates!E198</f>
        <v>2.0314999999999999</v>
      </c>
      <c r="D27" s="37">
        <f>C8</f>
        <v>200</v>
      </c>
      <c r="E27" s="36">
        <f>C27*D27</f>
        <v>406.29999999999995</v>
      </c>
      <c r="F27" s="45"/>
      <c r="G27" s="25">
        <f>Rates!I198</f>
        <v>2.0802999999999998</v>
      </c>
      <c r="H27" s="37">
        <f>D27</f>
        <v>200</v>
      </c>
      <c r="I27" s="36">
        <f>G27*H27</f>
        <v>416.05999999999995</v>
      </c>
      <c r="J27" s="45"/>
      <c r="K27" s="36">
        <f t="shared" si="2"/>
        <v>9.7599999999999909</v>
      </c>
      <c r="L27" s="47">
        <f t="shared" si="3"/>
        <v>2.4021658872754103E-2</v>
      </c>
    </row>
    <row r="28" spans="2:12" x14ac:dyDescent="0.2">
      <c r="B28" s="49" t="s">
        <v>57</v>
      </c>
      <c r="C28" s="50"/>
      <c r="D28" s="51"/>
      <c r="E28" s="52">
        <f>SUM(E25:E27)</f>
        <v>2677.4394965600004</v>
      </c>
      <c r="F28" s="53"/>
      <c r="G28" s="50"/>
      <c r="H28" s="52"/>
      <c r="I28" s="52">
        <f>SUM(I25:I27)</f>
        <v>2729.2994965600005</v>
      </c>
      <c r="J28" s="53"/>
      <c r="K28" s="54">
        <f t="shared" si="2"/>
        <v>51.860000000000127</v>
      </c>
      <c r="L28" s="55">
        <f t="shared" si="3"/>
        <v>1.9369251879129423E-2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72339.203999999998</v>
      </c>
      <c r="E29" s="36">
        <f t="shared" ref="E29:E33" si="11">C29*D29</f>
        <v>318.29249759999999</v>
      </c>
      <c r="F29" s="45"/>
      <c r="G29" s="25">
        <f>Rates!I244</f>
        <v>4.4000000000000003E-3</v>
      </c>
      <c r="H29" s="37">
        <f>D29</f>
        <v>72339.203999999998</v>
      </c>
      <c r="I29" s="36">
        <f t="shared" ref="I29:I33" si="12">G29*H29</f>
        <v>318.29249759999999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72339.203999999998</v>
      </c>
      <c r="E30" s="36">
        <f t="shared" si="11"/>
        <v>94.040965199999988</v>
      </c>
      <c r="F30" s="45"/>
      <c r="G30" s="25">
        <f>Rates!I245</f>
        <v>1.2999999999999999E-3</v>
      </c>
      <c r="H30" s="37">
        <f t="shared" ref="H30:H31" si="13">D30</f>
        <v>72339.203999999998</v>
      </c>
      <c r="I30" s="36">
        <f t="shared" si="12"/>
        <v>94.040965199999988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Rates!E252</f>
        <v>0</v>
      </c>
      <c r="D32" s="37">
        <f>C7</f>
        <v>68620</v>
      </c>
      <c r="E32" s="36">
        <f t="shared" si="11"/>
        <v>0</v>
      </c>
      <c r="F32" s="45"/>
      <c r="G32" s="25">
        <f>Rates!I252</f>
        <v>0</v>
      </c>
      <c r="H32" s="37">
        <f>D32</f>
        <v>68620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Rates!B266</f>
        <v>Energy Price</v>
      </c>
      <c r="C33" s="25">
        <f>Rates!E266</f>
        <v>0.10214000000000001</v>
      </c>
      <c r="D33" s="37">
        <f>C7</f>
        <v>68620</v>
      </c>
      <c r="E33" s="36">
        <f t="shared" si="11"/>
        <v>7008.8468000000003</v>
      </c>
      <c r="F33" s="45"/>
      <c r="G33" s="25">
        <f>Rates!I266</f>
        <v>0.10214000000000001</v>
      </c>
      <c r="H33" s="37">
        <f>D33</f>
        <v>68620</v>
      </c>
      <c r="I33" s="36">
        <f t="shared" si="12"/>
        <v>7008.8468000000003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SUM(E28:E33)</f>
        <v>10098.869759360001</v>
      </c>
      <c r="F35" s="45"/>
      <c r="G35" s="35"/>
      <c r="H35" s="39"/>
      <c r="I35" s="39">
        <f>SUM(I28:I33)</f>
        <v>10150.729759360001</v>
      </c>
      <c r="J35" s="45"/>
      <c r="K35" s="36">
        <f t="shared" si="2"/>
        <v>51.860000000000582</v>
      </c>
      <c r="L35" s="47">
        <f t="shared" si="3"/>
        <v>5.1352281231208914E-3</v>
      </c>
    </row>
    <row r="36" spans="2:12" x14ac:dyDescent="0.2">
      <c r="B36" s="44" t="str">
        <f>Rates!B268</f>
        <v>HST</v>
      </c>
      <c r="C36" s="41">
        <f>Rates!E268</f>
        <v>0.13</v>
      </c>
      <c r="D36" s="35"/>
      <c r="E36" s="42">
        <f>E35*C36</f>
        <v>1312.8530687168002</v>
      </c>
      <c r="F36" s="45"/>
      <c r="G36" s="41">
        <f>Rates!I268</f>
        <v>0.13</v>
      </c>
      <c r="H36" s="35"/>
      <c r="I36" s="42">
        <f>I35*G36</f>
        <v>1319.5948687168002</v>
      </c>
      <c r="J36" s="45"/>
      <c r="K36" s="36">
        <f t="shared" si="2"/>
        <v>6.741800000000012</v>
      </c>
      <c r="L36" s="47">
        <f t="shared" si="3"/>
        <v>5.135228123120842E-3</v>
      </c>
    </row>
    <row r="37" spans="2:12" x14ac:dyDescent="0.2">
      <c r="B37" s="23" t="s">
        <v>59</v>
      </c>
      <c r="C37" s="35"/>
      <c r="D37" s="35"/>
      <c r="E37" s="42">
        <f>E35+E36</f>
        <v>11411.722828076801</v>
      </c>
      <c r="F37" s="45"/>
      <c r="G37" s="35"/>
      <c r="H37" s="35"/>
      <c r="I37" s="42">
        <f>I35+I36</f>
        <v>11470.324628076802</v>
      </c>
      <c r="J37" s="45"/>
      <c r="K37" s="36">
        <f t="shared" si="2"/>
        <v>58.601800000000367</v>
      </c>
      <c r="L37" s="47">
        <f t="shared" si="3"/>
        <v>5.1352281231208654E-3</v>
      </c>
    </row>
    <row r="38" spans="2:12" x14ac:dyDescent="0.2">
      <c r="B38" s="44" t="str">
        <f>Rates!B270</f>
        <v>OCEB</v>
      </c>
      <c r="C38" s="41">
        <f>Rates!E270</f>
        <v>0</v>
      </c>
      <c r="D38" s="35"/>
      <c r="E38" s="42">
        <f>E37*C38</f>
        <v>0</v>
      </c>
      <c r="F38" s="45"/>
      <c r="G38" s="41">
        <f>Rates!I270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11411.722828076801</v>
      </c>
      <c r="F39" s="59"/>
      <c r="G39" s="57"/>
      <c r="H39" s="57"/>
      <c r="I39" s="58">
        <f>I37+I38</f>
        <v>11470.324628076802</v>
      </c>
      <c r="J39" s="59"/>
      <c r="K39" s="60">
        <f t="shared" si="2"/>
        <v>58.601800000000367</v>
      </c>
      <c r="L39" s="61">
        <f t="shared" si="3"/>
        <v>5.1352281231208654E-3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.5703125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Rates!B200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64" t="s">
        <v>32</v>
      </c>
      <c r="L12" s="65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Rates!E201</f>
        <v>37.43</v>
      </c>
      <c r="D14" s="37">
        <f>C6</f>
        <v>1</v>
      </c>
      <c r="E14" s="36">
        <f>C14*D14</f>
        <v>37.43</v>
      </c>
      <c r="F14" s="45"/>
      <c r="G14" s="36">
        <f>Rates!I201</f>
        <v>32.799999999999997</v>
      </c>
      <c r="H14" s="37">
        <f>D14</f>
        <v>1</v>
      </c>
      <c r="I14" s="36">
        <f>G14*H14</f>
        <v>32.799999999999997</v>
      </c>
      <c r="J14" s="45"/>
      <c r="K14" s="36">
        <f>I14-E14</f>
        <v>-4.6300000000000026</v>
      </c>
      <c r="L14" s="47">
        <f>IF((E14)=0," ",K14/E14)</f>
        <v>-0.12369756879508423</v>
      </c>
    </row>
    <row r="15" spans="2:12" x14ac:dyDescent="0.2">
      <c r="B15" s="44" t="str">
        <f>Rates!B8</f>
        <v>Distribution Volumetric Rate</v>
      </c>
      <c r="C15" s="25">
        <f>Rates!E202</f>
        <v>2.1999999999999999E-2</v>
      </c>
      <c r="D15" s="38">
        <f>C7</f>
        <v>800</v>
      </c>
      <c r="E15" s="36">
        <f t="shared" ref="E15" si="0">C15*D15</f>
        <v>17.599999999999998</v>
      </c>
      <c r="F15" s="45"/>
      <c r="G15" s="25">
        <f>Rates!I202</f>
        <v>1.78E-2</v>
      </c>
      <c r="H15" s="38">
        <f>D15</f>
        <v>800</v>
      </c>
      <c r="I15" s="36">
        <f t="shared" ref="I15" si="1">G15*H15</f>
        <v>14.24</v>
      </c>
      <c r="J15" s="45"/>
      <c r="K15" s="36">
        <f t="shared" ref="K15:K41" si="2">I15-E15</f>
        <v>-3.3599999999999977</v>
      </c>
      <c r="L15" s="47">
        <f t="shared" ref="L15:L41" si="3">IF((E15)=0," ",K15/E15)</f>
        <v>-0.19090909090909081</v>
      </c>
    </row>
    <row r="16" spans="2:12" x14ac:dyDescent="0.2">
      <c r="B16" s="49" t="s">
        <v>36</v>
      </c>
      <c r="C16" s="50"/>
      <c r="D16" s="51"/>
      <c r="E16" s="52">
        <f>SUM(E14:E15)</f>
        <v>55.03</v>
      </c>
      <c r="F16" s="53"/>
      <c r="G16" s="50"/>
      <c r="H16" s="51"/>
      <c r="I16" s="52">
        <f>SUM(I14:I15)</f>
        <v>47.04</v>
      </c>
      <c r="J16" s="53"/>
      <c r="K16" s="54">
        <f t="shared" si="2"/>
        <v>-7.990000000000002</v>
      </c>
      <c r="L16" s="55">
        <f t="shared" si="3"/>
        <v>-0.14519353080138109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4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4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Rates!B204</f>
        <v>Rate Rider for Deferral/Variance Account Disposition (2014) - effective until December 31, 2016</v>
      </c>
      <c r="C18" s="25">
        <f>Rates!E204</f>
        <v>-8.0000000000000004E-4</v>
      </c>
      <c r="D18" s="37">
        <f>C7</f>
        <v>800</v>
      </c>
      <c r="E18" s="36">
        <f t="shared" si="4"/>
        <v>-0.64</v>
      </c>
      <c r="F18" s="45"/>
      <c r="G18" s="25">
        <f>Rates!I204</f>
        <v>-8.0000000000000004E-4</v>
      </c>
      <c r="H18" s="37">
        <f t="shared" ref="H18:H24" si="6">D18</f>
        <v>800</v>
      </c>
      <c r="I18" s="36">
        <f t="shared" si="5"/>
        <v>-0.64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Rates!B205</f>
        <v>Rate Rider for Global Adjustment Sub-Account Disposition (2014) - effective until December 31, 2016 Applicable only for Non-RPP Customers</v>
      </c>
      <c r="C19" s="25">
        <f>Rates!E205</f>
        <v>-2.3E-3</v>
      </c>
      <c r="D19" s="37">
        <f>C7</f>
        <v>800</v>
      </c>
      <c r="E19" s="36">
        <f t="shared" si="4"/>
        <v>-1.8399999999999999</v>
      </c>
      <c r="F19" s="45"/>
      <c r="G19" s="25">
        <f>Rates!I205</f>
        <v>-2.3E-3</v>
      </c>
      <c r="H19" s="37">
        <f t="shared" si="6"/>
        <v>800</v>
      </c>
      <c r="I19" s="36">
        <f t="shared" si="5"/>
        <v>-1.8399999999999999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Rates!B206</f>
        <v>Rate Rider for Deferral/Variance Account Disposition (2016) - effective until December 31, 2017</v>
      </c>
      <c r="C20" s="25">
        <f>Rates!E206</f>
        <v>0</v>
      </c>
      <c r="D20" s="37">
        <f>C7</f>
        <v>800</v>
      </c>
      <c r="E20" s="36">
        <f t="shared" si="4"/>
        <v>0</v>
      </c>
      <c r="F20" s="45"/>
      <c r="G20" s="25">
        <f>Rates!I206</f>
        <v>-1.2999999999999999E-3</v>
      </c>
      <c r="H20" s="37">
        <f t="shared" si="6"/>
        <v>800</v>
      </c>
      <c r="I20" s="36">
        <f t="shared" si="5"/>
        <v>-1.04</v>
      </c>
      <c r="J20" s="45"/>
      <c r="K20" s="36">
        <f t="shared" ref="K20:K21" si="9">I20-E20</f>
        <v>-1.04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Rates!B207</f>
        <v>Rate Rider for Global Adjustment Sub-Account Disposition (2016) - effective until December 31, 2017 Applicable only for Non-RPP Customers</v>
      </c>
      <c r="C21" s="25">
        <f>Rates!E207</f>
        <v>0</v>
      </c>
      <c r="D21" s="37">
        <f>C7</f>
        <v>800</v>
      </c>
      <c r="E21" s="36">
        <f t="shared" si="4"/>
        <v>0</v>
      </c>
      <c r="F21" s="45"/>
      <c r="G21" s="25">
        <f>Rates!I207</f>
        <v>1.9E-3</v>
      </c>
      <c r="H21" s="37">
        <f t="shared" si="6"/>
        <v>800</v>
      </c>
      <c r="I21" s="36">
        <f t="shared" si="5"/>
        <v>1.52</v>
      </c>
      <c r="J21" s="45"/>
      <c r="K21" s="36">
        <f t="shared" si="9"/>
        <v>1.52</v>
      </c>
      <c r="L21" s="47" t="str">
        <f t="shared" si="10"/>
        <v xml:space="preserve"> </v>
      </c>
    </row>
    <row r="22" spans="2:12" x14ac:dyDescent="0.2">
      <c r="B22" s="44" t="str">
        <f>Rates!B168</f>
        <v>Rate Rider for the Disposition of Deferred PILs Variance Account 1562 - effective until December 31, 2016</v>
      </c>
      <c r="C22" s="25">
        <f>Rates!E208</f>
        <v>5.9999999999999995E-4</v>
      </c>
      <c r="D22" s="37">
        <f>C7</f>
        <v>800</v>
      </c>
      <c r="E22" s="36">
        <f t="shared" si="4"/>
        <v>0.48</v>
      </c>
      <c r="F22" s="45"/>
      <c r="G22" s="25">
        <f>Rates!I208</f>
        <v>5.9999999999999995E-4</v>
      </c>
      <c r="H22" s="37">
        <f t="shared" si="6"/>
        <v>800</v>
      </c>
      <c r="I22" s="36">
        <f t="shared" si="5"/>
        <v>0.48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Rates!B209</f>
        <v>Rate Rider for Loss Revenue Adjustment Mechanism (LRAM) - effective until December 31, 2015</v>
      </c>
      <c r="C23" s="25">
        <f>Rates!E209</f>
        <v>0</v>
      </c>
      <c r="D23" s="37">
        <f>C7</f>
        <v>800</v>
      </c>
      <c r="E23" s="36">
        <f t="shared" si="4"/>
        <v>0</v>
      </c>
      <c r="F23" s="45"/>
      <c r="G23" s="25">
        <f>Rates!I209</f>
        <v>0</v>
      </c>
      <c r="H23" s="37">
        <f t="shared" si="6"/>
        <v>800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Rates!E203</f>
        <v>2.0000000000000001E-4</v>
      </c>
      <c r="D24" s="37">
        <f>C7</f>
        <v>800</v>
      </c>
      <c r="E24" s="36">
        <f t="shared" si="4"/>
        <v>0.16</v>
      </c>
      <c r="F24" s="45"/>
      <c r="G24" s="25">
        <f>Rates!I203</f>
        <v>2.0000000000000001E-4</v>
      </c>
      <c r="H24" s="37">
        <f t="shared" si="6"/>
        <v>800</v>
      </c>
      <c r="I24" s="36">
        <f t="shared" si="5"/>
        <v>0.16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57.618790400000002</v>
      </c>
      <c r="F25" s="53"/>
      <c r="G25" s="50"/>
      <c r="H25" s="51"/>
      <c r="I25" s="52">
        <f>SUM(I16:I24)</f>
        <v>50.108790399999997</v>
      </c>
      <c r="J25" s="53"/>
      <c r="K25" s="54">
        <f t="shared" si="2"/>
        <v>-7.5100000000000051</v>
      </c>
      <c r="L25" s="55">
        <f t="shared" si="3"/>
        <v>-0.13033942482763408</v>
      </c>
    </row>
    <row r="26" spans="2:12" x14ac:dyDescent="0.2">
      <c r="B26" s="44" t="str">
        <f>Rates!B15</f>
        <v>Retail Transmission Rate - Network Service Rate</v>
      </c>
      <c r="C26" s="25">
        <f>Rates!E210</f>
        <v>6.4999999999999997E-3</v>
      </c>
      <c r="D26" s="37">
        <f>C7*C5</f>
        <v>843.36</v>
      </c>
      <c r="E26" s="36">
        <f>C26*D26</f>
        <v>5.48184</v>
      </c>
      <c r="F26" s="45"/>
      <c r="G26" s="25">
        <f>Rates!I210</f>
        <v>6.4000000000000003E-3</v>
      </c>
      <c r="H26" s="37">
        <f>D26</f>
        <v>843.36</v>
      </c>
      <c r="I26" s="36">
        <f>G26*H26</f>
        <v>5.3975040000000005</v>
      </c>
      <c r="J26" s="45"/>
      <c r="K26" s="36">
        <f t="shared" si="2"/>
        <v>-8.4335999999999522E-2</v>
      </c>
      <c r="L26" s="47">
        <f t="shared" si="3"/>
        <v>-1.5384615384615297E-2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Rates!E211</f>
        <v>5.0000000000000001E-3</v>
      </c>
      <c r="D27" s="37">
        <f>C7*C5</f>
        <v>843.36</v>
      </c>
      <c r="E27" s="36">
        <f>C27*D27</f>
        <v>4.2168000000000001</v>
      </c>
      <c r="F27" s="45"/>
      <c r="G27" s="25">
        <f>Rates!I211</f>
        <v>5.1000000000000004E-3</v>
      </c>
      <c r="H27" s="37">
        <f>D27</f>
        <v>843.36</v>
      </c>
      <c r="I27" s="36">
        <f>G27*H27</f>
        <v>4.3011360000000005</v>
      </c>
      <c r="J27" s="45"/>
      <c r="K27" s="36">
        <f t="shared" si="2"/>
        <v>8.4336000000000411E-2</v>
      </c>
      <c r="L27" s="47">
        <f t="shared" si="3"/>
        <v>2.0000000000000098E-2</v>
      </c>
    </row>
    <row r="28" spans="2:12" x14ac:dyDescent="0.2">
      <c r="B28" s="49" t="s">
        <v>57</v>
      </c>
      <c r="C28" s="50"/>
      <c r="D28" s="51"/>
      <c r="E28" s="52">
        <f>SUM(E25:E27)</f>
        <v>67.317430400000006</v>
      </c>
      <c r="F28" s="53"/>
      <c r="G28" s="50"/>
      <c r="H28" s="52"/>
      <c r="I28" s="52">
        <f>SUM(I25:I27)</f>
        <v>59.807430399999994</v>
      </c>
      <c r="J28" s="53"/>
      <c r="K28" s="54">
        <f t="shared" si="2"/>
        <v>-7.5100000000000122</v>
      </c>
      <c r="L28" s="55">
        <f t="shared" si="3"/>
        <v>-0.11156100218584712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5" si="11">C29*D29</f>
        <v>3.7107840000000003</v>
      </c>
      <c r="F29" s="45"/>
      <c r="G29" s="25">
        <f>Rates!I244</f>
        <v>4.4000000000000003E-3</v>
      </c>
      <c r="H29" s="37">
        <f>D29</f>
        <v>843.36</v>
      </c>
      <c r="I29" s="36">
        <f t="shared" ref="I29:I35" si="12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11"/>
        <v>1.096368</v>
      </c>
      <c r="F30" s="45"/>
      <c r="G30" s="25">
        <f>Rates!I245</f>
        <v>1.2999999999999999E-3</v>
      </c>
      <c r="H30" s="37">
        <f t="shared" ref="H30:H31" si="13">D30</f>
        <v>843.36</v>
      </c>
      <c r="I30" s="36">
        <f t="shared" si="12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Rates!E252</f>
        <v>0</v>
      </c>
      <c r="D32" s="37">
        <f>C7</f>
        <v>800</v>
      </c>
      <c r="E32" s="36">
        <f t="shared" si="11"/>
        <v>0</v>
      </c>
      <c r="F32" s="45"/>
      <c r="G32" s="25">
        <f>Rates!I252</f>
        <v>0</v>
      </c>
      <c r="H32" s="37">
        <f>D32</f>
        <v>800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512</v>
      </c>
      <c r="E33" s="36">
        <f t="shared" si="11"/>
        <v>40.96</v>
      </c>
      <c r="F33" s="45"/>
      <c r="G33" s="25">
        <f>Rates!I262</f>
        <v>0.08</v>
      </c>
      <c r="H33" s="37">
        <f>D33</f>
        <v>512</v>
      </c>
      <c r="I33" s="36">
        <f t="shared" si="12"/>
        <v>40.96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144</v>
      </c>
      <c r="E34" s="36">
        <f t="shared" si="11"/>
        <v>17.567999999999998</v>
      </c>
      <c r="F34" s="45"/>
      <c r="G34" s="25">
        <f>Rates!I263</f>
        <v>0.122</v>
      </c>
      <c r="H34" s="37">
        <f t="shared" ref="H34:H35" si="14">D34</f>
        <v>144</v>
      </c>
      <c r="I34" s="36">
        <f t="shared" si="12"/>
        <v>17.567999999999998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144</v>
      </c>
      <c r="E35" s="36">
        <f t="shared" si="11"/>
        <v>23.184000000000001</v>
      </c>
      <c r="F35" s="45"/>
      <c r="G35" s="25">
        <f>Rates!I264</f>
        <v>0.161</v>
      </c>
      <c r="H35" s="37">
        <f t="shared" si="14"/>
        <v>144</v>
      </c>
      <c r="I35" s="36">
        <f t="shared" si="12"/>
        <v>23.184000000000001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154.08658240000003</v>
      </c>
      <c r="F37" s="45"/>
      <c r="G37" s="35"/>
      <c r="H37" s="39"/>
      <c r="I37" s="39">
        <f>SUM(I28:I35)</f>
        <v>146.57658240000001</v>
      </c>
      <c r="J37" s="45"/>
      <c r="K37" s="36">
        <f t="shared" si="2"/>
        <v>-7.5100000000000193</v>
      </c>
      <c r="L37" s="47">
        <f t="shared" si="3"/>
        <v>-4.8738831655727725E-2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20.031255712000004</v>
      </c>
      <c r="F38" s="45"/>
      <c r="G38" s="41">
        <f>Rates!I268</f>
        <v>0.13</v>
      </c>
      <c r="H38" s="35"/>
      <c r="I38" s="42">
        <f>I37*G38</f>
        <v>19.054955712000002</v>
      </c>
      <c r="J38" s="45"/>
      <c r="K38" s="36">
        <f t="shared" si="2"/>
        <v>-0.97630000000000194</v>
      </c>
      <c r="L38" s="47">
        <f t="shared" si="3"/>
        <v>-4.8738831655727691E-2</v>
      </c>
    </row>
    <row r="39" spans="2:12" x14ac:dyDescent="0.2">
      <c r="B39" s="23" t="s">
        <v>59</v>
      </c>
      <c r="C39" s="35"/>
      <c r="D39" s="35"/>
      <c r="E39" s="42">
        <f>E37+E38</f>
        <v>174.11783811200002</v>
      </c>
      <c r="F39" s="45"/>
      <c r="G39" s="35"/>
      <c r="H39" s="35"/>
      <c r="I39" s="42">
        <f>I37+I38</f>
        <v>165.63153811200002</v>
      </c>
      <c r="J39" s="45"/>
      <c r="K39" s="36">
        <f t="shared" si="2"/>
        <v>-8.4863</v>
      </c>
      <c r="L39" s="47">
        <f t="shared" si="3"/>
        <v>-4.8738831655727601E-2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174.11783811200002</v>
      </c>
      <c r="F41" s="59"/>
      <c r="G41" s="57"/>
      <c r="H41" s="57"/>
      <c r="I41" s="58">
        <f>I39+I40</f>
        <v>165.63153811200002</v>
      </c>
      <c r="J41" s="59"/>
      <c r="K41" s="60">
        <f t="shared" si="2"/>
        <v>-8.4863</v>
      </c>
      <c r="L41" s="61">
        <f t="shared" si="3"/>
        <v>-4.8738831655727601E-2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9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Rates!B213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Rates!E214</f>
        <v>5.17</v>
      </c>
      <c r="D14" s="37">
        <f>C6</f>
        <v>1</v>
      </c>
      <c r="E14" s="36">
        <f>C14*D14</f>
        <v>5.17</v>
      </c>
      <c r="F14" s="45"/>
      <c r="G14" s="36">
        <f>Rates!I214</f>
        <v>5.07</v>
      </c>
      <c r="H14" s="37">
        <f>D14</f>
        <v>1</v>
      </c>
      <c r="I14" s="36">
        <f>G14*H14</f>
        <v>5.07</v>
      </c>
      <c r="J14" s="45"/>
      <c r="K14" s="36">
        <f>I14-E14</f>
        <v>-9.9999999999999645E-2</v>
      </c>
      <c r="L14" s="47">
        <f>IF((E14)=0," ",K14/E14)</f>
        <v>-1.9342359767891615E-2</v>
      </c>
    </row>
    <row r="15" spans="2:12" x14ac:dyDescent="0.2">
      <c r="B15" s="44" t="str">
        <f>Rates!B8</f>
        <v>Distribution Volumetric Rate</v>
      </c>
      <c r="C15" s="25">
        <f>Rates!E215</f>
        <v>4.9564000000000004</v>
      </c>
      <c r="D15" s="93">
        <f>C8</f>
        <v>0.2</v>
      </c>
      <c r="E15" s="36">
        <f t="shared" ref="E15" si="0">C15*D15</f>
        <v>0.99128000000000016</v>
      </c>
      <c r="F15" s="45"/>
      <c r="G15" s="25">
        <f>Rates!I215</f>
        <v>5.8719999999999999</v>
      </c>
      <c r="H15" s="93">
        <f>D15</f>
        <v>0.2</v>
      </c>
      <c r="I15" s="36">
        <f t="shared" ref="I15" si="1">G15*H15</f>
        <v>1.1744000000000001</v>
      </c>
      <c r="J15" s="45"/>
      <c r="K15" s="36">
        <f t="shared" ref="K15:K39" si="2">I15-E15</f>
        <v>0.18311999999999995</v>
      </c>
      <c r="L15" s="47">
        <f t="shared" ref="L15:L39" si="3">IF((E15)=0," ",K15/E15)</f>
        <v>0.1847308530384956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6.2444000000000006</v>
      </c>
      <c r="J16" s="53"/>
      <c r="K16" s="54">
        <f t="shared" si="2"/>
        <v>8.3120000000000971E-2</v>
      </c>
      <c r="L16" s="55">
        <f t="shared" si="3"/>
        <v>1.3490703230497718E-2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3.2520000000000016</v>
      </c>
      <c r="E17" s="36">
        <f t="shared" ref="E17:E24" si="4">C17*D17</f>
        <v>0.33215928000000017</v>
      </c>
      <c r="F17" s="45"/>
      <c r="G17" s="25">
        <f>Rates!I266</f>
        <v>0.10214000000000001</v>
      </c>
      <c r="H17" s="40">
        <f>(C5-1)*C7</f>
        <v>3.2520000000000016</v>
      </c>
      <c r="I17" s="36">
        <f t="shared" ref="I17:I24" si="5">G17*H17</f>
        <v>0.33215928000000017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Rates!B217</f>
        <v>Rate Rider for Deferral/Variance Account Disposition (2015) - effective until December 31, 2016</v>
      </c>
      <c r="C18" s="25">
        <f>Rates!E217</f>
        <v>-0.25600000000000001</v>
      </c>
      <c r="D18" s="91">
        <f>C8</f>
        <v>0.2</v>
      </c>
      <c r="E18" s="36">
        <f t="shared" si="4"/>
        <v>-5.1200000000000002E-2</v>
      </c>
      <c r="F18" s="45"/>
      <c r="G18" s="25">
        <f>Rates!I217</f>
        <v>-0.25600000000000001</v>
      </c>
      <c r="H18" s="91">
        <f t="shared" ref="H18:H24" si="6">D18</f>
        <v>0.2</v>
      </c>
      <c r="I18" s="36">
        <f t="shared" si="5"/>
        <v>-5.1200000000000002E-2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Rates!B218</f>
        <v>Rate Rider for Global Adjustment Sub-Account Disposition (2015) - effective until December 31, 2016 Applicable only for Non-RPP Customers</v>
      </c>
      <c r="C19" s="25">
        <f>Rates!E218</f>
        <v>0</v>
      </c>
      <c r="D19" s="91">
        <f>C8</f>
        <v>0.2</v>
      </c>
      <c r="E19" s="36">
        <f t="shared" si="4"/>
        <v>0</v>
      </c>
      <c r="F19" s="45"/>
      <c r="G19" s="25">
        <f>Rates!I218</f>
        <v>0</v>
      </c>
      <c r="H19" s="91">
        <f t="shared" si="6"/>
        <v>0.2</v>
      </c>
      <c r="I19" s="36">
        <f t="shared" si="5"/>
        <v>0</v>
      </c>
      <c r="J19" s="45"/>
      <c r="K19" s="36">
        <f t="shared" si="7"/>
        <v>0</v>
      </c>
      <c r="L19" s="47" t="str">
        <f t="shared" si="8"/>
        <v xml:space="preserve"> </v>
      </c>
    </row>
    <row r="20" spans="2:12" x14ac:dyDescent="0.2">
      <c r="B20" s="48" t="str">
        <f>Rates!B219</f>
        <v>Rate Rider for Deferral/Variance Account Disposition (2016) - effective until December 31, 2017</v>
      </c>
      <c r="C20" s="25">
        <f>Rates!E219</f>
        <v>0</v>
      </c>
      <c r="D20" s="91">
        <f>C8</f>
        <v>0.2</v>
      </c>
      <c r="E20" s="36">
        <f t="shared" si="4"/>
        <v>0</v>
      </c>
      <c r="F20" s="45"/>
      <c r="G20" s="25">
        <f>Rates!I219</f>
        <v>-0.38540000000000002</v>
      </c>
      <c r="H20" s="91">
        <f t="shared" si="6"/>
        <v>0.2</v>
      </c>
      <c r="I20" s="36">
        <f t="shared" si="5"/>
        <v>-7.708000000000001E-2</v>
      </c>
      <c r="J20" s="45"/>
      <c r="K20" s="36">
        <f t="shared" ref="K20:K21" si="9">I20-E20</f>
        <v>-7.708000000000001E-2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Rates!B220</f>
        <v>Rate Rider for Global Adjustment Sub-Account Disposition (2016) - effective until December 31, 2017 Applicable only for Non-RPP Customers</v>
      </c>
      <c r="C21" s="25">
        <f>Rates!E220</f>
        <v>0</v>
      </c>
      <c r="D21" s="91">
        <f>C8</f>
        <v>0.2</v>
      </c>
      <c r="E21" s="36">
        <f t="shared" si="4"/>
        <v>0</v>
      </c>
      <c r="F21" s="45"/>
      <c r="G21" s="25">
        <f>Rates!I220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4" t="str">
        <f>Rates!B221</f>
        <v>Rate Rider for the Disposition of Deferred PILs Variance Account 1562 - effective until December 31, 2016</v>
      </c>
      <c r="C22" s="25">
        <f>Rates!E221</f>
        <v>0.94199999999999995</v>
      </c>
      <c r="D22" s="91">
        <f>C8</f>
        <v>0.2</v>
      </c>
      <c r="E22" s="36">
        <f t="shared" si="4"/>
        <v>0.18840000000000001</v>
      </c>
      <c r="F22" s="45"/>
      <c r="G22" s="25">
        <f>Rates!I221</f>
        <v>0.94199999999999995</v>
      </c>
      <c r="H22" s="91">
        <f t="shared" si="6"/>
        <v>0.2</v>
      </c>
      <c r="I22" s="36">
        <f t="shared" si="5"/>
        <v>0.18840000000000001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8" t="str">
        <f>Rates!B222</f>
        <v>Rate Rider for Loss Revenue Adjustment Mechanism (LRAM) - effective until December 31, 2015</v>
      </c>
      <c r="C23" s="25">
        <f>Rates!E222</f>
        <v>0</v>
      </c>
      <c r="D23" s="91">
        <f>C8</f>
        <v>0.2</v>
      </c>
      <c r="E23" s="36">
        <f t="shared" si="4"/>
        <v>0</v>
      </c>
      <c r="F23" s="45"/>
      <c r="G23" s="25">
        <f>Rates!I222</f>
        <v>0</v>
      </c>
      <c r="H23" s="91">
        <f t="shared" si="6"/>
        <v>0.2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Rates!E216</f>
        <v>5.4199999999999998E-2</v>
      </c>
      <c r="D24" s="91">
        <f>C8</f>
        <v>0.2</v>
      </c>
      <c r="E24" s="36">
        <f t="shared" si="4"/>
        <v>1.0840000000000001E-2</v>
      </c>
      <c r="F24" s="45"/>
      <c r="G24" s="25">
        <f>Rates!I216</f>
        <v>5.4199999999999998E-2</v>
      </c>
      <c r="H24" s="91">
        <f t="shared" si="6"/>
        <v>0.2</v>
      </c>
      <c r="I24" s="36">
        <f t="shared" si="5"/>
        <v>1.0840000000000001E-2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6.6414792799999995</v>
      </c>
      <c r="F25" s="53"/>
      <c r="G25" s="50"/>
      <c r="H25" s="51"/>
      <c r="I25" s="52">
        <f>SUM(I16:I24)</f>
        <v>6.6475192800000009</v>
      </c>
      <c r="J25" s="53"/>
      <c r="K25" s="54">
        <f t="shared" si="2"/>
        <v>6.0400000000013776E-3</v>
      </c>
      <c r="L25" s="55">
        <f t="shared" si="3"/>
        <v>9.0943594722791611E-4</v>
      </c>
    </row>
    <row r="26" spans="2:12" x14ac:dyDescent="0.2">
      <c r="B26" s="44" t="str">
        <f>Rates!B15</f>
        <v>Retail Transmission Rate - Network Service Rate</v>
      </c>
      <c r="C26" s="25">
        <f>Rates!E141</f>
        <v>2.2526999999999999</v>
      </c>
      <c r="D26" s="91">
        <f>C8</f>
        <v>0.2</v>
      </c>
      <c r="E26" s="36">
        <f>C26*D26</f>
        <v>0.45054</v>
      </c>
      <c r="F26" s="45"/>
      <c r="G26" s="25">
        <f>Rates!I141</f>
        <v>2.2128999999999999</v>
      </c>
      <c r="H26" s="91">
        <f>D26</f>
        <v>0.2</v>
      </c>
      <c r="I26" s="36">
        <f>G26*H26</f>
        <v>0.44257999999999997</v>
      </c>
      <c r="J26" s="45"/>
      <c r="K26" s="36">
        <f t="shared" si="2"/>
        <v>-7.9600000000000226E-3</v>
      </c>
      <c r="L26" s="47">
        <f t="shared" si="3"/>
        <v>-1.7667687663692509E-2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Rates!E142</f>
        <v>1.6578999999999999</v>
      </c>
      <c r="D27" s="91">
        <f>C8</f>
        <v>0.2</v>
      </c>
      <c r="E27" s="36">
        <f>C27*D27</f>
        <v>0.33157999999999999</v>
      </c>
      <c r="F27" s="45"/>
      <c r="G27" s="25">
        <f>Rates!I142</f>
        <v>1.6977</v>
      </c>
      <c r="H27" s="91">
        <f>D27</f>
        <v>0.2</v>
      </c>
      <c r="I27" s="36">
        <f>G27*H27</f>
        <v>0.33954000000000001</v>
      </c>
      <c r="J27" s="45"/>
      <c r="K27" s="36">
        <f t="shared" si="2"/>
        <v>7.9600000000000226E-3</v>
      </c>
      <c r="L27" s="47">
        <f t="shared" si="3"/>
        <v>2.4006272995958811E-2</v>
      </c>
    </row>
    <row r="28" spans="2:12" x14ac:dyDescent="0.2">
      <c r="B28" s="49" t="s">
        <v>57</v>
      </c>
      <c r="C28" s="50"/>
      <c r="D28" s="51"/>
      <c r="E28" s="52">
        <f>SUM(E25:E27)</f>
        <v>7.4235992799999995</v>
      </c>
      <c r="F28" s="53"/>
      <c r="G28" s="50"/>
      <c r="H28" s="52"/>
      <c r="I28" s="52">
        <f>SUM(I25:I27)</f>
        <v>7.4296392800000008</v>
      </c>
      <c r="J28" s="53"/>
      <c r="K28" s="54">
        <f t="shared" si="2"/>
        <v>6.0400000000013776E-3</v>
      </c>
      <c r="L28" s="55">
        <f t="shared" si="3"/>
        <v>8.1362150247977529E-4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63.252000000000002</v>
      </c>
      <c r="E29" s="36">
        <f t="shared" ref="E29:E33" si="11">C29*D29</f>
        <v>0.27830880000000002</v>
      </c>
      <c r="F29" s="45"/>
      <c r="G29" s="25">
        <f>Rates!I244</f>
        <v>4.4000000000000003E-3</v>
      </c>
      <c r="H29" s="37">
        <f>D29</f>
        <v>63.252000000000002</v>
      </c>
      <c r="I29" s="36">
        <f t="shared" ref="I29:I33" si="12">G29*H29</f>
        <v>0.27830880000000002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63.252000000000002</v>
      </c>
      <c r="E30" s="36">
        <f t="shared" si="11"/>
        <v>8.2227599999999998E-2</v>
      </c>
      <c r="F30" s="45"/>
      <c r="G30" s="25">
        <f>Rates!I245</f>
        <v>1.2999999999999999E-3</v>
      </c>
      <c r="H30" s="37">
        <f t="shared" ref="H30:H31" si="13">D30</f>
        <v>63.252000000000002</v>
      </c>
      <c r="I30" s="36">
        <f t="shared" si="12"/>
        <v>8.2227599999999998E-2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60</v>
      </c>
      <c r="E32" s="36">
        <f t="shared" si="11"/>
        <v>0</v>
      </c>
      <c r="F32" s="45"/>
      <c r="G32" s="25">
        <f>Rates!I251</f>
        <v>0</v>
      </c>
      <c r="H32" s="37">
        <f>D32</f>
        <v>60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Rates!B266</f>
        <v>Energy Price</v>
      </c>
      <c r="C33" s="25">
        <f>Rates!E266</f>
        <v>0.10214000000000001</v>
      </c>
      <c r="D33" s="37">
        <f>C7*0.64</f>
        <v>38.4</v>
      </c>
      <c r="E33" s="36">
        <f t="shared" si="11"/>
        <v>3.9221760000000003</v>
      </c>
      <c r="F33" s="45"/>
      <c r="G33" s="25">
        <f>Rates!I266</f>
        <v>0.10214000000000001</v>
      </c>
      <c r="H33" s="37">
        <f>D33</f>
        <v>38.4</v>
      </c>
      <c r="I33" s="36">
        <f t="shared" si="12"/>
        <v>3.9221760000000003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SUM(E28:E33)</f>
        <v>11.956311679999999</v>
      </c>
      <c r="F35" s="45"/>
      <c r="G35" s="35"/>
      <c r="H35" s="39"/>
      <c r="I35" s="39">
        <f>SUM(I28:I33)</f>
        <v>11.962351680000001</v>
      </c>
      <c r="J35" s="45"/>
      <c r="K35" s="36">
        <f t="shared" si="2"/>
        <v>6.0400000000022658E-3</v>
      </c>
      <c r="L35" s="47">
        <f t="shared" si="3"/>
        <v>5.0517251152842695E-4</v>
      </c>
    </row>
    <row r="36" spans="2:12" x14ac:dyDescent="0.2">
      <c r="B36" s="44" t="str">
        <f>Rates!B268</f>
        <v>HST</v>
      </c>
      <c r="C36" s="41">
        <f>Rates!E268</f>
        <v>0.13</v>
      </c>
      <c r="D36" s="35"/>
      <c r="E36" s="42">
        <f>E35*C36</f>
        <v>1.5543205184</v>
      </c>
      <c r="F36" s="45"/>
      <c r="G36" s="41">
        <f>Rates!I268</f>
        <v>0.13</v>
      </c>
      <c r="H36" s="35"/>
      <c r="I36" s="42">
        <f>I35*G36</f>
        <v>1.5551057184000001</v>
      </c>
      <c r="J36" s="45"/>
      <c r="K36" s="36">
        <f t="shared" si="2"/>
        <v>7.8520000000015244E-4</v>
      </c>
      <c r="L36" s="47">
        <f t="shared" si="3"/>
        <v>5.0517251152833555E-4</v>
      </c>
    </row>
    <row r="37" spans="2:12" x14ac:dyDescent="0.2">
      <c r="B37" s="23" t="s">
        <v>59</v>
      </c>
      <c r="C37" s="35"/>
      <c r="D37" s="35"/>
      <c r="E37" s="42">
        <f>E35+E36</f>
        <v>13.5106321984</v>
      </c>
      <c r="F37" s="45"/>
      <c r="G37" s="35"/>
      <c r="H37" s="35"/>
      <c r="I37" s="42">
        <f>I35+I36</f>
        <v>13.517457398400001</v>
      </c>
      <c r="J37" s="45"/>
      <c r="K37" s="36">
        <f t="shared" si="2"/>
        <v>6.82520000000153E-3</v>
      </c>
      <c r="L37" s="47">
        <f t="shared" si="3"/>
        <v>5.0517251152835073E-4</v>
      </c>
    </row>
    <row r="38" spans="2:12" x14ac:dyDescent="0.2">
      <c r="B38" s="44" t="str">
        <f>Rates!B270</f>
        <v>OCEB</v>
      </c>
      <c r="C38" s="41">
        <f>Rates!E270</f>
        <v>0</v>
      </c>
      <c r="D38" s="35"/>
      <c r="E38" s="42">
        <f>E37*C38</f>
        <v>0</v>
      </c>
      <c r="F38" s="45"/>
      <c r="G38" s="41">
        <f>Rates!I270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13.5106321984</v>
      </c>
      <c r="F39" s="59"/>
      <c r="G39" s="57"/>
      <c r="H39" s="57"/>
      <c r="I39" s="58">
        <f>I37+I38</f>
        <v>13.517457398400001</v>
      </c>
      <c r="J39" s="59"/>
      <c r="K39" s="60">
        <f t="shared" si="2"/>
        <v>6.82520000000153E-3</v>
      </c>
      <c r="L39" s="61">
        <f t="shared" si="3"/>
        <v>5.0517251152835073E-4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9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Rates!B158</f>
        <v>CNPI - Port Colborne</v>
      </c>
    </row>
    <row r="3" spans="2:12" ht="15.75" x14ac:dyDescent="0.25">
      <c r="B3" s="24" t="str">
        <f>Rates!B226</f>
        <v>Street Lighting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2000</v>
      </c>
    </row>
    <row r="7" spans="2:12" x14ac:dyDescent="0.2">
      <c r="B7" s="28" t="s">
        <v>62</v>
      </c>
      <c r="C7" s="29">
        <v>155000</v>
      </c>
    </row>
    <row r="8" spans="2:12" x14ac:dyDescent="0.2">
      <c r="B8" s="28" t="s">
        <v>63</v>
      </c>
      <c r="C8" s="62">
        <v>445</v>
      </c>
    </row>
    <row r="9" spans="2:12" ht="13.5" thickBot="1" x14ac:dyDescent="0.25">
      <c r="B9" s="30" t="s">
        <v>64</v>
      </c>
      <c r="C9" s="31">
        <f>IF(C8=0,"n/a",C7/(C8*24*365/12))</f>
        <v>0.47714329690626445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Rates!E227</f>
        <v>4.6100000000000003</v>
      </c>
      <c r="D14" s="37">
        <f>C6</f>
        <v>2000</v>
      </c>
      <c r="E14" s="36">
        <f>C14*D14</f>
        <v>9220</v>
      </c>
      <c r="F14" s="45"/>
      <c r="G14" s="36">
        <f>Rates!I227</f>
        <v>4.93</v>
      </c>
      <c r="H14" s="37">
        <f>D14</f>
        <v>2000</v>
      </c>
      <c r="I14" s="36">
        <f>G14*H14</f>
        <v>9860</v>
      </c>
      <c r="J14" s="45"/>
      <c r="K14" s="36">
        <f>I14-E14</f>
        <v>640</v>
      </c>
      <c r="L14" s="47">
        <f>IF((E14)=0," ",K14/E14)</f>
        <v>6.9414316702819959E-2</v>
      </c>
    </row>
    <row r="15" spans="2:12" x14ac:dyDescent="0.2">
      <c r="B15" s="44" t="str">
        <f>Rates!B8</f>
        <v>Distribution Volumetric Rate</v>
      </c>
      <c r="C15" s="25">
        <f>Rates!E228</f>
        <v>10.4941</v>
      </c>
      <c r="D15" s="38">
        <f>C8</f>
        <v>445</v>
      </c>
      <c r="E15" s="36">
        <f t="shared" ref="E15" si="0">C15*D15</f>
        <v>4669.8744999999999</v>
      </c>
      <c r="F15" s="45"/>
      <c r="G15" s="25">
        <f>Rates!I228</f>
        <v>10.743399999999999</v>
      </c>
      <c r="H15" s="38">
        <f>D15</f>
        <v>445</v>
      </c>
      <c r="I15" s="36">
        <f t="shared" ref="I15" si="1">G15*H15</f>
        <v>4780.8130000000001</v>
      </c>
      <c r="J15" s="45"/>
      <c r="K15" s="36">
        <f t="shared" ref="K15:K39" si="2">I15-E15</f>
        <v>110.9385000000002</v>
      </c>
      <c r="L15" s="47">
        <f t="shared" ref="L15:L39" si="3">IF((E15)=0," ",K15/E15)</f>
        <v>2.3756205868059238E-2</v>
      </c>
    </row>
    <row r="16" spans="2:12" x14ac:dyDescent="0.2">
      <c r="B16" s="49" t="s">
        <v>36</v>
      </c>
      <c r="C16" s="50"/>
      <c r="D16" s="51"/>
      <c r="E16" s="52">
        <f>SUM(E14:E15)</f>
        <v>13889.8745</v>
      </c>
      <c r="F16" s="53"/>
      <c r="G16" s="50"/>
      <c r="H16" s="51"/>
      <c r="I16" s="52">
        <f>SUM(I14:I15)</f>
        <v>14640.813</v>
      </c>
      <c r="J16" s="53"/>
      <c r="K16" s="54">
        <f t="shared" si="2"/>
        <v>750.9385000000002</v>
      </c>
      <c r="L16" s="55">
        <f t="shared" si="3"/>
        <v>5.4063735421079596E-2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8401.0000000000036</v>
      </c>
      <c r="E17" s="36">
        <f t="shared" ref="E17:E24" si="4">C17*D17</f>
        <v>858.07814000000042</v>
      </c>
      <c r="F17" s="45"/>
      <c r="G17" s="25">
        <f>Rates!I266</f>
        <v>0.10214000000000001</v>
      </c>
      <c r="H17" s="40">
        <f>(C5-1)*C7</f>
        <v>8401.0000000000036</v>
      </c>
      <c r="I17" s="36">
        <f t="shared" ref="I17:I24" si="5">G17*H17</f>
        <v>858.07814000000042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Rates!B230</f>
        <v>Rate Rider for Deferral/Variance Account Disposition (2015) - effective until December 31, 2016</v>
      </c>
      <c r="C18" s="25">
        <f>Rates!E230</f>
        <v>-4.9000000000000002E-2</v>
      </c>
      <c r="D18" s="37">
        <f>C8</f>
        <v>445</v>
      </c>
      <c r="E18" s="36">
        <f t="shared" si="4"/>
        <v>-21.805</v>
      </c>
      <c r="F18" s="45"/>
      <c r="G18" s="25">
        <f>Rates!I230</f>
        <v>-4.9000000000000002E-2</v>
      </c>
      <c r="H18" s="37">
        <f t="shared" ref="H18:H24" si="6">D18</f>
        <v>445</v>
      </c>
      <c r="I18" s="36">
        <f t="shared" si="5"/>
        <v>-21.805</v>
      </c>
      <c r="J18" s="45"/>
      <c r="K18" s="36">
        <f t="shared" ref="K18:K23" si="7">I18-E18</f>
        <v>0</v>
      </c>
      <c r="L18" s="47">
        <f t="shared" ref="L18:L23" si="8">IF((E18)=0," ",K18/E18)</f>
        <v>0</v>
      </c>
    </row>
    <row r="19" spans="2:12" ht="25.5" x14ac:dyDescent="0.2">
      <c r="B19" s="48" t="str">
        <f>Rates!B231</f>
        <v>Rate Rider for Global Adjustment Sub-Account Disposition (2015) - effective until December 31, 2016 Applicable only for Non-RPP Customers</v>
      </c>
      <c r="C19" s="25">
        <f>Rates!E231</f>
        <v>-0.77990000000000004</v>
      </c>
      <c r="D19" s="37">
        <f>C8</f>
        <v>445</v>
      </c>
      <c r="E19" s="36">
        <f t="shared" si="4"/>
        <v>-347.05549999999999</v>
      </c>
      <c r="F19" s="45"/>
      <c r="G19" s="25">
        <f>Rates!I231</f>
        <v>-0.77990000000000004</v>
      </c>
      <c r="H19" s="37">
        <f t="shared" si="6"/>
        <v>445</v>
      </c>
      <c r="I19" s="36">
        <f t="shared" si="5"/>
        <v>-347.05549999999999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Rates!B232</f>
        <v>Rate Rider for Deferral/Variance Account Disposition (2016) - effective until December 31, 2017</v>
      </c>
      <c r="C20" s="25">
        <f>Rates!E232</f>
        <v>0</v>
      </c>
      <c r="D20" s="37">
        <f>C8</f>
        <v>445</v>
      </c>
      <c r="E20" s="36">
        <f t="shared" si="4"/>
        <v>0</v>
      </c>
      <c r="F20" s="45"/>
      <c r="G20" s="25">
        <f>Rates!I232</f>
        <v>-0.40660000000000002</v>
      </c>
      <c r="H20" s="37">
        <f t="shared" si="6"/>
        <v>445</v>
      </c>
      <c r="I20" s="36">
        <f t="shared" si="5"/>
        <v>-180.93700000000001</v>
      </c>
      <c r="J20" s="45"/>
      <c r="K20" s="36">
        <f t="shared" ref="K20:K21" si="9">I20-E20</f>
        <v>-180.93700000000001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Rates!B233</f>
        <v>Rate Rider for Global Adjustment Sub-Account Disposition (2016) - effective until December 31, 2017 Applicable only for Non-RPP Customers</v>
      </c>
      <c r="C21" s="25">
        <f>Rates!E233</f>
        <v>0</v>
      </c>
      <c r="D21" s="37">
        <f>C8</f>
        <v>445</v>
      </c>
      <c r="E21" s="36">
        <f t="shared" si="4"/>
        <v>0</v>
      </c>
      <c r="F21" s="45"/>
      <c r="G21" s="25">
        <f>Rates!I233</f>
        <v>0.63639999999999997</v>
      </c>
      <c r="H21" s="37">
        <f t="shared" si="6"/>
        <v>445</v>
      </c>
      <c r="I21" s="36">
        <f t="shared" si="5"/>
        <v>283.19799999999998</v>
      </c>
      <c r="J21" s="45"/>
      <c r="K21" s="36">
        <f t="shared" si="9"/>
        <v>283.19799999999998</v>
      </c>
      <c r="L21" s="47" t="str">
        <f t="shared" si="10"/>
        <v xml:space="preserve"> </v>
      </c>
    </row>
    <row r="22" spans="2:12" x14ac:dyDescent="0.2">
      <c r="B22" s="44" t="str">
        <f>Rates!B221</f>
        <v>Rate Rider for the Disposition of Deferred PILs Variance Account 1562 - effective until December 31, 2016</v>
      </c>
      <c r="C22" s="25">
        <f>Rates!E234</f>
        <v>0.43690000000000001</v>
      </c>
      <c r="D22" s="37">
        <f>C8</f>
        <v>445</v>
      </c>
      <c r="E22" s="36">
        <f t="shared" si="4"/>
        <v>194.4205</v>
      </c>
      <c r="F22" s="45"/>
      <c r="G22" s="25">
        <f>Rates!I234</f>
        <v>0.43690000000000001</v>
      </c>
      <c r="H22" s="37">
        <f t="shared" si="6"/>
        <v>445</v>
      </c>
      <c r="I22" s="36">
        <f t="shared" si="5"/>
        <v>194.4205</v>
      </c>
      <c r="J22" s="45"/>
      <c r="K22" s="36">
        <f t="shared" si="7"/>
        <v>0</v>
      </c>
      <c r="L22" s="47">
        <f t="shared" si="8"/>
        <v>0</v>
      </c>
    </row>
    <row r="23" spans="2:12" x14ac:dyDescent="0.2">
      <c r="B23" s="44" t="str">
        <f>Rates!B235</f>
        <v>Rate Rider for Loss Revenue Adjustment Mechanism (LRAM) - effective until December 31, 2015</v>
      </c>
      <c r="C23" s="25">
        <f>Rates!E235</f>
        <v>0</v>
      </c>
      <c r="D23" s="37">
        <f>C8</f>
        <v>445</v>
      </c>
      <c r="E23" s="36">
        <f t="shared" si="4"/>
        <v>0</v>
      </c>
      <c r="F23" s="45"/>
      <c r="G23" s="25">
        <f>Rates!I235</f>
        <v>0</v>
      </c>
      <c r="H23" s="37">
        <f t="shared" si="6"/>
        <v>445</v>
      </c>
      <c r="I23" s="36">
        <f t="shared" si="5"/>
        <v>0</v>
      </c>
      <c r="J23" s="45"/>
      <c r="K23" s="36">
        <f t="shared" si="7"/>
        <v>0</v>
      </c>
      <c r="L23" s="47" t="str">
        <f t="shared" si="8"/>
        <v xml:space="preserve"> </v>
      </c>
    </row>
    <row r="24" spans="2:12" x14ac:dyDescent="0.2">
      <c r="B24" s="44" t="str">
        <f>Rates!B9</f>
        <v>Low Voltage Service Rate</v>
      </c>
      <c r="C24" s="25">
        <f>Rates!E229</f>
        <v>5.0700000000000002E-2</v>
      </c>
      <c r="D24" s="37">
        <f>C8</f>
        <v>445</v>
      </c>
      <c r="E24" s="36">
        <f t="shared" si="4"/>
        <v>22.561500000000002</v>
      </c>
      <c r="F24" s="45"/>
      <c r="G24" s="25">
        <f>Rates!I229</f>
        <v>5.0700000000000002E-2</v>
      </c>
      <c r="H24" s="37">
        <f t="shared" si="6"/>
        <v>445</v>
      </c>
      <c r="I24" s="36">
        <f t="shared" si="5"/>
        <v>22.561500000000002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14596.074139999999</v>
      </c>
      <c r="F25" s="53"/>
      <c r="G25" s="50"/>
      <c r="H25" s="51"/>
      <c r="I25" s="52">
        <f>SUM(I16:I24)</f>
        <v>15449.273639999999</v>
      </c>
      <c r="J25" s="53"/>
      <c r="K25" s="54">
        <f t="shared" si="2"/>
        <v>853.19950000000063</v>
      </c>
      <c r="L25" s="55">
        <f t="shared" si="3"/>
        <v>5.8454039888838266E-2</v>
      </c>
    </row>
    <row r="26" spans="2:12" x14ac:dyDescent="0.2">
      <c r="B26" s="44" t="str">
        <f>Rates!B15</f>
        <v>Retail Transmission Rate - Network Service Rate</v>
      </c>
      <c r="C26" s="25">
        <f>Rates!E236</f>
        <v>1.9564999999999999</v>
      </c>
      <c r="D26" s="37">
        <f>C8</f>
        <v>445</v>
      </c>
      <c r="E26" s="36">
        <f>C26*D26</f>
        <v>870.64249999999993</v>
      </c>
      <c r="F26" s="45"/>
      <c r="G26" s="25">
        <f>Rates!I236</f>
        <v>1.9218999999999999</v>
      </c>
      <c r="H26" s="37">
        <f>D26</f>
        <v>445</v>
      </c>
      <c r="I26" s="36">
        <f>G26*H26</f>
        <v>855.24549999999999</v>
      </c>
      <c r="J26" s="45"/>
      <c r="K26" s="36">
        <f t="shared" si="2"/>
        <v>-15.396999999999935</v>
      </c>
      <c r="L26" s="47">
        <f t="shared" si="3"/>
        <v>-1.768464094045482E-2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Rates!E237</f>
        <v>1.5501</v>
      </c>
      <c r="D27" s="37">
        <f>C8</f>
        <v>445</v>
      </c>
      <c r="E27" s="36">
        <f>C27*D27</f>
        <v>689.79449999999997</v>
      </c>
      <c r="F27" s="45"/>
      <c r="G27" s="25">
        <f>Rates!I237</f>
        <v>1.5872999999999999</v>
      </c>
      <c r="H27" s="37">
        <f>D27</f>
        <v>445</v>
      </c>
      <c r="I27" s="36">
        <f>G27*H27</f>
        <v>706.34849999999994</v>
      </c>
      <c r="J27" s="45"/>
      <c r="K27" s="36">
        <f t="shared" si="2"/>
        <v>16.553999999999974</v>
      </c>
      <c r="L27" s="47">
        <f t="shared" si="3"/>
        <v>2.3998451712792686E-2</v>
      </c>
    </row>
    <row r="28" spans="2:12" x14ac:dyDescent="0.2">
      <c r="B28" s="49" t="s">
        <v>57</v>
      </c>
      <c r="C28" s="50"/>
      <c r="D28" s="51"/>
      <c r="E28" s="52">
        <f>SUM(E25:E27)</f>
        <v>16156.511139999999</v>
      </c>
      <c r="F28" s="53"/>
      <c r="G28" s="50"/>
      <c r="H28" s="52"/>
      <c r="I28" s="52">
        <f>SUM(I25:I27)</f>
        <v>17010.86764</v>
      </c>
      <c r="J28" s="53"/>
      <c r="K28" s="54">
        <f t="shared" si="2"/>
        <v>854.35650000000169</v>
      </c>
      <c r="L28" s="55">
        <f t="shared" si="3"/>
        <v>5.2880011816709691E-2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163401</v>
      </c>
      <c r="E29" s="36">
        <f t="shared" ref="E29:E33" si="11">C29*D29</f>
        <v>718.96440000000007</v>
      </c>
      <c r="F29" s="45"/>
      <c r="G29" s="25">
        <f>Rates!I244</f>
        <v>4.4000000000000003E-3</v>
      </c>
      <c r="H29" s="37">
        <f>D29</f>
        <v>163401</v>
      </c>
      <c r="I29" s="36">
        <f t="shared" ref="I29:I33" si="12">G29*H29</f>
        <v>718.96440000000007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163401</v>
      </c>
      <c r="E30" s="36">
        <f t="shared" si="11"/>
        <v>212.4213</v>
      </c>
      <c r="F30" s="45"/>
      <c r="G30" s="25">
        <f>Rates!I245</f>
        <v>1.2999999999999999E-3</v>
      </c>
      <c r="H30" s="37">
        <f t="shared" ref="H30:H31" si="13">D30</f>
        <v>163401</v>
      </c>
      <c r="I30" s="36">
        <f t="shared" si="12"/>
        <v>212.4213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Rates!E251</f>
        <v>0</v>
      </c>
      <c r="D32" s="37">
        <f>C7</f>
        <v>155000</v>
      </c>
      <c r="E32" s="36">
        <f t="shared" si="11"/>
        <v>0</v>
      </c>
      <c r="F32" s="45"/>
      <c r="G32" s="25">
        <f>Rates!I251</f>
        <v>0</v>
      </c>
      <c r="H32" s="37">
        <f>D32</f>
        <v>155000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Rates!B266</f>
        <v>Energy Price</v>
      </c>
      <c r="C33" s="25">
        <f>Rates!E266</f>
        <v>0.10214000000000001</v>
      </c>
      <c r="D33" s="37">
        <f>C7*0.64</f>
        <v>99200</v>
      </c>
      <c r="E33" s="36">
        <f t="shared" si="11"/>
        <v>10132.288</v>
      </c>
      <c r="F33" s="45"/>
      <c r="G33" s="25">
        <f>Rates!I266</f>
        <v>0.10214000000000001</v>
      </c>
      <c r="H33" s="37">
        <f>D33</f>
        <v>99200</v>
      </c>
      <c r="I33" s="36">
        <f t="shared" si="12"/>
        <v>10132.288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56"/>
      <c r="C34" s="51"/>
      <c r="D34" s="51"/>
      <c r="E34" s="51"/>
      <c r="F34" s="53"/>
      <c r="G34" s="51"/>
      <c r="H34" s="51"/>
      <c r="I34" s="51"/>
      <c r="J34" s="53"/>
      <c r="K34" s="54"/>
      <c r="L34" s="55"/>
    </row>
    <row r="35" spans="2:12" x14ac:dyDescent="0.2">
      <c r="B35" s="23" t="s">
        <v>58</v>
      </c>
      <c r="C35" s="35"/>
      <c r="D35" s="35"/>
      <c r="E35" s="39">
        <f>SUM(E28:E33)</f>
        <v>27220.434840000002</v>
      </c>
      <c r="F35" s="45"/>
      <c r="G35" s="35"/>
      <c r="H35" s="39"/>
      <c r="I35" s="39">
        <f>SUM(I28:I33)</f>
        <v>28074.791340000003</v>
      </c>
      <c r="J35" s="45"/>
      <c r="K35" s="36">
        <f t="shared" si="2"/>
        <v>854.35650000000169</v>
      </c>
      <c r="L35" s="47">
        <f t="shared" si="3"/>
        <v>3.138658529967854E-2</v>
      </c>
    </row>
    <row r="36" spans="2:12" x14ac:dyDescent="0.2">
      <c r="B36" s="44" t="str">
        <f>Rates!B268</f>
        <v>HST</v>
      </c>
      <c r="C36" s="41">
        <f>Rates!E268</f>
        <v>0.13</v>
      </c>
      <c r="D36" s="35"/>
      <c r="E36" s="42">
        <f>E35*C36</f>
        <v>3538.6565292000005</v>
      </c>
      <c r="F36" s="45"/>
      <c r="G36" s="41">
        <f>Rates!I268</f>
        <v>0.13</v>
      </c>
      <c r="H36" s="35"/>
      <c r="I36" s="42">
        <f>I35*G36</f>
        <v>3649.7228742000007</v>
      </c>
      <c r="J36" s="45"/>
      <c r="K36" s="36">
        <f t="shared" si="2"/>
        <v>111.06634500000018</v>
      </c>
      <c r="L36" s="47">
        <f t="shared" si="3"/>
        <v>3.1386585299678527E-2</v>
      </c>
    </row>
    <row r="37" spans="2:12" x14ac:dyDescent="0.2">
      <c r="B37" s="23" t="s">
        <v>59</v>
      </c>
      <c r="C37" s="35"/>
      <c r="D37" s="35"/>
      <c r="E37" s="42">
        <f>E35+E36</f>
        <v>30759.091369200003</v>
      </c>
      <c r="F37" s="45"/>
      <c r="G37" s="35"/>
      <c r="H37" s="35"/>
      <c r="I37" s="42">
        <f>I35+I36</f>
        <v>31724.514214200004</v>
      </c>
      <c r="J37" s="45"/>
      <c r="K37" s="36">
        <f t="shared" si="2"/>
        <v>965.42284500000096</v>
      </c>
      <c r="L37" s="47">
        <f t="shared" si="3"/>
        <v>3.1386585299678513E-2</v>
      </c>
    </row>
    <row r="38" spans="2:12" x14ac:dyDescent="0.2">
      <c r="B38" s="44" t="str">
        <f>Rates!B270</f>
        <v>OCEB</v>
      </c>
      <c r="C38" s="41">
        <f>Rates!E270</f>
        <v>0</v>
      </c>
      <c r="D38" s="35"/>
      <c r="E38" s="42">
        <f>E37*C38</f>
        <v>0</v>
      </c>
      <c r="F38" s="45"/>
      <c r="G38" s="41">
        <f>Rates!I270</f>
        <v>0</v>
      </c>
      <c r="H38" s="35"/>
      <c r="I38" s="42">
        <f>I37*G38</f>
        <v>0</v>
      </c>
      <c r="J38" s="45"/>
      <c r="K38" s="36">
        <f t="shared" si="2"/>
        <v>0</v>
      </c>
      <c r="L38" s="47" t="str">
        <f t="shared" si="3"/>
        <v xml:space="preserve"> </v>
      </c>
    </row>
    <row r="39" spans="2:12" ht="13.5" thickBot="1" x14ac:dyDescent="0.25">
      <c r="B39" s="30" t="s">
        <v>60</v>
      </c>
      <c r="C39" s="57"/>
      <c r="D39" s="57"/>
      <c r="E39" s="58">
        <f>E37+E38</f>
        <v>30759.091369200003</v>
      </c>
      <c r="F39" s="59"/>
      <c r="G39" s="57"/>
      <c r="H39" s="57"/>
      <c r="I39" s="58">
        <f>I37+I38</f>
        <v>31724.514214200004</v>
      </c>
      <c r="J39" s="59"/>
      <c r="K39" s="60">
        <f t="shared" si="2"/>
        <v>965.42284500000096</v>
      </c>
      <c r="L39" s="61">
        <f t="shared" si="3"/>
        <v>3.1386585299678513E-2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zoomScaleNormal="100" workbookViewId="0">
      <selection activeCell="B3" sqref="B3:I28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20" t="s">
        <v>99</v>
      </c>
      <c r="C3" s="120"/>
      <c r="D3" s="120"/>
      <c r="E3" s="120"/>
      <c r="F3" s="120"/>
      <c r="G3" s="120"/>
      <c r="H3" s="120"/>
      <c r="I3" s="120"/>
    </row>
    <row r="4" spans="2:9" ht="14.25" customHeight="1" x14ac:dyDescent="0.2">
      <c r="B4" s="120"/>
      <c r="C4" s="120"/>
      <c r="D4" s="120"/>
      <c r="E4" s="120"/>
      <c r="F4" s="120"/>
      <c r="G4" s="120"/>
      <c r="H4" s="120"/>
      <c r="I4" s="120"/>
    </row>
    <row r="5" spans="2:9" ht="15" customHeight="1" thickBot="1" x14ac:dyDescent="0.25">
      <c r="B5" s="121"/>
      <c r="C5" s="121"/>
      <c r="D5" s="121"/>
      <c r="E5" s="121"/>
      <c r="F5" s="121"/>
      <c r="G5" s="121"/>
      <c r="H5" s="121"/>
      <c r="I5" s="121"/>
    </row>
    <row r="6" spans="2:9" ht="15" x14ac:dyDescent="0.2">
      <c r="B6" s="111" t="s">
        <v>69</v>
      </c>
      <c r="C6" s="67" t="s">
        <v>70</v>
      </c>
      <c r="D6" s="67" t="s">
        <v>71</v>
      </c>
      <c r="E6" s="68"/>
      <c r="F6" s="113" t="s">
        <v>72</v>
      </c>
      <c r="G6" s="113"/>
      <c r="H6" s="113"/>
      <c r="I6" s="114"/>
    </row>
    <row r="7" spans="2:9" ht="14.25" customHeight="1" x14ac:dyDescent="0.2">
      <c r="B7" s="112"/>
      <c r="C7" s="69" t="s">
        <v>73</v>
      </c>
      <c r="D7" s="69" t="s">
        <v>74</v>
      </c>
      <c r="E7" s="70"/>
      <c r="F7" s="115" t="s">
        <v>75</v>
      </c>
      <c r="G7" s="117" t="s">
        <v>76</v>
      </c>
      <c r="H7" s="118" t="s">
        <v>32</v>
      </c>
      <c r="I7" s="119"/>
    </row>
    <row r="8" spans="2:9" x14ac:dyDescent="0.2">
      <c r="B8" s="71"/>
      <c r="C8" s="72"/>
      <c r="D8" s="72"/>
      <c r="E8" s="73"/>
      <c r="F8" s="116"/>
      <c r="G8" s="117"/>
      <c r="H8" s="74" t="s">
        <v>8</v>
      </c>
      <c r="I8" s="75" t="s">
        <v>12</v>
      </c>
    </row>
    <row r="9" spans="2:9" x14ac:dyDescent="0.2">
      <c r="B9" s="76" t="s">
        <v>85</v>
      </c>
      <c r="C9" s="77">
        <f>'FE - Residential RPP'!C7</f>
        <v>800</v>
      </c>
      <c r="D9" s="72"/>
      <c r="E9" s="70"/>
      <c r="F9" s="79">
        <f>'FE - Residential RPP'!E28</f>
        <v>52.652470400000006</v>
      </c>
      <c r="G9" s="79">
        <f>'FE - Residential RPP'!I28</f>
        <v>52.392470400000001</v>
      </c>
      <c r="H9" s="79">
        <f>G9-F9</f>
        <v>-0.26000000000000512</v>
      </c>
      <c r="I9" s="80">
        <f>IF(ISBLANK(F9),"",H9/F9)</f>
        <v>-4.9380399062909893E-3</v>
      </c>
    </row>
    <row r="10" spans="2:9" x14ac:dyDescent="0.2">
      <c r="B10" s="76" t="s">
        <v>87</v>
      </c>
      <c r="C10" s="77">
        <f>'FE - Residential'!C7</f>
        <v>800</v>
      </c>
      <c r="D10" s="78"/>
      <c r="E10" s="70"/>
      <c r="F10" s="79">
        <f>'FE - Residential'!E28</f>
        <v>50.652470400000006</v>
      </c>
      <c r="G10" s="79">
        <f>'FE - Residential'!I28</f>
        <v>53.272470399999996</v>
      </c>
      <c r="H10" s="79">
        <f>G10-F10</f>
        <v>2.6199999999999903</v>
      </c>
      <c r="I10" s="80">
        <f>IF(ISBLANK(F10),"",H10/F10)</f>
        <v>5.1725019121673287E-2</v>
      </c>
    </row>
    <row r="11" spans="2:9" x14ac:dyDescent="0.2">
      <c r="B11" s="76" t="s">
        <v>86</v>
      </c>
      <c r="C11" s="77">
        <f>'FE - GS &lt; 50 kW RPP'!C7</f>
        <v>2000</v>
      </c>
      <c r="D11" s="78"/>
      <c r="E11" s="70"/>
      <c r="F11" s="79">
        <f>'FE - GS &lt; 50 kW RPP'!E28</f>
        <v>111.28521600000001</v>
      </c>
      <c r="G11" s="79">
        <f>'FE - GS &lt; 50 kW RPP'!I28</f>
        <v>109.79521600000001</v>
      </c>
      <c r="H11" s="79">
        <f>G11-F11</f>
        <v>-1.4899999999999949</v>
      </c>
      <c r="I11" s="80">
        <f>IF(ISBLANK(F11),"",H11/F11)</f>
        <v>-1.3389020155201881E-2</v>
      </c>
    </row>
    <row r="12" spans="2:9" x14ac:dyDescent="0.2">
      <c r="B12" s="76" t="s">
        <v>88</v>
      </c>
      <c r="C12" s="77">
        <f>'FE - GS &lt; 50 kW'!C7</f>
        <v>2000</v>
      </c>
      <c r="D12" s="78"/>
      <c r="E12" s="70"/>
      <c r="F12" s="79">
        <f>'FE - GS &lt; 50 kW'!E28</f>
        <v>106.28521600000001</v>
      </c>
      <c r="G12" s="79">
        <f>'FE - GS &lt; 50 kW'!I28</f>
        <v>113.395216</v>
      </c>
      <c r="H12" s="79">
        <f t="shared" ref="H12:H16" si="0">G12-F12</f>
        <v>7.1099999999999994</v>
      </c>
      <c r="I12" s="80">
        <f t="shared" ref="I12:I16" si="1">IF(ISBLANK(F12),"",H12/F12)</f>
        <v>6.6895474907817845E-2</v>
      </c>
    </row>
    <row r="13" spans="2:9" x14ac:dyDescent="0.2">
      <c r="B13" s="76" t="s">
        <v>77</v>
      </c>
      <c r="C13" s="77">
        <f>'FE - GS &gt; 50 kW'!C7</f>
        <v>68620</v>
      </c>
      <c r="D13" s="77">
        <f>'FE - GS &gt; 50 kW'!C8</f>
        <v>200</v>
      </c>
      <c r="E13" s="70"/>
      <c r="F13" s="79">
        <f>'FE - GS &gt; 50 kW'!E27</f>
        <v>2683.3994965600004</v>
      </c>
      <c r="G13" s="79">
        <f>'FE - GS &gt; 50 kW'!I27</f>
        <v>2964.37949656</v>
      </c>
      <c r="H13" s="79">
        <f t="shared" si="0"/>
        <v>280.97999999999956</v>
      </c>
      <c r="I13" s="80">
        <f t="shared" si="1"/>
        <v>0.10471046162161225</v>
      </c>
    </row>
    <row r="14" spans="2:9" x14ac:dyDescent="0.2">
      <c r="B14" s="76" t="s">
        <v>78</v>
      </c>
      <c r="C14" s="77">
        <f>'FE - USL'!C7</f>
        <v>800</v>
      </c>
      <c r="D14" s="81"/>
      <c r="E14" s="70"/>
      <c r="F14" s="79">
        <f>'FE - USL'!E27</f>
        <v>75.187430400000011</v>
      </c>
      <c r="G14" s="79">
        <f>'FE - USL'!I27</f>
        <v>62.847430399999993</v>
      </c>
      <c r="H14" s="79">
        <f t="shared" si="0"/>
        <v>-12.340000000000018</v>
      </c>
      <c r="I14" s="80">
        <f t="shared" si="1"/>
        <v>-0.16412317769540394</v>
      </c>
    </row>
    <row r="15" spans="2:9" x14ac:dyDescent="0.2">
      <c r="B15" s="76" t="s">
        <v>21</v>
      </c>
      <c r="C15" s="77">
        <f>'FE - Sentinel Lgt'!C7</f>
        <v>60</v>
      </c>
      <c r="D15" s="99">
        <f>'FE - Sentinel Lgt'!C8</f>
        <v>0.2</v>
      </c>
      <c r="E15" s="70"/>
      <c r="F15" s="79">
        <f>'FE - Sentinel Lgt'!E27</f>
        <v>7.2204192799999998</v>
      </c>
      <c r="G15" s="79">
        <f>'FE - Sentinel Lgt'!I27</f>
        <v>7.2603992800000006</v>
      </c>
      <c r="H15" s="79">
        <f t="shared" si="0"/>
        <v>3.9980000000000793E-2</v>
      </c>
      <c r="I15" s="80">
        <f t="shared" si="1"/>
        <v>5.5370745727664717E-3</v>
      </c>
    </row>
    <row r="16" spans="2:9" x14ac:dyDescent="0.2">
      <c r="B16" s="76" t="s">
        <v>7</v>
      </c>
      <c r="C16" s="77">
        <f>'FE - Street Lgt'!C7</f>
        <v>172000</v>
      </c>
      <c r="D16" s="77">
        <f>'FE - Street Lgt'!C8</f>
        <v>490</v>
      </c>
      <c r="E16" s="70"/>
      <c r="F16" s="79">
        <f>'FE - Street Lgt'!E27</f>
        <v>25761.889936</v>
      </c>
      <c r="G16" s="79">
        <f>'FE - Street Lgt'!I27</f>
        <v>26032.402935999999</v>
      </c>
      <c r="H16" s="79">
        <f t="shared" si="0"/>
        <v>270.51299999999901</v>
      </c>
      <c r="I16" s="80">
        <f t="shared" si="1"/>
        <v>1.0500510664086823E-2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1" t="s">
        <v>69</v>
      </c>
      <c r="C18" s="67" t="s">
        <v>70</v>
      </c>
      <c r="D18" s="67" t="s">
        <v>71</v>
      </c>
      <c r="E18" s="68"/>
      <c r="F18" s="113" t="s">
        <v>79</v>
      </c>
      <c r="G18" s="113"/>
      <c r="H18" s="113"/>
      <c r="I18" s="114"/>
    </row>
    <row r="19" spans="2:9" ht="14.25" customHeight="1" x14ac:dyDescent="0.2">
      <c r="B19" s="112"/>
      <c r="C19" s="69" t="s">
        <v>73</v>
      </c>
      <c r="D19" s="69" t="s">
        <v>74</v>
      </c>
      <c r="E19" s="70"/>
      <c r="F19" s="115" t="s">
        <v>75</v>
      </c>
      <c r="G19" s="117" t="s">
        <v>76</v>
      </c>
      <c r="H19" s="118" t="s">
        <v>32</v>
      </c>
      <c r="I19" s="119"/>
    </row>
    <row r="20" spans="2:9" x14ac:dyDescent="0.2">
      <c r="B20" s="71"/>
      <c r="C20" s="72"/>
      <c r="D20" s="72"/>
      <c r="E20" s="73"/>
      <c r="F20" s="116"/>
      <c r="G20" s="117"/>
      <c r="H20" s="74" t="s">
        <v>8</v>
      </c>
      <c r="I20" s="75" t="s">
        <v>12</v>
      </c>
    </row>
    <row r="21" spans="2:9" x14ac:dyDescent="0.2">
      <c r="B21" s="76" t="s">
        <v>85</v>
      </c>
      <c r="C21" s="95">
        <f>C9</f>
        <v>800</v>
      </c>
      <c r="D21" s="72"/>
      <c r="E21" s="70"/>
      <c r="F21" s="79">
        <f>'FE - Residential RPP'!E41</f>
        <v>157.54643331200003</v>
      </c>
      <c r="G21" s="79">
        <f>'FE - Residential RPP'!I41</f>
        <v>157.252633312</v>
      </c>
      <c r="H21" s="79">
        <f t="shared" ref="H21" si="2">G21-F21</f>
        <v>-0.29380000000003292</v>
      </c>
      <c r="I21" s="80">
        <f t="shared" ref="I21" si="3">IF(ISBLANK(F21),"",H21/F21)</f>
        <v>-1.864847041114543E-3</v>
      </c>
    </row>
    <row r="22" spans="2:9" x14ac:dyDescent="0.2">
      <c r="B22" s="76" t="s">
        <v>87</v>
      </c>
      <c r="C22" s="77">
        <f>C10</f>
        <v>800</v>
      </c>
      <c r="D22" s="78"/>
      <c r="E22" s="70"/>
      <c r="F22" s="79">
        <f>'FE - Residential'!E41</f>
        <v>155.28643331200001</v>
      </c>
      <c r="G22" s="79">
        <f>'FE - Residential'!I41</f>
        <v>158.24703331199999</v>
      </c>
      <c r="H22" s="79">
        <f t="shared" ref="H22:H28" si="4">G22-F22</f>
        <v>2.960599999999971</v>
      </c>
      <c r="I22" s="80">
        <f t="shared" ref="I22:I28" si="5">IF(ISBLANK(F22),"",H22/F22)</f>
        <v>1.9065413100522195E-2</v>
      </c>
    </row>
    <row r="23" spans="2:9" x14ac:dyDescent="0.2">
      <c r="B23" s="76" t="s">
        <v>86</v>
      </c>
      <c r="C23" s="77">
        <f>C11</f>
        <v>2000</v>
      </c>
      <c r="D23" s="78"/>
      <c r="E23" s="70"/>
      <c r="F23" s="79">
        <f>'FE - GS &lt; 50 kW RPP'!E41</f>
        <v>370.45139848000002</v>
      </c>
      <c r="G23" s="79">
        <f>'FE - GS &lt; 50 kW RPP'!I41</f>
        <v>368.76769848000004</v>
      </c>
      <c r="H23" s="79">
        <f t="shared" ref="H23" si="6">G23-F23</f>
        <v>-1.6836999999999875</v>
      </c>
      <c r="I23" s="80">
        <f t="shared" ref="I23" si="7">IF(ISBLANK(F23),"",H23/F23)</f>
        <v>-4.544995664501149E-3</v>
      </c>
    </row>
    <row r="24" spans="2:9" x14ac:dyDescent="0.2">
      <c r="B24" s="76" t="s">
        <v>88</v>
      </c>
      <c r="C24" s="77">
        <f t="shared" ref="C24:C28" si="8">C12</f>
        <v>2000</v>
      </c>
      <c r="D24" s="78"/>
      <c r="E24" s="70"/>
      <c r="F24" s="79">
        <f>'FE - GS &lt; 50 kW'!E41</f>
        <v>364.80139847999999</v>
      </c>
      <c r="G24" s="79">
        <f>'FE - GS &lt; 50 kW'!I41</f>
        <v>372.83569848000002</v>
      </c>
      <c r="H24" s="79">
        <f t="shared" si="4"/>
        <v>8.0343000000000302</v>
      </c>
      <c r="I24" s="80">
        <f t="shared" si="5"/>
        <v>2.2023764254951193E-2</v>
      </c>
    </row>
    <row r="25" spans="2:9" x14ac:dyDescent="0.2">
      <c r="B25" s="76" t="s">
        <v>77</v>
      </c>
      <c r="C25" s="77">
        <f t="shared" si="8"/>
        <v>68620</v>
      </c>
      <c r="D25" s="77">
        <f>D13</f>
        <v>200</v>
      </c>
      <c r="E25" s="70"/>
      <c r="F25" s="79">
        <f>'FE - GS &gt; 50 kW'!E38</f>
        <v>11418.4576280768</v>
      </c>
      <c r="G25" s="79">
        <f>'FE - GS &gt; 50 kW'!I38</f>
        <v>11735.9650280768</v>
      </c>
      <c r="H25" s="79">
        <f t="shared" si="4"/>
        <v>317.50740000000042</v>
      </c>
      <c r="I25" s="80">
        <f t="shared" si="5"/>
        <v>2.7806505076419668E-2</v>
      </c>
    </row>
    <row r="26" spans="2:9" x14ac:dyDescent="0.2">
      <c r="B26" s="76" t="s">
        <v>78</v>
      </c>
      <c r="C26" s="77">
        <f t="shared" si="8"/>
        <v>800</v>
      </c>
      <c r="D26" s="81"/>
      <c r="E26" s="70"/>
      <c r="F26" s="79">
        <f>'FE - USL'!E38</f>
        <v>183.01093811199999</v>
      </c>
      <c r="G26" s="79">
        <f>'FE - USL'!I38</f>
        <v>169.066738112</v>
      </c>
      <c r="H26" s="79">
        <f t="shared" si="4"/>
        <v>-13.944199999999995</v>
      </c>
      <c r="I26" s="80">
        <f t="shared" si="5"/>
        <v>-7.619326005239288E-2</v>
      </c>
    </row>
    <row r="27" spans="2:9" x14ac:dyDescent="0.2">
      <c r="B27" s="76" t="s">
        <v>21</v>
      </c>
      <c r="C27" s="77">
        <f t="shared" si="8"/>
        <v>60</v>
      </c>
      <c r="D27" s="99">
        <f>D15</f>
        <v>0.2</v>
      </c>
      <c r="E27" s="70"/>
      <c r="F27" s="79">
        <f>'FE - Sentinel Lgt'!E38</f>
        <v>13.281038798399999</v>
      </c>
      <c r="G27" s="79">
        <f>'FE - Sentinel Lgt'!I38</f>
        <v>13.326216198400003</v>
      </c>
      <c r="H27" s="79">
        <f t="shared" si="4"/>
        <v>4.5177400000003587E-2</v>
      </c>
      <c r="I27" s="80">
        <f t="shared" si="5"/>
        <v>3.4016465643821646E-3</v>
      </c>
    </row>
    <row r="28" spans="2:9" ht="15" thickBot="1" x14ac:dyDescent="0.25">
      <c r="B28" s="86" t="s">
        <v>7</v>
      </c>
      <c r="C28" s="87">
        <f t="shared" si="8"/>
        <v>172000</v>
      </c>
      <c r="D28" s="87">
        <f>D16</f>
        <v>490</v>
      </c>
      <c r="E28" s="88"/>
      <c r="F28" s="89">
        <f>'FE - Street Lgt'!E38</f>
        <v>50131.046106080001</v>
      </c>
      <c r="G28" s="89">
        <f>'FE - Street Lgt'!I38</f>
        <v>50436.725796080005</v>
      </c>
      <c r="H28" s="89">
        <f t="shared" si="4"/>
        <v>305.67969000000448</v>
      </c>
      <c r="I28" s="90">
        <f t="shared" si="5"/>
        <v>6.0976124326863187E-3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zoomScaleNormal="100" workbookViewId="0">
      <selection activeCell="B3" sqref="B3:I28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20" t="s">
        <v>100</v>
      </c>
      <c r="C3" s="120"/>
      <c r="D3" s="120"/>
      <c r="E3" s="120"/>
      <c r="F3" s="120"/>
      <c r="G3" s="120"/>
      <c r="H3" s="120"/>
      <c r="I3" s="120"/>
    </row>
    <row r="4" spans="2:9" ht="14.25" customHeight="1" x14ac:dyDescent="0.2">
      <c r="B4" s="120"/>
      <c r="C4" s="120"/>
      <c r="D4" s="120"/>
      <c r="E4" s="120"/>
      <c r="F4" s="120"/>
      <c r="G4" s="120"/>
      <c r="H4" s="120"/>
      <c r="I4" s="120"/>
    </row>
    <row r="5" spans="2:9" ht="15" customHeight="1" thickBot="1" x14ac:dyDescent="0.25">
      <c r="B5" s="121"/>
      <c r="C5" s="121"/>
      <c r="D5" s="121"/>
      <c r="E5" s="121"/>
      <c r="F5" s="121"/>
      <c r="G5" s="121"/>
      <c r="H5" s="121"/>
      <c r="I5" s="121"/>
    </row>
    <row r="6" spans="2:9" ht="15" x14ac:dyDescent="0.2">
      <c r="B6" s="122" t="s">
        <v>69</v>
      </c>
      <c r="C6" s="97" t="s">
        <v>70</v>
      </c>
      <c r="D6" s="97" t="s">
        <v>71</v>
      </c>
      <c r="E6" s="68"/>
      <c r="F6" s="113" t="s">
        <v>72</v>
      </c>
      <c r="G6" s="113"/>
      <c r="H6" s="113"/>
      <c r="I6" s="114"/>
    </row>
    <row r="7" spans="2:9" ht="14.25" customHeight="1" x14ac:dyDescent="0.2">
      <c r="B7" s="123"/>
      <c r="C7" s="98" t="s">
        <v>73</v>
      </c>
      <c r="D7" s="98" t="s">
        <v>74</v>
      </c>
      <c r="E7" s="70"/>
      <c r="F7" s="115" t="s">
        <v>75</v>
      </c>
      <c r="G7" s="117" t="s">
        <v>76</v>
      </c>
      <c r="H7" s="118" t="s">
        <v>32</v>
      </c>
      <c r="I7" s="119"/>
    </row>
    <row r="8" spans="2:9" x14ac:dyDescent="0.2">
      <c r="B8" s="71"/>
      <c r="C8" s="72"/>
      <c r="D8" s="72"/>
      <c r="E8" s="73"/>
      <c r="F8" s="116"/>
      <c r="G8" s="117"/>
      <c r="H8" s="74" t="s">
        <v>8</v>
      </c>
      <c r="I8" s="75" t="s">
        <v>12</v>
      </c>
    </row>
    <row r="9" spans="2:9" x14ac:dyDescent="0.2">
      <c r="B9" s="76" t="s">
        <v>85</v>
      </c>
      <c r="C9" s="77">
        <f>'EOP - Residential RPP'!C7</f>
        <v>800</v>
      </c>
      <c r="D9" s="72"/>
      <c r="E9" s="70"/>
      <c r="F9" s="79">
        <f>'EOP - Residential RPP'!E28</f>
        <v>52.252470400000007</v>
      </c>
      <c r="G9" s="79">
        <f>'EOP - Residential RPP'!I28</f>
        <v>49.832470400000005</v>
      </c>
      <c r="H9" s="79">
        <f>G9-F9</f>
        <v>-2.4200000000000017</v>
      </c>
      <c r="I9" s="80">
        <f>IF(ISBLANK(F9),"",H9/F9)</f>
        <v>-4.6313599748960411E-2</v>
      </c>
    </row>
    <row r="10" spans="2:9" x14ac:dyDescent="0.2">
      <c r="B10" s="76" t="s">
        <v>87</v>
      </c>
      <c r="C10" s="77">
        <f>'EOP - Residential'!C7</f>
        <v>800</v>
      </c>
      <c r="D10" s="78"/>
      <c r="E10" s="70"/>
      <c r="F10" s="79">
        <f>'EOP - Residential'!E28</f>
        <v>58.252470400000007</v>
      </c>
      <c r="G10" s="79">
        <f>'EOP - Residential'!I28</f>
        <v>64.232470399999997</v>
      </c>
      <c r="H10" s="79">
        <f>G10-F10</f>
        <v>5.9799999999999898</v>
      </c>
      <c r="I10" s="80">
        <f>IF(ISBLANK(F10),"",H10/F10)</f>
        <v>0.10265659050916387</v>
      </c>
    </row>
    <row r="11" spans="2:9" x14ac:dyDescent="0.2">
      <c r="B11" s="76" t="s">
        <v>86</v>
      </c>
      <c r="C11" s="77">
        <f>'EOP - GS &lt; 50 kW RPP'!C7</f>
        <v>2000</v>
      </c>
      <c r="D11" s="78"/>
      <c r="E11" s="70"/>
      <c r="F11" s="79">
        <f>'EOP - GS &lt; 50 kW RPP'!E28</f>
        <v>110.28521600000001</v>
      </c>
      <c r="G11" s="79">
        <f>'EOP - GS &lt; 50 kW RPP'!I28</f>
        <v>104.79521600000001</v>
      </c>
      <c r="H11" s="79">
        <f t="shared" ref="H11" si="0">G11-F11</f>
        <v>-5.4899999999999949</v>
      </c>
      <c r="I11" s="80">
        <f t="shared" ref="I11" si="1">IF(ISBLANK(F11),"",H11/F11)</f>
        <v>-4.9780017658939843E-2</v>
      </c>
    </row>
    <row r="12" spans="2:9" x14ac:dyDescent="0.2">
      <c r="B12" s="76" t="s">
        <v>88</v>
      </c>
      <c r="C12" s="77">
        <f>'EOP - GS &lt; 50 kW'!C7</f>
        <v>2000</v>
      </c>
      <c r="D12" s="78"/>
      <c r="E12" s="70"/>
      <c r="F12" s="79">
        <f>'EOP - GS &lt; 50 kW'!E28</f>
        <v>125.28521600000001</v>
      </c>
      <c r="G12" s="79">
        <f>'EOP - GS &lt; 50 kW'!I28</f>
        <v>140.79521600000001</v>
      </c>
      <c r="H12" s="79">
        <f t="shared" ref="H12:H16" si="2">G12-F12</f>
        <v>15.510000000000005</v>
      </c>
      <c r="I12" s="80">
        <f t="shared" ref="I12:I16" si="3">IF(ISBLANK(F12),"",H12/F12)</f>
        <v>0.12379752771468266</v>
      </c>
    </row>
    <row r="13" spans="2:9" x14ac:dyDescent="0.2">
      <c r="B13" s="76" t="s">
        <v>77</v>
      </c>
      <c r="C13" s="77">
        <f>'EOP - GS &gt; 50 kW'!C7</f>
        <v>68620</v>
      </c>
      <c r="D13" s="77">
        <f>'EOP - GS &gt; 50 kW'!C8</f>
        <v>200</v>
      </c>
      <c r="E13" s="70"/>
      <c r="F13" s="79">
        <f>'EOP - GS &gt; 50 kW'!E27</f>
        <v>3356.4394965600004</v>
      </c>
      <c r="G13" s="79">
        <f>'EOP - GS &gt; 50 kW'!I27</f>
        <v>3936.6594965600007</v>
      </c>
      <c r="H13" s="79">
        <f t="shared" si="2"/>
        <v>580.22000000000025</v>
      </c>
      <c r="I13" s="80">
        <f t="shared" si="3"/>
        <v>0.17286770716250513</v>
      </c>
    </row>
    <row r="14" spans="2:9" x14ac:dyDescent="0.2">
      <c r="B14" s="76" t="s">
        <v>78</v>
      </c>
      <c r="C14" s="77">
        <f>'EOP - USL'!C7</f>
        <v>800</v>
      </c>
      <c r="D14" s="81"/>
      <c r="E14" s="70"/>
      <c r="F14" s="79">
        <f>'EOP - USL'!E27</f>
        <v>76.787430400000005</v>
      </c>
      <c r="G14" s="79">
        <f>'EOP - USL'!I27</f>
        <v>59.407430399999996</v>
      </c>
      <c r="H14" s="79">
        <f t="shared" si="2"/>
        <v>-17.38000000000001</v>
      </c>
      <c r="I14" s="80">
        <f t="shared" si="3"/>
        <v>-0.22633912750386825</v>
      </c>
    </row>
    <row r="15" spans="2:9" x14ac:dyDescent="0.2">
      <c r="B15" s="76" t="s">
        <v>21</v>
      </c>
      <c r="C15" s="77">
        <f>'EOP - Sentinel Lgt'!C7</f>
        <v>60</v>
      </c>
      <c r="D15" s="99">
        <f>'EOP - Sentinel Lgt'!C8</f>
        <v>0.2</v>
      </c>
      <c r="E15" s="70"/>
      <c r="F15" s="79">
        <f>'EOP - Sentinel Lgt'!E27</f>
        <v>7.3305792799999994</v>
      </c>
      <c r="G15" s="79">
        <f>'EOP - Sentinel Lgt'!I27</f>
        <v>7.236739280000001</v>
      </c>
      <c r="H15" s="79">
        <f t="shared" si="2"/>
        <v>-9.3839999999998369E-2</v>
      </c>
      <c r="I15" s="80">
        <f t="shared" si="3"/>
        <v>-1.2801171151101496E-2</v>
      </c>
    </row>
    <row r="16" spans="2:9" x14ac:dyDescent="0.2">
      <c r="B16" s="76" t="s">
        <v>7</v>
      </c>
      <c r="C16" s="77">
        <f>'EOP - Street Lgt'!C7</f>
        <v>46000</v>
      </c>
      <c r="D16" s="77">
        <f>'EOP - Street Lgt'!C8</f>
        <v>129</v>
      </c>
      <c r="E16" s="70"/>
      <c r="F16" s="79">
        <f>'EOP - Street Lgt'!E27</f>
        <v>6942.0874480000002</v>
      </c>
      <c r="G16" s="79">
        <f>'EOP - Street Lgt'!I27</f>
        <v>7198.1899480000011</v>
      </c>
      <c r="H16" s="79">
        <f t="shared" si="2"/>
        <v>256.10250000000087</v>
      </c>
      <c r="I16" s="80">
        <f t="shared" si="3"/>
        <v>3.6891281177073534E-2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1" t="s">
        <v>69</v>
      </c>
      <c r="C18" s="67" t="s">
        <v>70</v>
      </c>
      <c r="D18" s="67" t="s">
        <v>71</v>
      </c>
      <c r="E18" s="68"/>
      <c r="F18" s="113" t="s">
        <v>79</v>
      </c>
      <c r="G18" s="113"/>
      <c r="H18" s="113"/>
      <c r="I18" s="114"/>
    </row>
    <row r="19" spans="2:9" ht="14.25" customHeight="1" x14ac:dyDescent="0.2">
      <c r="B19" s="112"/>
      <c r="C19" s="69" t="s">
        <v>73</v>
      </c>
      <c r="D19" s="69" t="s">
        <v>74</v>
      </c>
      <c r="E19" s="70"/>
      <c r="F19" s="115" t="s">
        <v>75</v>
      </c>
      <c r="G19" s="117" t="s">
        <v>76</v>
      </c>
      <c r="H19" s="118" t="s">
        <v>32</v>
      </c>
      <c r="I19" s="119"/>
    </row>
    <row r="20" spans="2:9" x14ac:dyDescent="0.2">
      <c r="B20" s="71"/>
      <c r="C20" s="72"/>
      <c r="D20" s="72"/>
      <c r="E20" s="73"/>
      <c r="F20" s="116"/>
      <c r="G20" s="117"/>
      <c r="H20" s="74" t="s">
        <v>8</v>
      </c>
      <c r="I20" s="75" t="s">
        <v>12</v>
      </c>
    </row>
    <row r="21" spans="2:9" x14ac:dyDescent="0.2">
      <c r="B21" s="76" t="s">
        <v>85</v>
      </c>
      <c r="C21" s="95">
        <f>C9</f>
        <v>800</v>
      </c>
      <c r="D21" s="72"/>
      <c r="E21" s="70"/>
      <c r="F21" s="79">
        <f>'EOP - Residential RPP'!E41</f>
        <v>157.09443331200001</v>
      </c>
      <c r="G21" s="96">
        <f>'EOP - Residential RPP'!I41</f>
        <v>154.35983331200003</v>
      </c>
      <c r="H21" s="79">
        <f t="shared" ref="H21" si="4">G21-F21</f>
        <v>-2.7345999999999719</v>
      </c>
      <c r="I21" s="80">
        <f t="shared" ref="I21" si="5">IF(ISBLANK(F21),"",H21/F21)</f>
        <v>-1.7407364107987672E-2</v>
      </c>
    </row>
    <row r="22" spans="2:9" x14ac:dyDescent="0.2">
      <c r="B22" s="76" t="s">
        <v>87</v>
      </c>
      <c r="C22" s="77">
        <f>C10</f>
        <v>800</v>
      </c>
      <c r="D22" s="78"/>
      <c r="E22" s="70"/>
      <c r="F22" s="79">
        <f>'EOP - Residential'!E41</f>
        <v>163.87443331200001</v>
      </c>
      <c r="G22" s="79">
        <f>'EOP - Residential'!I41</f>
        <v>170.631833312</v>
      </c>
      <c r="H22" s="79">
        <f t="shared" ref="H22:H28" si="6">G22-F22</f>
        <v>6.7573999999999899</v>
      </c>
      <c r="I22" s="80">
        <f t="shared" ref="I22:I28" si="7">IF(ISBLANK(F22),"",H22/F22)</f>
        <v>4.1235230312800519E-2</v>
      </c>
    </row>
    <row r="23" spans="2:9" x14ac:dyDescent="0.2">
      <c r="B23" s="76" t="s">
        <v>86</v>
      </c>
      <c r="C23" s="77">
        <f>C11</f>
        <v>2000</v>
      </c>
      <c r="D23" s="78"/>
      <c r="E23" s="70"/>
      <c r="F23" s="79">
        <f>'EOP - GS &lt; 50 kW RPP'!E41</f>
        <v>369.32139848000003</v>
      </c>
      <c r="G23" s="79">
        <f>'EOP - GS &lt; 50 kW RPP'!I41</f>
        <v>363.11769848</v>
      </c>
      <c r="H23" s="79">
        <f t="shared" ref="H23" si="8">G23-F23</f>
        <v>-6.2037000000000262</v>
      </c>
      <c r="I23" s="80">
        <f t="shared" ref="I23" si="9">IF(ISBLANK(F23),"",H23/F23)</f>
        <v>-1.679756446697192E-2</v>
      </c>
    </row>
    <row r="24" spans="2:9" x14ac:dyDescent="0.2">
      <c r="B24" s="76" t="s">
        <v>88</v>
      </c>
      <c r="C24" s="77">
        <f t="shared" ref="C24:C28" si="10">C12</f>
        <v>2000</v>
      </c>
      <c r="D24" s="78"/>
      <c r="E24" s="70"/>
      <c r="F24" s="79">
        <f>'EOP - GS &lt; 50 kW'!E41</f>
        <v>386.27139847999996</v>
      </c>
      <c r="G24" s="79">
        <f>'EOP - GS &lt; 50 kW'!I41</f>
        <v>403.79769848000001</v>
      </c>
      <c r="H24" s="79">
        <f t="shared" si="6"/>
        <v>17.526300000000049</v>
      </c>
      <c r="I24" s="80">
        <f t="shared" si="7"/>
        <v>4.5373020288240445E-2</v>
      </c>
    </row>
    <row r="25" spans="2:9" x14ac:dyDescent="0.2">
      <c r="B25" s="76" t="s">
        <v>77</v>
      </c>
      <c r="C25" s="77">
        <f t="shared" si="10"/>
        <v>68620</v>
      </c>
      <c r="D25" s="77">
        <f>D13</f>
        <v>200</v>
      </c>
      <c r="E25" s="70"/>
      <c r="F25" s="79">
        <f>'EOP - GS &gt; 50 kW'!E38</f>
        <v>12178.992828076802</v>
      </c>
      <c r="G25" s="79">
        <f>'EOP - GS &gt; 50 kW'!I38</f>
        <v>12834.641428076802</v>
      </c>
      <c r="H25" s="79">
        <f t="shared" si="6"/>
        <v>655.64860000000044</v>
      </c>
      <c r="I25" s="80">
        <f t="shared" si="7"/>
        <v>5.3834385918062375E-2</v>
      </c>
    </row>
    <row r="26" spans="2:9" x14ac:dyDescent="0.2">
      <c r="B26" s="76" t="s">
        <v>78</v>
      </c>
      <c r="C26" s="77">
        <f t="shared" si="10"/>
        <v>800</v>
      </c>
      <c r="D26" s="81"/>
      <c r="E26" s="70"/>
      <c r="F26" s="79">
        <f>'EOP - USL'!E38</f>
        <v>184.81893811200004</v>
      </c>
      <c r="G26" s="79">
        <f>'EOP - USL'!I38</f>
        <v>165.17953811199999</v>
      </c>
      <c r="H26" s="79">
        <f t="shared" si="6"/>
        <v>-19.639400000000052</v>
      </c>
      <c r="I26" s="80">
        <f t="shared" si="7"/>
        <v>-0.10626291981019066</v>
      </c>
    </row>
    <row r="27" spans="2:9" x14ac:dyDescent="0.2">
      <c r="B27" s="76" t="s">
        <v>21</v>
      </c>
      <c r="C27" s="77">
        <f t="shared" si="10"/>
        <v>60</v>
      </c>
      <c r="D27" s="99">
        <f>D15</f>
        <v>0.2</v>
      </c>
      <c r="E27" s="70"/>
      <c r="F27" s="79">
        <f>'EOP - Sentinel Lgt'!E38</f>
        <v>13.4055195984</v>
      </c>
      <c r="G27" s="79">
        <f>'EOP - Sentinel Lgt'!I38</f>
        <v>13.299480398400004</v>
      </c>
      <c r="H27" s="79">
        <f t="shared" si="6"/>
        <v>-0.10603919999999611</v>
      </c>
      <c r="I27" s="80">
        <f t="shared" si="7"/>
        <v>-7.9101148763120153E-3</v>
      </c>
    </row>
    <row r="28" spans="2:9" ht="15" thickBot="1" x14ac:dyDescent="0.25">
      <c r="B28" s="86" t="s">
        <v>7</v>
      </c>
      <c r="C28" s="87">
        <f t="shared" si="10"/>
        <v>46000</v>
      </c>
      <c r="D28" s="87">
        <f>D16</f>
        <v>129</v>
      </c>
      <c r="E28" s="88"/>
      <c r="F28" s="89">
        <f>'EOP - Street Lgt'!E38</f>
        <v>13466.42321744</v>
      </c>
      <c r="G28" s="89">
        <f>'EOP - Street Lgt'!I38</f>
        <v>13755.819042440002</v>
      </c>
      <c r="H28" s="89">
        <f t="shared" si="6"/>
        <v>289.39582500000142</v>
      </c>
      <c r="I28" s="90">
        <f t="shared" si="7"/>
        <v>2.149017748270474E-2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8"/>
  <sheetViews>
    <sheetView showGridLines="0" tabSelected="1" zoomScaleNormal="100" workbookViewId="0">
      <selection activeCell="B3" sqref="B3:I28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20" t="s">
        <v>101</v>
      </c>
      <c r="C3" s="120"/>
      <c r="D3" s="120"/>
      <c r="E3" s="120"/>
      <c r="F3" s="120"/>
      <c r="G3" s="120"/>
      <c r="H3" s="120"/>
      <c r="I3" s="120"/>
    </row>
    <row r="4" spans="2:9" ht="14.25" customHeight="1" x14ac:dyDescent="0.2">
      <c r="B4" s="120"/>
      <c r="C4" s="120"/>
      <c r="D4" s="120"/>
      <c r="E4" s="120"/>
      <c r="F4" s="120"/>
      <c r="G4" s="120"/>
      <c r="H4" s="120"/>
      <c r="I4" s="120"/>
    </row>
    <row r="5" spans="2:9" ht="15" customHeight="1" thickBot="1" x14ac:dyDescent="0.25">
      <c r="B5" s="121"/>
      <c r="C5" s="121"/>
      <c r="D5" s="121"/>
      <c r="E5" s="121"/>
      <c r="F5" s="121"/>
      <c r="G5" s="121"/>
      <c r="H5" s="121"/>
      <c r="I5" s="121"/>
    </row>
    <row r="6" spans="2:9" ht="15" x14ac:dyDescent="0.2">
      <c r="B6" s="111" t="s">
        <v>69</v>
      </c>
      <c r="C6" s="67" t="s">
        <v>70</v>
      </c>
      <c r="D6" s="67" t="s">
        <v>71</v>
      </c>
      <c r="E6" s="68"/>
      <c r="F6" s="113" t="s">
        <v>72</v>
      </c>
      <c r="G6" s="113"/>
      <c r="H6" s="113"/>
      <c r="I6" s="114"/>
    </row>
    <row r="7" spans="2:9" ht="14.25" customHeight="1" x14ac:dyDescent="0.2">
      <c r="B7" s="112"/>
      <c r="C7" s="69" t="s">
        <v>73</v>
      </c>
      <c r="D7" s="69" t="s">
        <v>74</v>
      </c>
      <c r="E7" s="70"/>
      <c r="F7" s="115" t="s">
        <v>75</v>
      </c>
      <c r="G7" s="117" t="s">
        <v>76</v>
      </c>
      <c r="H7" s="118" t="s">
        <v>32</v>
      </c>
      <c r="I7" s="119"/>
    </row>
    <row r="8" spans="2:9" x14ac:dyDescent="0.2">
      <c r="B8" s="71"/>
      <c r="C8" s="72"/>
      <c r="D8" s="72"/>
      <c r="E8" s="73"/>
      <c r="F8" s="116"/>
      <c r="G8" s="117"/>
      <c r="H8" s="74" t="s">
        <v>8</v>
      </c>
      <c r="I8" s="75" t="s">
        <v>12</v>
      </c>
    </row>
    <row r="9" spans="2:9" x14ac:dyDescent="0.2">
      <c r="B9" s="76" t="s">
        <v>85</v>
      </c>
      <c r="C9" s="77">
        <f>'PC - Residential RPP'!C7</f>
        <v>800</v>
      </c>
      <c r="D9" s="72"/>
      <c r="E9" s="70"/>
      <c r="F9" s="79">
        <f>'PC - Residential RPP'!E29</f>
        <v>52.222470399999999</v>
      </c>
      <c r="G9" s="79">
        <f>'PC - Residential RPP'!I29</f>
        <v>50.712470400000001</v>
      </c>
      <c r="H9" s="79">
        <f>G9-F9</f>
        <v>-1.509999999999998</v>
      </c>
      <c r="I9" s="80">
        <f>IF(ISBLANK(F9),"",H9/F9)</f>
        <v>-2.8914756204256434E-2</v>
      </c>
    </row>
    <row r="10" spans="2:9" x14ac:dyDescent="0.2">
      <c r="B10" s="76" t="s">
        <v>87</v>
      </c>
      <c r="C10" s="77">
        <f>'PC - Residential'!C7</f>
        <v>800</v>
      </c>
      <c r="D10" s="78"/>
      <c r="E10" s="70"/>
      <c r="F10" s="79">
        <f>'PC - Residential'!E29</f>
        <v>50.382470400000003</v>
      </c>
      <c r="G10" s="79">
        <f>'PC - Residential'!I29</f>
        <v>50.392470400000008</v>
      </c>
      <c r="H10" s="79">
        <f>G10-F10</f>
        <v>1.0000000000005116E-2</v>
      </c>
      <c r="I10" s="80">
        <f>IF(ISBLANK(F10),"",H10/F10)</f>
        <v>1.9848173224957852E-4</v>
      </c>
    </row>
    <row r="11" spans="2:9" x14ac:dyDescent="0.2">
      <c r="B11" s="76" t="s">
        <v>86</v>
      </c>
      <c r="C11" s="77">
        <f>'PC - GS &lt; 50 KW RPP'!C7</f>
        <v>2000</v>
      </c>
      <c r="D11" s="78"/>
      <c r="E11" s="70"/>
      <c r="F11" s="79">
        <f>'PC - GS &lt; 50 KW RPP'!E29</f>
        <v>109.02521600000001</v>
      </c>
      <c r="G11" s="79">
        <f>'PC - GS &lt; 50 KW RPP'!I29</f>
        <v>106.79521600000001</v>
      </c>
      <c r="H11" s="79">
        <f>G11-F11</f>
        <v>-2.230000000000004</v>
      </c>
      <c r="I11" s="80">
        <f>IF(ISBLANK(F11),"",H11/F11)</f>
        <v>-2.0453983782981029E-2</v>
      </c>
    </row>
    <row r="12" spans="2:9" x14ac:dyDescent="0.2">
      <c r="B12" s="76" t="s">
        <v>88</v>
      </c>
      <c r="C12" s="77">
        <f>'PC - GS &lt; 50 KW'!C7</f>
        <v>2000</v>
      </c>
      <c r="D12" s="78"/>
      <c r="E12" s="70"/>
      <c r="F12" s="79">
        <f>'PC - GS &lt; 50 KW'!E29</f>
        <v>104.42521600000002</v>
      </c>
      <c r="G12" s="79">
        <f>'PC - GS &lt; 50 KW'!I29</f>
        <v>105.99521600000003</v>
      </c>
      <c r="H12" s="79">
        <f t="shared" ref="H12:H16" si="0">G12-F12</f>
        <v>1.5700000000000074</v>
      </c>
      <c r="I12" s="80">
        <f t="shared" ref="I12:I16" si="1">IF(ISBLANK(F12),"",H12/F12)</f>
        <v>1.5034682810711228E-2</v>
      </c>
    </row>
    <row r="13" spans="2:9" x14ac:dyDescent="0.2">
      <c r="B13" s="76" t="s">
        <v>77</v>
      </c>
      <c r="C13" s="77">
        <f>'PC - GS &gt; 50 kW'!C7</f>
        <v>68620</v>
      </c>
      <c r="D13" s="77">
        <f>'PC - GS &gt; 50 kW'!C8</f>
        <v>200</v>
      </c>
      <c r="E13" s="70"/>
      <c r="F13" s="79">
        <f>'PC - GS &gt; 50 kW'!E28</f>
        <v>2677.4394965600004</v>
      </c>
      <c r="G13" s="79">
        <f>'PC - GS &gt; 50 kW'!I28</f>
        <v>2729.2994965600005</v>
      </c>
      <c r="H13" s="79">
        <f t="shared" si="0"/>
        <v>51.860000000000127</v>
      </c>
      <c r="I13" s="80">
        <f t="shared" si="1"/>
        <v>1.9369251879129423E-2</v>
      </c>
    </row>
    <row r="14" spans="2:9" x14ac:dyDescent="0.2">
      <c r="B14" s="76" t="s">
        <v>78</v>
      </c>
      <c r="C14" s="77">
        <f>'PC - USL'!C7</f>
        <v>800</v>
      </c>
      <c r="D14" s="81"/>
      <c r="E14" s="70"/>
      <c r="F14" s="79">
        <f>'PC - USL'!E28</f>
        <v>67.317430400000006</v>
      </c>
      <c r="G14" s="79">
        <f>'PC - USL'!I28</f>
        <v>59.807430399999994</v>
      </c>
      <c r="H14" s="79">
        <f t="shared" si="0"/>
        <v>-7.5100000000000122</v>
      </c>
      <c r="I14" s="80">
        <f t="shared" si="1"/>
        <v>-0.11156100218584712</v>
      </c>
    </row>
    <row r="15" spans="2:9" x14ac:dyDescent="0.2">
      <c r="B15" s="76" t="s">
        <v>21</v>
      </c>
      <c r="C15" s="77">
        <f>'PC - Sentinel Lgt'!C7</f>
        <v>60</v>
      </c>
      <c r="D15" s="99">
        <f>'PC - Sentinel Lgt'!C8</f>
        <v>0.2</v>
      </c>
      <c r="E15" s="70"/>
      <c r="F15" s="79">
        <f>'PC - Sentinel Lgt'!E28</f>
        <v>7.4235992799999995</v>
      </c>
      <c r="G15" s="79">
        <f>'PC - Sentinel Lgt'!I28</f>
        <v>7.4296392800000008</v>
      </c>
      <c r="H15" s="79">
        <f t="shared" si="0"/>
        <v>6.0400000000013776E-3</v>
      </c>
      <c r="I15" s="80">
        <f t="shared" si="1"/>
        <v>8.1362150247977529E-4</v>
      </c>
    </row>
    <row r="16" spans="2:9" x14ac:dyDescent="0.2">
      <c r="B16" s="76" t="s">
        <v>7</v>
      </c>
      <c r="C16" s="77">
        <f>'PC - Street Lgt'!C7</f>
        <v>155000</v>
      </c>
      <c r="D16" s="77">
        <f>'PC - Street Lgt'!C8</f>
        <v>445</v>
      </c>
      <c r="E16" s="70"/>
      <c r="F16" s="79">
        <f>'PC - Street Lgt'!E28</f>
        <v>16156.511139999999</v>
      </c>
      <c r="G16" s="79">
        <f>'PC - Street Lgt'!I28</f>
        <v>17010.86764</v>
      </c>
      <c r="H16" s="79">
        <f t="shared" si="0"/>
        <v>854.35650000000169</v>
      </c>
      <c r="I16" s="80">
        <f t="shared" si="1"/>
        <v>5.2880011816709691E-2</v>
      </c>
    </row>
    <row r="17" spans="2:9" ht="7.5" customHeight="1" thickBot="1" x14ac:dyDescent="0.25">
      <c r="B17" s="82"/>
      <c r="C17" s="83"/>
      <c r="D17" s="83"/>
      <c r="E17" s="70"/>
      <c r="F17" s="84"/>
      <c r="G17" s="84"/>
      <c r="H17" s="84"/>
      <c r="I17" s="85"/>
    </row>
    <row r="18" spans="2:9" ht="15" customHeight="1" x14ac:dyDescent="0.2">
      <c r="B18" s="111" t="s">
        <v>69</v>
      </c>
      <c r="C18" s="67" t="s">
        <v>70</v>
      </c>
      <c r="D18" s="67" t="s">
        <v>71</v>
      </c>
      <c r="E18" s="68"/>
      <c r="F18" s="113" t="s">
        <v>79</v>
      </c>
      <c r="G18" s="113"/>
      <c r="H18" s="113"/>
      <c r="I18" s="114"/>
    </row>
    <row r="19" spans="2:9" ht="14.25" customHeight="1" x14ac:dyDescent="0.2">
      <c r="B19" s="112"/>
      <c r="C19" s="69" t="s">
        <v>73</v>
      </c>
      <c r="D19" s="69" t="s">
        <v>74</v>
      </c>
      <c r="E19" s="70"/>
      <c r="F19" s="115" t="s">
        <v>75</v>
      </c>
      <c r="G19" s="117" t="s">
        <v>76</v>
      </c>
      <c r="H19" s="118" t="s">
        <v>32</v>
      </c>
      <c r="I19" s="119"/>
    </row>
    <row r="20" spans="2:9" x14ac:dyDescent="0.2">
      <c r="B20" s="71"/>
      <c r="C20" s="72"/>
      <c r="D20" s="72"/>
      <c r="E20" s="73"/>
      <c r="F20" s="116"/>
      <c r="G20" s="117"/>
      <c r="H20" s="74" t="s">
        <v>8</v>
      </c>
      <c r="I20" s="75" t="s">
        <v>12</v>
      </c>
    </row>
    <row r="21" spans="2:9" x14ac:dyDescent="0.2">
      <c r="B21" s="76" t="s">
        <v>85</v>
      </c>
      <c r="C21" s="77">
        <f>C9</f>
        <v>800</v>
      </c>
      <c r="D21" s="72"/>
      <c r="E21" s="70"/>
      <c r="F21" s="79">
        <f>'PC - Residential RPP'!E42</f>
        <v>157.06053331200002</v>
      </c>
      <c r="G21" s="79">
        <f>'PC - Residential RPP'!I42</f>
        <v>155.35423331200002</v>
      </c>
      <c r="H21" s="79">
        <f t="shared" ref="H21" si="2">G21-F21</f>
        <v>-1.7062999999999988</v>
      </c>
      <c r="I21" s="80">
        <f t="shared" ref="I21" si="3">IF(ISBLANK(F21),"",H21/F21)</f>
        <v>-1.0863964129107099E-2</v>
      </c>
    </row>
    <row r="22" spans="2:9" x14ac:dyDescent="0.2">
      <c r="B22" s="76" t="s">
        <v>87</v>
      </c>
      <c r="C22" s="77">
        <f>C10</f>
        <v>800</v>
      </c>
      <c r="D22" s="78"/>
      <c r="E22" s="70"/>
      <c r="F22" s="79">
        <f>'PC - Residential'!E42</f>
        <v>154.981333312</v>
      </c>
      <c r="G22" s="79">
        <f>'PC - Residential'!I42</f>
        <v>154.99263331200004</v>
      </c>
      <c r="H22" s="79">
        <f t="shared" ref="H22:H28" si="4">G22-F22</f>
        <v>1.1300000000034061E-2</v>
      </c>
      <c r="I22" s="80">
        <f t="shared" ref="I22:I28" si="5">IF(ISBLANK(F22),"",H22/F22)</f>
        <v>7.2912006617503511E-5</v>
      </c>
    </row>
    <row r="23" spans="2:9" x14ac:dyDescent="0.2">
      <c r="B23" s="76" t="s">
        <v>86</v>
      </c>
      <c r="C23" s="77">
        <f>C11</f>
        <v>2000</v>
      </c>
      <c r="D23" s="78"/>
      <c r="E23" s="70"/>
      <c r="F23" s="79">
        <f>'PC - GS &lt; 50 KW RPP'!E42</f>
        <v>367.89759848000006</v>
      </c>
      <c r="G23" s="79">
        <f>'PC - GS &lt; 50 KW RPP'!I42</f>
        <v>365.37769847999999</v>
      </c>
      <c r="H23" s="79">
        <f t="shared" ref="H23" si="6">G23-F23</f>
        <v>-2.5199000000000638</v>
      </c>
      <c r="I23" s="80">
        <f t="shared" ref="I23" si="7">IF(ISBLANK(F23),"",H23/F23)</f>
        <v>-6.8494603129002282E-3</v>
      </c>
    </row>
    <row r="24" spans="2:9" x14ac:dyDescent="0.2">
      <c r="B24" s="76" t="s">
        <v>88</v>
      </c>
      <c r="C24" s="77">
        <f t="shared" ref="C24:C28" si="8">C12</f>
        <v>2000</v>
      </c>
      <c r="D24" s="78"/>
      <c r="E24" s="70"/>
      <c r="F24" s="79">
        <f>'PC - GS &lt; 50 KW'!E42</f>
        <v>362.69959848000002</v>
      </c>
      <c r="G24" s="79">
        <f>'PC - GS &lt; 50 KW'!I42</f>
        <v>364.47369848000005</v>
      </c>
      <c r="H24" s="79">
        <f t="shared" si="4"/>
        <v>1.7741000000000327</v>
      </c>
      <c r="I24" s="80">
        <f t="shared" si="5"/>
        <v>4.8913756933697296E-3</v>
      </c>
    </row>
    <row r="25" spans="2:9" x14ac:dyDescent="0.2">
      <c r="B25" s="76" t="s">
        <v>77</v>
      </c>
      <c r="C25" s="77">
        <f t="shared" si="8"/>
        <v>68620</v>
      </c>
      <c r="D25" s="77">
        <f>D13</f>
        <v>200</v>
      </c>
      <c r="E25" s="70"/>
      <c r="F25" s="79">
        <f>'PC - GS &gt; 50 kW'!E39</f>
        <v>11411.722828076801</v>
      </c>
      <c r="G25" s="79">
        <f>'PC - GS &gt; 50 kW'!I39</f>
        <v>11470.324628076802</v>
      </c>
      <c r="H25" s="79">
        <f t="shared" si="4"/>
        <v>58.601800000000367</v>
      </c>
      <c r="I25" s="80">
        <f t="shared" si="5"/>
        <v>5.1352281231208654E-3</v>
      </c>
    </row>
    <row r="26" spans="2:9" x14ac:dyDescent="0.2">
      <c r="B26" s="76" t="s">
        <v>78</v>
      </c>
      <c r="C26" s="77">
        <f t="shared" si="8"/>
        <v>800</v>
      </c>
      <c r="D26" s="81"/>
      <c r="E26" s="70"/>
      <c r="F26" s="79">
        <f>'PC - USL'!E41</f>
        <v>174.11783811200002</v>
      </c>
      <c r="G26" s="79">
        <f>'PC - USL'!I41</f>
        <v>165.63153811200002</v>
      </c>
      <c r="H26" s="79">
        <f t="shared" si="4"/>
        <v>-8.4863</v>
      </c>
      <c r="I26" s="80">
        <f t="shared" si="5"/>
        <v>-4.8738831655727601E-2</v>
      </c>
    </row>
    <row r="27" spans="2:9" x14ac:dyDescent="0.2">
      <c r="B27" s="76" t="s">
        <v>21</v>
      </c>
      <c r="C27" s="77">
        <f t="shared" si="8"/>
        <v>60</v>
      </c>
      <c r="D27" s="99">
        <f>D15</f>
        <v>0.2</v>
      </c>
      <c r="E27" s="70"/>
      <c r="F27" s="79">
        <f>'PC - Sentinel Lgt'!E39</f>
        <v>13.5106321984</v>
      </c>
      <c r="G27" s="79">
        <f>'PC - Sentinel Lgt'!I39</f>
        <v>13.517457398400001</v>
      </c>
      <c r="H27" s="79">
        <f t="shared" si="4"/>
        <v>6.82520000000153E-3</v>
      </c>
      <c r="I27" s="80">
        <f t="shared" si="5"/>
        <v>5.0517251152835073E-4</v>
      </c>
    </row>
    <row r="28" spans="2:9" ht="15" thickBot="1" x14ac:dyDescent="0.25">
      <c r="B28" s="86" t="s">
        <v>7</v>
      </c>
      <c r="C28" s="87">
        <f t="shared" si="8"/>
        <v>155000</v>
      </c>
      <c r="D28" s="87">
        <f>D16</f>
        <v>445</v>
      </c>
      <c r="E28" s="88"/>
      <c r="F28" s="89">
        <f>'PC - Street Lgt'!E39</f>
        <v>30759.091369200003</v>
      </c>
      <c r="G28" s="89">
        <f>'PC - Street Lgt'!I39</f>
        <v>31724.514214200004</v>
      </c>
      <c r="H28" s="89">
        <f t="shared" si="4"/>
        <v>965.42284500000096</v>
      </c>
      <c r="I28" s="90">
        <f t="shared" si="5"/>
        <v>3.1386585299678513E-2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5" orientation="portrait" r:id="rId1"/>
  <headerFooter>
    <oddHeader>&amp;C&amp;"Arial,Bold"&amp;16 2015 Bill Impacts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19.43</v>
      </c>
      <c r="D14" s="37">
        <f>C6</f>
        <v>1</v>
      </c>
      <c r="E14" s="36">
        <f>C14*D14</f>
        <v>19.43</v>
      </c>
      <c r="F14" s="45"/>
      <c r="G14" s="36">
        <f>Rates!I6</f>
        <v>23.33</v>
      </c>
      <c r="H14" s="37">
        <f>D14</f>
        <v>1</v>
      </c>
      <c r="I14" s="36">
        <f>G14*H14</f>
        <v>23.33</v>
      </c>
      <c r="J14" s="45"/>
      <c r="K14" s="36">
        <f>I14-E14</f>
        <v>3.8999999999999986</v>
      </c>
      <c r="L14" s="47">
        <f>IF((E14)=0," ",K14/E14)</f>
        <v>0.20072053525476061</v>
      </c>
    </row>
    <row r="15" spans="2:12" x14ac:dyDescent="0.2">
      <c r="B15" s="44" t="str">
        <f>Rates!B8</f>
        <v>Distribution Volumetric Rate</v>
      </c>
      <c r="C15" s="25">
        <f>Rates!E8</f>
        <v>2.0199999999999999E-2</v>
      </c>
      <c r="D15" s="38">
        <f>C7</f>
        <v>800</v>
      </c>
      <c r="E15" s="36">
        <f t="shared" ref="E15" si="0">C15*D15</f>
        <v>16.16</v>
      </c>
      <c r="F15" s="45"/>
      <c r="G15" s="25">
        <f>Rates!I8</f>
        <v>1.5100000000000001E-2</v>
      </c>
      <c r="H15" s="38">
        <f>D15</f>
        <v>800</v>
      </c>
      <c r="I15" s="36">
        <f t="shared" ref="I15" si="1">G15*H15</f>
        <v>12.08</v>
      </c>
      <c r="J15" s="45"/>
      <c r="K15" s="36">
        <f t="shared" ref="K15:K41" si="2">I15-E15</f>
        <v>-4.08</v>
      </c>
      <c r="L15" s="47">
        <f t="shared" ref="L15:L41" si="3">IF((E15)=0," ",K15/E15)</f>
        <v>-0.25247524752475248</v>
      </c>
    </row>
    <row r="16" spans="2:12" x14ac:dyDescent="0.2">
      <c r="B16" s="49" t="s">
        <v>36</v>
      </c>
      <c r="C16" s="50"/>
      <c r="D16" s="51"/>
      <c r="E16" s="52">
        <f>SUM(E14:E15)</f>
        <v>35.590000000000003</v>
      </c>
      <c r="F16" s="53"/>
      <c r="G16" s="50"/>
      <c r="H16" s="51"/>
      <c r="I16" s="52">
        <f>SUM(I14:I15)</f>
        <v>35.409999999999997</v>
      </c>
      <c r="J16" s="53"/>
      <c r="K16" s="54">
        <f t="shared" si="2"/>
        <v>-0.18000000000000682</v>
      </c>
      <c r="L16" s="55">
        <f t="shared" si="3"/>
        <v>-5.0576004495646752E-3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4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4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Rates!B10</f>
        <v>Rate Rider for Deferral/Variance Account Disposition (2015) - effective until December 31, 2016</v>
      </c>
      <c r="C18" s="25">
        <f>Rates!E10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Rates!I10</f>
        <v>8.0000000000000004E-4</v>
      </c>
      <c r="H18" s="37">
        <f t="shared" ref="H18:H24" si="6">D18</f>
        <v>800</v>
      </c>
      <c r="I18" s="36">
        <f t="shared" si="5"/>
        <v>0.64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Rates!B11</f>
        <v>Rate Rider for Global Adjustment Sub-Account Disposition (2015) - effective until December 31, 2016 Applicable only for Non-RPP Customers</v>
      </c>
      <c r="C19" s="25">
        <f>Rates!E11</f>
        <v>-2.5000000000000001E-3</v>
      </c>
      <c r="D19" s="37">
        <f>C7</f>
        <v>800</v>
      </c>
      <c r="E19" s="36">
        <f t="shared" si="4"/>
        <v>-2</v>
      </c>
      <c r="F19" s="45"/>
      <c r="G19" s="25">
        <f>Rates!I11</f>
        <v>-2.5000000000000001E-3</v>
      </c>
      <c r="H19" s="37">
        <f t="shared" si="6"/>
        <v>800</v>
      </c>
      <c r="I19" s="36">
        <f t="shared" si="5"/>
        <v>-2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8" t="str">
        <f>Rates!B12</f>
        <v>Rate Rider for Deferral/Variance Account Disposition (2016) - effective until December 31, 2017</v>
      </c>
      <c r="C20" s="25">
        <f>Rates!E12</f>
        <v>0</v>
      </c>
      <c r="D20" s="37">
        <f>C7</f>
        <v>800</v>
      </c>
      <c r="E20" s="36">
        <f t="shared" si="4"/>
        <v>0</v>
      </c>
      <c r="F20" s="45"/>
      <c r="G20" s="25">
        <f>Rates!I12</f>
        <v>-6.9999999999999999E-4</v>
      </c>
      <c r="H20" s="37">
        <f t="shared" si="6"/>
        <v>800</v>
      </c>
      <c r="I20" s="36">
        <f t="shared" si="5"/>
        <v>-0.55999999999999994</v>
      </c>
      <c r="J20" s="45"/>
      <c r="K20" s="36">
        <f t="shared" ref="K20:K22" si="7">I20-E20</f>
        <v>-0.55999999999999994</v>
      </c>
      <c r="L20" s="47" t="str">
        <f t="shared" ref="L20:L22" si="8">IF((E20)=0," ",K20/E20)</f>
        <v xml:space="preserve"> </v>
      </c>
    </row>
    <row r="21" spans="2:12" ht="25.5" x14ac:dyDescent="0.2">
      <c r="B21" s="48" t="str">
        <f>Rates!B13</f>
        <v>Rate Rider for Global Adjustment Sub-Account Disposition (2016) - effective until December 31, 2017 Applicable only for Non-RPP Customers</v>
      </c>
      <c r="C21" s="25">
        <f>Rates!E13</f>
        <v>0</v>
      </c>
      <c r="D21" s="37">
        <f>C7</f>
        <v>800</v>
      </c>
      <c r="E21" s="36">
        <f t="shared" si="4"/>
        <v>0</v>
      </c>
      <c r="F21" s="45"/>
      <c r="G21" s="25">
        <f>Rates!I13</f>
        <v>4.3E-3</v>
      </c>
      <c r="H21" s="37">
        <f t="shared" si="6"/>
        <v>800</v>
      </c>
      <c r="I21" s="36">
        <f t="shared" si="5"/>
        <v>3.44</v>
      </c>
      <c r="J21" s="45"/>
      <c r="K21" s="36">
        <f t="shared" si="7"/>
        <v>3.44</v>
      </c>
      <c r="L21" s="47" t="str">
        <f t="shared" si="8"/>
        <v xml:space="preserve"> </v>
      </c>
    </row>
    <row r="22" spans="2:12" x14ac:dyDescent="0.2">
      <c r="B22" s="48" t="str">
        <f>Rates!B14</f>
        <v>Rate Rider for Loss Revenue Adjustment Mechanism (LRAM) - effective until December 31, 2015</v>
      </c>
      <c r="C22" s="25">
        <f>Rates!E14</f>
        <v>1E-4</v>
      </c>
      <c r="D22" s="37">
        <f>C7</f>
        <v>800</v>
      </c>
      <c r="E22" s="36">
        <f t="shared" si="4"/>
        <v>0.08</v>
      </c>
      <c r="F22" s="45"/>
      <c r="G22" s="25">
        <f>Rates!I14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-0.08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Rates!E9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Rates!I9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39.688790400000002</v>
      </c>
      <c r="F25" s="53"/>
      <c r="G25" s="50"/>
      <c r="H25" s="51"/>
      <c r="I25" s="52">
        <f>SUM(I16:I24)</f>
        <v>42.308790399999992</v>
      </c>
      <c r="J25" s="53"/>
      <c r="K25" s="54">
        <f t="shared" si="2"/>
        <v>2.6199999999999903</v>
      </c>
      <c r="L25" s="55">
        <f t="shared" si="3"/>
        <v>6.6013601664211718E-2</v>
      </c>
    </row>
    <row r="26" spans="2:12" x14ac:dyDescent="0.2">
      <c r="B26" s="44" t="str">
        <f>Rates!B15</f>
        <v>Retail Transmission Rate - Network Service Rate</v>
      </c>
      <c r="C26" s="25">
        <f>Rates!E15</f>
        <v>7.3000000000000001E-3</v>
      </c>
      <c r="D26" s="37">
        <f>C7*C5</f>
        <v>843.36</v>
      </c>
      <c r="E26" s="36">
        <f>C26*D26</f>
        <v>6.1565279999999998</v>
      </c>
      <c r="F26" s="45"/>
      <c r="G26" s="25">
        <f>Rates!I15</f>
        <v>7.1999999999999998E-3</v>
      </c>
      <c r="H26" s="37">
        <f>D26</f>
        <v>843.36</v>
      </c>
      <c r="I26" s="36">
        <f>G26*H26</f>
        <v>6.0721920000000003</v>
      </c>
      <c r="J26" s="45"/>
      <c r="K26" s="36">
        <f t="shared" si="2"/>
        <v>-8.4335999999999522E-2</v>
      </c>
      <c r="L26" s="47">
        <f t="shared" si="3"/>
        <v>-1.3698630136986224E-2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Rates!E16</f>
        <v>5.7000000000000002E-3</v>
      </c>
      <c r="D27" s="37">
        <f>C7*C5</f>
        <v>843.36</v>
      </c>
      <c r="E27" s="36">
        <f>C27*D27</f>
        <v>4.8071520000000003</v>
      </c>
      <c r="F27" s="45"/>
      <c r="G27" s="25">
        <f>Rates!I16</f>
        <v>5.7999999999999996E-3</v>
      </c>
      <c r="H27" s="37">
        <f>D27</f>
        <v>843.36</v>
      </c>
      <c r="I27" s="36">
        <f>G27*H27</f>
        <v>4.8914879999999998</v>
      </c>
      <c r="J27" s="45"/>
      <c r="K27" s="36">
        <f t="shared" si="2"/>
        <v>8.4335999999999522E-2</v>
      </c>
      <c r="L27" s="47">
        <f t="shared" si="3"/>
        <v>1.7543859649122705E-2</v>
      </c>
    </row>
    <row r="28" spans="2:12" x14ac:dyDescent="0.2">
      <c r="B28" s="49" t="s">
        <v>57</v>
      </c>
      <c r="C28" s="50"/>
      <c r="D28" s="51"/>
      <c r="E28" s="52">
        <f>SUM(E25:E27)</f>
        <v>50.652470400000006</v>
      </c>
      <c r="F28" s="53"/>
      <c r="G28" s="50"/>
      <c r="H28" s="52"/>
      <c r="I28" s="52">
        <f>SUM(I25:I27)</f>
        <v>53.272470399999996</v>
      </c>
      <c r="J28" s="53"/>
      <c r="K28" s="54">
        <f t="shared" si="2"/>
        <v>2.6199999999999903</v>
      </c>
      <c r="L28" s="55">
        <f t="shared" si="3"/>
        <v>5.1725019121673287E-2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843.36</v>
      </c>
      <c r="E29" s="36">
        <f t="shared" ref="E29:E35" si="9">C29*D29</f>
        <v>3.7107840000000003</v>
      </c>
      <c r="F29" s="45"/>
      <c r="G29" s="25">
        <f>Rates!I244</f>
        <v>4.4000000000000003E-3</v>
      </c>
      <c r="H29" s="37">
        <f>D29</f>
        <v>843.36</v>
      </c>
      <c r="I29" s="36">
        <f t="shared" ref="I29:I35" si="10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843.36</v>
      </c>
      <c r="E30" s="36">
        <f t="shared" si="9"/>
        <v>1.096368</v>
      </c>
      <c r="F30" s="45"/>
      <c r="G30" s="25">
        <f>Rates!I245</f>
        <v>1.2999999999999999E-3</v>
      </c>
      <c r="H30" s="37">
        <f t="shared" ref="H30:H31" si="11">D30</f>
        <v>843.36</v>
      </c>
      <c r="I30" s="36">
        <f t="shared" si="10"/>
        <v>1.096368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9"/>
        <v>0.25</v>
      </c>
      <c r="F31" s="45"/>
      <c r="G31" s="36">
        <f>Rates!I246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Rates!E250</f>
        <v>0</v>
      </c>
      <c r="D32" s="37">
        <f>C7</f>
        <v>800</v>
      </c>
      <c r="E32" s="36">
        <f t="shared" si="9"/>
        <v>0</v>
      </c>
      <c r="F32" s="45"/>
      <c r="G32" s="25">
        <f>Rates!I250</f>
        <v>0</v>
      </c>
      <c r="H32" s="37">
        <f>D32</f>
        <v>800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512</v>
      </c>
      <c r="E33" s="36">
        <f t="shared" si="9"/>
        <v>40.96</v>
      </c>
      <c r="F33" s="45"/>
      <c r="G33" s="25">
        <f>Rates!I262</f>
        <v>0.08</v>
      </c>
      <c r="H33" s="37">
        <f>D33</f>
        <v>512</v>
      </c>
      <c r="I33" s="36">
        <f t="shared" si="10"/>
        <v>40.96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144</v>
      </c>
      <c r="E34" s="36">
        <f t="shared" si="9"/>
        <v>17.567999999999998</v>
      </c>
      <c r="F34" s="45"/>
      <c r="G34" s="25">
        <f>Rates!I263</f>
        <v>0.122</v>
      </c>
      <c r="H34" s="37">
        <f t="shared" ref="H34:H35" si="12">D34</f>
        <v>144</v>
      </c>
      <c r="I34" s="36">
        <f t="shared" si="10"/>
        <v>17.567999999999998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144</v>
      </c>
      <c r="E35" s="36">
        <f t="shared" si="9"/>
        <v>23.184000000000001</v>
      </c>
      <c r="F35" s="45"/>
      <c r="G35" s="25">
        <f>Rates!I264</f>
        <v>0.161</v>
      </c>
      <c r="H35" s="37">
        <f t="shared" si="12"/>
        <v>144</v>
      </c>
      <c r="I35" s="36">
        <f t="shared" si="10"/>
        <v>23.184000000000001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137.42162240000002</v>
      </c>
      <c r="F37" s="45"/>
      <c r="G37" s="35"/>
      <c r="H37" s="39"/>
      <c r="I37" s="39">
        <f>SUM(I28:I35)</f>
        <v>140.04162239999999</v>
      </c>
      <c r="J37" s="45"/>
      <c r="K37" s="36">
        <f t="shared" si="2"/>
        <v>2.6199999999999761</v>
      </c>
      <c r="L37" s="47">
        <f t="shared" si="3"/>
        <v>1.9065413100522205E-2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17.864810912000003</v>
      </c>
      <c r="F38" s="45"/>
      <c r="G38" s="41">
        <f>Rates!I268</f>
        <v>0.13</v>
      </c>
      <c r="H38" s="35"/>
      <c r="I38" s="42">
        <f>I37*G38</f>
        <v>18.205410912000001</v>
      </c>
      <c r="J38" s="45"/>
      <c r="K38" s="36">
        <f t="shared" si="2"/>
        <v>0.34059999999999846</v>
      </c>
      <c r="L38" s="47">
        <f t="shared" si="3"/>
        <v>1.9065413100522292E-2</v>
      </c>
    </row>
    <row r="39" spans="2:12" x14ac:dyDescent="0.2">
      <c r="B39" s="23" t="s">
        <v>59</v>
      </c>
      <c r="C39" s="35"/>
      <c r="D39" s="35"/>
      <c r="E39" s="42">
        <f>E37+E38</f>
        <v>155.28643331200001</v>
      </c>
      <c r="F39" s="45"/>
      <c r="G39" s="35"/>
      <c r="H39" s="35"/>
      <c r="I39" s="42">
        <f>I37+I38</f>
        <v>158.24703331199999</v>
      </c>
      <c r="J39" s="45"/>
      <c r="K39" s="36">
        <f t="shared" si="2"/>
        <v>2.960599999999971</v>
      </c>
      <c r="L39" s="47">
        <f t="shared" si="3"/>
        <v>1.9065413100522195E-2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155.28643331200001</v>
      </c>
      <c r="F41" s="59"/>
      <c r="G41" s="57"/>
      <c r="H41" s="57"/>
      <c r="I41" s="58">
        <f>I39+I40</f>
        <v>158.24703331199999</v>
      </c>
      <c r="J41" s="59"/>
      <c r="K41" s="60">
        <f t="shared" si="2"/>
        <v>2.960599999999971</v>
      </c>
      <c r="L41" s="61">
        <f t="shared" si="3"/>
        <v>1.9065413100522195E-2</v>
      </c>
    </row>
  </sheetData>
  <mergeCells count="5">
    <mergeCell ref="C11:E11"/>
    <mergeCell ref="G11:I11"/>
    <mergeCell ref="K11:L11"/>
    <mergeCell ref="B1:L1"/>
    <mergeCell ref="B11:B12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Rates!B18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Rates!E19</f>
        <v>26.22</v>
      </c>
      <c r="D14" s="37">
        <f>C6</f>
        <v>1</v>
      </c>
      <c r="E14" s="36">
        <f>C14*D14</f>
        <v>26.22</v>
      </c>
      <c r="F14" s="45"/>
      <c r="G14" s="36">
        <f>Rates!I19</f>
        <v>28.13</v>
      </c>
      <c r="H14" s="37">
        <f>D14</f>
        <v>1</v>
      </c>
      <c r="I14" s="36">
        <f>G14*H14</f>
        <v>28.13</v>
      </c>
      <c r="J14" s="45"/>
      <c r="K14" s="36">
        <f>I14-E14</f>
        <v>1.9100000000000001</v>
      </c>
      <c r="L14" s="47">
        <f>IF((E14)=0," ",K14/E14)</f>
        <v>7.2845156369183844E-2</v>
      </c>
    </row>
    <row r="15" spans="2:12" x14ac:dyDescent="0.2">
      <c r="B15" s="44" t="str">
        <f>Rates!B8</f>
        <v>Distribution Volumetric Rate</v>
      </c>
      <c r="C15" s="25">
        <f>Rates!E21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Rates!I21</f>
        <v>2.29E-2</v>
      </c>
      <c r="H15" s="37">
        <f>D15</f>
        <v>2000</v>
      </c>
      <c r="I15" s="36">
        <f t="shared" ref="I15" si="1">G15*H15</f>
        <v>45.8</v>
      </c>
      <c r="J15" s="45"/>
      <c r="K15" s="36">
        <f t="shared" ref="K15:K41" si="2">I15-E15</f>
        <v>-1.2000000000000028</v>
      </c>
      <c r="L15" s="47">
        <f t="shared" ref="L15:L41" si="3">IF((E15)=0," ",K15/E15)</f>
        <v>-2.5531914893617082E-2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0.70999999999999375</v>
      </c>
      <c r="L16" s="55">
        <f t="shared" si="3"/>
        <v>9.6968041518709878E-3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4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4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</f>
        <v>Rate Rider for Deferral/Variance Account Disposition (2015) - effective until December 31, 2016</v>
      </c>
      <c r="C18" s="25">
        <f>Rates!E23</f>
        <v>8.0000000000000004E-4</v>
      </c>
      <c r="D18" s="37">
        <f>C7</f>
        <v>2000</v>
      </c>
      <c r="E18" s="36">
        <f t="shared" si="4"/>
        <v>1.6</v>
      </c>
      <c r="F18" s="45"/>
      <c r="G18" s="25">
        <f>Rates!I23</f>
        <v>8.0000000000000004E-4</v>
      </c>
      <c r="H18" s="37">
        <f t="shared" ref="H18:H24" si="6">D18</f>
        <v>2000</v>
      </c>
      <c r="I18" s="36">
        <f t="shared" si="5"/>
        <v>1.6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Rates!B24</f>
        <v>Rate Rider for Global Adjustment Sub-Account Disposition (2015) - effective until December 31, 2016 Applicable only for Non-RPP Customers</v>
      </c>
      <c r="C19" s="25">
        <f>Rates!E24</f>
        <v>-2.5000000000000001E-3</v>
      </c>
      <c r="D19" s="37"/>
      <c r="E19" s="36">
        <f t="shared" si="4"/>
        <v>0</v>
      </c>
      <c r="F19" s="45"/>
      <c r="G19" s="25">
        <f>Rates!I24</f>
        <v>-2.5000000000000001E-3</v>
      </c>
      <c r="H19" s="37">
        <f t="shared" si="6"/>
        <v>0</v>
      </c>
      <c r="I19" s="36">
        <f t="shared" si="5"/>
        <v>0</v>
      </c>
      <c r="J19" s="45"/>
      <c r="K19" s="36">
        <f t="shared" si="2"/>
        <v>0</v>
      </c>
      <c r="L19" s="47" t="str">
        <f t="shared" si="3"/>
        <v xml:space="preserve"> </v>
      </c>
    </row>
    <row r="20" spans="2:12" x14ac:dyDescent="0.2">
      <c r="B20" s="48" t="str">
        <f>Rates!B25</f>
        <v>Rate Rider for Deferral/Variance Account Disposition (2016) - effective until December 31, 2017</v>
      </c>
      <c r="C20" s="25">
        <f>Rates!E25</f>
        <v>0</v>
      </c>
      <c r="D20" s="37">
        <f>C7</f>
        <v>2000</v>
      </c>
      <c r="E20" s="36">
        <f t="shared" si="4"/>
        <v>0</v>
      </c>
      <c r="F20" s="45"/>
      <c r="G20" s="25">
        <f>Rates!I25</f>
        <v>-6.9999999999999999E-4</v>
      </c>
      <c r="H20" s="37">
        <f t="shared" si="6"/>
        <v>2000</v>
      </c>
      <c r="I20" s="36">
        <f t="shared" si="5"/>
        <v>-1.4</v>
      </c>
      <c r="J20" s="45"/>
      <c r="K20" s="36">
        <f t="shared" ref="K20:K21" si="7">I20-E20</f>
        <v>-1.4</v>
      </c>
      <c r="L20" s="47" t="str">
        <f t="shared" ref="L20:L21" si="8">IF((E20)=0," ",K20/E20)</f>
        <v xml:space="preserve"> </v>
      </c>
    </row>
    <row r="21" spans="2:12" ht="25.5" x14ac:dyDescent="0.2">
      <c r="B21" s="48" t="str">
        <f>Rates!B26</f>
        <v>Rate Rider for Global Adjustment Sub-Account Disposition (2016) - effective until December 31, 2017 Applicable only for Non-RPP Customers</v>
      </c>
      <c r="C21" s="25">
        <f>Rates!E26</f>
        <v>0</v>
      </c>
      <c r="D21" s="37"/>
      <c r="E21" s="36">
        <f t="shared" si="4"/>
        <v>0</v>
      </c>
      <c r="F21" s="45"/>
      <c r="G21" s="25">
        <f>Rates!I26</f>
        <v>4.3E-3</v>
      </c>
      <c r="H21" s="37">
        <f t="shared" si="6"/>
        <v>0</v>
      </c>
      <c r="I21" s="36">
        <f t="shared" si="5"/>
        <v>0</v>
      </c>
      <c r="J21" s="45"/>
      <c r="K21" s="36">
        <f t="shared" si="7"/>
        <v>0</v>
      </c>
      <c r="L21" s="47" t="str">
        <f t="shared" si="8"/>
        <v xml:space="preserve"> </v>
      </c>
    </row>
    <row r="22" spans="2:12" x14ac:dyDescent="0.2">
      <c r="B22" s="48" t="str">
        <f>Rates!B27</f>
        <v>Rate Rider for Loss Revenue Adjustment Mechanism (LRAM) - effective until December 31, 2015</v>
      </c>
      <c r="C22" s="25">
        <f>Rates!E27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Rates!I27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2"/>
        <v>-0.8</v>
      </c>
      <c r="L22" s="47">
        <f t="shared" si="3"/>
        <v>-1</v>
      </c>
    </row>
    <row r="23" spans="2:12" x14ac:dyDescent="0.2">
      <c r="B23" s="44" t="str">
        <f>Rates!B9</f>
        <v>Low Voltage Service Rate</v>
      </c>
      <c r="C23" s="25">
        <f>Rates!E22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Rates!I22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87.881976000000009</v>
      </c>
      <c r="F25" s="53"/>
      <c r="G25" s="50"/>
      <c r="H25" s="51"/>
      <c r="I25" s="52">
        <f>SUM(I16:I24)</f>
        <v>86.391976</v>
      </c>
      <c r="J25" s="53"/>
      <c r="K25" s="54">
        <f t="shared" si="2"/>
        <v>-1.4900000000000091</v>
      </c>
      <c r="L25" s="55">
        <f t="shared" si="3"/>
        <v>-1.6954557325839021E-2</v>
      </c>
    </row>
    <row r="26" spans="2:12" x14ac:dyDescent="0.2">
      <c r="B26" s="44" t="str">
        <f>Rates!B15</f>
        <v>Retail Transmission Rate - Network Service Rate</v>
      </c>
      <c r="C26" s="25">
        <f>Rates!E28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Rates!I28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Rates!E29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Rates!I29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111.28521600000001</v>
      </c>
      <c r="F28" s="53"/>
      <c r="G28" s="50"/>
      <c r="H28" s="52"/>
      <c r="I28" s="52">
        <f>SUM(I25:I27)</f>
        <v>109.79521600000001</v>
      </c>
      <c r="J28" s="53"/>
      <c r="K28" s="54">
        <f t="shared" si="2"/>
        <v>-1.4899999999999949</v>
      </c>
      <c r="L28" s="55">
        <f t="shared" si="3"/>
        <v>-1.3389020155201881E-2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5" si="9">C29*D29</f>
        <v>9.2769600000000008</v>
      </c>
      <c r="F29" s="45"/>
      <c r="G29" s="25">
        <f>Rates!I244</f>
        <v>4.4000000000000003E-3</v>
      </c>
      <c r="H29" s="37">
        <f>D29</f>
        <v>2108.4</v>
      </c>
      <c r="I29" s="36">
        <f t="shared" ref="I29:I35" si="10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9"/>
        <v>2.74092</v>
      </c>
      <c r="F30" s="45"/>
      <c r="G30" s="25">
        <f>Rates!I245</f>
        <v>1.2999999999999999E-3</v>
      </c>
      <c r="H30" s="37">
        <f t="shared" ref="H30:H31" si="11">D30</f>
        <v>2108.4</v>
      </c>
      <c r="I30" s="36">
        <f t="shared" si="10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9"/>
        <v>0.25</v>
      </c>
      <c r="F31" s="45"/>
      <c r="G31" s="36">
        <f>Rates!I246</f>
        <v>0.25</v>
      </c>
      <c r="H31" s="37">
        <f t="shared" si="11"/>
        <v>1</v>
      </c>
      <c r="I31" s="36">
        <f t="shared" si="10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Rates!E250</f>
        <v>0</v>
      </c>
      <c r="D32" s="37">
        <f>C7</f>
        <v>2000</v>
      </c>
      <c r="E32" s="36">
        <f t="shared" si="9"/>
        <v>0</v>
      </c>
      <c r="F32" s="45"/>
      <c r="G32" s="25">
        <f>Rates!I250</f>
        <v>0</v>
      </c>
      <c r="H32" s="37">
        <f>D32</f>
        <v>2000</v>
      </c>
      <c r="I32" s="36">
        <f t="shared" si="10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1280</v>
      </c>
      <c r="E33" s="36">
        <f t="shared" si="9"/>
        <v>102.4</v>
      </c>
      <c r="F33" s="45"/>
      <c r="G33" s="25">
        <f>Rates!I262</f>
        <v>0.08</v>
      </c>
      <c r="H33" s="37">
        <f>D33</f>
        <v>1280</v>
      </c>
      <c r="I33" s="36">
        <f t="shared" si="10"/>
        <v>102.4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360</v>
      </c>
      <c r="E34" s="36">
        <f t="shared" si="9"/>
        <v>43.92</v>
      </c>
      <c r="F34" s="45"/>
      <c r="G34" s="25">
        <f>Rates!I263</f>
        <v>0.122</v>
      </c>
      <c r="H34" s="37">
        <f t="shared" ref="H34:H35" si="12">D34</f>
        <v>360</v>
      </c>
      <c r="I34" s="36">
        <f t="shared" si="10"/>
        <v>43.92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360</v>
      </c>
      <c r="E35" s="36">
        <f t="shared" si="9"/>
        <v>57.96</v>
      </c>
      <c r="F35" s="45"/>
      <c r="G35" s="25">
        <f>Rates!I264</f>
        <v>0.161</v>
      </c>
      <c r="H35" s="37">
        <f t="shared" si="12"/>
        <v>360</v>
      </c>
      <c r="I35" s="36">
        <f t="shared" si="10"/>
        <v>57.96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327.83309600000001</v>
      </c>
      <c r="F37" s="45"/>
      <c r="G37" s="35"/>
      <c r="H37" s="39"/>
      <c r="I37" s="39">
        <f>SUM(I28:I35)</f>
        <v>326.343096</v>
      </c>
      <c r="J37" s="45"/>
      <c r="K37" s="36">
        <f t="shared" si="2"/>
        <v>-1.4900000000000091</v>
      </c>
      <c r="L37" s="47">
        <f t="shared" si="3"/>
        <v>-4.5449956645012106E-3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42.618302480000004</v>
      </c>
      <c r="F38" s="45"/>
      <c r="G38" s="41">
        <f>Rates!I268</f>
        <v>0.13</v>
      </c>
      <c r="H38" s="35"/>
      <c r="I38" s="42">
        <f>I37*G38</f>
        <v>42.424602480000004</v>
      </c>
      <c r="J38" s="45"/>
      <c r="K38" s="36">
        <f t="shared" si="2"/>
        <v>-0.19369999999999976</v>
      </c>
      <c r="L38" s="47">
        <f t="shared" si="3"/>
        <v>-4.5449956645011768E-3</v>
      </c>
    </row>
    <row r="39" spans="2:12" x14ac:dyDescent="0.2">
      <c r="B39" s="23" t="s">
        <v>59</v>
      </c>
      <c r="C39" s="35"/>
      <c r="D39" s="35"/>
      <c r="E39" s="42">
        <f>E37+E38</f>
        <v>370.45139848000002</v>
      </c>
      <c r="F39" s="45"/>
      <c r="G39" s="35"/>
      <c r="H39" s="35"/>
      <c r="I39" s="42">
        <f>I37+I38</f>
        <v>368.76769848000004</v>
      </c>
      <c r="J39" s="45"/>
      <c r="K39" s="36">
        <f t="shared" si="2"/>
        <v>-1.6836999999999875</v>
      </c>
      <c r="L39" s="47">
        <f t="shared" si="3"/>
        <v>-4.544995664501149E-3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370.45139848000002</v>
      </c>
      <c r="F41" s="59"/>
      <c r="G41" s="57"/>
      <c r="H41" s="57"/>
      <c r="I41" s="58">
        <f>I39+I40</f>
        <v>368.76769848000004</v>
      </c>
      <c r="J41" s="59"/>
      <c r="K41" s="60">
        <f t="shared" si="2"/>
        <v>-1.6836999999999875</v>
      </c>
      <c r="L41" s="61">
        <f t="shared" si="3"/>
        <v>-4.544995664501149E-3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1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Rates!B18</f>
        <v>General Service Less Than 50kW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2000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Rates!E19</f>
        <v>26.22</v>
      </c>
      <c r="D14" s="37">
        <f>C6</f>
        <v>1</v>
      </c>
      <c r="E14" s="36">
        <f>C14*D14</f>
        <v>26.22</v>
      </c>
      <c r="F14" s="45"/>
      <c r="G14" s="36">
        <f>Rates!I19</f>
        <v>28.13</v>
      </c>
      <c r="H14" s="37">
        <f>D14</f>
        <v>1</v>
      </c>
      <c r="I14" s="36">
        <f>G14*H14</f>
        <v>28.13</v>
      </c>
      <c r="J14" s="45"/>
      <c r="K14" s="36">
        <f>I14-E14</f>
        <v>1.9100000000000001</v>
      </c>
      <c r="L14" s="47">
        <f>IF((E14)=0," ",K14/E14)</f>
        <v>7.2845156369183844E-2</v>
      </c>
    </row>
    <row r="15" spans="2:12" x14ac:dyDescent="0.2">
      <c r="B15" s="44" t="str">
        <f>Rates!B8</f>
        <v>Distribution Volumetric Rate</v>
      </c>
      <c r="C15" s="25">
        <f>Rates!E21</f>
        <v>2.35E-2</v>
      </c>
      <c r="D15" s="38">
        <f>C7</f>
        <v>2000</v>
      </c>
      <c r="E15" s="36">
        <f t="shared" ref="E15" si="0">C15*D15</f>
        <v>47</v>
      </c>
      <c r="F15" s="45"/>
      <c r="G15" s="25">
        <f>Rates!I21</f>
        <v>2.29E-2</v>
      </c>
      <c r="H15" s="37">
        <f>D15</f>
        <v>2000</v>
      </c>
      <c r="I15" s="36">
        <f t="shared" ref="I15" si="1">G15*H15</f>
        <v>45.8</v>
      </c>
      <c r="J15" s="45"/>
      <c r="K15" s="36">
        <f t="shared" ref="K15:K41" si="2">I15-E15</f>
        <v>-1.2000000000000028</v>
      </c>
      <c r="L15" s="47">
        <f t="shared" ref="L15:L41" si="3">IF((E15)=0," ",K15/E15)</f>
        <v>-2.5531914893617082E-2</v>
      </c>
    </row>
    <row r="16" spans="2:12" x14ac:dyDescent="0.2">
      <c r="B16" s="49" t="s">
        <v>36</v>
      </c>
      <c r="C16" s="50"/>
      <c r="D16" s="51"/>
      <c r="E16" s="52">
        <f>SUM(E14:E15)</f>
        <v>73.22</v>
      </c>
      <c r="F16" s="53"/>
      <c r="G16" s="50"/>
      <c r="H16" s="51"/>
      <c r="I16" s="52">
        <f>SUM(I14:I15)</f>
        <v>73.929999999999993</v>
      </c>
      <c r="J16" s="53"/>
      <c r="K16" s="54">
        <f t="shared" si="2"/>
        <v>0.70999999999999375</v>
      </c>
      <c r="L16" s="55">
        <f t="shared" si="3"/>
        <v>9.6968041518709878E-3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108.40000000000005</v>
      </c>
      <c r="E17" s="36">
        <f t="shared" ref="E17:E24" si="4">C17*D17</f>
        <v>11.071976000000006</v>
      </c>
      <c r="F17" s="45"/>
      <c r="G17" s="25">
        <f>Rates!I266</f>
        <v>0.10214000000000001</v>
      </c>
      <c r="H17" s="40">
        <f>(C5-1)*C7</f>
        <v>108.40000000000005</v>
      </c>
      <c r="I17" s="36">
        <f t="shared" ref="I17:I24" si="5">G17*H17</f>
        <v>11.071976000000006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Rates!B23</f>
        <v>Rate Rider for Deferral/Variance Account Disposition (2015) - effective until December 31, 2016</v>
      </c>
      <c r="C18" s="25">
        <f>Rates!E23</f>
        <v>8.0000000000000004E-4</v>
      </c>
      <c r="D18" s="37">
        <f>C7</f>
        <v>2000</v>
      </c>
      <c r="E18" s="36">
        <f t="shared" si="4"/>
        <v>1.6</v>
      </c>
      <c r="F18" s="45"/>
      <c r="G18" s="25">
        <f>Rates!I23</f>
        <v>8.0000000000000004E-4</v>
      </c>
      <c r="H18" s="37">
        <f t="shared" ref="H18:H24" si="6">D18</f>
        <v>2000</v>
      </c>
      <c r="I18" s="36">
        <f t="shared" si="5"/>
        <v>1.6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Rates!B24</f>
        <v>Rate Rider for Global Adjustment Sub-Account Disposition (2015) - effective until December 31, 2016 Applicable only for Non-RPP Customers</v>
      </c>
      <c r="C19" s="25">
        <f>Rates!E24</f>
        <v>-2.5000000000000001E-3</v>
      </c>
      <c r="D19" s="37">
        <f>C7</f>
        <v>2000</v>
      </c>
      <c r="E19" s="36">
        <f t="shared" si="4"/>
        <v>-5</v>
      </c>
      <c r="F19" s="45"/>
      <c r="G19" s="25">
        <f>Rates!I24</f>
        <v>-2.5000000000000001E-3</v>
      </c>
      <c r="H19" s="37">
        <f t="shared" si="6"/>
        <v>2000</v>
      </c>
      <c r="I19" s="36">
        <f t="shared" si="5"/>
        <v>-5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Rates!B25</f>
        <v>Rate Rider for Deferral/Variance Account Disposition (2016) - effective until December 31, 2017</v>
      </c>
      <c r="C20" s="25">
        <f>Rates!E25</f>
        <v>0</v>
      </c>
      <c r="D20" s="37">
        <f>C7</f>
        <v>2000</v>
      </c>
      <c r="E20" s="36">
        <f t="shared" si="4"/>
        <v>0</v>
      </c>
      <c r="F20" s="45"/>
      <c r="G20" s="25">
        <f>Rates!I25</f>
        <v>-6.9999999999999999E-4</v>
      </c>
      <c r="H20" s="37">
        <f t="shared" si="6"/>
        <v>2000</v>
      </c>
      <c r="I20" s="36">
        <f t="shared" si="5"/>
        <v>-1.4</v>
      </c>
      <c r="J20" s="45"/>
      <c r="K20" s="36">
        <f t="shared" ref="K20:K21" si="9">I20-E20</f>
        <v>-1.4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Rates!B26</f>
        <v>Rate Rider for Global Adjustment Sub-Account Disposition (2016) - effective until December 31, 2017 Applicable only for Non-RPP Customers</v>
      </c>
      <c r="C21" s="25">
        <f>Rates!E26</f>
        <v>0</v>
      </c>
      <c r="D21" s="37">
        <f>C7</f>
        <v>2000</v>
      </c>
      <c r="E21" s="36">
        <f t="shared" si="4"/>
        <v>0</v>
      </c>
      <c r="F21" s="45"/>
      <c r="G21" s="25">
        <f>Rates!I26</f>
        <v>4.3E-3</v>
      </c>
      <c r="H21" s="37">
        <f t="shared" si="6"/>
        <v>2000</v>
      </c>
      <c r="I21" s="36">
        <f t="shared" si="5"/>
        <v>8.6</v>
      </c>
      <c r="J21" s="45"/>
      <c r="K21" s="36">
        <f t="shared" si="9"/>
        <v>8.6</v>
      </c>
      <c r="L21" s="47" t="str">
        <f t="shared" si="10"/>
        <v xml:space="preserve"> </v>
      </c>
    </row>
    <row r="22" spans="2:12" x14ac:dyDescent="0.2">
      <c r="B22" s="48" t="str">
        <f>Rates!B27</f>
        <v>Rate Rider for Loss Revenue Adjustment Mechanism (LRAM) - effective until December 31, 2015</v>
      </c>
      <c r="C22" s="25">
        <f>Rates!E27</f>
        <v>4.0000000000000002E-4</v>
      </c>
      <c r="D22" s="37">
        <f>C7</f>
        <v>2000</v>
      </c>
      <c r="E22" s="36">
        <f t="shared" si="4"/>
        <v>0.8</v>
      </c>
      <c r="F22" s="45"/>
      <c r="G22" s="25">
        <f>Rates!I27</f>
        <v>0</v>
      </c>
      <c r="H22" s="37">
        <f t="shared" si="6"/>
        <v>2000</v>
      </c>
      <c r="I22" s="36">
        <f t="shared" si="5"/>
        <v>0</v>
      </c>
      <c r="J22" s="45"/>
      <c r="K22" s="36">
        <f t="shared" si="7"/>
        <v>-0.8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Rates!E22</f>
        <v>2.0000000000000001E-4</v>
      </c>
      <c r="D23" s="37">
        <f>C7</f>
        <v>2000</v>
      </c>
      <c r="E23" s="36">
        <f t="shared" si="4"/>
        <v>0.4</v>
      </c>
      <c r="F23" s="45"/>
      <c r="G23" s="25">
        <f>Rates!I22</f>
        <v>2.0000000000000001E-4</v>
      </c>
      <c r="H23" s="37">
        <f t="shared" si="6"/>
        <v>2000</v>
      </c>
      <c r="I23" s="36">
        <f t="shared" si="5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Rates!B247</f>
        <v>Smart Meter Entity Charge</v>
      </c>
      <c r="C24" s="36">
        <f>Rates!E247</f>
        <v>0.79</v>
      </c>
      <c r="D24" s="37">
        <f>C6</f>
        <v>1</v>
      </c>
      <c r="E24" s="36">
        <f t="shared" si="4"/>
        <v>0.79</v>
      </c>
      <c r="F24" s="45"/>
      <c r="G24" s="36">
        <f>Rates!I247</f>
        <v>0.79</v>
      </c>
      <c r="H24" s="37">
        <f t="shared" si="6"/>
        <v>1</v>
      </c>
      <c r="I24" s="36">
        <f t="shared" si="5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56</v>
      </c>
      <c r="C25" s="50"/>
      <c r="D25" s="51"/>
      <c r="E25" s="52">
        <f>SUM(E16:E24)</f>
        <v>82.881976000000009</v>
      </c>
      <c r="F25" s="53"/>
      <c r="G25" s="50"/>
      <c r="H25" s="51"/>
      <c r="I25" s="52">
        <f>SUM(I16:I24)</f>
        <v>89.991975999999994</v>
      </c>
      <c r="J25" s="53"/>
      <c r="K25" s="54">
        <f t="shared" si="2"/>
        <v>7.1099999999999852</v>
      </c>
      <c r="L25" s="55">
        <f t="shared" si="3"/>
        <v>8.5784634285263478E-2</v>
      </c>
    </row>
    <row r="26" spans="2:12" x14ac:dyDescent="0.2">
      <c r="B26" s="44" t="str">
        <f>Rates!B15</f>
        <v>Retail Transmission Rate - Network Service Rate</v>
      </c>
      <c r="C26" s="25">
        <f>Rates!E28</f>
        <v>6.1999999999999998E-3</v>
      </c>
      <c r="D26" s="37">
        <f>C7*C5</f>
        <v>2108.4</v>
      </c>
      <c r="E26" s="36">
        <f>C26*D26</f>
        <v>13.07208</v>
      </c>
      <c r="F26" s="45"/>
      <c r="G26" s="25">
        <f>Rates!I28</f>
        <v>6.1000000000000004E-3</v>
      </c>
      <c r="H26" s="37">
        <f>D26</f>
        <v>2108.4</v>
      </c>
      <c r="I26" s="36">
        <f>G26*H26</f>
        <v>12.861240000000002</v>
      </c>
      <c r="J26" s="45"/>
      <c r="K26" s="36">
        <f t="shared" si="2"/>
        <v>-0.21083999999999747</v>
      </c>
      <c r="L26" s="47">
        <f t="shared" si="3"/>
        <v>-1.6129032258064325E-2</v>
      </c>
    </row>
    <row r="27" spans="2:12" x14ac:dyDescent="0.2">
      <c r="B27" s="44" t="str">
        <f>Rates!B16</f>
        <v>Retail Transmission Rate - Line and Transformation Connection Service Rate</v>
      </c>
      <c r="C27" s="25">
        <f>Rates!E29</f>
        <v>4.8999999999999998E-3</v>
      </c>
      <c r="D27" s="37">
        <f>C7*C5</f>
        <v>2108.4</v>
      </c>
      <c r="E27" s="36">
        <f>C27*D27</f>
        <v>10.331160000000001</v>
      </c>
      <c r="F27" s="45"/>
      <c r="G27" s="25">
        <f>Rates!I29</f>
        <v>5.0000000000000001E-3</v>
      </c>
      <c r="H27" s="37">
        <f>D27</f>
        <v>2108.4</v>
      </c>
      <c r="I27" s="36">
        <f>G27*H27</f>
        <v>10.542</v>
      </c>
      <c r="J27" s="45"/>
      <c r="K27" s="36">
        <f t="shared" si="2"/>
        <v>0.21083999999999925</v>
      </c>
      <c r="L27" s="47">
        <f t="shared" si="3"/>
        <v>2.0408163265306048E-2</v>
      </c>
    </row>
    <row r="28" spans="2:12" x14ac:dyDescent="0.2">
      <c r="B28" s="49" t="s">
        <v>57</v>
      </c>
      <c r="C28" s="50"/>
      <c r="D28" s="51"/>
      <c r="E28" s="52">
        <f>SUM(E25:E27)</f>
        <v>106.28521600000001</v>
      </c>
      <c r="F28" s="53"/>
      <c r="G28" s="50"/>
      <c r="H28" s="52"/>
      <c r="I28" s="52">
        <f>SUM(I25:I27)</f>
        <v>113.395216</v>
      </c>
      <c r="J28" s="53"/>
      <c r="K28" s="54">
        <f t="shared" si="2"/>
        <v>7.1099999999999994</v>
      </c>
      <c r="L28" s="55">
        <f t="shared" si="3"/>
        <v>6.6895474907817845E-2</v>
      </c>
    </row>
    <row r="29" spans="2:12" x14ac:dyDescent="0.2">
      <c r="B29" s="44" t="str">
        <f>Rates!B244</f>
        <v>Wholesale Market Service Rate</v>
      </c>
      <c r="C29" s="25">
        <f>Rates!E244</f>
        <v>4.4000000000000003E-3</v>
      </c>
      <c r="D29" s="37">
        <f>C5*C7</f>
        <v>2108.4</v>
      </c>
      <c r="E29" s="36">
        <f t="shared" ref="E29:E35" si="11">C29*D29</f>
        <v>9.2769600000000008</v>
      </c>
      <c r="F29" s="45"/>
      <c r="G29" s="25">
        <f>Rates!I244</f>
        <v>4.4000000000000003E-3</v>
      </c>
      <c r="H29" s="37">
        <f>D29</f>
        <v>2108.4</v>
      </c>
      <c r="I29" s="36">
        <f t="shared" ref="I29:I35" si="12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Rates!B245</f>
        <v>Rural Rate Protection Charge</v>
      </c>
      <c r="C30" s="25">
        <f>Rates!E245</f>
        <v>1.2999999999999999E-3</v>
      </c>
      <c r="D30" s="37">
        <f>C5*C7</f>
        <v>2108.4</v>
      </c>
      <c r="E30" s="36">
        <f t="shared" si="11"/>
        <v>2.74092</v>
      </c>
      <c r="F30" s="45"/>
      <c r="G30" s="25">
        <f>Rates!I245</f>
        <v>1.2999999999999999E-3</v>
      </c>
      <c r="H30" s="37">
        <f t="shared" ref="H30:H31" si="13">D30</f>
        <v>2108.4</v>
      </c>
      <c r="I30" s="36">
        <f t="shared" si="12"/>
        <v>2.74092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Rates!B246</f>
        <v>Standard Supply Service - Administrative Charge (if applicable)</v>
      </c>
      <c r="C31" s="36">
        <f>Rates!E246</f>
        <v>0.25</v>
      </c>
      <c r="D31" s="37">
        <v>1</v>
      </c>
      <c r="E31" s="36">
        <f t="shared" si="11"/>
        <v>0.25</v>
      </c>
      <c r="F31" s="45"/>
      <c r="G31" s="36">
        <f>Rates!I246</f>
        <v>0.25</v>
      </c>
      <c r="H31" s="37">
        <f t="shared" si="13"/>
        <v>1</v>
      </c>
      <c r="I31" s="36">
        <f t="shared" si="12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Rates!B249</f>
        <v>Debt Retirement Charge</v>
      </c>
      <c r="C32" s="25">
        <f>Rates!E250</f>
        <v>0</v>
      </c>
      <c r="D32" s="37">
        <f>C7</f>
        <v>2000</v>
      </c>
      <c r="E32" s="36">
        <f t="shared" si="11"/>
        <v>0</v>
      </c>
      <c r="F32" s="45"/>
      <c r="G32" s="25">
        <f>Rates!I250</f>
        <v>0</v>
      </c>
      <c r="H32" s="37">
        <f>D32</f>
        <v>2000</v>
      </c>
      <c r="I32" s="36">
        <f t="shared" si="12"/>
        <v>0</v>
      </c>
      <c r="J32" s="45"/>
      <c r="K32" s="36">
        <f t="shared" si="2"/>
        <v>0</v>
      </c>
      <c r="L32" s="47" t="str">
        <f t="shared" si="3"/>
        <v xml:space="preserve"> </v>
      </c>
    </row>
    <row r="33" spans="2:12" x14ac:dyDescent="0.2">
      <c r="B33" s="44" t="str">
        <f>Rates!B262</f>
        <v>TOU - Off Peak</v>
      </c>
      <c r="C33" s="25">
        <f>Rates!E262</f>
        <v>0.08</v>
      </c>
      <c r="D33" s="37">
        <f>C7*0.64</f>
        <v>1280</v>
      </c>
      <c r="E33" s="36">
        <f t="shared" si="11"/>
        <v>102.4</v>
      </c>
      <c r="F33" s="45"/>
      <c r="G33" s="25">
        <f>Rates!I262</f>
        <v>0.08</v>
      </c>
      <c r="H33" s="37">
        <f>D33</f>
        <v>1280</v>
      </c>
      <c r="I33" s="36">
        <f t="shared" si="12"/>
        <v>102.4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Rates!B263</f>
        <v>TOU - Mid Peak</v>
      </c>
      <c r="C34" s="25">
        <f>Rates!E263</f>
        <v>0.122</v>
      </c>
      <c r="D34" s="37">
        <f>C7*0.18</f>
        <v>360</v>
      </c>
      <c r="E34" s="36">
        <f t="shared" si="11"/>
        <v>43.92</v>
      </c>
      <c r="F34" s="45"/>
      <c r="G34" s="25">
        <f>Rates!I263</f>
        <v>0.122</v>
      </c>
      <c r="H34" s="37">
        <f t="shared" ref="H34:H35" si="14">D34</f>
        <v>360</v>
      </c>
      <c r="I34" s="36">
        <f t="shared" si="12"/>
        <v>43.92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Rates!B264</f>
        <v>TOU - On Peak</v>
      </c>
      <c r="C35" s="25">
        <f>Rates!E264</f>
        <v>0.161</v>
      </c>
      <c r="D35" s="37">
        <f>C7*0.18</f>
        <v>360</v>
      </c>
      <c r="E35" s="36">
        <f t="shared" si="11"/>
        <v>57.96</v>
      </c>
      <c r="F35" s="45"/>
      <c r="G35" s="25">
        <f>Rates!I264</f>
        <v>0.161</v>
      </c>
      <c r="H35" s="37">
        <f t="shared" si="14"/>
        <v>360</v>
      </c>
      <c r="I35" s="36">
        <f t="shared" si="12"/>
        <v>57.96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58</v>
      </c>
      <c r="C37" s="35"/>
      <c r="D37" s="35"/>
      <c r="E37" s="39">
        <f>SUM(E28:E35)</f>
        <v>322.83309600000001</v>
      </c>
      <c r="F37" s="45"/>
      <c r="G37" s="35"/>
      <c r="H37" s="39"/>
      <c r="I37" s="39">
        <f>SUM(I28:I35)</f>
        <v>329.94309600000003</v>
      </c>
      <c r="J37" s="45"/>
      <c r="K37" s="36">
        <f t="shared" si="2"/>
        <v>7.1100000000000136</v>
      </c>
      <c r="L37" s="47">
        <f t="shared" si="3"/>
        <v>2.2023764254951152E-2</v>
      </c>
    </row>
    <row r="38" spans="2:12" x14ac:dyDescent="0.2">
      <c r="B38" s="44" t="str">
        <f>Rates!B268</f>
        <v>HST</v>
      </c>
      <c r="C38" s="41">
        <f>Rates!E268</f>
        <v>0.13</v>
      </c>
      <c r="D38" s="35"/>
      <c r="E38" s="42">
        <f>E37*C38</f>
        <v>41.968302480000006</v>
      </c>
      <c r="F38" s="45"/>
      <c r="G38" s="41">
        <f>Rates!I268</f>
        <v>0.13</v>
      </c>
      <c r="H38" s="35"/>
      <c r="I38" s="42">
        <f>I37*G38</f>
        <v>42.892602480000008</v>
      </c>
      <c r="J38" s="45"/>
      <c r="K38" s="36">
        <f t="shared" si="2"/>
        <v>0.92430000000000234</v>
      </c>
      <c r="L38" s="47">
        <f t="shared" si="3"/>
        <v>2.2023764254951162E-2</v>
      </c>
    </row>
    <row r="39" spans="2:12" x14ac:dyDescent="0.2">
      <c r="B39" s="23" t="s">
        <v>59</v>
      </c>
      <c r="C39" s="35"/>
      <c r="D39" s="35"/>
      <c r="E39" s="42">
        <f>E37+E38</f>
        <v>364.80139847999999</v>
      </c>
      <c r="F39" s="45"/>
      <c r="G39" s="35"/>
      <c r="H39" s="35"/>
      <c r="I39" s="42">
        <f>I37+I38</f>
        <v>372.83569848000002</v>
      </c>
      <c r="J39" s="45"/>
      <c r="K39" s="36">
        <f t="shared" si="2"/>
        <v>8.0343000000000302</v>
      </c>
      <c r="L39" s="47">
        <f t="shared" si="3"/>
        <v>2.2023764254951193E-2</v>
      </c>
    </row>
    <row r="40" spans="2:12" x14ac:dyDescent="0.2">
      <c r="B40" s="44" t="str">
        <f>Rates!B270</f>
        <v>OCEB</v>
      </c>
      <c r="C40" s="41">
        <f>Rates!E270</f>
        <v>0</v>
      </c>
      <c r="D40" s="35"/>
      <c r="E40" s="42">
        <f>E39*C40</f>
        <v>0</v>
      </c>
      <c r="F40" s="45"/>
      <c r="G40" s="41">
        <f>Rates!I270</f>
        <v>0</v>
      </c>
      <c r="H40" s="35"/>
      <c r="I40" s="42">
        <f>I39*G40</f>
        <v>0</v>
      </c>
      <c r="J40" s="45"/>
      <c r="K40" s="36">
        <f t="shared" si="2"/>
        <v>0</v>
      </c>
      <c r="L40" s="47" t="str">
        <f t="shared" si="3"/>
        <v xml:space="preserve"> </v>
      </c>
    </row>
    <row r="41" spans="2:12" ht="13.5" thickBot="1" x14ac:dyDescent="0.25">
      <c r="B41" s="30" t="s">
        <v>60</v>
      </c>
      <c r="C41" s="57"/>
      <c r="D41" s="57"/>
      <c r="E41" s="58">
        <f>E39+E40</f>
        <v>364.80139847999999</v>
      </c>
      <c r="F41" s="59"/>
      <c r="G41" s="57"/>
      <c r="H41" s="57"/>
      <c r="I41" s="58">
        <f>I39+I40</f>
        <v>372.83569848000002</v>
      </c>
      <c r="J41" s="59"/>
      <c r="K41" s="60">
        <f t="shared" si="2"/>
        <v>8.0343000000000302</v>
      </c>
      <c r="L41" s="61">
        <f t="shared" si="3"/>
        <v>2.2023764254951193E-2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topLeftCell="B1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Rates!B31</f>
        <v>General Service 50kW to 4,999kW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68620</v>
      </c>
    </row>
    <row r="8" spans="2:12" x14ac:dyDescent="0.2">
      <c r="B8" s="28" t="s">
        <v>63</v>
      </c>
      <c r="C8" s="29">
        <v>200</v>
      </c>
    </row>
    <row r="9" spans="2:12" ht="13.5" thickBot="1" x14ac:dyDescent="0.25">
      <c r="B9" s="30" t="s">
        <v>64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Rates!E32</f>
        <v>149.36000000000001</v>
      </c>
      <c r="D14" s="37">
        <f>C6</f>
        <v>1</v>
      </c>
      <c r="E14" s="36">
        <f>C14*D14</f>
        <v>149.36000000000001</v>
      </c>
      <c r="F14" s="45"/>
      <c r="G14" s="36">
        <f>Rates!I32</f>
        <v>151.08000000000001</v>
      </c>
      <c r="H14" s="37">
        <f>D14</f>
        <v>1</v>
      </c>
      <c r="I14" s="36">
        <f>G14*H14</f>
        <v>151.08000000000001</v>
      </c>
      <c r="J14" s="45"/>
      <c r="K14" s="36">
        <f>I14-E14</f>
        <v>1.7199999999999989</v>
      </c>
      <c r="L14" s="47">
        <f>IF((E14)=0," ",K14/E14)</f>
        <v>1.1515800749866087E-2</v>
      </c>
    </row>
    <row r="15" spans="2:12" x14ac:dyDescent="0.2">
      <c r="B15" s="44" t="str">
        <f>Rates!B8</f>
        <v>Distribution Volumetric Rate</v>
      </c>
      <c r="C15" s="25">
        <f>Rates!E33</f>
        <v>6.5800999999999998</v>
      </c>
      <c r="D15" s="38">
        <f>C8</f>
        <v>200</v>
      </c>
      <c r="E15" s="36">
        <f t="shared" ref="E15" si="0">C15*D15</f>
        <v>1316.02</v>
      </c>
      <c r="F15" s="45"/>
      <c r="G15" s="25">
        <f>Rates!I33</f>
        <v>6.6558000000000002</v>
      </c>
      <c r="H15" s="38">
        <f>D15</f>
        <v>200</v>
      </c>
      <c r="I15" s="36">
        <f t="shared" ref="I15" si="1">G15*H15</f>
        <v>1331.16</v>
      </c>
      <c r="J15" s="45"/>
      <c r="K15" s="36">
        <f t="shared" ref="K15:K38" si="2">I15-E15</f>
        <v>15.1400000000001</v>
      </c>
      <c r="L15" s="47">
        <f t="shared" ref="L15:L38" si="3">IF((E15)=0," ",K15/E15)</f>
        <v>1.1504384431847616E-2</v>
      </c>
    </row>
    <row r="16" spans="2:12" x14ac:dyDescent="0.2">
      <c r="B16" s="49" t="s">
        <v>36</v>
      </c>
      <c r="C16" s="50"/>
      <c r="D16" s="51"/>
      <c r="E16" s="52">
        <f>SUM(E14:E15)</f>
        <v>1465.38</v>
      </c>
      <c r="F16" s="53"/>
      <c r="G16" s="50"/>
      <c r="H16" s="51"/>
      <c r="I16" s="52">
        <f>SUM(I14:I15)</f>
        <v>1482.24</v>
      </c>
      <c r="J16" s="53"/>
      <c r="K16" s="54">
        <f t="shared" si="2"/>
        <v>16.8599999999999</v>
      </c>
      <c r="L16" s="55">
        <f t="shared" si="3"/>
        <v>1.1505548048970164E-2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3719.204000000002</v>
      </c>
      <c r="E17" s="36">
        <f t="shared" ref="E17:E23" si="4">C17*D17</f>
        <v>379.87949656000023</v>
      </c>
      <c r="F17" s="45"/>
      <c r="G17" s="25">
        <f>Rates!I266</f>
        <v>0.10214000000000001</v>
      </c>
      <c r="H17" s="40">
        <f>(C5-1)*C7</f>
        <v>3719.204000000002</v>
      </c>
      <c r="I17" s="36">
        <f t="shared" ref="I17:I23" si="5">G17*H17</f>
        <v>379.87949656000023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Rates!B35</f>
        <v>Rate Rider for Deferral/Variance Account Disposition (2015) - effective until December 31, 2016</v>
      </c>
      <c r="C18" s="25">
        <f>Rates!E35</f>
        <v>0.26019999999999999</v>
      </c>
      <c r="D18" s="37">
        <f>C8</f>
        <v>200</v>
      </c>
      <c r="E18" s="36">
        <f t="shared" si="4"/>
        <v>52.04</v>
      </c>
      <c r="F18" s="45"/>
      <c r="G18" s="25">
        <f>Rates!I35</f>
        <v>0.26019999999999999</v>
      </c>
      <c r="H18" s="37">
        <f t="shared" ref="H18:H23" si="6">D18</f>
        <v>200</v>
      </c>
      <c r="I18" s="36">
        <f t="shared" si="5"/>
        <v>52.04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Rates!B36</f>
        <v>Rate Rider for Global Adjustment Sub-Account Disposition (2015) - effective until December 31, 2016 Applicable only for Non-RPP Customers</v>
      </c>
      <c r="C19" s="25">
        <f>Rates!E36</f>
        <v>-0.8619</v>
      </c>
      <c r="D19" s="37">
        <f>C8</f>
        <v>200</v>
      </c>
      <c r="E19" s="36">
        <f t="shared" si="4"/>
        <v>-172.38</v>
      </c>
      <c r="F19" s="45"/>
      <c r="G19" s="25">
        <f>Rates!I36</f>
        <v>-0.8619</v>
      </c>
      <c r="H19" s="37">
        <f t="shared" si="6"/>
        <v>200</v>
      </c>
      <c r="I19" s="36">
        <f t="shared" si="5"/>
        <v>-172.38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Rates!B37</f>
        <v>Rate Rider for Deferral/Variance Account Disposition (2016) - effective until December 31, 2017</v>
      </c>
      <c r="C20" s="25">
        <f>Rates!E37</f>
        <v>0</v>
      </c>
      <c r="D20" s="37">
        <f>C8</f>
        <v>200</v>
      </c>
      <c r="E20" s="36">
        <f t="shared" si="4"/>
        <v>0</v>
      </c>
      <c r="F20" s="45"/>
      <c r="G20" s="25">
        <f>Rates!I37</f>
        <v>-0.24399999999999999</v>
      </c>
      <c r="H20" s="37">
        <f t="shared" si="6"/>
        <v>200</v>
      </c>
      <c r="I20" s="36">
        <f t="shared" si="5"/>
        <v>-48.8</v>
      </c>
      <c r="J20" s="45"/>
      <c r="K20" s="36">
        <f t="shared" ref="K20:K21" si="9">I20-E20</f>
        <v>-48.8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Rates!B38</f>
        <v>Rate Rider for Global Adjustment Sub-Account Disposition (2016) - effective until December 31, 2017 Applicable only for Non-RPP Customers</v>
      </c>
      <c r="C21" s="25">
        <f>Rates!E38</f>
        <v>0</v>
      </c>
      <c r="D21" s="37">
        <f>C8</f>
        <v>200</v>
      </c>
      <c r="E21" s="36">
        <f t="shared" si="4"/>
        <v>0</v>
      </c>
      <c r="F21" s="45"/>
      <c r="G21" s="25">
        <f>Rates!I38</f>
        <v>1.6066</v>
      </c>
      <c r="H21" s="37">
        <f t="shared" si="6"/>
        <v>200</v>
      </c>
      <c r="I21" s="36">
        <f t="shared" si="5"/>
        <v>321.32</v>
      </c>
      <c r="J21" s="45"/>
      <c r="K21" s="36">
        <f t="shared" si="9"/>
        <v>321.32</v>
      </c>
      <c r="L21" s="47" t="str">
        <f t="shared" si="10"/>
        <v xml:space="preserve"> </v>
      </c>
    </row>
    <row r="22" spans="2:12" x14ac:dyDescent="0.2">
      <c r="B22" s="48" t="str">
        <f>Rates!B39</f>
        <v>Rate Rider for Loss Revenue Adjustment Mechanism (LRAM) - effective until December 31, 2015</v>
      </c>
      <c r="C22" s="25">
        <f>Rates!E39</f>
        <v>4.41E-2</v>
      </c>
      <c r="D22" s="37">
        <f>C8</f>
        <v>200</v>
      </c>
      <c r="E22" s="36">
        <f t="shared" si="4"/>
        <v>8.82</v>
      </c>
      <c r="F22" s="45"/>
      <c r="G22" s="25">
        <f>Rates!I39</f>
        <v>0</v>
      </c>
      <c r="H22" s="37">
        <f t="shared" si="6"/>
        <v>200</v>
      </c>
      <c r="I22" s="36">
        <f t="shared" si="5"/>
        <v>0</v>
      </c>
      <c r="J22" s="45"/>
      <c r="K22" s="36">
        <f t="shared" si="7"/>
        <v>-8.82</v>
      </c>
      <c r="L22" s="47">
        <f t="shared" si="8"/>
        <v>-1</v>
      </c>
    </row>
    <row r="23" spans="2:12" x14ac:dyDescent="0.2">
      <c r="B23" s="44" t="str">
        <f>Rates!B9</f>
        <v>Low Voltage Service Rate</v>
      </c>
      <c r="C23" s="25">
        <f>Rates!E34</f>
        <v>7.3499999999999996E-2</v>
      </c>
      <c r="D23" s="37">
        <f>C8</f>
        <v>200</v>
      </c>
      <c r="E23" s="36">
        <f t="shared" si="4"/>
        <v>14.7</v>
      </c>
      <c r="F23" s="45"/>
      <c r="G23" s="25">
        <f>Rates!I34</f>
        <v>7.3499999999999996E-2</v>
      </c>
      <c r="H23" s="37">
        <f t="shared" si="6"/>
        <v>200</v>
      </c>
      <c r="I23" s="36">
        <f t="shared" si="5"/>
        <v>14.7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1748.4394965600004</v>
      </c>
      <c r="F24" s="53"/>
      <c r="G24" s="50"/>
      <c r="H24" s="51"/>
      <c r="I24" s="52">
        <f>SUM(I16:I23)</f>
        <v>2028.9994965600001</v>
      </c>
      <c r="J24" s="53"/>
      <c r="K24" s="54">
        <f t="shared" si="2"/>
        <v>280.55999999999972</v>
      </c>
      <c r="L24" s="55">
        <f t="shared" si="3"/>
        <v>0.16046308754291622</v>
      </c>
    </row>
    <row r="25" spans="2:12" x14ac:dyDescent="0.2">
      <c r="B25" s="44" t="str">
        <f>Rates!B15</f>
        <v>Retail Transmission Rate - Network Service Rate</v>
      </c>
      <c r="C25" s="25">
        <f>Rates!E40</f>
        <v>2.6433</v>
      </c>
      <c r="D25" s="37">
        <f>C8</f>
        <v>200</v>
      </c>
      <c r="E25" s="36">
        <f>C25*D25</f>
        <v>528.66</v>
      </c>
      <c r="F25" s="45"/>
      <c r="G25" s="25">
        <f>Rates!I40</f>
        <v>2.5966</v>
      </c>
      <c r="H25" s="37">
        <f>D25</f>
        <v>200</v>
      </c>
      <c r="I25" s="36">
        <f>G25*H25</f>
        <v>519.32000000000005</v>
      </c>
      <c r="J25" s="45"/>
      <c r="K25" s="36">
        <f t="shared" si="2"/>
        <v>-9.3399999999999181</v>
      </c>
      <c r="L25" s="47">
        <f t="shared" si="3"/>
        <v>-1.766730980214111E-2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Rates!E41</f>
        <v>2.0314999999999999</v>
      </c>
      <c r="D26" s="37">
        <f>C8</f>
        <v>200</v>
      </c>
      <c r="E26" s="36">
        <f>C26*D26</f>
        <v>406.29999999999995</v>
      </c>
      <c r="F26" s="45"/>
      <c r="G26" s="25">
        <f>Rates!I41</f>
        <v>2.0802999999999998</v>
      </c>
      <c r="H26" s="37">
        <f>D26</f>
        <v>200</v>
      </c>
      <c r="I26" s="36">
        <f>G26*H26</f>
        <v>416.05999999999995</v>
      </c>
      <c r="J26" s="45"/>
      <c r="K26" s="36">
        <f t="shared" si="2"/>
        <v>9.7599999999999909</v>
      </c>
      <c r="L26" s="47">
        <f t="shared" si="3"/>
        <v>2.4021658872754103E-2</v>
      </c>
    </row>
    <row r="27" spans="2:12" x14ac:dyDescent="0.2">
      <c r="B27" s="49" t="s">
        <v>57</v>
      </c>
      <c r="C27" s="50"/>
      <c r="D27" s="51"/>
      <c r="E27" s="52">
        <f>SUM(E24:E26)</f>
        <v>2683.3994965600004</v>
      </c>
      <c r="F27" s="53"/>
      <c r="G27" s="50"/>
      <c r="H27" s="52"/>
      <c r="I27" s="52">
        <f>SUM(I24:I26)</f>
        <v>2964.37949656</v>
      </c>
      <c r="J27" s="53"/>
      <c r="K27" s="54">
        <f t="shared" si="2"/>
        <v>280.97999999999956</v>
      </c>
      <c r="L27" s="55">
        <f t="shared" si="3"/>
        <v>0.10471046162161225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72339.203999999998</v>
      </c>
      <c r="E28" s="36">
        <f t="shared" ref="E28:E32" si="11">C28*D28</f>
        <v>318.29249759999999</v>
      </c>
      <c r="F28" s="45"/>
      <c r="G28" s="25">
        <f>Rates!I244</f>
        <v>4.4000000000000003E-3</v>
      </c>
      <c r="H28" s="37">
        <f>D28</f>
        <v>72339.203999999998</v>
      </c>
      <c r="I28" s="36">
        <f t="shared" ref="I28:I32" si="12">G28*H28</f>
        <v>318.29249759999999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72339.203999999998</v>
      </c>
      <c r="E29" s="36">
        <f t="shared" si="11"/>
        <v>94.040965199999988</v>
      </c>
      <c r="F29" s="45"/>
      <c r="G29" s="25">
        <f>Rates!I245</f>
        <v>1.2999999999999999E-3</v>
      </c>
      <c r="H29" s="37">
        <f t="shared" ref="H29:H30" si="13">D29</f>
        <v>72339.203999999998</v>
      </c>
      <c r="I29" s="36">
        <f t="shared" si="12"/>
        <v>94.040965199999988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Rates!E250</f>
        <v>0</v>
      </c>
      <c r="D31" s="37">
        <f>C7</f>
        <v>68620</v>
      </c>
      <c r="E31" s="36">
        <f t="shared" si="11"/>
        <v>0</v>
      </c>
      <c r="F31" s="45"/>
      <c r="G31" s="25">
        <f>Rates!I250</f>
        <v>0</v>
      </c>
      <c r="H31" s="37">
        <f>D31</f>
        <v>68620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68620</v>
      </c>
      <c r="E32" s="36">
        <f t="shared" si="11"/>
        <v>7008.8468000000003</v>
      </c>
      <c r="F32" s="45"/>
      <c r="G32" s="25">
        <f>Rates!I266</f>
        <v>0.10214000000000001</v>
      </c>
      <c r="H32" s="37">
        <f>D32</f>
        <v>68620</v>
      </c>
      <c r="I32" s="36">
        <f t="shared" si="12"/>
        <v>7008.8468000000003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10104.82975936</v>
      </c>
      <c r="F34" s="45"/>
      <c r="G34" s="35"/>
      <c r="H34" s="39"/>
      <c r="I34" s="39">
        <f>SUM(I27:I32)</f>
        <v>10385.80975936</v>
      </c>
      <c r="J34" s="45"/>
      <c r="K34" s="36">
        <f t="shared" si="2"/>
        <v>280.97999999999956</v>
      </c>
      <c r="L34" s="47">
        <f t="shared" si="3"/>
        <v>2.7806505076419588E-2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1313.6278687168001</v>
      </c>
      <c r="F35" s="45"/>
      <c r="G35" s="41">
        <f>Rates!I268</f>
        <v>0.13</v>
      </c>
      <c r="H35" s="35"/>
      <c r="I35" s="42">
        <f>I34*G35</f>
        <v>1350.1552687168</v>
      </c>
      <c r="J35" s="45"/>
      <c r="K35" s="36">
        <f t="shared" si="2"/>
        <v>36.527399999999943</v>
      </c>
      <c r="L35" s="47">
        <f t="shared" si="3"/>
        <v>2.7806505076419585E-2</v>
      </c>
    </row>
    <row r="36" spans="2:12" x14ac:dyDescent="0.2">
      <c r="B36" s="23" t="s">
        <v>59</v>
      </c>
      <c r="C36" s="35"/>
      <c r="D36" s="35"/>
      <c r="E36" s="42">
        <f>E34+E35</f>
        <v>11418.4576280768</v>
      </c>
      <c r="F36" s="45"/>
      <c r="G36" s="35"/>
      <c r="H36" s="35"/>
      <c r="I36" s="42">
        <f>I34+I35</f>
        <v>11735.9650280768</v>
      </c>
      <c r="J36" s="45"/>
      <c r="K36" s="36">
        <f t="shared" si="2"/>
        <v>317.50740000000042</v>
      </c>
      <c r="L36" s="47">
        <f t="shared" si="3"/>
        <v>2.7806505076419668E-2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11418.4576280768</v>
      </c>
      <c r="F38" s="59"/>
      <c r="G38" s="57"/>
      <c r="H38" s="57"/>
      <c r="I38" s="58">
        <f>I36+I37</f>
        <v>11735.9650280768</v>
      </c>
      <c r="J38" s="59"/>
      <c r="K38" s="60">
        <f t="shared" si="2"/>
        <v>317.50740000000042</v>
      </c>
      <c r="L38" s="61">
        <f t="shared" si="3"/>
        <v>2.7806505076419668E-2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Rates!B43</f>
        <v xml:space="preserve">Unmetered Scattered Load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800</v>
      </c>
    </row>
    <row r="8" spans="2:12" x14ac:dyDescent="0.2">
      <c r="B8" s="28" t="s">
        <v>63</v>
      </c>
      <c r="C8" s="29">
        <v>0</v>
      </c>
    </row>
    <row r="9" spans="2:12" ht="13.5" thickBot="1" x14ac:dyDescent="0.25">
      <c r="B9" s="30" t="s">
        <v>64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Rates!E44</f>
        <v>42.26</v>
      </c>
      <c r="D14" s="37">
        <f>C6</f>
        <v>1</v>
      </c>
      <c r="E14" s="36">
        <f>C14*D14</f>
        <v>42.26</v>
      </c>
      <c r="F14" s="45"/>
      <c r="G14" s="36">
        <f>Rates!I44</f>
        <v>32.799999999999997</v>
      </c>
      <c r="H14" s="37">
        <f>D14</f>
        <v>1</v>
      </c>
      <c r="I14" s="36">
        <f>G14*H14</f>
        <v>32.799999999999997</v>
      </c>
      <c r="J14" s="45"/>
      <c r="K14" s="36">
        <f>I14-E14</f>
        <v>-9.4600000000000009</v>
      </c>
      <c r="L14" s="47">
        <f>IF((E14)=0," ",K14/E14)</f>
        <v>-0.22385234264079512</v>
      </c>
    </row>
    <row r="15" spans="2:12" x14ac:dyDescent="0.2">
      <c r="B15" s="44" t="str">
        <f>Rates!B8</f>
        <v>Distribution Volumetric Rate</v>
      </c>
      <c r="C15" s="25">
        <f>Rates!E45</f>
        <v>2.5000000000000001E-2</v>
      </c>
      <c r="D15" s="38">
        <f>C7</f>
        <v>800</v>
      </c>
      <c r="E15" s="36">
        <f t="shared" ref="E15" si="0">C15*D15</f>
        <v>20</v>
      </c>
      <c r="F15" s="45"/>
      <c r="G15" s="25">
        <f>Rates!I45</f>
        <v>1.78E-2</v>
      </c>
      <c r="H15" s="38">
        <f>D15</f>
        <v>800</v>
      </c>
      <c r="I15" s="36">
        <f t="shared" ref="I15" si="1">G15*H15</f>
        <v>14.24</v>
      </c>
      <c r="J15" s="45"/>
      <c r="K15" s="36">
        <f t="shared" ref="K15:K38" si="2">I15-E15</f>
        <v>-5.76</v>
      </c>
      <c r="L15" s="47">
        <f t="shared" ref="L15:L38" si="3">IF((E15)=0," ",K15/E15)</f>
        <v>-0.28799999999999998</v>
      </c>
    </row>
    <row r="16" spans="2:12" x14ac:dyDescent="0.2">
      <c r="B16" s="49" t="s">
        <v>36</v>
      </c>
      <c r="C16" s="50"/>
      <c r="D16" s="51"/>
      <c r="E16" s="52">
        <f>SUM(E14:E15)</f>
        <v>62.26</v>
      </c>
      <c r="F16" s="53"/>
      <c r="G16" s="50"/>
      <c r="H16" s="51"/>
      <c r="I16" s="52">
        <f>SUM(I14:I15)</f>
        <v>47.04</v>
      </c>
      <c r="J16" s="53"/>
      <c r="K16" s="54">
        <f t="shared" si="2"/>
        <v>-15.219999999999999</v>
      </c>
      <c r="L16" s="55">
        <f t="shared" si="3"/>
        <v>-0.24445872149052361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43.360000000000021</v>
      </c>
      <c r="E17" s="36">
        <f t="shared" ref="E17:E23" si="4">C17*D17</f>
        <v>4.4287904000000022</v>
      </c>
      <c r="F17" s="45"/>
      <c r="G17" s="25">
        <f>Rates!I266</f>
        <v>0.10214000000000001</v>
      </c>
      <c r="H17" s="40">
        <f>(C5-1)*C7</f>
        <v>43.360000000000021</v>
      </c>
      <c r="I17" s="36">
        <f t="shared" ref="I17:I23" si="5">G17*H17</f>
        <v>4.4287904000000022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Rates!B47</f>
        <v>Rate Rider for Deferral/Variance Account Disposition (2015) - effective until December 31, 2016</v>
      </c>
      <c r="C18" s="25">
        <f>Rates!E47</f>
        <v>8.0000000000000004E-4</v>
      </c>
      <c r="D18" s="37">
        <f>C7</f>
        <v>800</v>
      </c>
      <c r="E18" s="36">
        <f t="shared" si="4"/>
        <v>0.64</v>
      </c>
      <c r="F18" s="45"/>
      <c r="G18" s="25">
        <f>Rates!I47</f>
        <v>8.0000000000000004E-4</v>
      </c>
      <c r="H18" s="37">
        <f t="shared" ref="H18:H23" si="6">D18</f>
        <v>800</v>
      </c>
      <c r="I18" s="36">
        <f t="shared" si="5"/>
        <v>0.64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Rates!B48</f>
        <v>Rate Rider for Global Adjustment Sub-Account Disposition (2015) - effective until December 31, 2016 Applicable only for Non-RPP Customers</v>
      </c>
      <c r="C19" s="25">
        <f>Rates!E48</f>
        <v>-2.5000000000000001E-3</v>
      </c>
      <c r="D19" s="37">
        <f>C7</f>
        <v>800</v>
      </c>
      <c r="E19" s="36">
        <f t="shared" si="4"/>
        <v>-2</v>
      </c>
      <c r="F19" s="45"/>
      <c r="G19" s="25">
        <f>Rates!I48</f>
        <v>-2.5000000000000001E-3</v>
      </c>
      <c r="H19" s="37">
        <f t="shared" si="6"/>
        <v>800</v>
      </c>
      <c r="I19" s="36">
        <f t="shared" si="5"/>
        <v>-2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Rates!B49</f>
        <v>Rate Rider for Deferral/Variance Account Disposition (2016) - effective until December 31, 2017</v>
      </c>
      <c r="C20" s="25">
        <f>Rates!E49</f>
        <v>0</v>
      </c>
      <c r="D20" s="37">
        <f>C7</f>
        <v>800</v>
      </c>
      <c r="E20" s="36">
        <f t="shared" si="4"/>
        <v>0</v>
      </c>
      <c r="F20" s="45"/>
      <c r="G20" s="25">
        <f>Rates!I49</f>
        <v>-6.9999999999999999E-4</v>
      </c>
      <c r="H20" s="37">
        <f t="shared" si="6"/>
        <v>800</v>
      </c>
      <c r="I20" s="36">
        <f t="shared" si="5"/>
        <v>-0.55999999999999994</v>
      </c>
      <c r="J20" s="45"/>
      <c r="K20" s="36">
        <f t="shared" ref="K20:K21" si="9">I20-E20</f>
        <v>-0.55999999999999994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Rates!B50</f>
        <v>Rate Rider for Global Adjustment Sub-Account Disposition (2016) - effective until December 31, 2017 Applicable only for Non-RPP Customers</v>
      </c>
      <c r="C21" s="25">
        <f>Rates!E50</f>
        <v>0</v>
      </c>
      <c r="D21" s="37">
        <f>C7</f>
        <v>800</v>
      </c>
      <c r="E21" s="36">
        <f t="shared" si="4"/>
        <v>0</v>
      </c>
      <c r="F21" s="45"/>
      <c r="G21" s="25">
        <f>Rates!I50</f>
        <v>4.3E-3</v>
      </c>
      <c r="H21" s="37">
        <f t="shared" si="6"/>
        <v>800</v>
      </c>
      <c r="I21" s="36">
        <f t="shared" si="5"/>
        <v>3.44</v>
      </c>
      <c r="J21" s="45"/>
      <c r="K21" s="36">
        <f t="shared" si="9"/>
        <v>3.44</v>
      </c>
      <c r="L21" s="47" t="str">
        <f t="shared" si="10"/>
        <v xml:space="preserve"> </v>
      </c>
    </row>
    <row r="22" spans="2:12" x14ac:dyDescent="0.2">
      <c r="B22" s="48" t="str">
        <f>Rates!B51</f>
        <v>Rate Rider for Loss Revenue Adjustment Mechanism (LRAM) - effective until December 31, 2015</v>
      </c>
      <c r="C22" s="25">
        <f>Rates!E51</f>
        <v>0</v>
      </c>
      <c r="D22" s="37">
        <f>C7</f>
        <v>800</v>
      </c>
      <c r="E22" s="36">
        <f t="shared" si="4"/>
        <v>0</v>
      </c>
      <c r="F22" s="45"/>
      <c r="G22" s="25">
        <f>Rates!I51</f>
        <v>0</v>
      </c>
      <c r="H22" s="37">
        <f t="shared" si="6"/>
        <v>800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Rates!E46</f>
        <v>2.0000000000000001E-4</v>
      </c>
      <c r="D23" s="37">
        <f>C7</f>
        <v>800</v>
      </c>
      <c r="E23" s="36">
        <f t="shared" si="4"/>
        <v>0.16</v>
      </c>
      <c r="F23" s="45"/>
      <c r="G23" s="25">
        <f>Rates!I46</f>
        <v>2.0000000000000001E-4</v>
      </c>
      <c r="H23" s="37">
        <f t="shared" si="6"/>
        <v>800</v>
      </c>
      <c r="I23" s="36">
        <f t="shared" si="5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51"/>
      <c r="E24" s="52">
        <f>SUM(E16:E23)</f>
        <v>65.488790399999999</v>
      </c>
      <c r="F24" s="53"/>
      <c r="G24" s="50"/>
      <c r="H24" s="51"/>
      <c r="I24" s="52">
        <f>SUM(I16:I23)</f>
        <v>53.148790399999996</v>
      </c>
      <c r="J24" s="53"/>
      <c r="K24" s="54">
        <f t="shared" si="2"/>
        <v>-12.340000000000003</v>
      </c>
      <c r="L24" s="55">
        <f t="shared" si="3"/>
        <v>-0.18842919413579523</v>
      </c>
    </row>
    <row r="25" spans="2:12" x14ac:dyDescent="0.2">
      <c r="B25" s="44" t="str">
        <f>Rates!B15</f>
        <v>Retail Transmission Rate - Network Service Rate</v>
      </c>
      <c r="C25" s="25">
        <f>Rates!E52</f>
        <v>6.4999999999999997E-3</v>
      </c>
      <c r="D25" s="37">
        <f>C7*C5</f>
        <v>843.36</v>
      </c>
      <c r="E25" s="36">
        <f>C25*D25</f>
        <v>5.48184</v>
      </c>
      <c r="F25" s="45"/>
      <c r="G25" s="25">
        <f>Rates!I52</f>
        <v>6.4000000000000003E-3</v>
      </c>
      <c r="H25" s="37">
        <f>D25</f>
        <v>843.36</v>
      </c>
      <c r="I25" s="36">
        <f>G25*H25</f>
        <v>5.3975040000000005</v>
      </c>
      <c r="J25" s="45"/>
      <c r="K25" s="36">
        <f t="shared" si="2"/>
        <v>-8.4335999999999522E-2</v>
      </c>
      <c r="L25" s="47">
        <f t="shared" si="3"/>
        <v>-1.5384615384615297E-2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Rates!E53</f>
        <v>5.0000000000000001E-3</v>
      </c>
      <c r="D26" s="37">
        <f>C7*C5</f>
        <v>843.36</v>
      </c>
      <c r="E26" s="36">
        <f>C26*D26</f>
        <v>4.2168000000000001</v>
      </c>
      <c r="F26" s="45"/>
      <c r="G26" s="25">
        <f>Rates!I53</f>
        <v>5.1000000000000004E-3</v>
      </c>
      <c r="H26" s="37">
        <f>D26</f>
        <v>843.36</v>
      </c>
      <c r="I26" s="36">
        <f>G26*H26</f>
        <v>4.3011360000000005</v>
      </c>
      <c r="J26" s="45"/>
      <c r="K26" s="36">
        <f t="shared" si="2"/>
        <v>8.4336000000000411E-2</v>
      </c>
      <c r="L26" s="47">
        <f t="shared" si="3"/>
        <v>2.0000000000000098E-2</v>
      </c>
    </row>
    <row r="27" spans="2:12" x14ac:dyDescent="0.2">
      <c r="B27" s="49" t="s">
        <v>57</v>
      </c>
      <c r="C27" s="50"/>
      <c r="D27" s="51"/>
      <c r="E27" s="52">
        <f>SUM(E24:E26)</f>
        <v>75.187430400000011</v>
      </c>
      <c r="F27" s="53"/>
      <c r="G27" s="50"/>
      <c r="H27" s="52"/>
      <c r="I27" s="52">
        <f>SUM(I24:I26)</f>
        <v>62.847430399999993</v>
      </c>
      <c r="J27" s="53"/>
      <c r="K27" s="54">
        <f t="shared" si="2"/>
        <v>-12.340000000000018</v>
      </c>
      <c r="L27" s="55">
        <f t="shared" si="3"/>
        <v>-0.16412317769540394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843.36</v>
      </c>
      <c r="E28" s="36">
        <f t="shared" ref="E28:E32" si="11">C28*D28</f>
        <v>3.7107840000000003</v>
      </c>
      <c r="F28" s="45"/>
      <c r="G28" s="25">
        <f>Rates!I244</f>
        <v>4.4000000000000003E-3</v>
      </c>
      <c r="H28" s="37">
        <f>D28</f>
        <v>843.36</v>
      </c>
      <c r="I28" s="36">
        <f t="shared" ref="I28:I32" si="12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843.36</v>
      </c>
      <c r="E29" s="36">
        <f t="shared" si="11"/>
        <v>1.096368</v>
      </c>
      <c r="F29" s="45"/>
      <c r="G29" s="25">
        <f>Rates!I245</f>
        <v>1.2999999999999999E-3</v>
      </c>
      <c r="H29" s="37">
        <f t="shared" ref="H29:H30" si="13">D29</f>
        <v>843.36</v>
      </c>
      <c r="I29" s="36">
        <f t="shared" si="12"/>
        <v>1.096368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Rates!E250</f>
        <v>0</v>
      </c>
      <c r="D31" s="37">
        <f>C7</f>
        <v>800</v>
      </c>
      <c r="E31" s="36">
        <f t="shared" si="11"/>
        <v>0</v>
      </c>
      <c r="F31" s="45"/>
      <c r="G31" s="25">
        <f>Rates!I250</f>
        <v>0</v>
      </c>
      <c r="H31" s="37">
        <f>D31</f>
        <v>800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</f>
        <v>800</v>
      </c>
      <c r="E32" s="36">
        <f t="shared" si="11"/>
        <v>81.712000000000003</v>
      </c>
      <c r="F32" s="45"/>
      <c r="G32" s="25">
        <f>Rates!I266</f>
        <v>0.10214000000000001</v>
      </c>
      <c r="H32" s="37">
        <f>D32</f>
        <v>800</v>
      </c>
      <c r="I32" s="36">
        <f t="shared" si="12"/>
        <v>81.712000000000003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161.9565824</v>
      </c>
      <c r="F34" s="45"/>
      <c r="G34" s="35"/>
      <c r="H34" s="39"/>
      <c r="I34" s="39">
        <f>SUM(I27:I32)</f>
        <v>149.6165824</v>
      </c>
      <c r="J34" s="45"/>
      <c r="K34" s="36">
        <f t="shared" si="2"/>
        <v>-12.340000000000003</v>
      </c>
      <c r="L34" s="47">
        <f t="shared" si="3"/>
        <v>-7.6193260052392922E-2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21.054355712</v>
      </c>
      <c r="F35" s="45"/>
      <c r="G35" s="41">
        <f>Rates!I268</f>
        <v>0.13</v>
      </c>
      <c r="H35" s="35"/>
      <c r="I35" s="42">
        <f>I34*G35</f>
        <v>19.450155712000001</v>
      </c>
      <c r="J35" s="45"/>
      <c r="K35" s="36">
        <f t="shared" si="2"/>
        <v>-1.6041999999999987</v>
      </c>
      <c r="L35" s="47">
        <f t="shared" si="3"/>
        <v>-7.6193260052392853E-2</v>
      </c>
    </row>
    <row r="36" spans="2:12" x14ac:dyDescent="0.2">
      <c r="B36" s="23" t="s">
        <v>59</v>
      </c>
      <c r="C36" s="35"/>
      <c r="D36" s="35"/>
      <c r="E36" s="42">
        <f>E34+E35</f>
        <v>183.01093811199999</v>
      </c>
      <c r="F36" s="45"/>
      <c r="G36" s="35"/>
      <c r="H36" s="35"/>
      <c r="I36" s="42">
        <f>I34+I35</f>
        <v>169.066738112</v>
      </c>
      <c r="J36" s="45"/>
      <c r="K36" s="36">
        <f t="shared" si="2"/>
        <v>-13.944199999999995</v>
      </c>
      <c r="L36" s="47">
        <f t="shared" si="3"/>
        <v>-7.619326005239288E-2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183.01093811199999</v>
      </c>
      <c r="F38" s="59"/>
      <c r="G38" s="57"/>
      <c r="H38" s="57"/>
      <c r="I38" s="58">
        <f>I36+I37</f>
        <v>169.066738112</v>
      </c>
      <c r="J38" s="59"/>
      <c r="K38" s="60">
        <f t="shared" si="2"/>
        <v>-13.944199999999995</v>
      </c>
      <c r="L38" s="61">
        <f t="shared" si="3"/>
        <v>-7.619326005239288E-2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8"/>
  <sheetViews>
    <sheetView showGridLines="0" workbookViewId="0">
      <selection activeCell="B2" sqref="B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5" t="s">
        <v>98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Rates!B55</f>
        <v xml:space="preserve">Sentinel Lighting </v>
      </c>
    </row>
    <row r="4" spans="2:12" ht="13.5" thickBot="1" x14ac:dyDescent="0.25"/>
    <row r="5" spans="2:12" x14ac:dyDescent="0.2">
      <c r="B5" s="26" t="s">
        <v>53</v>
      </c>
      <c r="C5" s="27">
        <f>Rates!I259</f>
        <v>1.0542</v>
      </c>
    </row>
    <row r="6" spans="2:12" x14ac:dyDescent="0.2">
      <c r="B6" s="28" t="s">
        <v>61</v>
      </c>
      <c r="C6" s="29">
        <v>1</v>
      </c>
    </row>
    <row r="7" spans="2:12" x14ac:dyDescent="0.2">
      <c r="B7" s="28" t="s">
        <v>62</v>
      </c>
      <c r="C7" s="29">
        <v>60</v>
      </c>
    </row>
    <row r="8" spans="2:12" x14ac:dyDescent="0.2">
      <c r="B8" s="28" t="s">
        <v>63</v>
      </c>
      <c r="C8" s="62">
        <v>0.2</v>
      </c>
    </row>
    <row r="9" spans="2:12" ht="13.5" thickBot="1" x14ac:dyDescent="0.25">
      <c r="B9" s="30" t="s">
        <v>64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6" t="s">
        <v>65</v>
      </c>
      <c r="C11" s="108" t="s">
        <v>54</v>
      </c>
      <c r="D11" s="108"/>
      <c r="E11" s="108"/>
      <c r="F11" s="43"/>
      <c r="G11" s="108" t="s">
        <v>33</v>
      </c>
      <c r="H11" s="109"/>
      <c r="I11" s="109"/>
      <c r="J11" s="43"/>
      <c r="K11" s="108" t="s">
        <v>55</v>
      </c>
      <c r="L11" s="110"/>
    </row>
    <row r="12" spans="2:12" ht="25.5" x14ac:dyDescent="0.2">
      <c r="B12" s="107"/>
      <c r="C12" s="32" t="s">
        <v>15</v>
      </c>
      <c r="D12" s="33" t="s">
        <v>29</v>
      </c>
      <c r="E12" s="32" t="s">
        <v>16</v>
      </c>
      <c r="F12" s="45"/>
      <c r="G12" s="32" t="s">
        <v>15</v>
      </c>
      <c r="H12" s="33" t="s">
        <v>29</v>
      </c>
      <c r="I12" s="32" t="s">
        <v>16</v>
      </c>
      <c r="J12" s="45"/>
      <c r="K12" s="32" t="s">
        <v>32</v>
      </c>
      <c r="L12" s="63" t="s">
        <v>32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Rates!E56</f>
        <v>5.17</v>
      </c>
      <c r="D14" s="37">
        <f>C6</f>
        <v>1</v>
      </c>
      <c r="E14" s="36">
        <f>C14*D14</f>
        <v>5.17</v>
      </c>
      <c r="F14" s="45"/>
      <c r="G14" s="36">
        <f>Rates!I56</f>
        <v>5.07</v>
      </c>
      <c r="H14" s="37">
        <f>D14</f>
        <v>1</v>
      </c>
      <c r="I14" s="36">
        <f>G14*H14</f>
        <v>5.07</v>
      </c>
      <c r="J14" s="45"/>
      <c r="K14" s="36">
        <f>I14-E14</f>
        <v>-9.9999999999999645E-2</v>
      </c>
      <c r="L14" s="47">
        <f>IF((E14)=0," ",K14/E14)</f>
        <v>-1.9342359767891615E-2</v>
      </c>
    </row>
    <row r="15" spans="2:12" x14ac:dyDescent="0.2">
      <c r="B15" s="44" t="str">
        <f>Rates!B8</f>
        <v>Distribution Volumetric Rate</v>
      </c>
      <c r="C15" s="25">
        <f>Rates!E57</f>
        <v>4.9564000000000004</v>
      </c>
      <c r="D15" s="38">
        <f>C8</f>
        <v>0.2</v>
      </c>
      <c r="E15" s="36">
        <f t="shared" ref="E15" si="0">C15*D15</f>
        <v>0.99128000000000016</v>
      </c>
      <c r="F15" s="45"/>
      <c r="G15" s="25">
        <f>Rates!I57</f>
        <v>5.8719999999999999</v>
      </c>
      <c r="H15" s="38">
        <f>D15</f>
        <v>0.2</v>
      </c>
      <c r="I15" s="36">
        <f t="shared" ref="I15" si="1">G15*H15</f>
        <v>1.1744000000000001</v>
      </c>
      <c r="J15" s="45"/>
      <c r="K15" s="36">
        <f t="shared" ref="K15:K38" si="2">I15-E15</f>
        <v>0.18311999999999995</v>
      </c>
      <c r="L15" s="47">
        <f t="shared" ref="L15:L38" si="3">IF((E15)=0," ",K15/E15)</f>
        <v>0.1847308530384956</v>
      </c>
    </row>
    <row r="16" spans="2:12" x14ac:dyDescent="0.2">
      <c r="B16" s="49" t="s">
        <v>36</v>
      </c>
      <c r="C16" s="50"/>
      <c r="D16" s="51"/>
      <c r="E16" s="52">
        <f>SUM(E14:E15)</f>
        <v>6.1612799999999996</v>
      </c>
      <c r="F16" s="53"/>
      <c r="G16" s="50"/>
      <c r="H16" s="51"/>
      <c r="I16" s="52">
        <f>SUM(I14:I15)</f>
        <v>6.2444000000000006</v>
      </c>
      <c r="J16" s="53"/>
      <c r="K16" s="54">
        <f t="shared" si="2"/>
        <v>8.3120000000000971E-2</v>
      </c>
      <c r="L16" s="55">
        <f t="shared" si="3"/>
        <v>1.3490703230497718E-2</v>
      </c>
    </row>
    <row r="17" spans="2:12" x14ac:dyDescent="0.2">
      <c r="B17" s="28" t="s">
        <v>37</v>
      </c>
      <c r="C17" s="25">
        <f>Rates!E266</f>
        <v>0.10214000000000001</v>
      </c>
      <c r="D17" s="40">
        <f>(C5-1)*C7</f>
        <v>3.2520000000000016</v>
      </c>
      <c r="E17" s="36">
        <f t="shared" ref="E17:E23" si="4">C17*D17</f>
        <v>0.33215928000000017</v>
      </c>
      <c r="F17" s="45"/>
      <c r="G17" s="25">
        <f>Rates!I266</f>
        <v>0.10214000000000001</v>
      </c>
      <c r="H17" s="40">
        <f>(C5-1)*C7</f>
        <v>3.2520000000000016</v>
      </c>
      <c r="I17" s="36">
        <f t="shared" ref="I17:I23" si="5">G17*H17</f>
        <v>0.33215928000000017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8" t="str">
        <f>Rates!B59</f>
        <v>Rate Rider for Deferral/Variance Account Disposition (2014) - effective until December 31, 2016</v>
      </c>
      <c r="C18" s="25">
        <f>Rates!E59</f>
        <v>0.1459</v>
      </c>
      <c r="D18" s="91">
        <f>C8</f>
        <v>0.2</v>
      </c>
      <c r="E18" s="36">
        <f t="shared" si="4"/>
        <v>2.9180000000000001E-2</v>
      </c>
      <c r="F18" s="45"/>
      <c r="G18" s="25">
        <f>Rates!I59</f>
        <v>0.1459</v>
      </c>
      <c r="H18" s="91">
        <f t="shared" ref="H18:H23" si="6">D18</f>
        <v>0.2</v>
      </c>
      <c r="I18" s="36">
        <f t="shared" si="5"/>
        <v>2.9180000000000001E-2</v>
      </c>
      <c r="J18" s="45"/>
      <c r="K18" s="36">
        <f t="shared" ref="K18:K22" si="7">I18-E18</f>
        <v>0</v>
      </c>
      <c r="L18" s="47">
        <f t="shared" ref="L18:L22" si="8">IF((E18)=0," ",K18/E18)</f>
        <v>0</v>
      </c>
    </row>
    <row r="19" spans="2:12" ht="25.5" x14ac:dyDescent="0.2">
      <c r="B19" s="48" t="str">
        <f>Rates!B60</f>
        <v>Rate Rider for Global Adjustment Sub-Account Disposition (2014) - effective until December 31, 2016 Applicable only for Non-RPP Customers</v>
      </c>
      <c r="C19" s="25">
        <f>Rates!E60</f>
        <v>-0.4758</v>
      </c>
      <c r="D19" s="91">
        <f>C8</f>
        <v>0.2</v>
      </c>
      <c r="E19" s="36">
        <f t="shared" si="4"/>
        <v>-9.5160000000000008E-2</v>
      </c>
      <c r="F19" s="45"/>
      <c r="G19" s="25">
        <f>Rates!I60</f>
        <v>-0.4758</v>
      </c>
      <c r="H19" s="91">
        <f t="shared" si="6"/>
        <v>0.2</v>
      </c>
      <c r="I19" s="36">
        <f t="shared" si="5"/>
        <v>-9.5160000000000008E-2</v>
      </c>
      <c r="J19" s="45"/>
      <c r="K19" s="36">
        <f t="shared" si="7"/>
        <v>0</v>
      </c>
      <c r="L19" s="47">
        <f t="shared" si="8"/>
        <v>0</v>
      </c>
    </row>
    <row r="20" spans="2:12" x14ac:dyDescent="0.2">
      <c r="B20" s="48" t="str">
        <f>Rates!B61</f>
        <v>Rate Rider for Deferral/Variance Account Disposition (2016) - effective until December 31, 2017</v>
      </c>
      <c r="C20" s="25">
        <f>Rates!E61</f>
        <v>0</v>
      </c>
      <c r="D20" s="91">
        <f>C8</f>
        <v>0.2</v>
      </c>
      <c r="E20" s="36">
        <f t="shared" si="4"/>
        <v>0</v>
      </c>
      <c r="F20" s="45"/>
      <c r="G20" s="25">
        <f>Rates!I61</f>
        <v>-0.2157</v>
      </c>
      <c r="H20" s="91">
        <f t="shared" si="6"/>
        <v>0.2</v>
      </c>
      <c r="I20" s="36">
        <f t="shared" si="5"/>
        <v>-4.3140000000000005E-2</v>
      </c>
      <c r="J20" s="45"/>
      <c r="K20" s="36">
        <f t="shared" ref="K20:K21" si="9">I20-E20</f>
        <v>-4.3140000000000005E-2</v>
      </c>
      <c r="L20" s="47" t="str">
        <f t="shared" ref="L20:L21" si="10">IF((E20)=0," ",K20/E20)</f>
        <v xml:space="preserve"> </v>
      </c>
    </row>
    <row r="21" spans="2:12" ht="25.5" x14ac:dyDescent="0.2">
      <c r="B21" s="48" t="str">
        <f>Rates!B62</f>
        <v>Rate Rider for Global Adjustment Sub-Account Disposition (2016) - effective until December 31, 2017 Applicable only for Non-RPP Customers</v>
      </c>
      <c r="C21" s="25">
        <f>Rates!E62</f>
        <v>0</v>
      </c>
      <c r="D21" s="91">
        <f>C8</f>
        <v>0.2</v>
      </c>
      <c r="E21" s="36">
        <f t="shared" si="4"/>
        <v>0</v>
      </c>
      <c r="F21" s="45"/>
      <c r="G21" s="25">
        <f>Rates!I62</f>
        <v>0</v>
      </c>
      <c r="H21" s="91">
        <f t="shared" si="6"/>
        <v>0.2</v>
      </c>
      <c r="I21" s="36">
        <f t="shared" si="5"/>
        <v>0</v>
      </c>
      <c r="J21" s="45"/>
      <c r="K21" s="36">
        <f t="shared" si="9"/>
        <v>0</v>
      </c>
      <c r="L21" s="47" t="str">
        <f t="shared" si="10"/>
        <v xml:space="preserve"> </v>
      </c>
    </row>
    <row r="22" spans="2:12" x14ac:dyDescent="0.2">
      <c r="B22" s="48" t="str">
        <f>Rates!B63</f>
        <v>Rate Rider for Loss Revenue Adjustment Mechanism (LRAM) - effective until December 31, 2015</v>
      </c>
      <c r="C22" s="25">
        <f>Rates!E63</f>
        <v>0</v>
      </c>
      <c r="D22" s="91">
        <f>C8</f>
        <v>0.2</v>
      </c>
      <c r="E22" s="36">
        <f t="shared" si="4"/>
        <v>0</v>
      </c>
      <c r="F22" s="45"/>
      <c r="G22" s="25">
        <f>Rates!I63</f>
        <v>0</v>
      </c>
      <c r="H22" s="91">
        <f t="shared" si="6"/>
        <v>0.2</v>
      </c>
      <c r="I22" s="36">
        <f t="shared" si="5"/>
        <v>0</v>
      </c>
      <c r="J22" s="45"/>
      <c r="K22" s="36">
        <f t="shared" si="7"/>
        <v>0</v>
      </c>
      <c r="L22" s="47" t="str">
        <f t="shared" si="8"/>
        <v xml:space="preserve"> </v>
      </c>
    </row>
    <row r="23" spans="2:12" x14ac:dyDescent="0.2">
      <c r="B23" s="44" t="str">
        <f>Rates!B9</f>
        <v>Low Voltage Service Rate</v>
      </c>
      <c r="C23" s="25">
        <f>Rates!E58</f>
        <v>5.4199999999999998E-2</v>
      </c>
      <c r="D23" s="91">
        <f>C8</f>
        <v>0.2</v>
      </c>
      <c r="E23" s="36">
        <f t="shared" si="4"/>
        <v>1.0840000000000001E-2</v>
      </c>
      <c r="F23" s="45"/>
      <c r="G23" s="25">
        <f>Rates!I58</f>
        <v>5.4199999999999998E-2</v>
      </c>
      <c r="H23" s="91">
        <f t="shared" si="6"/>
        <v>0.2</v>
      </c>
      <c r="I23" s="36">
        <f t="shared" si="5"/>
        <v>1.0840000000000001E-2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56</v>
      </c>
      <c r="C24" s="50"/>
      <c r="D24" s="92"/>
      <c r="E24" s="52">
        <f>SUM(E16:E23)</f>
        <v>6.4382992799999998</v>
      </c>
      <c r="F24" s="53"/>
      <c r="G24" s="50"/>
      <c r="H24" s="92"/>
      <c r="I24" s="52">
        <f>SUM(I16:I23)</f>
        <v>6.4782792800000006</v>
      </c>
      <c r="J24" s="53"/>
      <c r="K24" s="54">
        <f t="shared" si="2"/>
        <v>3.9980000000000793E-2</v>
      </c>
      <c r="L24" s="55">
        <f t="shared" si="3"/>
        <v>6.209714438748612E-3</v>
      </c>
    </row>
    <row r="25" spans="2:12" x14ac:dyDescent="0.2">
      <c r="B25" s="44" t="str">
        <f>Rates!B15</f>
        <v>Retail Transmission Rate - Network Service Rate</v>
      </c>
      <c r="C25" s="25">
        <f>Rates!E64</f>
        <v>2.2526999999999999</v>
      </c>
      <c r="D25" s="91">
        <f>C8</f>
        <v>0.2</v>
      </c>
      <c r="E25" s="36">
        <f>C25*D25</f>
        <v>0.45054</v>
      </c>
      <c r="F25" s="45"/>
      <c r="G25" s="25">
        <f>Rates!I64</f>
        <v>2.2128999999999999</v>
      </c>
      <c r="H25" s="91">
        <f>D25</f>
        <v>0.2</v>
      </c>
      <c r="I25" s="36">
        <f>G25*H25</f>
        <v>0.44257999999999997</v>
      </c>
      <c r="J25" s="45"/>
      <c r="K25" s="36">
        <f t="shared" si="2"/>
        <v>-7.9600000000000226E-3</v>
      </c>
      <c r="L25" s="47">
        <f t="shared" si="3"/>
        <v>-1.7667687663692509E-2</v>
      </c>
    </row>
    <row r="26" spans="2:12" x14ac:dyDescent="0.2">
      <c r="B26" s="44" t="str">
        <f>Rates!B16</f>
        <v>Retail Transmission Rate - Line and Transformation Connection Service Rate</v>
      </c>
      <c r="C26" s="25">
        <f>Rates!E65</f>
        <v>1.6578999999999999</v>
      </c>
      <c r="D26" s="91">
        <f>C8</f>
        <v>0.2</v>
      </c>
      <c r="E26" s="36">
        <f>C26*D26</f>
        <v>0.33157999999999999</v>
      </c>
      <c r="F26" s="45"/>
      <c r="G26" s="25">
        <f>Rates!I65</f>
        <v>1.6977</v>
      </c>
      <c r="H26" s="91">
        <f>D26</f>
        <v>0.2</v>
      </c>
      <c r="I26" s="36">
        <f>G26*H26</f>
        <v>0.33954000000000001</v>
      </c>
      <c r="J26" s="45"/>
      <c r="K26" s="36">
        <f t="shared" si="2"/>
        <v>7.9600000000000226E-3</v>
      </c>
      <c r="L26" s="47">
        <f t="shared" si="3"/>
        <v>2.4006272995958811E-2</v>
      </c>
    </row>
    <row r="27" spans="2:12" x14ac:dyDescent="0.2">
      <c r="B27" s="49" t="s">
        <v>57</v>
      </c>
      <c r="C27" s="50"/>
      <c r="D27" s="51"/>
      <c r="E27" s="52">
        <f>SUM(E24:E26)</f>
        <v>7.2204192799999998</v>
      </c>
      <c r="F27" s="53"/>
      <c r="G27" s="50"/>
      <c r="H27" s="52"/>
      <c r="I27" s="52">
        <f>SUM(I24:I26)</f>
        <v>7.2603992800000006</v>
      </c>
      <c r="J27" s="53"/>
      <c r="K27" s="54">
        <f t="shared" si="2"/>
        <v>3.9980000000000793E-2</v>
      </c>
      <c r="L27" s="55">
        <f t="shared" si="3"/>
        <v>5.5370745727664717E-3</v>
      </c>
    </row>
    <row r="28" spans="2:12" x14ac:dyDescent="0.2">
      <c r="B28" s="44" t="str">
        <f>Rates!B244</f>
        <v>Wholesale Market Service Rate</v>
      </c>
      <c r="C28" s="25">
        <f>Rates!E244</f>
        <v>4.4000000000000003E-3</v>
      </c>
      <c r="D28" s="37">
        <f>C5*C7</f>
        <v>63.252000000000002</v>
      </c>
      <c r="E28" s="36">
        <f t="shared" ref="E28:E32" si="11">C28*D28</f>
        <v>0.27830880000000002</v>
      </c>
      <c r="F28" s="45"/>
      <c r="G28" s="25">
        <f>Rates!I244</f>
        <v>4.4000000000000003E-3</v>
      </c>
      <c r="H28" s="37">
        <f>D28</f>
        <v>63.252000000000002</v>
      </c>
      <c r="I28" s="36">
        <f t="shared" ref="I28:I32" si="12">G28*H28</f>
        <v>0.27830880000000002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Rates!B245</f>
        <v>Rural Rate Protection Charge</v>
      </c>
      <c r="C29" s="25">
        <f>Rates!E245</f>
        <v>1.2999999999999999E-3</v>
      </c>
      <c r="D29" s="37">
        <f>C5*C7</f>
        <v>63.252000000000002</v>
      </c>
      <c r="E29" s="36">
        <f t="shared" si="11"/>
        <v>8.2227599999999998E-2</v>
      </c>
      <c r="F29" s="45"/>
      <c r="G29" s="25">
        <f>Rates!I245</f>
        <v>1.2999999999999999E-3</v>
      </c>
      <c r="H29" s="37">
        <f t="shared" ref="H29:H30" si="13">D29</f>
        <v>63.252000000000002</v>
      </c>
      <c r="I29" s="36">
        <f t="shared" si="12"/>
        <v>8.2227599999999998E-2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Rates!B246</f>
        <v>Standard Supply Service - Administrative Charge (if applicable)</v>
      </c>
      <c r="C30" s="36">
        <f>Rates!E246</f>
        <v>0.25</v>
      </c>
      <c r="D30" s="37">
        <v>1</v>
      </c>
      <c r="E30" s="36">
        <f t="shared" si="11"/>
        <v>0.25</v>
      </c>
      <c r="F30" s="45"/>
      <c r="G30" s="36">
        <f>Rates!I246</f>
        <v>0.25</v>
      </c>
      <c r="H30" s="37">
        <f t="shared" si="13"/>
        <v>1</v>
      </c>
      <c r="I30" s="36">
        <f t="shared" si="12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Rates!B249</f>
        <v>Debt Retirement Charge</v>
      </c>
      <c r="C31" s="25">
        <f>Rates!E250</f>
        <v>0</v>
      </c>
      <c r="D31" s="37">
        <f>C7</f>
        <v>60</v>
      </c>
      <c r="E31" s="36">
        <f t="shared" si="11"/>
        <v>0</v>
      </c>
      <c r="F31" s="45"/>
      <c r="G31" s="25">
        <f>Rates!I250</f>
        <v>0</v>
      </c>
      <c r="H31" s="37">
        <f>D31</f>
        <v>60</v>
      </c>
      <c r="I31" s="36">
        <f t="shared" si="12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Rates!B266</f>
        <v>Energy Price</v>
      </c>
      <c r="C32" s="25">
        <f>Rates!E266</f>
        <v>0.10214000000000001</v>
      </c>
      <c r="D32" s="37">
        <f>C7*0.64</f>
        <v>38.4</v>
      </c>
      <c r="E32" s="36">
        <f t="shared" si="11"/>
        <v>3.9221760000000003</v>
      </c>
      <c r="F32" s="45"/>
      <c r="G32" s="25">
        <f>Rates!I266</f>
        <v>0.10214000000000001</v>
      </c>
      <c r="H32" s="37">
        <f>D32</f>
        <v>38.4</v>
      </c>
      <c r="I32" s="36">
        <f t="shared" si="12"/>
        <v>3.9221760000000003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58</v>
      </c>
      <c r="C34" s="35"/>
      <c r="D34" s="35"/>
      <c r="E34" s="39">
        <f>SUM(E27:E32)</f>
        <v>11.753131679999999</v>
      </c>
      <c r="F34" s="45"/>
      <c r="G34" s="35"/>
      <c r="H34" s="39"/>
      <c r="I34" s="39">
        <f>SUM(I27:I32)</f>
        <v>11.793111680000003</v>
      </c>
      <c r="J34" s="45"/>
      <c r="K34" s="36">
        <f t="shared" si="2"/>
        <v>3.9980000000003457E-2</v>
      </c>
      <c r="L34" s="47">
        <f t="shared" si="3"/>
        <v>3.4016465643821885E-3</v>
      </c>
    </row>
    <row r="35" spans="2:12" x14ac:dyDescent="0.2">
      <c r="B35" s="44" t="str">
        <f>Rates!B268</f>
        <v>HST</v>
      </c>
      <c r="C35" s="41">
        <f>Rates!E268</f>
        <v>0.13</v>
      </c>
      <c r="D35" s="35"/>
      <c r="E35" s="42">
        <f>E34*C35</f>
        <v>1.5279071183999999</v>
      </c>
      <c r="F35" s="45"/>
      <c r="G35" s="41">
        <f>Rates!I268</f>
        <v>0.13</v>
      </c>
      <c r="H35" s="35"/>
      <c r="I35" s="42">
        <f>I34*G35</f>
        <v>1.5331045184000005</v>
      </c>
      <c r="J35" s="45"/>
      <c r="K35" s="36">
        <f t="shared" si="2"/>
        <v>5.1974000000005738E-3</v>
      </c>
      <c r="L35" s="47">
        <f t="shared" si="3"/>
        <v>3.40164656438227E-3</v>
      </c>
    </row>
    <row r="36" spans="2:12" x14ac:dyDescent="0.2">
      <c r="B36" s="23" t="s">
        <v>59</v>
      </c>
      <c r="C36" s="35"/>
      <c r="D36" s="35"/>
      <c r="E36" s="42">
        <f>E34+E35</f>
        <v>13.281038798399999</v>
      </c>
      <c r="F36" s="45"/>
      <c r="G36" s="35"/>
      <c r="H36" s="35"/>
      <c r="I36" s="42">
        <f>I34+I35</f>
        <v>13.326216198400003</v>
      </c>
      <c r="J36" s="45"/>
      <c r="K36" s="36">
        <f t="shared" si="2"/>
        <v>4.5177400000003587E-2</v>
      </c>
      <c r="L36" s="47">
        <f t="shared" si="3"/>
        <v>3.4016465643821646E-3</v>
      </c>
    </row>
    <row r="37" spans="2:12" x14ac:dyDescent="0.2">
      <c r="B37" s="44" t="str">
        <f>Rates!B270</f>
        <v>OCEB</v>
      </c>
      <c r="C37" s="41">
        <f>Rates!E270</f>
        <v>0</v>
      </c>
      <c r="D37" s="35"/>
      <c r="E37" s="42">
        <f>E36*C37</f>
        <v>0</v>
      </c>
      <c r="F37" s="45"/>
      <c r="G37" s="41">
        <f>Rates!I270</f>
        <v>0</v>
      </c>
      <c r="H37" s="35"/>
      <c r="I37" s="42">
        <f>I36*G37</f>
        <v>0</v>
      </c>
      <c r="J37" s="45"/>
      <c r="K37" s="36">
        <f t="shared" si="2"/>
        <v>0</v>
      </c>
      <c r="L37" s="47" t="str">
        <f t="shared" si="3"/>
        <v xml:space="preserve"> </v>
      </c>
    </row>
    <row r="38" spans="2:12" ht="13.5" thickBot="1" x14ac:dyDescent="0.25">
      <c r="B38" s="30" t="s">
        <v>60</v>
      </c>
      <c r="C38" s="57"/>
      <c r="D38" s="57"/>
      <c r="E38" s="58">
        <f>E36+E37</f>
        <v>13.281038798399999</v>
      </c>
      <c r="F38" s="59"/>
      <c r="G38" s="57"/>
      <c r="H38" s="57"/>
      <c r="I38" s="58">
        <f>I36+I37</f>
        <v>13.326216198400003</v>
      </c>
      <c r="J38" s="59"/>
      <c r="K38" s="60">
        <f t="shared" si="2"/>
        <v>4.5177400000003587E-2</v>
      </c>
      <c r="L38" s="61">
        <f t="shared" si="3"/>
        <v>3.4016465643821646E-3</v>
      </c>
    </row>
  </sheetData>
  <mergeCells count="5">
    <mergeCell ref="B1:L1"/>
    <mergeCell ref="B11:B12"/>
    <mergeCell ref="C11:E11"/>
    <mergeCell ref="G11:I11"/>
    <mergeCell ref="K11:L11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Cover</vt:lpstr>
      <vt:lpstr>Rates</vt:lpstr>
      <vt:lpstr>FE - Residential RPP</vt:lpstr>
      <vt:lpstr>FE - Residential</vt:lpstr>
      <vt:lpstr>FE - GS &lt; 50 kW RPP</vt:lpstr>
      <vt:lpstr>FE - GS &lt; 50 kW</vt:lpstr>
      <vt:lpstr>FE - GS &gt; 50 kW</vt:lpstr>
      <vt:lpstr>FE - USL</vt:lpstr>
      <vt:lpstr>FE - Sentinel Lgt</vt:lpstr>
      <vt:lpstr>Sheet5</vt:lpstr>
      <vt:lpstr>Sheet6</vt:lpstr>
      <vt:lpstr>Sheet7</vt:lpstr>
      <vt:lpstr>FE - Street Lgt</vt:lpstr>
      <vt:lpstr>EOP - Residential RPP</vt:lpstr>
      <vt:lpstr>Sheet2</vt:lpstr>
      <vt:lpstr>EOP - Residential</vt:lpstr>
      <vt:lpstr>Sheet8</vt:lpstr>
      <vt:lpstr>EOP - GS &lt; 50 kW RPP</vt:lpstr>
      <vt:lpstr>EOP - GS &lt; 50 kW</vt:lpstr>
      <vt:lpstr>EOP - GS &gt; 50 kW</vt:lpstr>
      <vt:lpstr>EOP - USL</vt:lpstr>
      <vt:lpstr>Sheet3</vt:lpstr>
      <vt:lpstr>Sheet4</vt:lpstr>
      <vt:lpstr>EOP - Sentinel Lgt</vt:lpstr>
      <vt:lpstr>EOP - Street Lgt</vt:lpstr>
      <vt:lpstr>PC - Residential RPP</vt:lpstr>
      <vt:lpstr>PC - Residential</vt:lpstr>
      <vt:lpstr>PC - GS &lt; 50 KW RPP</vt:lpstr>
      <vt:lpstr>PC - GS &lt; 50 KW</vt:lpstr>
      <vt:lpstr>PC - GS &gt; 50 kW</vt:lpstr>
      <vt:lpstr>PC - USL</vt:lpstr>
      <vt:lpstr>PC - Sentinel Lgt</vt:lpstr>
      <vt:lpstr>PC - Street Lgt</vt:lpstr>
      <vt:lpstr>Summary - FE</vt:lpstr>
      <vt:lpstr>Summary - EOP</vt:lpstr>
      <vt:lpstr>Summary - PC</vt:lpstr>
      <vt:lpstr>Sheet1</vt:lpstr>
    </vt:vector>
  </TitlesOfParts>
  <Company>FortisOntario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2015-08-13T17:19:35Z</cp:lastPrinted>
  <dcterms:created xsi:type="dcterms:W3CDTF">2010-01-19T01:47:37Z</dcterms:created>
  <dcterms:modified xsi:type="dcterms:W3CDTF">2015-08-13T17:26:10Z</dcterms:modified>
</cp:coreProperties>
</file>