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CTIVE APPLICATIONS\CNPI_2016_IRM\Rate Design\"/>
    </mc:Choice>
  </mc:AlternateContent>
  <bookViews>
    <workbookView xWindow="480" yWindow="180" windowWidth="27795" windowHeight="12525" firstSheet="3" activeTab="9"/>
  </bookViews>
  <sheets>
    <sheet name="Cover Sheet" sheetId="8" r:id="rId1"/>
    <sheet name="2014 Board Approved Rates" sheetId="1" r:id="rId2"/>
    <sheet name="2015 Board Approved Rates" sheetId="9" r:id="rId3"/>
    <sheet name="2016 Proposed Rates" sheetId="12" r:id="rId4"/>
    <sheet name="2013 Reconcilation" sheetId="5" r:id="rId5"/>
    <sheet name="2014 Reconcilation" sheetId="6" r:id="rId6"/>
    <sheet name="2015 Reconcilation" sheetId="11" r:id="rId7"/>
    <sheet name="2016 Reconcilation" sheetId="13" r:id="rId8"/>
    <sheet name="Decoupling" sheetId="14" r:id="rId9"/>
    <sheet name="Proposed Rates" sheetId="15" r:id="rId10"/>
  </sheets>
  <calcPr calcId="152511"/>
</workbook>
</file>

<file path=xl/calcChain.xml><?xml version="1.0" encoding="utf-8"?>
<calcChain xmlns="http://schemas.openxmlformats.org/spreadsheetml/2006/main">
  <c r="F23" i="14" l="1"/>
  <c r="E13" i="15" l="1"/>
  <c r="E12" i="15"/>
  <c r="E11" i="15"/>
  <c r="D10" i="15"/>
  <c r="E9" i="15"/>
  <c r="D8" i="15"/>
  <c r="C13" i="15"/>
  <c r="C14" i="15"/>
  <c r="C12" i="15"/>
  <c r="C10" i="15"/>
  <c r="C9" i="15"/>
  <c r="C8" i="15"/>
  <c r="I13" i="14"/>
  <c r="I12" i="14"/>
  <c r="I10" i="14"/>
  <c r="H9" i="14"/>
  <c r="H11" i="14"/>
  <c r="K11" i="14" s="1"/>
  <c r="H8" i="14"/>
  <c r="G9" i="14"/>
  <c r="J9" i="14" s="1"/>
  <c r="G10" i="14"/>
  <c r="G11" i="14"/>
  <c r="G12" i="14"/>
  <c r="G13" i="14"/>
  <c r="J13" i="14" s="1"/>
  <c r="G8" i="14"/>
  <c r="F19" i="14" s="1"/>
  <c r="F13" i="14"/>
  <c r="K13" i="14" s="1"/>
  <c r="F12" i="14"/>
  <c r="K12" i="14" s="1"/>
  <c r="F10" i="14"/>
  <c r="K10" i="14" s="1"/>
  <c r="E9" i="14"/>
  <c r="K9" i="14" s="1"/>
  <c r="E10" i="14"/>
  <c r="E11" i="14"/>
  <c r="E12" i="14"/>
  <c r="E13" i="14"/>
  <c r="E8" i="14"/>
  <c r="D9" i="14"/>
  <c r="D10" i="14"/>
  <c r="D11" i="14"/>
  <c r="D12" i="14"/>
  <c r="D13" i="14"/>
  <c r="D8" i="14"/>
  <c r="D30" i="14" s="1"/>
  <c r="O51" i="13"/>
  <c r="I30" i="13"/>
  <c r="J30" i="13" s="1"/>
  <c r="G30" i="13"/>
  <c r="I14" i="13"/>
  <c r="G14" i="13"/>
  <c r="I29" i="13"/>
  <c r="G29" i="13"/>
  <c r="I13" i="13"/>
  <c r="G13" i="13"/>
  <c r="H28" i="13"/>
  <c r="G28" i="13"/>
  <c r="H12" i="13"/>
  <c r="G12" i="13"/>
  <c r="J12" i="13" s="1"/>
  <c r="I27" i="13"/>
  <c r="G27" i="13"/>
  <c r="J27" i="13" s="1"/>
  <c r="I11" i="13"/>
  <c r="G11" i="13"/>
  <c r="H26" i="13"/>
  <c r="G26" i="13"/>
  <c r="H10" i="13"/>
  <c r="G10" i="13"/>
  <c r="J10" i="13" s="1"/>
  <c r="H25" i="13"/>
  <c r="J25" i="13" s="1"/>
  <c r="G25" i="13"/>
  <c r="H9" i="13"/>
  <c r="G9" i="13"/>
  <c r="J9" i="13"/>
  <c r="N49" i="13"/>
  <c r="N46" i="13"/>
  <c r="F46" i="13"/>
  <c r="E46" i="13"/>
  <c r="D46" i="13"/>
  <c r="N45" i="13"/>
  <c r="F45" i="13"/>
  <c r="F49" i="13" s="1"/>
  <c r="E45" i="13"/>
  <c r="D45" i="13"/>
  <c r="N44" i="13"/>
  <c r="E44" i="13"/>
  <c r="D44" i="13"/>
  <c r="N43" i="13"/>
  <c r="F43" i="13"/>
  <c r="E43" i="13"/>
  <c r="D43" i="13"/>
  <c r="N42" i="13"/>
  <c r="E42" i="13"/>
  <c r="D42" i="13"/>
  <c r="N41" i="13"/>
  <c r="E41" i="13"/>
  <c r="E49" i="13" s="1"/>
  <c r="D41" i="13"/>
  <c r="D49" i="13" s="1"/>
  <c r="F33" i="13"/>
  <c r="E33" i="13"/>
  <c r="D33" i="13"/>
  <c r="J29" i="13"/>
  <c r="J28" i="13"/>
  <c r="J26" i="13"/>
  <c r="F17" i="13"/>
  <c r="E17" i="13"/>
  <c r="D17" i="13"/>
  <c r="J14" i="13"/>
  <c r="J13" i="13"/>
  <c r="J10" i="14" l="1"/>
  <c r="M10" i="14" s="1"/>
  <c r="J11" i="14"/>
  <c r="L11" i="14" s="1"/>
  <c r="J12" i="14"/>
  <c r="K8" i="14"/>
  <c r="E30" i="14"/>
  <c r="L10" i="14"/>
  <c r="N10" i="14" s="1"/>
  <c r="L13" i="14"/>
  <c r="N13" i="14" s="1"/>
  <c r="L9" i="14"/>
  <c r="N9" i="14" s="1"/>
  <c r="L12" i="14"/>
  <c r="N12" i="14" s="1"/>
  <c r="K14" i="14"/>
  <c r="J8" i="14"/>
  <c r="E14" i="14"/>
  <c r="F14" i="14"/>
  <c r="D14" i="14"/>
  <c r="J46" i="13"/>
  <c r="O46" i="13" s="1"/>
  <c r="J11" i="13"/>
  <c r="J43" i="13" s="1"/>
  <c r="O43" i="13" s="1"/>
  <c r="J42" i="13"/>
  <c r="O42" i="13" s="1"/>
  <c r="J41" i="13"/>
  <c r="J44" i="13"/>
  <c r="O44" i="13" s="1"/>
  <c r="J45" i="13"/>
  <c r="O45" i="13" s="1"/>
  <c r="J33" i="13"/>
  <c r="P33" i="12"/>
  <c r="O33" i="12"/>
  <c r="P32" i="12"/>
  <c r="O32" i="12"/>
  <c r="P30" i="12"/>
  <c r="O30" i="12"/>
  <c r="P29" i="12"/>
  <c r="O29" i="12"/>
  <c r="P28" i="12"/>
  <c r="O28" i="12"/>
  <c r="P27" i="12"/>
  <c r="O27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G33" i="12"/>
  <c r="G32" i="12"/>
  <c r="G30" i="12"/>
  <c r="G29" i="12"/>
  <c r="G28" i="12"/>
  <c r="G27" i="12"/>
  <c r="F34" i="12"/>
  <c r="F33" i="12"/>
  <c r="F32" i="12"/>
  <c r="F30" i="12"/>
  <c r="F29" i="12"/>
  <c r="F28" i="12"/>
  <c r="F27" i="12"/>
  <c r="M33" i="12"/>
  <c r="M32" i="12"/>
  <c r="M30" i="12"/>
  <c r="M29" i="12"/>
  <c r="M28" i="12"/>
  <c r="M27" i="12"/>
  <c r="M18" i="12"/>
  <c r="M19" i="12"/>
  <c r="M20" i="12"/>
  <c r="M21" i="12"/>
  <c r="M22" i="12"/>
  <c r="M17" i="12"/>
  <c r="P34" i="12"/>
  <c r="O34" i="12"/>
  <c r="K33" i="12"/>
  <c r="I33" i="12"/>
  <c r="K32" i="12"/>
  <c r="I32" i="12"/>
  <c r="P31" i="12"/>
  <c r="O31" i="12"/>
  <c r="I30" i="12"/>
  <c r="I29" i="12"/>
  <c r="I28" i="12"/>
  <c r="I27" i="12"/>
  <c r="P23" i="12"/>
  <c r="O23" i="12"/>
  <c r="K22" i="12"/>
  <c r="I22" i="12"/>
  <c r="K21" i="12"/>
  <c r="I21" i="12"/>
  <c r="K20" i="12"/>
  <c r="I20" i="12"/>
  <c r="K19" i="12"/>
  <c r="I19" i="12"/>
  <c r="K18" i="12"/>
  <c r="I18" i="12"/>
  <c r="K17" i="12"/>
  <c r="I17" i="12"/>
  <c r="D10" i="12"/>
  <c r="K30" i="12" s="1"/>
  <c r="M13" i="14" l="1"/>
  <c r="M11" i="14"/>
  <c r="N11" i="14"/>
  <c r="M12" i="14"/>
  <c r="L8" i="14"/>
  <c r="J14" i="14"/>
  <c r="M9" i="14"/>
  <c r="J17" i="13"/>
  <c r="J49" i="13"/>
  <c r="O49" i="13" s="1"/>
  <c r="O52" i="13" s="1"/>
  <c r="O41" i="13"/>
  <c r="K27" i="12"/>
  <c r="K28" i="12"/>
  <c r="K29" i="12"/>
  <c r="N49" i="11"/>
  <c r="N46" i="11"/>
  <c r="F46" i="11"/>
  <c r="E46" i="11"/>
  <c r="D46" i="11"/>
  <c r="N45" i="11"/>
  <c r="F45" i="11"/>
  <c r="E45" i="11"/>
  <c r="D45" i="11"/>
  <c r="N44" i="11"/>
  <c r="E44" i="11"/>
  <c r="D44" i="11"/>
  <c r="N43" i="11"/>
  <c r="F43" i="11"/>
  <c r="E43" i="11"/>
  <c r="D43" i="11"/>
  <c r="N42" i="11"/>
  <c r="E42" i="11"/>
  <c r="D42" i="11"/>
  <c r="N41" i="11"/>
  <c r="E41" i="11"/>
  <c r="D41" i="11"/>
  <c r="F33" i="11"/>
  <c r="E33" i="11"/>
  <c r="D33" i="11"/>
  <c r="F17" i="11"/>
  <c r="E17" i="11"/>
  <c r="D17" i="11"/>
  <c r="N34" i="9"/>
  <c r="M34" i="9"/>
  <c r="N31" i="9"/>
  <c r="M31" i="9"/>
  <c r="N23" i="9"/>
  <c r="M23" i="9"/>
  <c r="D10" i="9"/>
  <c r="K30" i="9" s="1"/>
  <c r="F20" i="14" l="1"/>
  <c r="F21" i="14" s="1"/>
  <c r="G30" i="14" s="1"/>
  <c r="L14" i="14"/>
  <c r="N14" i="14" s="1"/>
  <c r="N8" i="14"/>
  <c r="M8" i="14"/>
  <c r="K17" i="9"/>
  <c r="K29" i="9"/>
  <c r="K27" i="9"/>
  <c r="K21" i="9"/>
  <c r="K32" i="9"/>
  <c r="K19" i="9"/>
  <c r="K20" i="9"/>
  <c r="K28" i="9"/>
  <c r="K33" i="9"/>
  <c r="F49" i="11"/>
  <c r="D49" i="11"/>
  <c r="K22" i="9"/>
  <c r="K18" i="9"/>
  <c r="E49" i="11"/>
  <c r="G10" i="6"/>
  <c r="N49" i="6"/>
  <c r="N46" i="6"/>
  <c r="F46" i="6"/>
  <c r="E46" i="6"/>
  <c r="D46" i="6"/>
  <c r="N45" i="6"/>
  <c r="F45" i="6"/>
  <c r="F49" i="6" s="1"/>
  <c r="E45" i="6"/>
  <c r="D45" i="6"/>
  <c r="N44" i="6"/>
  <c r="E44" i="6"/>
  <c r="D44" i="6"/>
  <c r="N43" i="6"/>
  <c r="F43" i="6"/>
  <c r="E43" i="6"/>
  <c r="D43" i="6"/>
  <c r="N42" i="6"/>
  <c r="E42" i="6"/>
  <c r="D42" i="6"/>
  <c r="N41" i="6"/>
  <c r="E41" i="6"/>
  <c r="D41" i="6"/>
  <c r="F33" i="6"/>
  <c r="E33" i="6"/>
  <c r="D33" i="6"/>
  <c r="F17" i="6"/>
  <c r="E17" i="6"/>
  <c r="D17" i="6"/>
  <c r="F46" i="5"/>
  <c r="E46" i="5"/>
  <c r="D46" i="5"/>
  <c r="F45" i="5"/>
  <c r="E45" i="5"/>
  <c r="D45" i="5"/>
  <c r="E44" i="5"/>
  <c r="D44" i="5"/>
  <c r="F43" i="5"/>
  <c r="E43" i="5"/>
  <c r="D43" i="5"/>
  <c r="E42" i="5"/>
  <c r="D42" i="5"/>
  <c r="E41" i="5"/>
  <c r="D41" i="5"/>
  <c r="N49" i="5"/>
  <c r="N46" i="5"/>
  <c r="N45" i="5"/>
  <c r="N44" i="5"/>
  <c r="N43" i="5"/>
  <c r="N42" i="5"/>
  <c r="N41" i="5"/>
  <c r="J30" i="5"/>
  <c r="J29" i="5"/>
  <c r="J28" i="5"/>
  <c r="J27" i="5"/>
  <c r="J26" i="5"/>
  <c r="J25" i="5"/>
  <c r="F33" i="5"/>
  <c r="E33" i="5"/>
  <c r="D33" i="5"/>
  <c r="J14" i="5"/>
  <c r="J46" i="5" s="1"/>
  <c r="J13" i="5"/>
  <c r="J45" i="5" s="1"/>
  <c r="J12" i="5"/>
  <c r="J44" i="5" s="1"/>
  <c r="J11" i="5"/>
  <c r="J43" i="5" s="1"/>
  <c r="J10" i="5"/>
  <c r="J42" i="5" s="1"/>
  <c r="J9" i="5"/>
  <c r="J41" i="5" s="1"/>
  <c r="F17" i="5"/>
  <c r="E17" i="5"/>
  <c r="D17" i="5"/>
  <c r="J30" i="14" l="1"/>
  <c r="C7" i="15"/>
  <c r="H30" i="14"/>
  <c r="M14" i="14"/>
  <c r="E49" i="6"/>
  <c r="J49" i="5"/>
  <c r="O46" i="5"/>
  <c r="J17" i="5"/>
  <c r="O44" i="5"/>
  <c r="J33" i="5"/>
  <c r="O41" i="5"/>
  <c r="O45" i="5"/>
  <c r="O42" i="5"/>
  <c r="O43" i="5"/>
  <c r="O49" i="5"/>
  <c r="E49" i="5"/>
  <c r="D49" i="5"/>
  <c r="F49" i="5"/>
  <c r="D49" i="6"/>
  <c r="L34" i="1"/>
  <c r="K34" i="1"/>
  <c r="L23" i="1"/>
  <c r="K23" i="1"/>
  <c r="L31" i="1"/>
  <c r="K31" i="1"/>
  <c r="D10" i="1"/>
  <c r="K30" i="14" l="1"/>
  <c r="L30" i="14" s="1"/>
  <c r="L32" i="14" s="1"/>
  <c r="D7" i="15"/>
  <c r="O51" i="11"/>
  <c r="I30" i="9"/>
  <c r="I18" i="9"/>
  <c r="I22" i="9"/>
  <c r="I19" i="9"/>
  <c r="I32" i="9"/>
  <c r="I21" i="9"/>
  <c r="I29" i="9"/>
  <c r="I17" i="9"/>
  <c r="I33" i="9"/>
  <c r="I28" i="9"/>
  <c r="I20" i="9"/>
  <c r="I27" i="9"/>
  <c r="I33" i="1"/>
  <c r="K33" i="1" s="1"/>
  <c r="G30" i="6" s="1"/>
  <c r="O51" i="6"/>
  <c r="I21" i="1"/>
  <c r="I30" i="1"/>
  <c r="I17" i="1"/>
  <c r="I22" i="1"/>
  <c r="I32" i="1"/>
  <c r="I18" i="1"/>
  <c r="I27" i="1"/>
  <c r="I19" i="1"/>
  <c r="I29" i="1"/>
  <c r="I20" i="1"/>
  <c r="I28" i="1"/>
  <c r="M30" i="14" l="1"/>
  <c r="N30" i="14"/>
  <c r="M28" i="9"/>
  <c r="G26" i="11" s="1"/>
  <c r="N28" i="9"/>
  <c r="H26" i="11" s="1"/>
  <c r="N21" i="9"/>
  <c r="I13" i="11" s="1"/>
  <c r="M21" i="9"/>
  <c r="G13" i="11" s="1"/>
  <c r="M18" i="9"/>
  <c r="G10" i="11" s="1"/>
  <c r="N18" i="9"/>
  <c r="H10" i="11" s="1"/>
  <c r="N29" i="9"/>
  <c r="I27" i="11" s="1"/>
  <c r="M29" i="9"/>
  <c r="G27" i="11" s="1"/>
  <c r="M33" i="9"/>
  <c r="G30" i="11" s="1"/>
  <c r="N33" i="9"/>
  <c r="I30" i="11" s="1"/>
  <c r="N32" i="9"/>
  <c r="I29" i="11" s="1"/>
  <c r="M32" i="9"/>
  <c r="G29" i="11" s="1"/>
  <c r="N30" i="9"/>
  <c r="H28" i="11" s="1"/>
  <c r="M30" i="9"/>
  <c r="G28" i="11" s="1"/>
  <c r="N20" i="9"/>
  <c r="H12" i="11" s="1"/>
  <c r="M20" i="9"/>
  <c r="G12" i="11" s="1"/>
  <c r="M22" i="9"/>
  <c r="G14" i="11" s="1"/>
  <c r="N22" i="9"/>
  <c r="I14" i="11" s="1"/>
  <c r="M27" i="9"/>
  <c r="G25" i="11" s="1"/>
  <c r="N27" i="9"/>
  <c r="H25" i="11" s="1"/>
  <c r="M17" i="9"/>
  <c r="G9" i="11" s="1"/>
  <c r="N17" i="9"/>
  <c r="H9" i="11" s="1"/>
  <c r="N19" i="9"/>
  <c r="I11" i="11" s="1"/>
  <c r="M19" i="9"/>
  <c r="G11" i="11" s="1"/>
  <c r="L33" i="1"/>
  <c r="I30" i="6" s="1"/>
  <c r="J30" i="6" s="1"/>
  <c r="K27" i="1"/>
  <c r="G25" i="6" s="1"/>
  <c r="L27" i="1"/>
  <c r="H25" i="6" s="1"/>
  <c r="L22" i="1"/>
  <c r="I14" i="6" s="1"/>
  <c r="K22" i="1"/>
  <c r="G14" i="6" s="1"/>
  <c r="K28" i="1"/>
  <c r="G26" i="6" s="1"/>
  <c r="L28" i="1"/>
  <c r="H26" i="6" s="1"/>
  <c r="L20" i="1"/>
  <c r="H12" i="6" s="1"/>
  <c r="K20" i="1"/>
  <c r="G12" i="6" s="1"/>
  <c r="L18" i="1"/>
  <c r="H10" i="6" s="1"/>
  <c r="J10" i="6" s="1"/>
  <c r="K18" i="1"/>
  <c r="K17" i="1"/>
  <c r="G9" i="6" s="1"/>
  <c r="L17" i="1"/>
  <c r="H9" i="6" s="1"/>
  <c r="K29" i="1"/>
  <c r="G27" i="6" s="1"/>
  <c r="L29" i="1"/>
  <c r="I27" i="6" s="1"/>
  <c r="L30" i="1"/>
  <c r="H28" i="6" s="1"/>
  <c r="K30" i="1"/>
  <c r="G28" i="6" s="1"/>
  <c r="L19" i="1"/>
  <c r="I11" i="6" s="1"/>
  <c r="K19" i="1"/>
  <c r="G11" i="6" s="1"/>
  <c r="K32" i="1"/>
  <c r="G29" i="6" s="1"/>
  <c r="L32" i="1"/>
  <c r="I29" i="6" s="1"/>
  <c r="L21" i="1"/>
  <c r="I13" i="6" s="1"/>
  <c r="K21" i="1"/>
  <c r="G13" i="6" s="1"/>
  <c r="J25" i="11" l="1"/>
  <c r="J13" i="11"/>
  <c r="J9" i="11"/>
  <c r="J41" i="11" s="1"/>
  <c r="J28" i="11"/>
  <c r="J11" i="11"/>
  <c r="J12" i="11"/>
  <c r="J29" i="11"/>
  <c r="J45" i="11" s="1"/>
  <c r="O45" i="11" s="1"/>
  <c r="J27" i="11"/>
  <c r="J14" i="11"/>
  <c r="J30" i="11"/>
  <c r="J10" i="11"/>
  <c r="J26" i="11"/>
  <c r="J27" i="6"/>
  <c r="J26" i="6"/>
  <c r="J42" i="6" s="1"/>
  <c r="O42" i="6" s="1"/>
  <c r="J25" i="6"/>
  <c r="J28" i="6"/>
  <c r="J9" i="6"/>
  <c r="J13" i="6"/>
  <c r="J11" i="6"/>
  <c r="J29" i="6"/>
  <c r="J12" i="6"/>
  <c r="J14" i="6"/>
  <c r="J46" i="6" s="1"/>
  <c r="O46" i="6" s="1"/>
  <c r="J33" i="11" l="1"/>
  <c r="J44" i="11"/>
  <c r="O44" i="11" s="1"/>
  <c r="J43" i="11"/>
  <c r="O43" i="11" s="1"/>
  <c r="J46" i="11"/>
  <c r="O46" i="11" s="1"/>
  <c r="O41" i="11"/>
  <c r="J17" i="11"/>
  <c r="J42" i="11"/>
  <c r="O42" i="11" s="1"/>
  <c r="J41" i="6"/>
  <c r="O41" i="6" s="1"/>
  <c r="J43" i="6"/>
  <c r="O43" i="6" s="1"/>
  <c r="J44" i="6"/>
  <c r="O44" i="6" s="1"/>
  <c r="J17" i="6"/>
  <c r="J33" i="6"/>
  <c r="J45" i="6"/>
  <c r="O45" i="6" s="1"/>
  <c r="J49" i="11" l="1"/>
  <c r="O49" i="11" s="1"/>
  <c r="O52" i="11" s="1"/>
  <c r="J49" i="6"/>
  <c r="O49" i="6" s="1"/>
  <c r="O52" i="6" s="1"/>
</calcChain>
</file>

<file path=xl/sharedStrings.xml><?xml version="1.0" encoding="utf-8"?>
<sst xmlns="http://schemas.openxmlformats.org/spreadsheetml/2006/main" count="629" uniqueCount="97">
  <si>
    <t>Inflation Factor</t>
  </si>
  <si>
    <t>Productivity Factor</t>
  </si>
  <si>
    <t>Stretch Factor</t>
  </si>
  <si>
    <t>Price Index</t>
  </si>
  <si>
    <t>Customer Class</t>
  </si>
  <si>
    <t>Residential</t>
  </si>
  <si>
    <t>General Service &lt; 50 kW</t>
  </si>
  <si>
    <t>General Service 50 to 4,999 kW</t>
  </si>
  <si>
    <t>Unmetered Scattered Load</t>
  </si>
  <si>
    <t>Sentinel Lighting</t>
  </si>
  <si>
    <t>Street Lighting</t>
  </si>
  <si>
    <t>microFIT Generator</t>
  </si>
  <si>
    <t>Standby Power</t>
  </si>
  <si>
    <t>Price Cap Metric</t>
  </si>
  <si>
    <t>Status</t>
  </si>
  <si>
    <t>Calculated</t>
  </si>
  <si>
    <t>Value</t>
  </si>
  <si>
    <t>Service Charge</t>
  </si>
  <si>
    <t>Volumetric Rate</t>
  </si>
  <si>
    <t>n/a</t>
  </si>
  <si>
    <t>CNPI - Fort Erie &amp; Gananoque Service Territories</t>
  </si>
  <si>
    <t>CNPI - Port Colborne Service Territory</t>
  </si>
  <si>
    <t>2013 Board Approved        EB-2012-0112</t>
  </si>
  <si>
    <t>2013 Board Accepted        EB-2012-0112</t>
  </si>
  <si>
    <t>Effective January 1, 2013</t>
  </si>
  <si>
    <t>EB-2013-0117</t>
  </si>
  <si>
    <t>UOM</t>
  </si>
  <si>
    <t>kWh</t>
  </si>
  <si>
    <t>kW</t>
  </si>
  <si>
    <t>Default</t>
  </si>
  <si>
    <t>CNPI 2014 4th Generation Incentive Regulation</t>
  </si>
  <si>
    <t>Electricity Distribution Rate Generator</t>
  </si>
  <si>
    <t>Effective January 1, 2014</t>
  </si>
  <si>
    <t>Fort Erie / EOP</t>
  </si>
  <si>
    <t>Rate Class</t>
  </si>
  <si>
    <t>Customers/ Connections</t>
  </si>
  <si>
    <t>Test Year Consumption</t>
  </si>
  <si>
    <t>Proposed Rates</t>
  </si>
  <si>
    <t>Revenues at Proposed Rates</t>
  </si>
  <si>
    <t>Average for 2013</t>
  </si>
  <si>
    <t>Monthly Service Charge</t>
  </si>
  <si>
    <t>Volumetric</t>
  </si>
  <si>
    <t>Customers</t>
  </si>
  <si>
    <t>GS Less Than 50 kW</t>
  </si>
  <si>
    <t>GS 50 to 4,999 kW</t>
  </si>
  <si>
    <t>USL</t>
  </si>
  <si>
    <t>Connections</t>
  </si>
  <si>
    <t>Total</t>
  </si>
  <si>
    <t>Port Colborne</t>
  </si>
  <si>
    <t>CNPI</t>
  </si>
  <si>
    <t>Service Revenue Requirement</t>
  </si>
  <si>
    <t>Transformer Allowance Credit</t>
  </si>
  <si>
    <t>Difference</t>
  </si>
  <si>
    <t xml:space="preserve">Canadian Niagara Power Inc. </t>
  </si>
  <si>
    <t>Difference is due to Rounding</t>
  </si>
  <si>
    <t>Price Cap Margin on 2013 RR</t>
  </si>
  <si>
    <t>2014 "Going in" Rates</t>
  </si>
  <si>
    <t>2014 Approved Rates                         EB-2013-0117</t>
  </si>
  <si>
    <t>CNPI 2015 4th Generation Incentive Regulation</t>
  </si>
  <si>
    <t>2015 "Going in" Rates</t>
  </si>
  <si>
    <t>2014 Price Index</t>
  </si>
  <si>
    <t>2015 Price Index</t>
  </si>
  <si>
    <t>Effective January 1, 2015</t>
  </si>
  <si>
    <t>Approved</t>
  </si>
  <si>
    <t>Accumulated Price Cap Margin on 2013 RR</t>
  </si>
  <si>
    <t>EB-2014-0061</t>
  </si>
  <si>
    <t>2015 Proposed Rates                         EB-2014-0061</t>
  </si>
  <si>
    <t>2015 Revenue Reconciliation</t>
  </si>
  <si>
    <t>2014 Revenue Reconciliation</t>
  </si>
  <si>
    <t>2013 Revenue Reconciliation</t>
  </si>
  <si>
    <t>Estimated</t>
  </si>
  <si>
    <t>Assigned</t>
  </si>
  <si>
    <r>
      <t>2016 4</t>
    </r>
    <r>
      <rPr>
        <b/>
        <vertAlign val="superscript"/>
        <sz val="26"/>
        <rFont val="Arial"/>
        <family val="2"/>
      </rPr>
      <t>th</t>
    </r>
    <r>
      <rPr>
        <b/>
        <sz val="26"/>
        <rFont val="Arial"/>
        <family val="2"/>
      </rPr>
      <t xml:space="preserve"> Generation Incentive Regulation</t>
    </r>
  </si>
  <si>
    <t>2016 Distribution Rate Generator Model</t>
  </si>
  <si>
    <t>CNPI 2016 4th Generation Incentive Regulation</t>
  </si>
  <si>
    <t>2016 Price Index</t>
  </si>
  <si>
    <t>EB-2015-0058</t>
  </si>
  <si>
    <t>2016 Proposed Rates
EB-2015-0058</t>
  </si>
  <si>
    <t>Effective January 1, 2016</t>
  </si>
  <si>
    <t>2016 "Going in" Rates</t>
  </si>
  <si>
    <t>2016 Revenue Reconciliation</t>
  </si>
  <si>
    <t>Proposed Revenues</t>
  </si>
  <si>
    <t>Fixed</t>
  </si>
  <si>
    <t>Variable</t>
  </si>
  <si>
    <t>$</t>
  </si>
  <si>
    <t>Residential Decoupling</t>
  </si>
  <si>
    <t>Current Monthly Service Charge (post IRM adjustment)</t>
  </si>
  <si>
    <t>Monthly Service Charge to Achieve 100% Recovery</t>
  </si>
  <si>
    <t>Existing Split</t>
  </si>
  <si>
    <t>Four Year Annual Increment Required</t>
  </si>
  <si>
    <t>Decoupled Residential Rates</t>
  </si>
  <si>
    <t>First Incremental Monthly Service Charge</t>
  </si>
  <si>
    <t>Balance Check</t>
  </si>
  <si>
    <r>
      <t>Revenue Decoupling for the Residential Rate Class - 1</t>
    </r>
    <r>
      <rPr>
        <b/>
        <vertAlign val="superscript"/>
        <sz val="14"/>
        <color theme="1"/>
        <rFont val="Calibri"/>
        <family val="2"/>
        <scheme val="minor"/>
      </rPr>
      <t>st</t>
    </r>
    <r>
      <rPr>
        <b/>
        <sz val="14"/>
        <color theme="1"/>
        <rFont val="Calibri"/>
        <family val="2"/>
        <scheme val="minor"/>
      </rPr>
      <t xml:space="preserve"> Increment</t>
    </r>
  </si>
  <si>
    <t>Volumetric Charge</t>
  </si>
  <si>
    <t>Cap Applied to the Annual Increment</t>
  </si>
  <si>
    <t>August 13,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</si>
</sst>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  <numFmt numFmtId="168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vertAlign val="superscript"/>
      <sz val="26"/>
      <name val="Arial"/>
      <family val="2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2" borderId="13" xfId="0" applyFill="1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2" borderId="9" xfId="0" applyFill="1" applyBorder="1"/>
    <xf numFmtId="0" fontId="8" fillId="0" borderId="14" xfId="0" applyFont="1" applyFill="1" applyBorder="1"/>
    <xf numFmtId="165" fontId="9" fillId="0" borderId="14" xfId="1" applyNumberFormat="1" applyFont="1" applyBorder="1"/>
    <xf numFmtId="165" fontId="9" fillId="0" borderId="14" xfId="1" applyNumberFormat="1" applyFont="1" applyFill="1" applyBorder="1"/>
    <xf numFmtId="165" fontId="9" fillId="0" borderId="15" xfId="1" applyNumberFormat="1" applyFont="1" applyFill="1" applyBorder="1"/>
    <xf numFmtId="44" fontId="9" fillId="0" borderId="14" xfId="2" applyNumberFormat="1" applyFont="1" applyFill="1" applyBorder="1"/>
    <xf numFmtId="166" fontId="9" fillId="0" borderId="14" xfId="2" applyNumberFormat="1" applyFont="1" applyFill="1" applyBorder="1"/>
    <xf numFmtId="44" fontId="9" fillId="0" borderId="14" xfId="2" applyNumberFormat="1" applyFont="1" applyBorder="1"/>
    <xf numFmtId="167" fontId="9" fillId="0" borderId="0" xfId="2" applyNumberFormat="1" applyFont="1" applyFill="1" applyBorder="1"/>
    <xf numFmtId="167" fontId="9" fillId="0" borderId="0" xfId="2" applyNumberFormat="1" applyFont="1" applyBorder="1"/>
    <xf numFmtId="0" fontId="0" fillId="0" borderId="14" xfId="0" applyFill="1" applyBorder="1"/>
    <xf numFmtId="43" fontId="9" fillId="0" borderId="14" xfId="1" applyNumberFormat="1" applyFont="1" applyBorder="1"/>
    <xf numFmtId="44" fontId="9" fillId="0" borderId="16" xfId="2" applyNumberFormat="1" applyFont="1" applyBorder="1"/>
    <xf numFmtId="0" fontId="0" fillId="0" borderId="15" xfId="0" applyFill="1" applyBorder="1"/>
    <xf numFmtId="44" fontId="0" fillId="0" borderId="14" xfId="0" applyNumberFormat="1" applyBorder="1"/>
    <xf numFmtId="0" fontId="7" fillId="0" borderId="7" xfId="0" applyFont="1" applyBorder="1"/>
    <xf numFmtId="0" fontId="0" fillId="0" borderId="7" xfId="0" applyBorder="1"/>
    <xf numFmtId="165" fontId="8" fillId="0" borderId="7" xfId="0" applyNumberFormat="1" applyFont="1" applyBorder="1"/>
    <xf numFmtId="0" fontId="8" fillId="0" borderId="7" xfId="0" applyFont="1" applyBorder="1"/>
    <xf numFmtId="44" fontId="8" fillId="0" borderId="7" xfId="0" applyNumberFormat="1" applyFont="1" applyBorder="1"/>
    <xf numFmtId="0" fontId="8" fillId="2" borderId="6" xfId="0" applyFont="1" applyFill="1" applyBorder="1"/>
    <xf numFmtId="167" fontId="8" fillId="0" borderId="0" xfId="0" applyNumberFormat="1" applyFont="1" applyBorder="1"/>
    <xf numFmtId="167" fontId="0" fillId="0" borderId="0" xfId="0" applyNumberFormat="1" applyBorder="1"/>
    <xf numFmtId="0" fontId="7" fillId="2" borderId="2" xfId="0" applyFont="1" applyFill="1" applyBorder="1"/>
    <xf numFmtId="0" fontId="7" fillId="2" borderId="14" xfId="0" applyFont="1" applyFill="1" applyBorder="1"/>
    <xf numFmtId="0" fontId="0" fillId="2" borderId="10" xfId="0" applyFill="1" applyBorder="1"/>
    <xf numFmtId="0" fontId="0" fillId="2" borderId="14" xfId="0" applyFill="1" applyBorder="1"/>
    <xf numFmtId="167" fontId="9" fillId="0" borderId="14" xfId="2" applyNumberFormat="1" applyFont="1" applyFill="1" applyBorder="1"/>
    <xf numFmtId="167" fontId="9" fillId="0" borderId="14" xfId="2" applyNumberFormat="1" applyFont="1" applyBorder="1"/>
    <xf numFmtId="167" fontId="9" fillId="0" borderId="15" xfId="2" applyNumberFormat="1" applyFont="1" applyBorder="1"/>
    <xf numFmtId="167" fontId="9" fillId="0" borderId="16" xfId="2" applyNumberFormat="1" applyFont="1" applyBorder="1"/>
    <xf numFmtId="0" fontId="0" fillId="0" borderId="17" xfId="0" applyBorder="1"/>
    <xf numFmtId="167" fontId="8" fillId="0" borderId="7" xfId="0" applyNumberFormat="1" applyFont="1" applyBorder="1"/>
    <xf numFmtId="0" fontId="8" fillId="2" borderId="7" xfId="0" applyFont="1" applyFill="1" applyBorder="1"/>
    <xf numFmtId="167" fontId="0" fillId="0" borderId="8" xfId="0" applyNumberFormat="1" applyBorder="1"/>
    <xf numFmtId="0" fontId="7" fillId="0" borderId="7" xfId="0" applyFont="1" applyFill="1" applyBorder="1" applyAlignment="1">
      <alignment horizontal="center" vertical="center" wrapText="1"/>
    </xf>
    <xf numFmtId="167" fontId="0" fillId="0" borderId="0" xfId="2" applyNumberFormat="1" applyFont="1"/>
    <xf numFmtId="167" fontId="0" fillId="0" borderId="0" xfId="0" applyNumberFormat="1"/>
    <xf numFmtId="0" fontId="2" fillId="0" borderId="18" xfId="0" applyFont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/>
    <xf numFmtId="10" fontId="0" fillId="0" borderId="23" xfId="3" applyNumberFormat="1" applyFont="1" applyBorder="1" applyAlignment="1">
      <alignment horizontal="center"/>
    </xf>
    <xf numFmtId="10" fontId="3" fillId="0" borderId="23" xfId="3" applyNumberFormat="1" applyFont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10" fontId="0" fillId="0" borderId="26" xfId="3" applyNumberFormat="1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44" fontId="0" fillId="0" borderId="18" xfId="2" applyFont="1" applyBorder="1"/>
    <xf numFmtId="164" fontId="0" fillId="0" borderId="18" xfId="1" applyNumberFormat="1" applyFont="1" applyBorder="1"/>
    <xf numFmtId="10" fontId="0" fillId="0" borderId="18" xfId="0" applyNumberForma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3" xfId="0" applyBorder="1"/>
    <xf numFmtId="44" fontId="0" fillId="0" borderId="25" xfId="2" applyFont="1" applyBorder="1"/>
    <xf numFmtId="164" fontId="0" fillId="0" borderId="25" xfId="1" applyNumberFormat="1" applyFont="1" applyBorder="1"/>
    <xf numFmtId="0" fontId="0" fillId="0" borderId="25" xfId="0" applyBorder="1"/>
    <xf numFmtId="10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18" xfId="0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 wrapText="1"/>
    </xf>
    <xf numFmtId="0" fontId="0" fillId="0" borderId="20" xfId="0" applyBorder="1"/>
    <xf numFmtId="0" fontId="2" fillId="0" borderId="18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0" xfId="0" applyBorder="1" applyAlignment="1">
      <alignment vertical="center"/>
    </xf>
    <xf numFmtId="0" fontId="0" fillId="0" borderId="0" xfId="0" applyAlignment="1">
      <alignment horizontal="center"/>
    </xf>
    <xf numFmtId="43" fontId="0" fillId="0" borderId="0" xfId="1" applyFont="1"/>
    <xf numFmtId="165" fontId="0" fillId="0" borderId="0" xfId="0" applyNumberFormat="1"/>
    <xf numFmtId="168" fontId="0" fillId="0" borderId="8" xfId="3" applyNumberFormat="1" applyFont="1" applyBorder="1"/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0" borderId="7" xfId="0" applyNumberFormat="1" applyBorder="1"/>
    <xf numFmtId="165" fontId="0" fillId="0" borderId="7" xfId="1" applyNumberFormat="1" applyFont="1" applyBorder="1"/>
    <xf numFmtId="168" fontId="0" fillId="0" borderId="7" xfId="3" applyNumberFormat="1" applyFont="1" applyBorder="1"/>
    <xf numFmtId="0" fontId="0" fillId="0" borderId="28" xfId="0" applyBorder="1"/>
    <xf numFmtId="44" fontId="0" fillId="0" borderId="0" xfId="0" applyNumberFormat="1"/>
    <xf numFmtId="44" fontId="0" fillId="0" borderId="0" xfId="2" applyFont="1"/>
    <xf numFmtId="0" fontId="8" fillId="0" borderId="29" xfId="0" applyFont="1" applyFill="1" applyBorder="1"/>
    <xf numFmtId="165" fontId="9" fillId="0" borderId="29" xfId="1" applyNumberFormat="1" applyFont="1" applyBorder="1"/>
    <xf numFmtId="44" fontId="9" fillId="0" borderId="29" xfId="2" applyNumberFormat="1" applyFont="1" applyFill="1" applyBorder="1"/>
    <xf numFmtId="166" fontId="9" fillId="0" borderId="29" xfId="2" applyNumberFormat="1" applyFont="1" applyFill="1" applyBorder="1"/>
    <xf numFmtId="165" fontId="0" fillId="0" borderId="29" xfId="1" applyNumberFormat="1" applyFont="1" applyBorder="1"/>
    <xf numFmtId="165" fontId="0" fillId="0" borderId="29" xfId="0" applyNumberFormat="1" applyFont="1" applyBorder="1"/>
    <xf numFmtId="168" fontId="0" fillId="0" borderId="29" xfId="3" applyNumberFormat="1" applyFont="1" applyBorder="1"/>
    <xf numFmtId="168" fontId="0" fillId="0" borderId="30" xfId="3" applyNumberFormat="1" applyFont="1" applyBorder="1"/>
    <xf numFmtId="165" fontId="0" fillId="0" borderId="29" xfId="0" applyNumberFormat="1" applyBorder="1"/>
    <xf numFmtId="0" fontId="8" fillId="0" borderId="31" xfId="0" applyFont="1" applyFill="1" applyBorder="1"/>
    <xf numFmtId="165" fontId="9" fillId="0" borderId="31" xfId="1" applyNumberFormat="1" applyFont="1" applyBorder="1"/>
    <xf numFmtId="44" fontId="9" fillId="0" borderId="31" xfId="2" applyNumberFormat="1" applyFont="1" applyFill="1" applyBorder="1"/>
    <xf numFmtId="166" fontId="9" fillId="0" borderId="31" xfId="2" applyNumberFormat="1" applyFont="1" applyFill="1" applyBorder="1"/>
    <xf numFmtId="165" fontId="0" fillId="0" borderId="31" xfId="1" applyNumberFormat="1" applyFont="1" applyBorder="1"/>
    <xf numFmtId="165" fontId="0" fillId="0" borderId="31" xfId="0" applyNumberFormat="1" applyBorder="1"/>
    <xf numFmtId="168" fontId="0" fillId="0" borderId="31" xfId="3" applyNumberFormat="1" applyFont="1" applyBorder="1"/>
    <xf numFmtId="168" fontId="0" fillId="0" borderId="32" xfId="3" applyNumberFormat="1" applyFont="1" applyBorder="1"/>
    <xf numFmtId="165" fontId="0" fillId="0" borderId="31" xfId="0" applyNumberFormat="1" applyFont="1" applyBorder="1"/>
    <xf numFmtId="0" fontId="7" fillId="0" borderId="7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0" fontId="5" fillId="0" borderId="0" xfId="0" applyFont="1" applyAlignment="1"/>
    <xf numFmtId="49" fontId="10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14</xdr:row>
      <xdr:rowOff>180975</xdr:rowOff>
    </xdr:to>
    <xdr:pic>
      <xdr:nvPicPr>
        <xdr:cNvPr id="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857375"/>
          <a:ext cx="35433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9"/>
  <sheetViews>
    <sheetView showGridLines="0" topLeftCell="A7" workbookViewId="0">
      <selection activeCell="K20" sqref="K20"/>
    </sheetView>
  </sheetViews>
  <sheetFormatPr defaultRowHeight="15" x14ac:dyDescent="0.25"/>
  <cols>
    <col min="1" max="1" width="5" customWidth="1"/>
    <col min="9" max="9" width="47" customWidth="1"/>
    <col min="257" max="257" width="5" customWidth="1"/>
    <col min="265" max="265" width="47" customWidth="1"/>
    <col min="513" max="513" width="5" customWidth="1"/>
    <col min="521" max="521" width="47" customWidth="1"/>
    <col min="769" max="769" width="5" customWidth="1"/>
    <col min="777" max="777" width="47" customWidth="1"/>
    <col min="1025" max="1025" width="5" customWidth="1"/>
    <col min="1033" max="1033" width="47" customWidth="1"/>
    <col min="1281" max="1281" width="5" customWidth="1"/>
    <col min="1289" max="1289" width="47" customWidth="1"/>
    <col min="1537" max="1537" width="5" customWidth="1"/>
    <col min="1545" max="1545" width="47" customWidth="1"/>
    <col min="1793" max="1793" width="5" customWidth="1"/>
    <col min="1801" max="1801" width="47" customWidth="1"/>
    <col min="2049" max="2049" width="5" customWidth="1"/>
    <col min="2057" max="2057" width="47" customWidth="1"/>
    <col min="2305" max="2305" width="5" customWidth="1"/>
    <col min="2313" max="2313" width="47" customWidth="1"/>
    <col min="2561" max="2561" width="5" customWidth="1"/>
    <col min="2569" max="2569" width="47" customWidth="1"/>
    <col min="2817" max="2817" width="5" customWidth="1"/>
    <col min="2825" max="2825" width="47" customWidth="1"/>
    <col min="3073" max="3073" width="5" customWidth="1"/>
    <col min="3081" max="3081" width="47" customWidth="1"/>
    <col min="3329" max="3329" width="5" customWidth="1"/>
    <col min="3337" max="3337" width="47" customWidth="1"/>
    <col min="3585" max="3585" width="5" customWidth="1"/>
    <col min="3593" max="3593" width="47" customWidth="1"/>
    <col min="3841" max="3841" width="5" customWidth="1"/>
    <col min="3849" max="3849" width="47" customWidth="1"/>
    <col min="4097" max="4097" width="5" customWidth="1"/>
    <col min="4105" max="4105" width="47" customWidth="1"/>
    <col min="4353" max="4353" width="5" customWidth="1"/>
    <col min="4361" max="4361" width="47" customWidth="1"/>
    <col min="4609" max="4609" width="5" customWidth="1"/>
    <col min="4617" max="4617" width="47" customWidth="1"/>
    <col min="4865" max="4865" width="5" customWidth="1"/>
    <col min="4873" max="4873" width="47" customWidth="1"/>
    <col min="5121" max="5121" width="5" customWidth="1"/>
    <col min="5129" max="5129" width="47" customWidth="1"/>
    <col min="5377" max="5377" width="5" customWidth="1"/>
    <col min="5385" max="5385" width="47" customWidth="1"/>
    <col min="5633" max="5633" width="5" customWidth="1"/>
    <col min="5641" max="5641" width="47" customWidth="1"/>
    <col min="5889" max="5889" width="5" customWidth="1"/>
    <col min="5897" max="5897" width="47" customWidth="1"/>
    <col min="6145" max="6145" width="5" customWidth="1"/>
    <col min="6153" max="6153" width="47" customWidth="1"/>
    <col min="6401" max="6401" width="5" customWidth="1"/>
    <col min="6409" max="6409" width="47" customWidth="1"/>
    <col min="6657" max="6657" width="5" customWidth="1"/>
    <col min="6665" max="6665" width="47" customWidth="1"/>
    <col min="6913" max="6913" width="5" customWidth="1"/>
    <col min="6921" max="6921" width="47" customWidth="1"/>
    <col min="7169" max="7169" width="5" customWidth="1"/>
    <col min="7177" max="7177" width="47" customWidth="1"/>
    <col min="7425" max="7425" width="5" customWidth="1"/>
    <col min="7433" max="7433" width="47" customWidth="1"/>
    <col min="7681" max="7681" width="5" customWidth="1"/>
    <col min="7689" max="7689" width="47" customWidth="1"/>
    <col min="7937" max="7937" width="5" customWidth="1"/>
    <col min="7945" max="7945" width="47" customWidth="1"/>
    <col min="8193" max="8193" width="5" customWidth="1"/>
    <col min="8201" max="8201" width="47" customWidth="1"/>
    <col min="8449" max="8449" width="5" customWidth="1"/>
    <col min="8457" max="8457" width="47" customWidth="1"/>
    <col min="8705" max="8705" width="5" customWidth="1"/>
    <col min="8713" max="8713" width="47" customWidth="1"/>
    <col min="8961" max="8961" width="5" customWidth="1"/>
    <col min="8969" max="8969" width="47" customWidth="1"/>
    <col min="9217" max="9217" width="5" customWidth="1"/>
    <col min="9225" max="9225" width="47" customWidth="1"/>
    <col min="9473" max="9473" width="5" customWidth="1"/>
    <col min="9481" max="9481" width="47" customWidth="1"/>
    <col min="9729" max="9729" width="5" customWidth="1"/>
    <col min="9737" max="9737" width="47" customWidth="1"/>
    <col min="9985" max="9985" width="5" customWidth="1"/>
    <col min="9993" max="9993" width="47" customWidth="1"/>
    <col min="10241" max="10241" width="5" customWidth="1"/>
    <col min="10249" max="10249" width="47" customWidth="1"/>
    <col min="10497" max="10497" width="5" customWidth="1"/>
    <col min="10505" max="10505" width="47" customWidth="1"/>
    <col min="10753" max="10753" width="5" customWidth="1"/>
    <col min="10761" max="10761" width="47" customWidth="1"/>
    <col min="11009" max="11009" width="5" customWidth="1"/>
    <col min="11017" max="11017" width="47" customWidth="1"/>
    <col min="11265" max="11265" width="5" customWidth="1"/>
    <col min="11273" max="11273" width="47" customWidth="1"/>
    <col min="11521" max="11521" width="5" customWidth="1"/>
    <col min="11529" max="11529" width="47" customWidth="1"/>
    <col min="11777" max="11777" width="5" customWidth="1"/>
    <col min="11785" max="11785" width="47" customWidth="1"/>
    <col min="12033" max="12033" width="5" customWidth="1"/>
    <col min="12041" max="12041" width="47" customWidth="1"/>
    <col min="12289" max="12289" width="5" customWidth="1"/>
    <col min="12297" max="12297" width="47" customWidth="1"/>
    <col min="12545" max="12545" width="5" customWidth="1"/>
    <col min="12553" max="12553" width="47" customWidth="1"/>
    <col min="12801" max="12801" width="5" customWidth="1"/>
    <col min="12809" max="12809" width="47" customWidth="1"/>
    <col min="13057" max="13057" width="5" customWidth="1"/>
    <col min="13065" max="13065" width="47" customWidth="1"/>
    <col min="13313" max="13313" width="5" customWidth="1"/>
    <col min="13321" max="13321" width="47" customWidth="1"/>
    <col min="13569" max="13569" width="5" customWidth="1"/>
    <col min="13577" max="13577" width="47" customWidth="1"/>
    <col min="13825" max="13825" width="5" customWidth="1"/>
    <col min="13833" max="13833" width="47" customWidth="1"/>
    <col min="14081" max="14081" width="5" customWidth="1"/>
    <col min="14089" max="14089" width="47" customWidth="1"/>
    <col min="14337" max="14337" width="5" customWidth="1"/>
    <col min="14345" max="14345" width="47" customWidth="1"/>
    <col min="14593" max="14593" width="5" customWidth="1"/>
    <col min="14601" max="14601" width="47" customWidth="1"/>
    <col min="14849" max="14849" width="5" customWidth="1"/>
    <col min="14857" max="14857" width="47" customWidth="1"/>
    <col min="15105" max="15105" width="5" customWidth="1"/>
    <col min="15113" max="15113" width="47" customWidth="1"/>
    <col min="15361" max="15361" width="5" customWidth="1"/>
    <col min="15369" max="15369" width="47" customWidth="1"/>
    <col min="15617" max="15617" width="5" customWidth="1"/>
    <col min="15625" max="15625" width="47" customWidth="1"/>
    <col min="15873" max="15873" width="5" customWidth="1"/>
    <col min="15881" max="15881" width="47" customWidth="1"/>
    <col min="16129" max="16129" width="5" customWidth="1"/>
    <col min="16137" max="16137" width="47" customWidth="1"/>
  </cols>
  <sheetData>
    <row r="20" spans="2:9" ht="33.75" x14ac:dyDescent="0.5">
      <c r="B20" s="133" t="s">
        <v>53</v>
      </c>
      <c r="C20" s="133"/>
      <c r="D20" s="133"/>
      <c r="E20" s="133"/>
      <c r="F20" s="133"/>
      <c r="G20" s="133"/>
      <c r="H20" s="133"/>
      <c r="I20" s="133"/>
    </row>
    <row r="21" spans="2:9" ht="39" x14ac:dyDescent="0.5">
      <c r="B21" s="133" t="s">
        <v>72</v>
      </c>
      <c r="C21" s="133"/>
      <c r="D21" s="133"/>
      <c r="E21" s="133"/>
      <c r="F21" s="133"/>
      <c r="G21" s="133"/>
      <c r="H21" s="133"/>
      <c r="I21" s="133"/>
    </row>
    <row r="23" spans="2:9" ht="33.75" x14ac:dyDescent="0.5">
      <c r="B23" s="133" t="s">
        <v>73</v>
      </c>
      <c r="C23" s="133"/>
      <c r="D23" s="133"/>
      <c r="E23" s="133"/>
      <c r="F23" s="133"/>
      <c r="G23" s="133"/>
      <c r="H23" s="133"/>
      <c r="I23" s="133"/>
    </row>
    <row r="25" spans="2:9" ht="33.75" x14ac:dyDescent="0.5">
      <c r="B25" s="133"/>
      <c r="C25" s="133"/>
      <c r="D25" s="133"/>
      <c r="E25" s="133"/>
      <c r="F25" s="133"/>
      <c r="G25" s="133"/>
      <c r="H25" s="133"/>
      <c r="I25" s="133"/>
    </row>
    <row r="27" spans="2:9" ht="33.75" x14ac:dyDescent="0.5">
      <c r="B27" s="133" t="s">
        <v>76</v>
      </c>
      <c r="C27" s="133"/>
      <c r="D27" s="133"/>
      <c r="E27" s="133"/>
      <c r="F27" s="133"/>
      <c r="G27" s="133"/>
      <c r="H27" s="133"/>
      <c r="I27" s="133"/>
    </row>
    <row r="28" spans="2:9" ht="33.75" x14ac:dyDescent="0.5">
      <c r="B28" s="133"/>
      <c r="C28" s="134"/>
      <c r="D28" s="134"/>
      <c r="E28" s="134"/>
      <c r="F28" s="134"/>
      <c r="G28" s="134"/>
      <c r="H28" s="134"/>
      <c r="I28" s="134"/>
    </row>
    <row r="29" spans="2:9" ht="33.75" x14ac:dyDescent="0.5">
      <c r="B29" s="132" t="s">
        <v>96</v>
      </c>
      <c r="C29" s="132"/>
      <c r="D29" s="132"/>
      <c r="E29" s="132"/>
      <c r="F29" s="132"/>
      <c r="G29" s="132"/>
      <c r="H29" s="132"/>
      <c r="I29" s="132"/>
    </row>
  </sheetData>
  <mergeCells count="7">
    <mergeCell ref="B29:I29"/>
    <mergeCell ref="B20:I20"/>
    <mergeCell ref="B23:I23"/>
    <mergeCell ref="B21:I21"/>
    <mergeCell ref="B25:I25"/>
    <mergeCell ref="B27:I27"/>
    <mergeCell ref="B28:I28"/>
  </mergeCells>
  <pageMargins left="0.7" right="0.7" top="0.75" bottom="0.75" header="0.3" footer="0.3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5"/>
  <sheetViews>
    <sheetView tabSelected="1" workbookViewId="0">
      <selection activeCell="H5" sqref="H5"/>
    </sheetView>
  </sheetViews>
  <sheetFormatPr defaultRowHeight="15" x14ac:dyDescent="0.25"/>
  <cols>
    <col min="1" max="1" width="2.5703125" customWidth="1"/>
    <col min="2" max="2" width="28.42578125" bestFit="1" customWidth="1"/>
  </cols>
  <sheetData>
    <row r="2" spans="2:17" ht="18.75" x14ac:dyDescent="0.3">
      <c r="B2" s="135" t="s">
        <v>74</v>
      </c>
      <c r="C2" s="135"/>
      <c r="D2" s="135"/>
      <c r="E2" s="135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2:17" ht="18.75" x14ac:dyDescent="0.3">
      <c r="B3" s="135" t="s">
        <v>76</v>
      </c>
      <c r="C3" s="135"/>
      <c r="D3" s="135"/>
      <c r="E3" s="135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5" spans="2:17" ht="45" x14ac:dyDescent="0.25">
      <c r="B5" s="128" t="s">
        <v>4</v>
      </c>
      <c r="C5" s="129" t="s">
        <v>40</v>
      </c>
      <c r="D5" s="174" t="s">
        <v>94</v>
      </c>
      <c r="E5" s="174"/>
    </row>
    <row r="6" spans="2:17" x14ac:dyDescent="0.25">
      <c r="C6" s="127" t="s">
        <v>84</v>
      </c>
      <c r="D6" s="96" t="s">
        <v>27</v>
      </c>
      <c r="E6" s="96" t="s">
        <v>28</v>
      </c>
    </row>
    <row r="7" spans="2:17" x14ac:dyDescent="0.25">
      <c r="B7" s="14" t="s">
        <v>5</v>
      </c>
      <c r="C7" s="97">
        <f>Decoupling!G30</f>
        <v>23.33</v>
      </c>
      <c r="D7" s="130">
        <f>ROUND(Decoupling!H30,4)</f>
        <v>1.5100000000000001E-2</v>
      </c>
    </row>
    <row r="8" spans="2:17" x14ac:dyDescent="0.25">
      <c r="B8" s="14" t="s">
        <v>6</v>
      </c>
      <c r="C8" s="97">
        <f>'2016 Proposed Rates'!O18</f>
        <v>28.13</v>
      </c>
      <c r="D8" s="130">
        <f>'2016 Proposed Rates'!P18</f>
        <v>2.29E-2</v>
      </c>
    </row>
    <row r="9" spans="2:17" x14ac:dyDescent="0.25">
      <c r="B9" s="14" t="s">
        <v>7</v>
      </c>
      <c r="C9" s="97">
        <f>'2016 Proposed Rates'!O19</f>
        <v>151.08000000000001</v>
      </c>
      <c r="E9" s="130">
        <f>'2016 Proposed Rates'!P19</f>
        <v>6.6558000000000002</v>
      </c>
    </row>
    <row r="10" spans="2:17" x14ac:dyDescent="0.25">
      <c r="B10" s="14" t="s">
        <v>8</v>
      </c>
      <c r="C10" s="97">
        <f>'2016 Proposed Rates'!O20</f>
        <v>32.799999999999997</v>
      </c>
      <c r="D10" s="130">
        <f>'2016 Proposed Rates'!P20</f>
        <v>1.78E-2</v>
      </c>
    </row>
    <row r="11" spans="2:17" x14ac:dyDescent="0.25">
      <c r="B11" s="14" t="s">
        <v>12</v>
      </c>
      <c r="C11" s="97"/>
      <c r="E11" s="130">
        <f>'2016 Proposed Rates'!P31</f>
        <v>1.1676</v>
      </c>
    </row>
    <row r="12" spans="2:17" x14ac:dyDescent="0.25">
      <c r="B12" s="14" t="s">
        <v>9</v>
      </c>
      <c r="C12" s="97">
        <f>'2016 Proposed Rates'!O21</f>
        <v>5.07</v>
      </c>
      <c r="E12" s="130">
        <f>'2016 Proposed Rates'!P21</f>
        <v>5.8719999999999999</v>
      </c>
    </row>
    <row r="13" spans="2:17" x14ac:dyDescent="0.25">
      <c r="B13" s="14" t="s">
        <v>10</v>
      </c>
      <c r="C13" s="97">
        <f>'2016 Proposed Rates'!O22</f>
        <v>4.93</v>
      </c>
      <c r="E13" s="130">
        <f>'2016 Proposed Rates'!P22</f>
        <v>10.743399999999999</v>
      </c>
    </row>
    <row r="14" spans="2:17" x14ac:dyDescent="0.25">
      <c r="B14" s="14" t="s">
        <v>11</v>
      </c>
      <c r="C14" s="97">
        <f>'2016 Proposed Rates'!O23</f>
        <v>5.4</v>
      </c>
    </row>
    <row r="15" spans="2:17" x14ac:dyDescent="0.25">
      <c r="B15" s="14"/>
    </row>
  </sheetData>
  <mergeCells count="3">
    <mergeCell ref="D5:E5"/>
    <mergeCell ref="B2:E2"/>
    <mergeCell ref="B3:E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4"/>
  <sheetViews>
    <sheetView showGridLines="0" workbookViewId="0">
      <selection activeCell="Q22" sqref="Q22"/>
    </sheetView>
  </sheetViews>
  <sheetFormatPr defaultRowHeight="15" x14ac:dyDescent="0.25"/>
  <cols>
    <col min="1" max="1" width="2.5703125" customWidth="1"/>
    <col min="2" max="2" width="28.42578125" bestFit="1" customWidth="1"/>
    <col min="3" max="3" width="11.28515625" customWidth="1"/>
    <col min="4" max="4" width="11.42578125" customWidth="1"/>
    <col min="5" max="5" width="1.140625" customWidth="1"/>
    <col min="6" max="6" width="11.28515625" customWidth="1"/>
    <col min="7" max="7" width="11.42578125" customWidth="1"/>
    <col min="8" max="8" width="1.140625" customWidth="1"/>
    <col min="9" max="9" width="6.7109375" customWidth="1"/>
    <col min="10" max="10" width="1.140625" customWidth="1"/>
    <col min="11" max="11" width="11.28515625" customWidth="1"/>
    <col min="12" max="12" width="11.42578125" customWidth="1"/>
    <col min="13" max="13" width="5.7109375" bestFit="1" customWidth="1"/>
  </cols>
  <sheetData>
    <row r="2" spans="2:13" ht="18.75" x14ac:dyDescent="0.3">
      <c r="B2" s="135" t="s">
        <v>30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2:13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2:13" ht="18.75" x14ac:dyDescent="0.3">
      <c r="B4" s="135" t="s">
        <v>25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2:13" ht="9" customHeight="1" thickBot="1" x14ac:dyDescent="0.3"/>
    <row r="6" spans="2:13" x14ac:dyDescent="0.25">
      <c r="B6" s="58" t="s">
        <v>13</v>
      </c>
      <c r="C6" s="59" t="s">
        <v>14</v>
      </c>
      <c r="D6" s="60" t="s">
        <v>16</v>
      </c>
    </row>
    <row r="7" spans="2:13" x14ac:dyDescent="0.25">
      <c r="B7" s="61" t="s">
        <v>0</v>
      </c>
      <c r="C7" s="57" t="s">
        <v>29</v>
      </c>
      <c r="D7" s="62">
        <v>1.7000000000000001E-2</v>
      </c>
    </row>
    <row r="8" spans="2:13" x14ac:dyDescent="0.25">
      <c r="B8" s="61" t="s">
        <v>1</v>
      </c>
      <c r="C8" s="57" t="s">
        <v>29</v>
      </c>
      <c r="D8" s="62">
        <v>0</v>
      </c>
    </row>
    <row r="9" spans="2:13" x14ac:dyDescent="0.25">
      <c r="B9" s="61" t="s">
        <v>2</v>
      </c>
      <c r="C9" s="57" t="s">
        <v>29</v>
      </c>
      <c r="D9" s="63">
        <v>4.4999999999999997E-3</v>
      </c>
    </row>
    <row r="10" spans="2:13" ht="15.75" thickBot="1" x14ac:dyDescent="0.3">
      <c r="B10" s="64" t="s">
        <v>3</v>
      </c>
      <c r="C10" s="65" t="s">
        <v>15</v>
      </c>
      <c r="D10" s="66">
        <f>D7-D8-D9</f>
        <v>1.2500000000000001E-2</v>
      </c>
    </row>
    <row r="11" spans="2:13" ht="15.75" thickBot="1" x14ac:dyDescent="0.3"/>
    <row r="12" spans="2:13" ht="15.75" x14ac:dyDescent="0.25">
      <c r="B12" s="140" t="s">
        <v>20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2"/>
    </row>
    <row r="13" spans="2:13" ht="7.5" customHeight="1" x14ac:dyDescent="0.25"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</row>
    <row r="14" spans="2:13" ht="30" customHeight="1" x14ac:dyDescent="0.25">
      <c r="B14" s="71" t="s">
        <v>4</v>
      </c>
      <c r="C14" s="136" t="s">
        <v>22</v>
      </c>
      <c r="D14" s="136"/>
      <c r="E14" s="55"/>
      <c r="F14" s="136" t="s">
        <v>23</v>
      </c>
      <c r="G14" s="136"/>
      <c r="H14" s="55"/>
      <c r="I14" s="67" t="s">
        <v>3</v>
      </c>
      <c r="J14" s="56"/>
      <c r="K14" s="146" t="s">
        <v>57</v>
      </c>
      <c r="L14" s="146"/>
      <c r="M14" s="147"/>
    </row>
    <row r="15" spans="2:13" x14ac:dyDescent="0.25">
      <c r="B15" s="71"/>
      <c r="C15" s="136" t="s">
        <v>24</v>
      </c>
      <c r="D15" s="136"/>
      <c r="E15" s="55"/>
      <c r="F15" s="136" t="s">
        <v>56</v>
      </c>
      <c r="G15" s="136"/>
      <c r="H15" s="55"/>
      <c r="I15" s="67"/>
      <c r="J15" s="56"/>
      <c r="K15" s="148" t="s">
        <v>32</v>
      </c>
      <c r="L15" s="148"/>
      <c r="M15" s="149"/>
    </row>
    <row r="16" spans="2:13" ht="30" x14ac:dyDescent="0.25">
      <c r="B16" s="61"/>
      <c r="C16" s="67" t="s">
        <v>17</v>
      </c>
      <c r="D16" s="67" t="s">
        <v>18</v>
      </c>
      <c r="E16" s="55"/>
      <c r="F16" s="67" t="s">
        <v>17</v>
      </c>
      <c r="G16" s="67" t="s">
        <v>18</v>
      </c>
      <c r="H16" s="56"/>
      <c r="I16" s="56"/>
      <c r="J16" s="56"/>
      <c r="K16" s="67" t="s">
        <v>17</v>
      </c>
      <c r="L16" s="67" t="s">
        <v>18</v>
      </c>
      <c r="M16" s="72" t="s">
        <v>26</v>
      </c>
    </row>
    <row r="17" spans="2:13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18.71</v>
      </c>
      <c r="G17" s="69">
        <v>1.9900000000000001E-2</v>
      </c>
      <c r="H17" s="56"/>
      <c r="I17" s="70">
        <f t="shared" ref="I17:I22" si="0">D$10</f>
        <v>1.2500000000000001E-2</v>
      </c>
      <c r="J17" s="56"/>
      <c r="K17" s="68">
        <f>ROUND(F17*(1+I17),2)</f>
        <v>18.940000000000001</v>
      </c>
      <c r="L17" s="69">
        <f>ROUND(G17*(1+I17),4)</f>
        <v>2.01E-2</v>
      </c>
      <c r="M17" s="73" t="s">
        <v>27</v>
      </c>
    </row>
    <row r="18" spans="2:13" x14ac:dyDescent="0.25">
      <c r="B18" s="61" t="s">
        <v>6</v>
      </c>
      <c r="C18" s="68">
        <v>22.52</v>
      </c>
      <c r="D18" s="69">
        <v>2.4799999999999999E-2</v>
      </c>
      <c r="E18" s="56"/>
      <c r="F18" s="68">
        <v>24.06</v>
      </c>
      <c r="G18" s="69">
        <v>2.3699999999999999E-2</v>
      </c>
      <c r="H18" s="56"/>
      <c r="I18" s="70">
        <f t="shared" si="0"/>
        <v>1.2500000000000001E-2</v>
      </c>
      <c r="J18" s="56"/>
      <c r="K18" s="68">
        <f t="shared" ref="K18:K22" si="1">ROUND(F18*(1+I18),2)</f>
        <v>24.36</v>
      </c>
      <c r="L18" s="69">
        <f t="shared" ref="L18:L22" si="2">ROUND(G18*(1+I18),4)</f>
        <v>2.4E-2</v>
      </c>
      <c r="M18" s="73" t="s">
        <v>27</v>
      </c>
    </row>
    <row r="19" spans="2:13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141.79</v>
      </c>
      <c r="G19" s="69">
        <v>6.8369</v>
      </c>
      <c r="H19" s="56"/>
      <c r="I19" s="70">
        <f t="shared" si="0"/>
        <v>1.2500000000000001E-2</v>
      </c>
      <c r="J19" s="56"/>
      <c r="K19" s="68">
        <f t="shared" si="1"/>
        <v>143.56</v>
      </c>
      <c r="L19" s="69">
        <f t="shared" si="2"/>
        <v>6.9223999999999997</v>
      </c>
      <c r="M19" s="73" t="s">
        <v>28</v>
      </c>
    </row>
    <row r="20" spans="2:13" x14ac:dyDescent="0.25">
      <c r="B20" s="61" t="s">
        <v>8</v>
      </c>
      <c r="C20" s="68">
        <v>60.47</v>
      </c>
      <c r="D20" s="69">
        <v>0.04</v>
      </c>
      <c r="E20" s="56"/>
      <c r="F20" s="68">
        <v>50.86</v>
      </c>
      <c r="G20" s="69">
        <v>3.2000000000000001E-2</v>
      </c>
      <c r="H20" s="56"/>
      <c r="I20" s="70">
        <f t="shared" si="0"/>
        <v>1.2500000000000001E-2</v>
      </c>
      <c r="J20" s="56"/>
      <c r="K20" s="68">
        <f t="shared" si="1"/>
        <v>51.5</v>
      </c>
      <c r="L20" s="69">
        <f t="shared" si="2"/>
        <v>3.2399999999999998E-2</v>
      </c>
      <c r="M20" s="73" t="s">
        <v>27</v>
      </c>
    </row>
    <row r="21" spans="2:13" x14ac:dyDescent="0.25">
      <c r="B21" s="61" t="s">
        <v>9</v>
      </c>
      <c r="C21" s="68">
        <v>5</v>
      </c>
      <c r="D21" s="69">
        <v>5.0088999999999997</v>
      </c>
      <c r="E21" s="56"/>
      <c r="F21" s="68">
        <v>5.0199999999999996</v>
      </c>
      <c r="G21" s="69">
        <v>4.9489999999999998</v>
      </c>
      <c r="H21" s="56"/>
      <c r="I21" s="70">
        <f t="shared" si="0"/>
        <v>1.2500000000000001E-2</v>
      </c>
      <c r="J21" s="56"/>
      <c r="K21" s="68">
        <f t="shared" si="1"/>
        <v>5.08</v>
      </c>
      <c r="L21" s="69">
        <f t="shared" si="2"/>
        <v>5.0109000000000004</v>
      </c>
      <c r="M21" s="73" t="s">
        <v>28</v>
      </c>
    </row>
    <row r="22" spans="2:13" x14ac:dyDescent="0.25">
      <c r="B22" s="61" t="s">
        <v>10</v>
      </c>
      <c r="C22" s="68">
        <v>5.53</v>
      </c>
      <c r="D22" s="69">
        <v>9.8094000000000001</v>
      </c>
      <c r="E22" s="56"/>
      <c r="F22" s="68">
        <v>5.28</v>
      </c>
      <c r="G22" s="69">
        <v>9.9946999999999999</v>
      </c>
      <c r="H22" s="56"/>
      <c r="I22" s="70">
        <f t="shared" si="0"/>
        <v>1.2500000000000001E-2</v>
      </c>
      <c r="J22" s="56"/>
      <c r="K22" s="68">
        <f t="shared" si="1"/>
        <v>5.35</v>
      </c>
      <c r="L22" s="69">
        <f t="shared" si="2"/>
        <v>10.1196</v>
      </c>
      <c r="M22" s="73" t="s">
        <v>28</v>
      </c>
    </row>
    <row r="23" spans="2:13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68">
        <f>F23</f>
        <v>5.4</v>
      </c>
      <c r="L23" s="69">
        <f>G23</f>
        <v>0</v>
      </c>
      <c r="M23" s="74"/>
    </row>
    <row r="24" spans="2:13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2"/>
    </row>
    <row r="25" spans="2:13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5"/>
    </row>
    <row r="26" spans="2:13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</row>
    <row r="27" spans="2:13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v>17.41</v>
      </c>
      <c r="G27" s="69">
        <v>2.2499999999999999E-2</v>
      </c>
      <c r="H27" s="56"/>
      <c r="I27" s="70">
        <f>D$10</f>
        <v>1.2500000000000001E-2</v>
      </c>
      <c r="J27" s="56"/>
      <c r="K27" s="68">
        <f t="shared" ref="K27:K33" si="3">ROUND(F27*(1+I27),2)</f>
        <v>17.63</v>
      </c>
      <c r="L27" s="69">
        <f t="shared" ref="L27:L33" si="4">ROUND(G27*(1+I27),4)</f>
        <v>2.2800000000000001E-2</v>
      </c>
      <c r="M27" s="73" t="s">
        <v>27</v>
      </c>
    </row>
    <row r="28" spans="2:13" x14ac:dyDescent="0.25">
      <c r="B28" s="61" t="s">
        <v>6</v>
      </c>
      <c r="C28" s="68">
        <v>29.95</v>
      </c>
      <c r="D28" s="69">
        <v>1.9300000000000001E-2</v>
      </c>
      <c r="E28" s="56"/>
      <c r="F28" s="68">
        <v>29.02</v>
      </c>
      <c r="G28" s="69">
        <v>2.06E-2</v>
      </c>
      <c r="H28" s="56"/>
      <c r="I28" s="70">
        <f>D$10</f>
        <v>1.2500000000000001E-2</v>
      </c>
      <c r="J28" s="56"/>
      <c r="K28" s="68">
        <f t="shared" si="3"/>
        <v>29.38</v>
      </c>
      <c r="L28" s="69">
        <f t="shared" si="4"/>
        <v>2.0899999999999998E-2</v>
      </c>
      <c r="M28" s="73" t="s">
        <v>27</v>
      </c>
    </row>
    <row r="29" spans="2:13" x14ac:dyDescent="0.25">
      <c r="B29" s="61" t="s">
        <v>7</v>
      </c>
      <c r="C29" s="68">
        <v>420.55</v>
      </c>
      <c r="D29" s="69">
        <v>4.4494999999999996</v>
      </c>
      <c r="E29" s="56"/>
      <c r="F29" s="68">
        <v>283.19</v>
      </c>
      <c r="G29" s="69">
        <v>5.5285000000000002</v>
      </c>
      <c r="H29" s="56"/>
      <c r="I29" s="70">
        <f>D$10</f>
        <v>1.2500000000000001E-2</v>
      </c>
      <c r="J29" s="56"/>
      <c r="K29" s="68">
        <f t="shared" si="3"/>
        <v>286.73</v>
      </c>
      <c r="L29" s="69">
        <f t="shared" si="4"/>
        <v>5.5975999999999999</v>
      </c>
      <c r="M29" s="73" t="s">
        <v>28</v>
      </c>
    </row>
    <row r="30" spans="2:13" x14ac:dyDescent="0.25">
      <c r="B30" s="61" t="s">
        <v>8</v>
      </c>
      <c r="C30" s="68">
        <v>46.64</v>
      </c>
      <c r="D30" s="69">
        <v>2.8299999999999999E-2</v>
      </c>
      <c r="E30" s="56"/>
      <c r="F30" s="68">
        <v>41.64</v>
      </c>
      <c r="G30" s="69">
        <v>2.5000000000000001E-2</v>
      </c>
      <c r="H30" s="56"/>
      <c r="I30" s="70">
        <f>D$10</f>
        <v>1.2500000000000001E-2</v>
      </c>
      <c r="J30" s="56"/>
      <c r="K30" s="68">
        <f t="shared" si="3"/>
        <v>42.16</v>
      </c>
      <c r="L30" s="69">
        <f t="shared" si="4"/>
        <v>2.53E-2</v>
      </c>
      <c r="M30" s="73" t="s">
        <v>27</v>
      </c>
    </row>
    <row r="31" spans="2:13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68">
        <f>F31</f>
        <v>0</v>
      </c>
      <c r="L31" s="69">
        <f>G31</f>
        <v>1.1676</v>
      </c>
      <c r="M31" s="73" t="s">
        <v>28</v>
      </c>
    </row>
    <row r="32" spans="2:13" x14ac:dyDescent="0.25">
      <c r="B32" s="61" t="s">
        <v>9</v>
      </c>
      <c r="C32" s="68">
        <v>5</v>
      </c>
      <c r="D32" s="69">
        <v>5.0088999999999997</v>
      </c>
      <c r="E32" s="56"/>
      <c r="F32" s="68">
        <v>5.0199999999999996</v>
      </c>
      <c r="G32" s="69">
        <v>4.9489999999999998</v>
      </c>
      <c r="H32" s="56"/>
      <c r="I32" s="70">
        <f>D$10</f>
        <v>1.2500000000000001E-2</v>
      </c>
      <c r="J32" s="56"/>
      <c r="K32" s="68">
        <f t="shared" si="3"/>
        <v>5.08</v>
      </c>
      <c r="L32" s="69">
        <f t="shared" si="4"/>
        <v>5.0109000000000004</v>
      </c>
      <c r="M32" s="73" t="s">
        <v>28</v>
      </c>
    </row>
    <row r="33" spans="2:13" x14ac:dyDescent="0.25">
      <c r="B33" s="61" t="s">
        <v>10</v>
      </c>
      <c r="C33" s="68">
        <v>3.61</v>
      </c>
      <c r="D33" s="69">
        <v>9.8094000000000001</v>
      </c>
      <c r="E33" s="56"/>
      <c r="F33" s="68">
        <v>3.99</v>
      </c>
      <c r="G33" s="69">
        <v>9.9946999999999999</v>
      </c>
      <c r="H33" s="56"/>
      <c r="I33" s="70">
        <f>D$10</f>
        <v>1.2500000000000001E-2</v>
      </c>
      <c r="J33" s="56"/>
      <c r="K33" s="68">
        <f t="shared" si="3"/>
        <v>4.04</v>
      </c>
      <c r="L33" s="69">
        <f t="shared" si="4"/>
        <v>10.1196</v>
      </c>
      <c r="M33" s="73" t="s">
        <v>28</v>
      </c>
    </row>
    <row r="34" spans="2:13" ht="15.75" thickBot="1" x14ac:dyDescent="0.3">
      <c r="B34" s="64" t="s">
        <v>11</v>
      </c>
      <c r="C34" s="75">
        <v>5.4</v>
      </c>
      <c r="D34" s="76">
        <v>0</v>
      </c>
      <c r="E34" s="77"/>
      <c r="F34" s="75">
        <v>5.4</v>
      </c>
      <c r="G34" s="76">
        <v>0</v>
      </c>
      <c r="H34" s="77"/>
      <c r="I34" s="78" t="s">
        <v>19</v>
      </c>
      <c r="J34" s="77"/>
      <c r="K34" s="75">
        <f>F34</f>
        <v>5.4</v>
      </c>
      <c r="L34" s="76">
        <f>G34</f>
        <v>0</v>
      </c>
      <c r="M34" s="79"/>
    </row>
  </sheetData>
  <mergeCells count="14">
    <mergeCell ref="B26:M26"/>
    <mergeCell ref="B12:M12"/>
    <mergeCell ref="B25:M25"/>
    <mergeCell ref="B13:M13"/>
    <mergeCell ref="F15:G15"/>
    <mergeCell ref="C15:D15"/>
    <mergeCell ref="K14:M14"/>
    <mergeCell ref="K15:M15"/>
    <mergeCell ref="B24:M24"/>
    <mergeCell ref="B2:M2"/>
    <mergeCell ref="B3:M3"/>
    <mergeCell ref="B4:M4"/>
    <mergeCell ref="C14:D14"/>
    <mergeCell ref="F14:G14"/>
  </mergeCells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4"/>
  <sheetViews>
    <sheetView showGridLines="0" workbookViewId="0">
      <selection activeCell="G10" sqref="G10"/>
    </sheetView>
  </sheetViews>
  <sheetFormatPr defaultRowHeight="15" x14ac:dyDescent="0.25"/>
  <cols>
    <col min="1" max="1" width="2.5703125" customWidth="1"/>
    <col min="2" max="2" width="28.42578125" bestFit="1" customWidth="1"/>
    <col min="3" max="3" width="11.28515625" customWidth="1"/>
    <col min="4" max="4" width="11.42578125" customWidth="1"/>
    <col min="5" max="5" width="1.140625" customWidth="1"/>
    <col min="6" max="6" width="11.28515625" customWidth="1"/>
    <col min="7" max="7" width="11.42578125" customWidth="1"/>
    <col min="8" max="8" width="1.140625" customWidth="1"/>
    <col min="9" max="9" width="10.140625" customWidth="1"/>
    <col min="10" max="10" width="1.140625" customWidth="1"/>
    <col min="11" max="11" width="10.140625" customWidth="1"/>
    <col min="12" max="12" width="1.140625" customWidth="1"/>
    <col min="13" max="13" width="11.28515625" customWidth="1"/>
    <col min="14" max="14" width="11.42578125" customWidth="1"/>
    <col min="15" max="15" width="5.7109375" bestFit="1" customWidth="1"/>
  </cols>
  <sheetData>
    <row r="2" spans="2:15" ht="18.75" x14ac:dyDescent="0.3">
      <c r="B2" s="135" t="s">
        <v>58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2:15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2:15" ht="18.75" x14ac:dyDescent="0.3">
      <c r="B4" s="135" t="s">
        <v>65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5" ht="9" customHeight="1" thickBot="1" x14ac:dyDescent="0.3"/>
    <row r="6" spans="2:15" x14ac:dyDescent="0.25">
      <c r="B6" s="58" t="s">
        <v>13</v>
      </c>
      <c r="C6" s="59" t="s">
        <v>14</v>
      </c>
      <c r="D6" s="60" t="s">
        <v>16</v>
      </c>
    </row>
    <row r="7" spans="2:15" x14ac:dyDescent="0.25">
      <c r="B7" s="61" t="s">
        <v>0</v>
      </c>
      <c r="C7" s="80" t="s">
        <v>29</v>
      </c>
      <c r="D7" s="62">
        <v>1.6E-2</v>
      </c>
    </row>
    <row r="8" spans="2:15" x14ac:dyDescent="0.25">
      <c r="B8" s="61" t="s">
        <v>1</v>
      </c>
      <c r="C8" s="80" t="s">
        <v>29</v>
      </c>
      <c r="D8" s="62">
        <v>0</v>
      </c>
    </row>
    <row r="9" spans="2:15" x14ac:dyDescent="0.25">
      <c r="B9" s="61" t="s">
        <v>2</v>
      </c>
      <c r="C9" s="80" t="s">
        <v>71</v>
      </c>
      <c r="D9" s="63">
        <v>4.4999999999999997E-3</v>
      </c>
    </row>
    <row r="10" spans="2:15" ht="15.75" thickBot="1" x14ac:dyDescent="0.3">
      <c r="B10" s="64" t="s">
        <v>3</v>
      </c>
      <c r="C10" s="65" t="s">
        <v>15</v>
      </c>
      <c r="D10" s="66">
        <f>D7-D8-D9</f>
        <v>1.15E-2</v>
      </c>
    </row>
    <row r="12" spans="2:15" ht="15.75" x14ac:dyDescent="0.25">
      <c r="B12" s="153" t="s">
        <v>20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spans="2:15" ht="7.5" customHeight="1" thickBot="1" x14ac:dyDescent="0.3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2:15" ht="45" customHeight="1" x14ac:dyDescent="0.25">
      <c r="B14" s="58" t="s">
        <v>4</v>
      </c>
      <c r="C14" s="155" t="s">
        <v>22</v>
      </c>
      <c r="D14" s="155"/>
      <c r="E14" s="85"/>
      <c r="F14" s="155" t="s">
        <v>23</v>
      </c>
      <c r="G14" s="155"/>
      <c r="H14" s="85"/>
      <c r="I14" s="86" t="s">
        <v>60</v>
      </c>
      <c r="J14" s="87"/>
      <c r="K14" s="86" t="s">
        <v>61</v>
      </c>
      <c r="L14" s="87"/>
      <c r="M14" s="155" t="s">
        <v>66</v>
      </c>
      <c r="N14" s="155"/>
      <c r="O14" s="156"/>
    </row>
    <row r="15" spans="2:15" x14ac:dyDescent="0.25">
      <c r="B15" s="71"/>
      <c r="C15" s="136" t="s">
        <v>24</v>
      </c>
      <c r="D15" s="136"/>
      <c r="E15" s="55"/>
      <c r="F15" s="136" t="s">
        <v>59</v>
      </c>
      <c r="G15" s="136"/>
      <c r="H15" s="55"/>
      <c r="I15" s="82" t="s">
        <v>63</v>
      </c>
      <c r="J15" s="56"/>
      <c r="K15" s="82" t="s">
        <v>70</v>
      </c>
      <c r="L15" s="56"/>
      <c r="M15" s="148" t="s">
        <v>62</v>
      </c>
      <c r="N15" s="148"/>
      <c r="O15" s="149"/>
    </row>
    <row r="16" spans="2:15" ht="30" x14ac:dyDescent="0.25">
      <c r="B16" s="61"/>
      <c r="C16" s="82" t="s">
        <v>17</v>
      </c>
      <c r="D16" s="82" t="s">
        <v>18</v>
      </c>
      <c r="E16" s="55"/>
      <c r="F16" s="82" t="s">
        <v>17</v>
      </c>
      <c r="G16" s="82" t="s">
        <v>18</v>
      </c>
      <c r="H16" s="56"/>
      <c r="I16" s="56"/>
      <c r="J16" s="56"/>
      <c r="K16" s="56"/>
      <c r="L16" s="56"/>
      <c r="M16" s="82" t="s">
        <v>17</v>
      </c>
      <c r="N16" s="82" t="s">
        <v>18</v>
      </c>
      <c r="O16" s="83" t="s">
        <v>26</v>
      </c>
    </row>
    <row r="17" spans="2:15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18.97</v>
      </c>
      <c r="G17" s="69">
        <v>1.9699999999999999E-2</v>
      </c>
      <c r="H17" s="56"/>
      <c r="I17" s="70">
        <f>'2014 Board Approved Rates'!D$10</f>
        <v>1.2500000000000001E-2</v>
      </c>
      <c r="J17" s="56"/>
      <c r="K17" s="70">
        <f>D$10</f>
        <v>1.15E-2</v>
      </c>
      <c r="L17" s="56"/>
      <c r="M17" s="68">
        <f>ROUND(F17*(1+I17)*(1+K17),2)</f>
        <v>19.43</v>
      </c>
      <c r="N17" s="69">
        <f>ROUND(G17*(1+I17)*(1+K17),4)</f>
        <v>2.0199999999999999E-2</v>
      </c>
      <c r="O17" s="84" t="s">
        <v>27</v>
      </c>
    </row>
    <row r="18" spans="2:15" x14ac:dyDescent="0.25">
      <c r="B18" s="61" t="s">
        <v>6</v>
      </c>
      <c r="C18" s="68">
        <v>22.52</v>
      </c>
      <c r="D18" s="69">
        <v>2.4799999999999999E-2</v>
      </c>
      <c r="E18" s="56"/>
      <c r="F18" s="68">
        <v>25.6</v>
      </c>
      <c r="G18" s="69">
        <v>2.29E-2</v>
      </c>
      <c r="H18" s="56"/>
      <c r="I18" s="70">
        <f>'2014 Board Approved Rates'!D$10</f>
        <v>1.2500000000000001E-2</v>
      </c>
      <c r="J18" s="56"/>
      <c r="K18" s="70">
        <f t="shared" ref="K18:K22" si="0">D$10</f>
        <v>1.15E-2</v>
      </c>
      <c r="L18" s="56"/>
      <c r="M18" s="68">
        <f t="shared" ref="M18:M22" si="1">ROUND(F18*(1+I18)*(1+K18),2)</f>
        <v>26.22</v>
      </c>
      <c r="N18" s="69">
        <f t="shared" ref="N18:N22" si="2">ROUND(G18*(1+I18)*(1+K18),4)</f>
        <v>2.35E-2</v>
      </c>
      <c r="O18" s="84" t="s">
        <v>27</v>
      </c>
    </row>
    <row r="19" spans="2:15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145.84</v>
      </c>
      <c r="G19" s="69">
        <v>6.4249999999999998</v>
      </c>
      <c r="H19" s="56"/>
      <c r="I19" s="70">
        <f>'2014 Board Approved Rates'!D$10</f>
        <v>1.2500000000000001E-2</v>
      </c>
      <c r="J19" s="56"/>
      <c r="K19" s="70">
        <f t="shared" si="0"/>
        <v>1.15E-2</v>
      </c>
      <c r="L19" s="56"/>
      <c r="M19" s="68">
        <f t="shared" si="1"/>
        <v>149.36000000000001</v>
      </c>
      <c r="N19" s="69">
        <f t="shared" si="2"/>
        <v>6.5800999999999998</v>
      </c>
      <c r="O19" s="84" t="s">
        <v>28</v>
      </c>
    </row>
    <row r="20" spans="2:15" x14ac:dyDescent="0.25">
      <c r="B20" s="61" t="s">
        <v>8</v>
      </c>
      <c r="C20" s="68">
        <v>60.47</v>
      </c>
      <c r="D20" s="69">
        <v>0.04</v>
      </c>
      <c r="E20" s="56"/>
      <c r="F20" s="68">
        <v>41.26</v>
      </c>
      <c r="G20" s="69">
        <v>2.4400000000000002E-2</v>
      </c>
      <c r="H20" s="56"/>
      <c r="I20" s="70">
        <f>'2014 Board Approved Rates'!D$10</f>
        <v>1.2500000000000001E-2</v>
      </c>
      <c r="J20" s="56"/>
      <c r="K20" s="70">
        <f t="shared" si="0"/>
        <v>1.15E-2</v>
      </c>
      <c r="L20" s="56"/>
      <c r="M20" s="68">
        <f t="shared" si="1"/>
        <v>42.26</v>
      </c>
      <c r="N20" s="69">
        <f t="shared" si="2"/>
        <v>2.5000000000000001E-2</v>
      </c>
      <c r="O20" s="84" t="s">
        <v>27</v>
      </c>
    </row>
    <row r="21" spans="2:15" x14ac:dyDescent="0.25">
      <c r="B21" s="61" t="s">
        <v>9</v>
      </c>
      <c r="C21" s="68">
        <v>5</v>
      </c>
      <c r="D21" s="69">
        <v>5.0088999999999997</v>
      </c>
      <c r="E21" s="56"/>
      <c r="F21" s="68">
        <v>5.05</v>
      </c>
      <c r="G21" s="69">
        <v>4.8395999999999999</v>
      </c>
      <c r="H21" s="56"/>
      <c r="I21" s="70">
        <f>'2014 Board Approved Rates'!D$10</f>
        <v>1.2500000000000001E-2</v>
      </c>
      <c r="J21" s="56"/>
      <c r="K21" s="70">
        <f t="shared" si="0"/>
        <v>1.15E-2</v>
      </c>
      <c r="L21" s="56"/>
      <c r="M21" s="68">
        <f t="shared" si="1"/>
        <v>5.17</v>
      </c>
      <c r="N21" s="69">
        <f t="shared" si="2"/>
        <v>4.9564000000000004</v>
      </c>
      <c r="O21" s="84" t="s">
        <v>28</v>
      </c>
    </row>
    <row r="22" spans="2:15" x14ac:dyDescent="0.25">
      <c r="B22" s="61" t="s">
        <v>10</v>
      </c>
      <c r="C22" s="68">
        <v>5.53</v>
      </c>
      <c r="D22" s="69">
        <v>9.8094000000000001</v>
      </c>
      <c r="E22" s="56"/>
      <c r="F22" s="68">
        <v>4.93</v>
      </c>
      <c r="G22" s="69">
        <v>10.246700000000001</v>
      </c>
      <c r="H22" s="56"/>
      <c r="I22" s="70">
        <f>'2014 Board Approved Rates'!D$10</f>
        <v>1.2500000000000001E-2</v>
      </c>
      <c r="J22" s="56"/>
      <c r="K22" s="70">
        <f t="shared" si="0"/>
        <v>1.15E-2</v>
      </c>
      <c r="L22" s="56"/>
      <c r="M22" s="68">
        <f t="shared" si="1"/>
        <v>5.05</v>
      </c>
      <c r="N22" s="69">
        <f t="shared" si="2"/>
        <v>10.4941</v>
      </c>
      <c r="O22" s="84" t="s">
        <v>28</v>
      </c>
    </row>
    <row r="23" spans="2:15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70" t="s">
        <v>19</v>
      </c>
      <c r="L23" s="56"/>
      <c r="M23" s="68">
        <f>F23</f>
        <v>5.4</v>
      </c>
      <c r="N23" s="69">
        <f>G23</f>
        <v>0</v>
      </c>
      <c r="O23" s="74"/>
    </row>
    <row r="24" spans="2:15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2"/>
    </row>
    <row r="25" spans="2:15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2:15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9"/>
    </row>
    <row r="27" spans="2:15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v>18.32</v>
      </c>
      <c r="G27" s="69">
        <v>2.0799999999999999E-2</v>
      </c>
      <c r="H27" s="56"/>
      <c r="I27" s="70">
        <f>'2014 Board Approved Rates'!D$10</f>
        <v>1.2500000000000001E-2</v>
      </c>
      <c r="J27" s="56"/>
      <c r="K27" s="70">
        <f t="shared" ref="K27:K30" si="3">D$10</f>
        <v>1.15E-2</v>
      </c>
      <c r="L27" s="56"/>
      <c r="M27" s="68">
        <f t="shared" ref="M27:M30" si="4">ROUND(F27*(1+I27)*(1+K27),2)</f>
        <v>18.760000000000002</v>
      </c>
      <c r="N27" s="69">
        <f t="shared" ref="N27:N30" si="5">ROUND(G27*(1+I27)*(1+K27),4)</f>
        <v>2.1299999999999999E-2</v>
      </c>
      <c r="O27" s="84" t="s">
        <v>27</v>
      </c>
    </row>
    <row r="28" spans="2:15" x14ac:dyDescent="0.25">
      <c r="B28" s="61" t="s">
        <v>6</v>
      </c>
      <c r="C28" s="68">
        <v>29.95</v>
      </c>
      <c r="D28" s="69">
        <v>1.9300000000000001E-2</v>
      </c>
      <c r="E28" s="56"/>
      <c r="F28" s="68">
        <v>28.08</v>
      </c>
      <c r="G28" s="69">
        <v>2.1499999999999998E-2</v>
      </c>
      <c r="H28" s="56"/>
      <c r="I28" s="70">
        <f>'2014 Board Approved Rates'!D$10</f>
        <v>1.2500000000000001E-2</v>
      </c>
      <c r="J28" s="56"/>
      <c r="K28" s="70">
        <f t="shared" si="3"/>
        <v>1.15E-2</v>
      </c>
      <c r="L28" s="56"/>
      <c r="M28" s="68">
        <f t="shared" si="4"/>
        <v>28.76</v>
      </c>
      <c r="N28" s="69">
        <f t="shared" si="5"/>
        <v>2.1999999999999999E-2</v>
      </c>
      <c r="O28" s="84" t="s">
        <v>27</v>
      </c>
    </row>
    <row r="29" spans="2:15" x14ac:dyDescent="0.25">
      <c r="B29" s="61" t="s">
        <v>7</v>
      </c>
      <c r="C29" s="68">
        <v>420.55</v>
      </c>
      <c r="D29" s="69">
        <v>4.4494999999999996</v>
      </c>
      <c r="E29" s="56"/>
      <c r="F29" s="68">
        <v>145.84</v>
      </c>
      <c r="G29" s="69">
        <v>6.4249999999999998</v>
      </c>
      <c r="H29" s="56"/>
      <c r="I29" s="70">
        <f>'2014 Board Approved Rates'!D$10</f>
        <v>1.2500000000000001E-2</v>
      </c>
      <c r="J29" s="56"/>
      <c r="K29" s="70">
        <f t="shared" si="3"/>
        <v>1.15E-2</v>
      </c>
      <c r="L29" s="56"/>
      <c r="M29" s="68">
        <f t="shared" si="4"/>
        <v>149.36000000000001</v>
      </c>
      <c r="N29" s="69">
        <f t="shared" si="5"/>
        <v>6.5800999999999998</v>
      </c>
      <c r="O29" s="84" t="s">
        <v>28</v>
      </c>
    </row>
    <row r="30" spans="2:15" x14ac:dyDescent="0.25">
      <c r="B30" s="61" t="s">
        <v>8</v>
      </c>
      <c r="C30" s="68">
        <v>46.64</v>
      </c>
      <c r="D30" s="69">
        <v>2.8299999999999999E-2</v>
      </c>
      <c r="E30" s="56"/>
      <c r="F30" s="68">
        <v>36.549999999999997</v>
      </c>
      <c r="G30" s="69">
        <v>2.1499999999999998E-2</v>
      </c>
      <c r="H30" s="56"/>
      <c r="I30" s="70">
        <f>'2014 Board Approved Rates'!D$10</f>
        <v>1.2500000000000001E-2</v>
      </c>
      <c r="J30" s="56"/>
      <c r="K30" s="70">
        <f t="shared" si="3"/>
        <v>1.15E-2</v>
      </c>
      <c r="L30" s="56"/>
      <c r="M30" s="68">
        <f t="shared" si="4"/>
        <v>37.43</v>
      </c>
      <c r="N30" s="69">
        <f t="shared" si="5"/>
        <v>2.1999999999999999E-2</v>
      </c>
      <c r="O30" s="84" t="s">
        <v>27</v>
      </c>
    </row>
    <row r="31" spans="2:15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70" t="s">
        <v>19</v>
      </c>
      <c r="L31" s="56"/>
      <c r="M31" s="68">
        <f>F31</f>
        <v>0</v>
      </c>
      <c r="N31" s="69">
        <f>G31</f>
        <v>1.1676</v>
      </c>
      <c r="O31" s="84" t="s">
        <v>28</v>
      </c>
    </row>
    <row r="32" spans="2:15" x14ac:dyDescent="0.25">
      <c r="B32" s="61" t="s">
        <v>9</v>
      </c>
      <c r="C32" s="68">
        <v>5</v>
      </c>
      <c r="D32" s="69">
        <v>5.0088999999999997</v>
      </c>
      <c r="E32" s="56"/>
      <c r="F32" s="68">
        <v>5.05</v>
      </c>
      <c r="G32" s="69">
        <v>4.8395999999999999</v>
      </c>
      <c r="H32" s="56"/>
      <c r="I32" s="70">
        <f>'2014 Board Approved Rates'!D$10</f>
        <v>1.2500000000000001E-2</v>
      </c>
      <c r="J32" s="56"/>
      <c r="K32" s="70">
        <f t="shared" ref="K32:K33" si="6">D$10</f>
        <v>1.15E-2</v>
      </c>
      <c r="L32" s="56"/>
      <c r="M32" s="68">
        <f t="shared" ref="M32:M33" si="7">ROUND(F32*(1+I32)*(1+K32),2)</f>
        <v>5.17</v>
      </c>
      <c r="N32" s="69">
        <f t="shared" ref="N32:N33" si="8">ROUND(G32*(1+I32)*(1+K32),4)</f>
        <v>4.9564000000000004</v>
      </c>
      <c r="O32" s="84" t="s">
        <v>28</v>
      </c>
    </row>
    <row r="33" spans="2:15" x14ac:dyDescent="0.25">
      <c r="B33" s="61" t="s">
        <v>10</v>
      </c>
      <c r="C33" s="68">
        <v>3.61</v>
      </c>
      <c r="D33" s="69">
        <v>9.8094000000000001</v>
      </c>
      <c r="E33" s="56"/>
      <c r="F33" s="68">
        <v>4.5</v>
      </c>
      <c r="G33" s="69">
        <v>10.246700000000001</v>
      </c>
      <c r="H33" s="56"/>
      <c r="I33" s="70">
        <f>'2014 Board Approved Rates'!D$10</f>
        <v>1.2500000000000001E-2</v>
      </c>
      <c r="J33" s="56"/>
      <c r="K33" s="70">
        <f t="shared" si="6"/>
        <v>1.15E-2</v>
      </c>
      <c r="L33" s="56"/>
      <c r="M33" s="68">
        <f t="shared" si="7"/>
        <v>4.6100000000000003</v>
      </c>
      <c r="N33" s="69">
        <f t="shared" si="8"/>
        <v>10.4941</v>
      </c>
      <c r="O33" s="84" t="s">
        <v>28</v>
      </c>
    </row>
    <row r="34" spans="2:15" ht="15.75" thickBot="1" x14ac:dyDescent="0.3">
      <c r="B34" s="64" t="s">
        <v>11</v>
      </c>
      <c r="C34" s="75">
        <v>5.4</v>
      </c>
      <c r="D34" s="76">
        <v>0</v>
      </c>
      <c r="E34" s="77"/>
      <c r="F34" s="75">
        <v>5.4</v>
      </c>
      <c r="G34" s="76">
        <v>0</v>
      </c>
      <c r="H34" s="77"/>
      <c r="I34" s="78" t="s">
        <v>19</v>
      </c>
      <c r="J34" s="77"/>
      <c r="K34" s="78" t="s">
        <v>19</v>
      </c>
      <c r="L34" s="77"/>
      <c r="M34" s="75">
        <f>F34</f>
        <v>5.4</v>
      </c>
      <c r="N34" s="76">
        <f>G34</f>
        <v>0</v>
      </c>
      <c r="O34" s="79"/>
    </row>
  </sheetData>
  <mergeCells count="14">
    <mergeCell ref="B26:O26"/>
    <mergeCell ref="B2:O2"/>
    <mergeCell ref="B3:O3"/>
    <mergeCell ref="B4:O4"/>
    <mergeCell ref="B12:O12"/>
    <mergeCell ref="B13:O13"/>
    <mergeCell ref="C14:D14"/>
    <mergeCell ref="F14:G14"/>
    <mergeCell ref="M14:O14"/>
    <mergeCell ref="C15:D15"/>
    <mergeCell ref="F15:G15"/>
    <mergeCell ref="M15:O15"/>
    <mergeCell ref="B24:O24"/>
    <mergeCell ref="B25:O25"/>
  </mergeCells>
  <pageMargins left="0.7" right="0.7" top="0.75" bottom="0.75" header="0.3" footer="0.3"/>
  <pageSetup scale="70" orientation="portrait" r:id="rId1"/>
  <ignoredErrors>
    <ignoredError sqref="M31:N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4"/>
  <sheetViews>
    <sheetView showGridLines="0" workbookViewId="0">
      <selection activeCell="B2" sqref="B2:Q34"/>
    </sheetView>
  </sheetViews>
  <sheetFormatPr defaultRowHeight="15" x14ac:dyDescent="0.25"/>
  <cols>
    <col min="1" max="1" width="1.28515625" customWidth="1"/>
    <col min="2" max="2" width="28.42578125" bestFit="1" customWidth="1"/>
    <col min="3" max="3" width="10.28515625" bestFit="1" customWidth="1"/>
    <col min="4" max="4" width="11.42578125" customWidth="1"/>
    <col min="5" max="5" width="0.85546875" customWidth="1"/>
    <col min="6" max="6" width="11.28515625" customWidth="1"/>
    <col min="7" max="7" width="11.42578125" customWidth="1"/>
    <col min="8" max="8" width="0.85546875" customWidth="1"/>
    <col min="9" max="9" width="10.140625" customWidth="1"/>
    <col min="10" max="10" width="0.85546875" customWidth="1"/>
    <col min="11" max="11" width="10.140625" customWidth="1"/>
    <col min="12" max="12" width="0.85546875" customWidth="1"/>
    <col min="13" max="13" width="10.140625" customWidth="1"/>
    <col min="14" max="14" width="0.85546875" customWidth="1"/>
    <col min="15" max="15" width="9" bestFit="1" customWidth="1"/>
    <col min="16" max="16" width="10.85546875" bestFit="1" customWidth="1"/>
    <col min="17" max="17" width="5.7109375" bestFit="1" customWidth="1"/>
  </cols>
  <sheetData>
    <row r="2" spans="2:17" ht="18.75" x14ac:dyDescent="0.3">
      <c r="B2" s="135" t="s">
        <v>74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2:17" ht="18.75" x14ac:dyDescent="0.3">
      <c r="B3" s="135" t="s">
        <v>31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2:17" ht="18.75" x14ac:dyDescent="0.3">
      <c r="B4" s="135" t="s">
        <v>76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2:17" ht="9" customHeight="1" thickBot="1" x14ac:dyDescent="0.3"/>
    <row r="6" spans="2:17" x14ac:dyDescent="0.25">
      <c r="B6" s="58" t="s">
        <v>13</v>
      </c>
      <c r="C6" s="59" t="s">
        <v>14</v>
      </c>
      <c r="D6" s="60" t="s">
        <v>16</v>
      </c>
    </row>
    <row r="7" spans="2:17" x14ac:dyDescent="0.25">
      <c r="B7" s="61" t="s">
        <v>0</v>
      </c>
      <c r="C7" s="90" t="s">
        <v>70</v>
      </c>
      <c r="D7" s="62">
        <v>1.6E-2</v>
      </c>
    </row>
    <row r="8" spans="2:17" x14ac:dyDescent="0.25">
      <c r="B8" s="61" t="s">
        <v>1</v>
      </c>
      <c r="C8" s="90" t="s">
        <v>70</v>
      </c>
      <c r="D8" s="62">
        <v>0</v>
      </c>
    </row>
    <row r="9" spans="2:17" x14ac:dyDescent="0.25">
      <c r="B9" s="61" t="s">
        <v>2</v>
      </c>
      <c r="C9" s="90" t="s">
        <v>71</v>
      </c>
      <c r="D9" s="63">
        <v>4.4999999999999997E-3</v>
      </c>
    </row>
    <row r="10" spans="2:17" ht="15.75" thickBot="1" x14ac:dyDescent="0.3">
      <c r="B10" s="64" t="s">
        <v>3</v>
      </c>
      <c r="C10" s="65" t="s">
        <v>15</v>
      </c>
      <c r="D10" s="66">
        <f>D7-D8-D9</f>
        <v>1.15E-2</v>
      </c>
    </row>
    <row r="12" spans="2:17" ht="15.75" x14ac:dyDescent="0.25">
      <c r="B12" s="153" t="s">
        <v>20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</row>
    <row r="13" spans="2:17" ht="7.5" customHeight="1" thickBot="1" x14ac:dyDescent="0.3"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</row>
    <row r="14" spans="2:17" ht="45" customHeight="1" x14ac:dyDescent="0.25">
      <c r="B14" s="58" t="s">
        <v>4</v>
      </c>
      <c r="C14" s="155" t="s">
        <v>22</v>
      </c>
      <c r="D14" s="155"/>
      <c r="E14" s="85"/>
      <c r="F14" s="155" t="s">
        <v>23</v>
      </c>
      <c r="G14" s="155"/>
      <c r="H14" s="85"/>
      <c r="I14" s="92" t="s">
        <v>60</v>
      </c>
      <c r="J14" s="95"/>
      <c r="K14" s="92" t="s">
        <v>61</v>
      </c>
      <c r="L14" s="95"/>
      <c r="M14" s="92" t="s">
        <v>75</v>
      </c>
      <c r="N14" s="87"/>
      <c r="O14" s="155" t="s">
        <v>77</v>
      </c>
      <c r="P14" s="155"/>
      <c r="Q14" s="156"/>
    </row>
    <row r="15" spans="2:17" x14ac:dyDescent="0.25">
      <c r="B15" s="71"/>
      <c r="C15" s="136" t="s">
        <v>24</v>
      </c>
      <c r="D15" s="136"/>
      <c r="E15" s="55"/>
      <c r="F15" s="136" t="s">
        <v>79</v>
      </c>
      <c r="G15" s="136"/>
      <c r="H15" s="55"/>
      <c r="I15" s="88" t="s">
        <v>63</v>
      </c>
      <c r="J15" s="56"/>
      <c r="K15" s="88" t="s">
        <v>63</v>
      </c>
      <c r="L15" s="56"/>
      <c r="M15" s="88" t="s">
        <v>70</v>
      </c>
      <c r="N15" s="56"/>
      <c r="O15" s="148" t="s">
        <v>78</v>
      </c>
      <c r="P15" s="148"/>
      <c r="Q15" s="149"/>
    </row>
    <row r="16" spans="2:17" ht="30" x14ac:dyDescent="0.25">
      <c r="B16" s="61"/>
      <c r="C16" s="88" t="s">
        <v>17</v>
      </c>
      <c r="D16" s="88" t="s">
        <v>18</v>
      </c>
      <c r="E16" s="55"/>
      <c r="F16" s="88" t="s">
        <v>17</v>
      </c>
      <c r="G16" s="88" t="s">
        <v>18</v>
      </c>
      <c r="H16" s="56"/>
      <c r="I16" s="56"/>
      <c r="J16" s="56"/>
      <c r="K16" s="56"/>
      <c r="L16" s="56"/>
      <c r="M16" s="56"/>
      <c r="N16" s="56"/>
      <c r="O16" s="88" t="s">
        <v>17</v>
      </c>
      <c r="P16" s="88" t="s">
        <v>18</v>
      </c>
      <c r="Q16" s="89" t="s">
        <v>26</v>
      </c>
    </row>
    <row r="17" spans="2:17" x14ac:dyDescent="0.25">
      <c r="B17" s="61" t="s">
        <v>5</v>
      </c>
      <c r="C17" s="68">
        <v>18.440000000000001</v>
      </c>
      <c r="D17" s="69">
        <v>1.9900000000000001E-2</v>
      </c>
      <c r="E17" s="56"/>
      <c r="F17" s="68">
        <v>19.239999999999998</v>
      </c>
      <c r="G17" s="69">
        <v>1.9400000000000001E-2</v>
      </c>
      <c r="H17" s="56"/>
      <c r="I17" s="70">
        <f>'2014 Board Approved Rates'!D$10</f>
        <v>1.2500000000000001E-2</v>
      </c>
      <c r="J17" s="56"/>
      <c r="K17" s="70">
        <f>D$10</f>
        <v>1.15E-2</v>
      </c>
      <c r="L17" s="56"/>
      <c r="M17" s="70">
        <f>D$10</f>
        <v>1.15E-2</v>
      </c>
      <c r="N17" s="56"/>
      <c r="O17" s="68">
        <f>ROUND(F17*(1+I17)*(1+K17)*(1+M17),2)</f>
        <v>19.93</v>
      </c>
      <c r="P17" s="69">
        <f>ROUND(G17*(1+I17)*(1+K17)*(1+M17),4)</f>
        <v>2.01E-2</v>
      </c>
      <c r="Q17" s="91" t="s">
        <v>27</v>
      </c>
    </row>
    <row r="18" spans="2:17" x14ac:dyDescent="0.25">
      <c r="B18" s="61" t="s">
        <v>6</v>
      </c>
      <c r="C18" s="68">
        <v>22.52</v>
      </c>
      <c r="D18" s="69">
        <v>2.4799999999999999E-2</v>
      </c>
      <c r="E18" s="56"/>
      <c r="F18" s="68">
        <v>27.15</v>
      </c>
      <c r="G18" s="69">
        <v>2.2100000000000002E-2</v>
      </c>
      <c r="H18" s="56"/>
      <c r="I18" s="70">
        <f>'2014 Board Approved Rates'!D$10</f>
        <v>1.2500000000000001E-2</v>
      </c>
      <c r="J18" s="56"/>
      <c r="K18" s="70">
        <f t="shared" ref="K18:K22" si="0">D$10</f>
        <v>1.15E-2</v>
      </c>
      <c r="L18" s="56"/>
      <c r="M18" s="70">
        <f t="shared" ref="M18:M22" si="1">D$10</f>
        <v>1.15E-2</v>
      </c>
      <c r="N18" s="56"/>
      <c r="O18" s="68">
        <f t="shared" ref="O18:O22" si="2">ROUND(F18*(1+I18)*(1+K18)*(1+M18),2)</f>
        <v>28.13</v>
      </c>
      <c r="P18" s="69">
        <f t="shared" ref="P18:P22" si="3">ROUND(G18*(1+I18)*(1+K18)*(1+M18),4)</f>
        <v>2.29E-2</v>
      </c>
      <c r="Q18" s="91" t="s">
        <v>27</v>
      </c>
    </row>
    <row r="19" spans="2:17" x14ac:dyDescent="0.25">
      <c r="B19" s="61" t="s">
        <v>7</v>
      </c>
      <c r="C19" s="68">
        <v>137.72999999999999</v>
      </c>
      <c r="D19" s="69">
        <v>7.3987999999999996</v>
      </c>
      <c r="E19" s="56"/>
      <c r="F19" s="68">
        <v>145.84</v>
      </c>
      <c r="G19" s="69">
        <v>6.4249999999999998</v>
      </c>
      <c r="H19" s="56"/>
      <c r="I19" s="70">
        <f>'2014 Board Approved Rates'!D$10</f>
        <v>1.2500000000000001E-2</v>
      </c>
      <c r="J19" s="56"/>
      <c r="K19" s="70">
        <f t="shared" si="0"/>
        <v>1.15E-2</v>
      </c>
      <c r="L19" s="56"/>
      <c r="M19" s="70">
        <f t="shared" si="1"/>
        <v>1.15E-2</v>
      </c>
      <c r="N19" s="56"/>
      <c r="O19" s="68">
        <f t="shared" si="2"/>
        <v>151.08000000000001</v>
      </c>
      <c r="P19" s="69">
        <f t="shared" si="3"/>
        <v>6.6558000000000002</v>
      </c>
      <c r="Q19" s="91" t="s">
        <v>28</v>
      </c>
    </row>
    <row r="20" spans="2:17" x14ac:dyDescent="0.25">
      <c r="B20" s="61" t="s">
        <v>8</v>
      </c>
      <c r="C20" s="68">
        <v>60.47</v>
      </c>
      <c r="D20" s="69">
        <v>0.04</v>
      </c>
      <c r="E20" s="56"/>
      <c r="F20" s="68">
        <v>31.66</v>
      </c>
      <c r="G20" s="69">
        <v>1.72E-2</v>
      </c>
      <c r="H20" s="56"/>
      <c r="I20" s="70">
        <f>'2014 Board Approved Rates'!D$10</f>
        <v>1.2500000000000001E-2</v>
      </c>
      <c r="J20" s="56"/>
      <c r="K20" s="70">
        <f t="shared" si="0"/>
        <v>1.15E-2</v>
      </c>
      <c r="L20" s="56"/>
      <c r="M20" s="70">
        <f t="shared" si="1"/>
        <v>1.15E-2</v>
      </c>
      <c r="N20" s="56"/>
      <c r="O20" s="68">
        <f t="shared" si="2"/>
        <v>32.799999999999997</v>
      </c>
      <c r="P20" s="69">
        <f t="shared" si="3"/>
        <v>1.78E-2</v>
      </c>
      <c r="Q20" s="91" t="s">
        <v>27</v>
      </c>
    </row>
    <row r="21" spans="2:17" x14ac:dyDescent="0.25">
      <c r="B21" s="61" t="s">
        <v>9</v>
      </c>
      <c r="C21" s="68">
        <v>5</v>
      </c>
      <c r="D21" s="69">
        <v>5.0088999999999997</v>
      </c>
      <c r="E21" s="56"/>
      <c r="F21" s="68">
        <v>4.8899999999999997</v>
      </c>
      <c r="G21" s="69">
        <v>5.6684000000000001</v>
      </c>
      <c r="H21" s="56"/>
      <c r="I21" s="70">
        <f>'2014 Board Approved Rates'!D$10</f>
        <v>1.2500000000000001E-2</v>
      </c>
      <c r="J21" s="56"/>
      <c r="K21" s="70">
        <f t="shared" si="0"/>
        <v>1.15E-2</v>
      </c>
      <c r="L21" s="56"/>
      <c r="M21" s="70">
        <f t="shared" si="1"/>
        <v>1.15E-2</v>
      </c>
      <c r="N21" s="56"/>
      <c r="O21" s="68">
        <f t="shared" si="2"/>
        <v>5.07</v>
      </c>
      <c r="P21" s="69">
        <f t="shared" si="3"/>
        <v>5.8719999999999999</v>
      </c>
      <c r="Q21" s="91" t="s">
        <v>28</v>
      </c>
    </row>
    <row r="22" spans="2:17" x14ac:dyDescent="0.25">
      <c r="B22" s="61" t="s">
        <v>10</v>
      </c>
      <c r="C22" s="68">
        <v>5.53</v>
      </c>
      <c r="D22" s="69">
        <v>9.8094000000000001</v>
      </c>
      <c r="E22" s="56"/>
      <c r="F22" s="68">
        <v>4.76</v>
      </c>
      <c r="G22" s="69">
        <v>10.370900000000001</v>
      </c>
      <c r="H22" s="56"/>
      <c r="I22" s="70">
        <f>'2014 Board Approved Rates'!D$10</f>
        <v>1.2500000000000001E-2</v>
      </c>
      <c r="J22" s="56"/>
      <c r="K22" s="70">
        <f t="shared" si="0"/>
        <v>1.15E-2</v>
      </c>
      <c r="L22" s="56"/>
      <c r="M22" s="70">
        <f t="shared" si="1"/>
        <v>1.15E-2</v>
      </c>
      <c r="N22" s="56"/>
      <c r="O22" s="68">
        <f t="shared" si="2"/>
        <v>4.93</v>
      </c>
      <c r="P22" s="69">
        <f t="shared" si="3"/>
        <v>10.743399999999999</v>
      </c>
      <c r="Q22" s="91" t="s">
        <v>28</v>
      </c>
    </row>
    <row r="23" spans="2:17" x14ac:dyDescent="0.25">
      <c r="B23" s="61" t="s">
        <v>11</v>
      </c>
      <c r="C23" s="68">
        <v>5.4</v>
      </c>
      <c r="D23" s="69">
        <v>0</v>
      </c>
      <c r="E23" s="56"/>
      <c r="F23" s="68">
        <v>5.4</v>
      </c>
      <c r="G23" s="69">
        <v>0</v>
      </c>
      <c r="H23" s="56"/>
      <c r="I23" s="70" t="s">
        <v>19</v>
      </c>
      <c r="J23" s="56"/>
      <c r="K23" s="70" t="s">
        <v>19</v>
      </c>
      <c r="L23" s="56"/>
      <c r="M23" s="70" t="s">
        <v>19</v>
      </c>
      <c r="N23" s="56"/>
      <c r="O23" s="68">
        <f>F23</f>
        <v>5.4</v>
      </c>
      <c r="P23" s="69">
        <f>G23</f>
        <v>0</v>
      </c>
      <c r="Q23" s="74"/>
    </row>
    <row r="24" spans="2:17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2"/>
    </row>
    <row r="25" spans="2:17" ht="15.75" x14ac:dyDescent="0.25">
      <c r="B25" s="143" t="s">
        <v>21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</row>
    <row r="26" spans="2:17" ht="7.5" customHeight="1" x14ac:dyDescent="0.25"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9"/>
    </row>
    <row r="27" spans="2:17" x14ac:dyDescent="0.25">
      <c r="B27" s="61" t="s">
        <v>5</v>
      </c>
      <c r="C27" s="68">
        <v>16.489999999999998</v>
      </c>
      <c r="D27" s="69">
        <v>2.4500000000000001E-2</v>
      </c>
      <c r="E27" s="56"/>
      <c r="F27" s="68">
        <f t="shared" ref="F27:G30" si="4">F17</f>
        <v>19.239999999999998</v>
      </c>
      <c r="G27" s="69">
        <f t="shared" si="4"/>
        <v>1.9400000000000001E-2</v>
      </c>
      <c r="H27" s="56"/>
      <c r="I27" s="70">
        <f>'2014 Board Approved Rates'!D$10</f>
        <v>1.2500000000000001E-2</v>
      </c>
      <c r="J27" s="56"/>
      <c r="K27" s="70">
        <f t="shared" ref="K27:K30" si="5">D$10</f>
        <v>1.15E-2</v>
      </c>
      <c r="L27" s="56"/>
      <c r="M27" s="70">
        <f>D$10</f>
        <v>1.15E-2</v>
      </c>
      <c r="N27" s="56"/>
      <c r="O27" s="68">
        <f t="shared" ref="O27:O30" si="6">ROUND(F27*(1+I27)*(1+K27)*(1+M27),2)</f>
        <v>19.93</v>
      </c>
      <c r="P27" s="69">
        <f t="shared" ref="P27:P30" si="7">ROUND(G27*(1+I27)*(1+K27)*(1+M27),4)</f>
        <v>2.01E-2</v>
      </c>
      <c r="Q27" s="91" t="s">
        <v>27</v>
      </c>
    </row>
    <row r="28" spans="2:17" x14ac:dyDescent="0.25">
      <c r="B28" s="61" t="s">
        <v>6</v>
      </c>
      <c r="C28" s="68">
        <v>29.95</v>
      </c>
      <c r="D28" s="69">
        <v>1.9300000000000001E-2</v>
      </c>
      <c r="E28" s="56"/>
      <c r="F28" s="68">
        <f t="shared" si="4"/>
        <v>27.15</v>
      </c>
      <c r="G28" s="69">
        <f t="shared" si="4"/>
        <v>2.2100000000000002E-2</v>
      </c>
      <c r="H28" s="56"/>
      <c r="I28" s="70">
        <f>'2014 Board Approved Rates'!D$10</f>
        <v>1.2500000000000001E-2</v>
      </c>
      <c r="J28" s="56"/>
      <c r="K28" s="70">
        <f t="shared" si="5"/>
        <v>1.15E-2</v>
      </c>
      <c r="L28" s="56"/>
      <c r="M28" s="70">
        <f t="shared" ref="M28:M33" si="8">D$10</f>
        <v>1.15E-2</v>
      </c>
      <c r="N28" s="56"/>
      <c r="O28" s="68">
        <f t="shared" si="6"/>
        <v>28.13</v>
      </c>
      <c r="P28" s="69">
        <f t="shared" si="7"/>
        <v>2.29E-2</v>
      </c>
      <c r="Q28" s="91" t="s">
        <v>27</v>
      </c>
    </row>
    <row r="29" spans="2:17" x14ac:dyDescent="0.25">
      <c r="B29" s="61" t="s">
        <v>7</v>
      </c>
      <c r="C29" s="68">
        <v>420.55</v>
      </c>
      <c r="D29" s="69">
        <v>4.4494999999999996</v>
      </c>
      <c r="E29" s="56"/>
      <c r="F29" s="68">
        <f t="shared" si="4"/>
        <v>145.84</v>
      </c>
      <c r="G29" s="69">
        <f t="shared" si="4"/>
        <v>6.4249999999999998</v>
      </c>
      <c r="H29" s="56"/>
      <c r="I29" s="70">
        <f>'2014 Board Approved Rates'!D$10</f>
        <v>1.2500000000000001E-2</v>
      </c>
      <c r="J29" s="56"/>
      <c r="K29" s="70">
        <f t="shared" si="5"/>
        <v>1.15E-2</v>
      </c>
      <c r="L29" s="56"/>
      <c r="M29" s="70">
        <f t="shared" si="8"/>
        <v>1.15E-2</v>
      </c>
      <c r="N29" s="56"/>
      <c r="O29" s="68">
        <f t="shared" si="6"/>
        <v>151.08000000000001</v>
      </c>
      <c r="P29" s="69">
        <f t="shared" si="7"/>
        <v>6.6558000000000002</v>
      </c>
      <c r="Q29" s="91" t="s">
        <v>28</v>
      </c>
    </row>
    <row r="30" spans="2:17" x14ac:dyDescent="0.25">
      <c r="B30" s="61" t="s">
        <v>8</v>
      </c>
      <c r="C30" s="68">
        <v>46.64</v>
      </c>
      <c r="D30" s="69">
        <v>2.8299999999999999E-2</v>
      </c>
      <c r="E30" s="56"/>
      <c r="F30" s="68">
        <f t="shared" si="4"/>
        <v>31.66</v>
      </c>
      <c r="G30" s="69">
        <f t="shared" si="4"/>
        <v>1.72E-2</v>
      </c>
      <c r="H30" s="56"/>
      <c r="I30" s="70">
        <f>'2014 Board Approved Rates'!D$10</f>
        <v>1.2500000000000001E-2</v>
      </c>
      <c r="J30" s="56"/>
      <c r="K30" s="70">
        <f t="shared" si="5"/>
        <v>1.15E-2</v>
      </c>
      <c r="L30" s="56"/>
      <c r="M30" s="70">
        <f t="shared" si="8"/>
        <v>1.15E-2</v>
      </c>
      <c r="N30" s="56"/>
      <c r="O30" s="68">
        <f t="shared" si="6"/>
        <v>32.799999999999997</v>
      </c>
      <c r="P30" s="69">
        <f t="shared" si="7"/>
        <v>1.78E-2</v>
      </c>
      <c r="Q30" s="91" t="s">
        <v>27</v>
      </c>
    </row>
    <row r="31" spans="2:17" x14ac:dyDescent="0.25">
      <c r="B31" s="61" t="s">
        <v>12</v>
      </c>
      <c r="C31" s="68">
        <v>0</v>
      </c>
      <c r="D31" s="69">
        <v>1.1676</v>
      </c>
      <c r="E31" s="56"/>
      <c r="F31" s="68">
        <v>0</v>
      </c>
      <c r="G31" s="69">
        <v>1.1676</v>
      </c>
      <c r="H31" s="56"/>
      <c r="I31" s="70" t="s">
        <v>19</v>
      </c>
      <c r="J31" s="56"/>
      <c r="K31" s="70" t="s">
        <v>19</v>
      </c>
      <c r="L31" s="56"/>
      <c r="M31" s="70" t="s">
        <v>19</v>
      </c>
      <c r="N31" s="56"/>
      <c r="O31" s="68">
        <f>F31</f>
        <v>0</v>
      </c>
      <c r="P31" s="69">
        <f>G31</f>
        <v>1.1676</v>
      </c>
      <c r="Q31" s="91" t="s">
        <v>28</v>
      </c>
    </row>
    <row r="32" spans="2:17" x14ac:dyDescent="0.25">
      <c r="B32" s="61" t="s">
        <v>9</v>
      </c>
      <c r="C32" s="68">
        <v>5</v>
      </c>
      <c r="D32" s="69">
        <v>5.0088999999999997</v>
      </c>
      <c r="E32" s="56"/>
      <c r="F32" s="68">
        <f>F21</f>
        <v>4.8899999999999997</v>
      </c>
      <c r="G32" s="69">
        <f>G21</f>
        <v>5.6684000000000001</v>
      </c>
      <c r="H32" s="56"/>
      <c r="I32" s="70">
        <f>'2014 Board Approved Rates'!D$10</f>
        <v>1.2500000000000001E-2</v>
      </c>
      <c r="J32" s="56"/>
      <c r="K32" s="70">
        <f t="shared" ref="K32:K33" si="9">D$10</f>
        <v>1.15E-2</v>
      </c>
      <c r="L32" s="56"/>
      <c r="M32" s="70">
        <f t="shared" si="8"/>
        <v>1.15E-2</v>
      </c>
      <c r="N32" s="56"/>
      <c r="O32" s="68">
        <f t="shared" ref="O32:O33" si="10">ROUND(F32*(1+I32)*(1+K32)*(1+M32),2)</f>
        <v>5.07</v>
      </c>
      <c r="P32" s="69">
        <f t="shared" ref="P32:P33" si="11">ROUND(G32*(1+I32)*(1+K32)*(1+M32),4)</f>
        <v>5.8719999999999999</v>
      </c>
      <c r="Q32" s="91" t="s">
        <v>28</v>
      </c>
    </row>
    <row r="33" spans="2:17" x14ac:dyDescent="0.25">
      <c r="B33" s="61" t="s">
        <v>10</v>
      </c>
      <c r="C33" s="68">
        <v>3.61</v>
      </c>
      <c r="D33" s="69">
        <v>9.8094000000000001</v>
      </c>
      <c r="E33" s="56"/>
      <c r="F33" s="68">
        <f>F22</f>
        <v>4.76</v>
      </c>
      <c r="G33" s="69">
        <f>G22</f>
        <v>10.370900000000001</v>
      </c>
      <c r="H33" s="56"/>
      <c r="I33" s="70">
        <f>'2014 Board Approved Rates'!D$10</f>
        <v>1.2500000000000001E-2</v>
      </c>
      <c r="J33" s="56"/>
      <c r="K33" s="70">
        <f t="shared" si="9"/>
        <v>1.15E-2</v>
      </c>
      <c r="L33" s="56"/>
      <c r="M33" s="70">
        <f t="shared" si="8"/>
        <v>1.15E-2</v>
      </c>
      <c r="N33" s="56"/>
      <c r="O33" s="68">
        <f t="shared" si="10"/>
        <v>4.93</v>
      </c>
      <c r="P33" s="69">
        <f t="shared" si="11"/>
        <v>10.743399999999999</v>
      </c>
      <c r="Q33" s="91" t="s">
        <v>28</v>
      </c>
    </row>
    <row r="34" spans="2:17" ht="15.75" thickBot="1" x14ac:dyDescent="0.3">
      <c r="B34" s="64" t="s">
        <v>11</v>
      </c>
      <c r="C34" s="75">
        <v>5.4</v>
      </c>
      <c r="D34" s="76">
        <v>0</v>
      </c>
      <c r="E34" s="77"/>
      <c r="F34" s="75">
        <f>F23</f>
        <v>5.4</v>
      </c>
      <c r="G34" s="76">
        <v>0</v>
      </c>
      <c r="H34" s="77"/>
      <c r="I34" s="78" t="s">
        <v>19</v>
      </c>
      <c r="J34" s="77"/>
      <c r="K34" s="78" t="s">
        <v>19</v>
      </c>
      <c r="L34" s="77"/>
      <c r="M34" s="65" t="s">
        <v>19</v>
      </c>
      <c r="N34" s="77"/>
      <c r="O34" s="75">
        <f>F34</f>
        <v>5.4</v>
      </c>
      <c r="P34" s="76">
        <f>G34</f>
        <v>0</v>
      </c>
      <c r="Q34" s="79"/>
    </row>
  </sheetData>
  <mergeCells count="14">
    <mergeCell ref="B26:Q26"/>
    <mergeCell ref="B2:Q2"/>
    <mergeCell ref="B3:Q3"/>
    <mergeCell ref="B4:Q4"/>
    <mergeCell ref="B12:Q12"/>
    <mergeCell ref="B13:Q13"/>
    <mergeCell ref="C14:D14"/>
    <mergeCell ref="F14:G14"/>
    <mergeCell ref="O14:Q14"/>
    <mergeCell ref="C15:D15"/>
    <mergeCell ref="F15:G15"/>
    <mergeCell ref="O15:Q15"/>
    <mergeCell ref="B24:Q24"/>
    <mergeCell ref="B25:Q25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49"/>
  <sheetViews>
    <sheetView showGridLines="0" topLeftCell="A25" workbookViewId="0">
      <selection activeCell="J49" sqref="J49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0.28515625" bestFit="1" customWidth="1"/>
    <col min="16" max="16" width="3.7109375" customWidth="1"/>
  </cols>
  <sheetData>
    <row r="3" spans="2:15" ht="18" x14ac:dyDescent="0.25">
      <c r="B3" s="163" t="s">
        <v>69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52" t="s">
        <v>39</v>
      </c>
      <c r="E6" s="6" t="s">
        <v>27</v>
      </c>
      <c r="F6" s="7" t="s">
        <v>28</v>
      </c>
      <c r="G6" s="52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v>18.705820102223122</v>
      </c>
      <c r="H9" s="23">
        <v>1.9863756206468283E-2</v>
      </c>
      <c r="I9" s="23"/>
      <c r="J9" s="24">
        <f t="shared" ref="J9:J14" si="0">G9*D9*12+H9*E9+I9*F9</f>
        <v>6799412.1867472073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v>24.06331979401833</v>
      </c>
      <c r="H10" s="23">
        <v>2.3731686085387706E-2</v>
      </c>
      <c r="I10" s="23"/>
      <c r="J10" s="24">
        <f t="shared" si="0"/>
        <v>1631924.1402754476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v>141.78666666666669</v>
      </c>
      <c r="H11" s="23"/>
      <c r="I11" s="23">
        <v>6.8369406073850918</v>
      </c>
      <c r="J11" s="24">
        <f t="shared" si="0"/>
        <v>2849514.5825053342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v>50.86</v>
      </c>
      <c r="H12" s="23">
        <v>3.2014623268024796E-2</v>
      </c>
      <c r="I12" s="23"/>
      <c r="J12" s="24">
        <f t="shared" si="0"/>
        <v>45547.483278604013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v>5.0199999999999996</v>
      </c>
      <c r="H13" s="23"/>
      <c r="I13" s="23">
        <v>4.9489597257926317</v>
      </c>
      <c r="J13" s="24">
        <f t="shared" si="0"/>
        <v>66773.713610968291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v>5.2755685345131802</v>
      </c>
      <c r="H14" s="23"/>
      <c r="I14" s="23">
        <v>9.9946509058406221</v>
      </c>
      <c r="J14" s="24">
        <f t="shared" si="0"/>
        <v>310640.9880905262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11703813.094508087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52" t="s">
        <v>39</v>
      </c>
      <c r="E22" s="6" t="s">
        <v>27</v>
      </c>
      <c r="F22" s="7" t="s">
        <v>28</v>
      </c>
      <c r="G22" s="52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v>17.405820102223117</v>
      </c>
      <c r="H25" s="23">
        <v>2.2478313294783673E-2</v>
      </c>
      <c r="I25" s="23"/>
      <c r="J25" s="24">
        <f t="shared" ref="J25:J30" si="1">G25*D25*12+H25*E25+I25*F25</f>
        <v>3144958.9772527935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v>29.018319794018332</v>
      </c>
      <c r="H26" s="23">
        <v>2.0584164377304495E-2</v>
      </c>
      <c r="I26" s="23"/>
      <c r="J26" s="24">
        <f t="shared" si="1"/>
        <v>794157.85972455237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v>283.19333333333327</v>
      </c>
      <c r="H27" s="23"/>
      <c r="I27" s="23">
        <v>5.5284823960889478</v>
      </c>
      <c r="J27" s="24">
        <f t="shared" si="1"/>
        <v>1991496.2174946656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v>41.64</v>
      </c>
      <c r="H28" s="23">
        <v>2.5152876294691595E-2</v>
      </c>
      <c r="I28" s="23"/>
      <c r="J28" s="24">
        <f t="shared" si="1"/>
        <v>21629.840721395991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v>5.0199999999999996</v>
      </c>
      <c r="H29" s="23"/>
      <c r="I29" s="23">
        <v>4.9489597257926565</v>
      </c>
      <c r="J29" s="24">
        <f t="shared" si="1"/>
        <v>2667.7983890317064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v>3.9891685345131802</v>
      </c>
      <c r="H30" s="23"/>
      <c r="I30" s="23">
        <v>9.9946509058406221</v>
      </c>
      <c r="J30" s="24">
        <f t="shared" si="1"/>
        <v>136908.01190947383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6091818.7054919126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52" t="s">
        <v>39</v>
      </c>
      <c r="E38" s="6" t="s">
        <v>27</v>
      </c>
      <c r="F38" s="7" t="s">
        <v>28</v>
      </c>
      <c r="G38" s="52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9944371.1640000008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 t="shared" ref="O41:O46" si="3">N41-J41</f>
        <v>0</v>
      </c>
    </row>
    <row r="42" spans="2:15" x14ac:dyDescent="0.25">
      <c r="B42" s="18" t="s">
        <v>43</v>
      </c>
      <c r="C42" s="18" t="s">
        <v>42</v>
      </c>
      <c r="D42" s="19">
        <f t="shared" ref="D42:F46" si="4">D10+D26</f>
        <v>2521</v>
      </c>
      <c r="E42" s="19">
        <f t="shared" si="4"/>
        <v>72454602</v>
      </c>
      <c r="F42" s="19"/>
      <c r="G42" s="22"/>
      <c r="H42" s="23"/>
      <c r="I42" s="23"/>
      <c r="J42" s="19">
        <f t="shared" ref="J42:J46" si="5">J10+J26</f>
        <v>2426082</v>
      </c>
      <c r="K42" s="43"/>
      <c r="L42" s="19">
        <v>2426082</v>
      </c>
      <c r="M42" s="44"/>
      <c r="N42" s="45">
        <f t="shared" si="2"/>
        <v>2426082</v>
      </c>
      <c r="O42" s="46">
        <f t="shared" si="3"/>
        <v>0</v>
      </c>
    </row>
    <row r="43" spans="2:15" x14ac:dyDescent="0.25">
      <c r="B43" s="18" t="s">
        <v>44</v>
      </c>
      <c r="C43" s="18" t="s">
        <v>42</v>
      </c>
      <c r="D43" s="19">
        <f t="shared" si="4"/>
        <v>228</v>
      </c>
      <c r="E43" s="19">
        <f t="shared" si="4"/>
        <v>224300691</v>
      </c>
      <c r="F43" s="19">
        <f t="shared" si="4"/>
        <v>691366</v>
      </c>
      <c r="G43" s="22"/>
      <c r="H43" s="23"/>
      <c r="I43" s="23"/>
      <c r="J43" s="19">
        <f t="shared" si="5"/>
        <v>4841010.8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3"/>
        <v>0</v>
      </c>
    </row>
    <row r="44" spans="2:15" x14ac:dyDescent="0.25">
      <c r="B44" s="18" t="s">
        <v>45</v>
      </c>
      <c r="C44" s="18" t="s">
        <v>42</v>
      </c>
      <c r="D44" s="19">
        <f t="shared" si="4"/>
        <v>39</v>
      </c>
      <c r="E44" s="19">
        <f t="shared" si="4"/>
        <v>1527929</v>
      </c>
      <c r="F44" s="19"/>
      <c r="G44" s="22"/>
      <c r="H44" s="23"/>
      <c r="I44" s="23"/>
      <c r="J44" s="19">
        <f t="shared" si="5"/>
        <v>67177.324000000008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3"/>
        <v>0</v>
      </c>
    </row>
    <row r="45" spans="2:15" x14ac:dyDescent="0.25">
      <c r="B45" s="18" t="s">
        <v>9</v>
      </c>
      <c r="C45" s="18" t="s">
        <v>46</v>
      </c>
      <c r="D45" s="19">
        <f t="shared" si="4"/>
        <v>961</v>
      </c>
      <c r="E45" s="19">
        <f t="shared" si="4"/>
        <v>761037</v>
      </c>
      <c r="F45" s="19">
        <f t="shared" si="4"/>
        <v>2334</v>
      </c>
      <c r="G45" s="22"/>
      <c r="H45" s="23"/>
      <c r="I45" s="23"/>
      <c r="J45" s="19">
        <f t="shared" si="5"/>
        <v>69441.512000000002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3"/>
        <v>0</v>
      </c>
    </row>
    <row r="46" spans="2:15" x14ac:dyDescent="0.25">
      <c r="B46" s="18" t="s">
        <v>10</v>
      </c>
      <c r="C46" s="18" t="s">
        <v>46</v>
      </c>
      <c r="D46" s="19">
        <f t="shared" si="4"/>
        <v>5696</v>
      </c>
      <c r="E46" s="19">
        <f t="shared" si="4"/>
        <v>4475403</v>
      </c>
      <c r="F46" s="19">
        <f t="shared" si="4"/>
        <v>11789</v>
      </c>
      <c r="G46" s="22"/>
      <c r="H46" s="23"/>
      <c r="I46" s="23"/>
      <c r="J46" s="19">
        <f t="shared" si="5"/>
        <v>447549</v>
      </c>
      <c r="K46" s="43"/>
      <c r="L46" s="19">
        <v>447549</v>
      </c>
      <c r="M46" s="44"/>
      <c r="N46" s="45">
        <f t="shared" si="2"/>
        <v>447549</v>
      </c>
      <c r="O46" s="46">
        <f t="shared" si="3"/>
        <v>0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17795631.800000001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>N49-J49</f>
        <v>0</v>
      </c>
    </row>
  </sheetData>
  <mergeCells count="28"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L21:L22"/>
    <mergeCell ref="C37:C38"/>
    <mergeCell ref="E37:F37"/>
    <mergeCell ref="G37:I37"/>
    <mergeCell ref="J37:J38"/>
    <mergeCell ref="L37:L38"/>
    <mergeCell ref="O37:O38"/>
    <mergeCell ref="H38:I38"/>
    <mergeCell ref="N21:N22"/>
    <mergeCell ref="O21:O22"/>
    <mergeCell ref="H22:I22"/>
    <mergeCell ref="M37:M38"/>
    <mergeCell ref="N37:N38"/>
    <mergeCell ref="M21:M22"/>
  </mergeCells>
  <pageMargins left="0.7" right="0.7" top="0.75" bottom="0.75" header="0.3" footer="0.3"/>
  <pageSetup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topLeftCell="A19" workbookViewId="0">
      <selection activeCell="N24" sqref="N24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68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52" t="s">
        <v>39</v>
      </c>
      <c r="E6" s="6" t="s">
        <v>27</v>
      </c>
      <c r="F6" s="7" t="s">
        <v>28</v>
      </c>
      <c r="G6" s="52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'2014 Board Approved Rates'!K17</f>
        <v>18.940000000000001</v>
      </c>
      <c r="H9" s="23">
        <f>'2014 Board Approved Rates'!L17</f>
        <v>2.01E-2</v>
      </c>
      <c r="I9" s="23"/>
      <c r="J9" s="24">
        <f t="shared" ref="J9:J14" si="0">G9*D9*12+H9*E9+I9*F9</f>
        <v>6882742.8243000004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'2014 Board Approved Rates'!F18</f>
        <v>24.06</v>
      </c>
      <c r="H10" s="23">
        <f>'2014 Board Approved Rates'!L18</f>
        <v>2.4E-2</v>
      </c>
      <c r="I10" s="23"/>
      <c r="J10" s="24">
        <f t="shared" si="0"/>
        <v>1644978.504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'2014 Board Approved Rates'!K19</f>
        <v>143.56</v>
      </c>
      <c r="H11" s="23"/>
      <c r="I11" s="23">
        <f>'2014 Board Approved Rates'!L19</f>
        <v>6.9223999999999997</v>
      </c>
      <c r="J11" s="24">
        <f t="shared" si="0"/>
        <v>2885134.4047999997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'2014 Board Approved Rates'!K20</f>
        <v>51.5</v>
      </c>
      <c r="H12" s="23">
        <f>'2014 Board Approved Rates'!L20</f>
        <v>3.2399999999999998E-2</v>
      </c>
      <c r="I12" s="23"/>
      <c r="J12" s="24">
        <f t="shared" si="0"/>
        <v>46104.0936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'2014 Board Approved Rates'!K21</f>
        <v>5.08</v>
      </c>
      <c r="H13" s="23"/>
      <c r="I13" s="23">
        <f>'2014 Board Approved Rates'!L21</f>
        <v>5.0109000000000004</v>
      </c>
      <c r="J13" s="24">
        <f t="shared" si="0"/>
        <v>67578.204599999997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'2014 Board Approved Rates'!K22</f>
        <v>5.35</v>
      </c>
      <c r="H14" s="23"/>
      <c r="I14" s="23">
        <f>'2014 Board Approved Rates'!L22</f>
        <v>10.1196</v>
      </c>
      <c r="J14" s="24">
        <f t="shared" si="0"/>
        <v>314900.53200000001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11841438.563300001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52" t="s">
        <v>39</v>
      </c>
      <c r="E22" s="6" t="s">
        <v>27</v>
      </c>
      <c r="F22" s="7" t="s">
        <v>28</v>
      </c>
      <c r="G22" s="52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'2014 Board Approved Rates'!K27</f>
        <v>17.63</v>
      </c>
      <c r="H25" s="23">
        <f>'2014 Board Approved Rates'!L27</f>
        <v>2.2800000000000001E-2</v>
      </c>
      <c r="I25" s="23"/>
      <c r="J25" s="24">
        <f t="shared" ref="J25:J30" si="1">G25*D25*12+H25*E25+I25*F25</f>
        <v>3187529.1923999996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'2014 Board Approved Rates'!K28</f>
        <v>29.38</v>
      </c>
      <c r="H26" s="23">
        <f>'2014 Board Approved Rates'!L28</f>
        <v>2.0899999999999998E-2</v>
      </c>
      <c r="I26" s="23"/>
      <c r="J26" s="24">
        <f t="shared" si="1"/>
        <v>805452.6388999999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'2014 Board Approved Rates'!K29</f>
        <v>286.73</v>
      </c>
      <c r="H27" s="23"/>
      <c r="I27" s="23">
        <f>'2014 Board Approved Rates'!L29</f>
        <v>5.5975999999999999</v>
      </c>
      <c r="J27" s="24">
        <f t="shared" si="1"/>
        <v>2016390.4464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'2014 Board Approved Rates'!K30</f>
        <v>42.16</v>
      </c>
      <c r="H28" s="23">
        <f>'2014 Board Approved Rates'!L30</f>
        <v>2.53E-2</v>
      </c>
      <c r="I28" s="23"/>
      <c r="J28" s="24">
        <f t="shared" si="1"/>
        <v>21802.799500000001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'2014 Board Approved Rates'!K32</f>
        <v>5.08</v>
      </c>
      <c r="H29" s="23"/>
      <c r="I29" s="23">
        <f>'2014 Board Approved Rates'!L32</f>
        <v>5.0109000000000004</v>
      </c>
      <c r="J29" s="24">
        <f t="shared" si="1"/>
        <v>2699.7960000000003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'2014 Board Approved Rates'!K33</f>
        <v>4.04</v>
      </c>
      <c r="H30" s="23"/>
      <c r="I30" s="23">
        <f>'2014 Board Approved Rates'!L33</f>
        <v>10.1196</v>
      </c>
      <c r="J30" s="24">
        <f t="shared" si="1"/>
        <v>138642.6324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6172517.5055999998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52" t="s">
        <v>39</v>
      </c>
      <c r="E38" s="6" t="s">
        <v>27</v>
      </c>
      <c r="F38" s="7" t="s">
        <v>28</v>
      </c>
      <c r="G38" s="52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10070272.0167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125900.85269999877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2450431.1428999999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24349.142899999861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4901524.8511999995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60514.051199999638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67906.893100000001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729.56909999999334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70278.000599999999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836.48859999999695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453543.16440000001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5994.1644000000088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18013956.068899997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218324.26889999583</v>
      </c>
    </row>
    <row r="51" spans="2:15" x14ac:dyDescent="0.25">
      <c r="L51" s="164" t="s">
        <v>55</v>
      </c>
      <c r="M51" s="164"/>
      <c r="N51" s="164"/>
      <c r="O51" s="53">
        <f>'2014 Board Approved Rates'!D10*'2013 Reconcilation'!J49</f>
        <v>222445.39750000002</v>
      </c>
    </row>
    <row r="52" spans="2:15" x14ac:dyDescent="0.25">
      <c r="L52" s="164" t="s">
        <v>54</v>
      </c>
      <c r="M52" s="164"/>
      <c r="N52" s="164"/>
      <c r="O52" s="54">
        <f>O49-O51</f>
        <v>-4121.1286000041873</v>
      </c>
    </row>
  </sheetData>
  <mergeCells count="30">
    <mergeCell ref="L52:N52"/>
    <mergeCell ref="L51:N51"/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C37:C38"/>
    <mergeCell ref="E37:F37"/>
    <mergeCell ref="G37:I37"/>
    <mergeCell ref="J37:J38"/>
    <mergeCell ref="L37:L38"/>
    <mergeCell ref="O37:O38"/>
    <mergeCell ref="H38:I38"/>
    <mergeCell ref="N21:N22"/>
    <mergeCell ref="O21:O22"/>
    <mergeCell ref="H22:I22"/>
    <mergeCell ref="M37:M38"/>
    <mergeCell ref="N37:N38"/>
    <mergeCell ref="M21:M22"/>
    <mergeCell ref="L21:L22"/>
  </mergeCells>
  <pageMargins left="0.7" right="0.7" top="0.75" bottom="0.75" header="0.3" footer="0.3"/>
  <pageSetup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topLeftCell="A19" workbookViewId="0">
      <selection activeCell="O51" sqref="O51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67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81" t="s">
        <v>39</v>
      </c>
      <c r="E6" s="6" t="s">
        <v>27</v>
      </c>
      <c r="F6" s="7" t="s">
        <v>28</v>
      </c>
      <c r="G6" s="81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'2015 Board Approved Rates'!M17</f>
        <v>19.43</v>
      </c>
      <c r="H9" s="23">
        <f>'2015 Board Approved Rates'!N17</f>
        <v>2.0199999999999999E-2</v>
      </c>
      <c r="I9" s="23"/>
      <c r="J9" s="24">
        <f t="shared" ref="J9:J14" si="0">G9*D9*12+H9*E9+I9*F9</f>
        <v>7000272.9885999998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'2015 Board Approved Rates'!M18</f>
        <v>26.22</v>
      </c>
      <c r="H10" s="23">
        <f>'2015 Board Approved Rates'!N18</f>
        <v>2.35E-2</v>
      </c>
      <c r="I10" s="23"/>
      <c r="J10" s="24">
        <f t="shared" si="0"/>
        <v>1662857.9734999998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'2015 Board Approved Rates'!M19</f>
        <v>149.36000000000001</v>
      </c>
      <c r="H11" s="23"/>
      <c r="I11" s="23">
        <f>'2015 Board Approved Rates'!N19</f>
        <v>6.5800999999999998</v>
      </c>
      <c r="J11" s="24">
        <f t="shared" si="0"/>
        <v>2765532.8102000002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'2015 Board Approved Rates'!M20</f>
        <v>42.26</v>
      </c>
      <c r="H12" s="23">
        <f>'2015 Board Approved Rates'!N20</f>
        <v>2.5000000000000001E-2</v>
      </c>
      <c r="I12" s="23"/>
      <c r="J12" s="24">
        <f t="shared" si="0"/>
        <v>36330.850000000006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'2015 Board Approved Rates'!M21</f>
        <v>5.17</v>
      </c>
      <c r="H13" s="23"/>
      <c r="I13" s="23">
        <f>'2015 Board Approved Rates'!N21</f>
        <v>4.9564000000000004</v>
      </c>
      <c r="J13" s="24">
        <f t="shared" si="0"/>
        <v>68446.781600000002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'2015 Board Approved Rates'!M22</f>
        <v>5.05</v>
      </c>
      <c r="H14" s="23"/>
      <c r="I14" s="23">
        <f>'2015 Board Approved Rates'!N22</f>
        <v>10.4941</v>
      </c>
      <c r="J14" s="24">
        <f t="shared" si="0"/>
        <v>304467.34699999995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11837908.750899998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81" t="s">
        <v>39</v>
      </c>
      <c r="E22" s="6" t="s">
        <v>27</v>
      </c>
      <c r="F22" s="7" t="s">
        <v>28</v>
      </c>
      <c r="G22" s="81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'2015 Board Approved Rates'!M27</f>
        <v>18.760000000000002</v>
      </c>
      <c r="H25" s="23">
        <f>'2015 Board Approved Rates'!N27</f>
        <v>2.1299999999999999E-2</v>
      </c>
      <c r="I25" s="23"/>
      <c r="J25" s="24">
        <f t="shared" ref="J25:J30" si="1">G25*D25*12+H25*E25+I25*F25</f>
        <v>3201827.4128999999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'2015 Board Approved Rates'!M28</f>
        <v>28.76</v>
      </c>
      <c r="H26" s="23">
        <f>'2015 Board Approved Rates'!N28</f>
        <v>2.1999999999999999E-2</v>
      </c>
      <c r="I26" s="23"/>
      <c r="J26" s="24">
        <f t="shared" si="1"/>
        <v>824760.62199999997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'2015 Board Approved Rates'!M29</f>
        <v>149.36000000000001</v>
      </c>
      <c r="H27" s="23"/>
      <c r="I27" s="23">
        <f>'2015 Board Approved Rates'!N29</f>
        <v>6.5800999999999998</v>
      </c>
      <c r="J27" s="24">
        <f t="shared" si="1"/>
        <v>2192373.5663999999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'2015 Board Approved Rates'!M30</f>
        <v>37.43</v>
      </c>
      <c r="H28" s="23">
        <f>'2015 Board Approved Rates'!N30</f>
        <v>2.1999999999999999E-2</v>
      </c>
      <c r="I28" s="23"/>
      <c r="J28" s="24">
        <f t="shared" si="1"/>
        <v>19088.169999999998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'2015 Board Approved Rates'!M32</f>
        <v>5.17</v>
      </c>
      <c r="H29" s="23"/>
      <c r="I29" s="23">
        <f>'2015 Board Approved Rates'!N32</f>
        <v>4.9564000000000004</v>
      </c>
      <c r="J29" s="24">
        <f t="shared" si="1"/>
        <v>2741.8959999999997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'2015 Board Approved Rates'!M33</f>
        <v>4.6100000000000003</v>
      </c>
      <c r="H30" s="23"/>
      <c r="I30" s="23">
        <f>'2015 Board Approved Rates'!N33</f>
        <v>10.4941</v>
      </c>
      <c r="J30" s="24">
        <f t="shared" si="1"/>
        <v>153865.1979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6394656.865199999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81" t="s">
        <v>39</v>
      </c>
      <c r="E38" s="6" t="s">
        <v>27</v>
      </c>
      <c r="F38" s="7" t="s">
        <v>28</v>
      </c>
      <c r="G38" s="81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10202100.4015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257729.23749999888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2487618.5954999998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61536.595499999821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4957906.3766000001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116895.57660000026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55419.020000000004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-11758.304000000004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71188.677599999995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1747.165599999993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458332.54489999998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10783.544899999979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18232565.616099998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436933.81609999761</v>
      </c>
    </row>
    <row r="51" spans="2:15" x14ac:dyDescent="0.25">
      <c r="L51" s="164" t="s">
        <v>64</v>
      </c>
      <c r="M51" s="164"/>
      <c r="N51" s="164"/>
      <c r="O51" s="53">
        <f>('2014 Board Approved Rates'!D10*'2013 Reconcilation'!J49)+('2015 Board Approved Rates'!D10*'2014 Reconcilation'!N49)</f>
        <v>427095.16320000007</v>
      </c>
    </row>
    <row r="52" spans="2:15" x14ac:dyDescent="0.25">
      <c r="L52" s="164" t="s">
        <v>54</v>
      </c>
      <c r="M52" s="164"/>
      <c r="N52" s="164"/>
      <c r="O52" s="54">
        <f>O49-O51</f>
        <v>9838.6528999975417</v>
      </c>
    </row>
  </sheetData>
  <mergeCells count="30">
    <mergeCell ref="O37:O38"/>
    <mergeCell ref="H38:I38"/>
    <mergeCell ref="L51:N51"/>
    <mergeCell ref="L52:N52"/>
    <mergeCell ref="N21:N22"/>
    <mergeCell ref="O21:O22"/>
    <mergeCell ref="H22:I22"/>
    <mergeCell ref="M37:M38"/>
    <mergeCell ref="N37:N38"/>
    <mergeCell ref="M21:M22"/>
    <mergeCell ref="C37:C38"/>
    <mergeCell ref="E37:F37"/>
    <mergeCell ref="G37:I37"/>
    <mergeCell ref="J37:J38"/>
    <mergeCell ref="L37:L38"/>
    <mergeCell ref="C21:C22"/>
    <mergeCell ref="E21:F21"/>
    <mergeCell ref="G21:I21"/>
    <mergeCell ref="J21:J22"/>
    <mergeCell ref="L21:L22"/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</mergeCells>
  <pageMargins left="0.7" right="0.7" top="0.75" bottom="0.75" header="0.3" footer="0.3"/>
  <pageSetup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52"/>
  <sheetViews>
    <sheetView showGridLines="0" workbookViewId="0">
      <selection activeCell="B3" sqref="B3:O52"/>
    </sheetView>
  </sheetViews>
  <sheetFormatPr defaultRowHeight="15" x14ac:dyDescent="0.25"/>
  <cols>
    <col min="2" max="2" width="19.5703125" customWidth="1"/>
    <col min="3" max="3" width="12.7109375" customWidth="1"/>
    <col min="4" max="4" width="10.140625" customWidth="1"/>
    <col min="5" max="5" width="14.140625" bestFit="1" customWidth="1"/>
    <col min="6" max="6" width="9.85546875" customWidth="1"/>
    <col min="7" max="7" width="10.140625" customWidth="1"/>
    <col min="8" max="8" width="9.7109375" customWidth="1"/>
    <col min="9" max="9" width="10" customWidth="1"/>
    <col min="10" max="10" width="15.85546875" customWidth="1"/>
    <col min="11" max="11" width="0.85546875" customWidth="1"/>
    <col min="12" max="12" width="13.5703125" customWidth="1"/>
    <col min="13" max="13" width="12.28515625" customWidth="1"/>
    <col min="14" max="14" width="12.28515625" bestFit="1" customWidth="1"/>
    <col min="15" max="15" width="11.5703125" bestFit="1" customWidth="1"/>
    <col min="16" max="16" width="3.7109375" customWidth="1"/>
  </cols>
  <sheetData>
    <row r="3" spans="2:15" ht="18" x14ac:dyDescent="0.25">
      <c r="B3" s="163" t="s">
        <v>80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2:15" ht="15.75" thickBot="1" x14ac:dyDescent="0.3">
      <c r="B4" s="1" t="s">
        <v>33</v>
      </c>
    </row>
    <row r="5" spans="2:15" ht="15.75" thickBot="1" x14ac:dyDescent="0.3">
      <c r="B5" s="2" t="s">
        <v>34</v>
      </c>
      <c r="C5" s="157" t="s">
        <v>35</v>
      </c>
      <c r="D5" s="3"/>
      <c r="E5" s="159" t="s">
        <v>36</v>
      </c>
      <c r="F5" s="160"/>
      <c r="G5" s="159" t="s">
        <v>37</v>
      </c>
      <c r="H5" s="162"/>
      <c r="I5" s="160"/>
      <c r="J5" s="157" t="s">
        <v>38</v>
      </c>
      <c r="K5" s="4"/>
      <c r="L5" s="161"/>
      <c r="M5" s="161"/>
      <c r="N5" s="161"/>
      <c r="O5" s="161"/>
    </row>
    <row r="6" spans="2:15" ht="39" thickBot="1" x14ac:dyDescent="0.3">
      <c r="B6" s="5"/>
      <c r="C6" s="158"/>
      <c r="D6" s="93" t="s">
        <v>39</v>
      </c>
      <c r="E6" s="6" t="s">
        <v>27</v>
      </c>
      <c r="F6" s="7" t="s">
        <v>28</v>
      </c>
      <c r="G6" s="93" t="s">
        <v>40</v>
      </c>
      <c r="H6" s="159" t="s">
        <v>41</v>
      </c>
      <c r="I6" s="160"/>
      <c r="J6" s="158"/>
      <c r="K6" s="8"/>
      <c r="L6" s="161"/>
      <c r="M6" s="161"/>
      <c r="N6" s="161"/>
      <c r="O6" s="161"/>
    </row>
    <row r="7" spans="2:15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2"/>
      <c r="K7" s="13"/>
      <c r="L7" s="14"/>
      <c r="M7" s="14"/>
      <c r="N7" s="14"/>
      <c r="O7" s="14"/>
    </row>
    <row r="8" spans="2:15" x14ac:dyDescent="0.25">
      <c r="B8" s="15"/>
      <c r="C8" s="15"/>
      <c r="D8" s="15"/>
      <c r="E8" s="15"/>
      <c r="F8" s="16"/>
      <c r="G8" s="15"/>
      <c r="H8" s="15"/>
      <c r="I8" s="15"/>
      <c r="J8" s="15"/>
      <c r="K8" s="17"/>
      <c r="L8" s="14"/>
      <c r="M8" s="14"/>
      <c r="N8" s="14"/>
      <c r="O8" s="14"/>
    </row>
    <row r="9" spans="2:15" x14ac:dyDescent="0.25">
      <c r="B9" s="18" t="s">
        <v>5</v>
      </c>
      <c r="C9" s="18" t="s">
        <v>42</v>
      </c>
      <c r="D9" s="19">
        <v>17537</v>
      </c>
      <c r="E9" s="20">
        <v>144126043</v>
      </c>
      <c r="F9" s="21"/>
      <c r="G9" s="22">
        <f>'2016 Proposed Rates'!O17</f>
        <v>19.93</v>
      </c>
      <c r="H9" s="23">
        <f>'2016 Proposed Rates'!P17</f>
        <v>2.01E-2</v>
      </c>
      <c r="I9" s="23"/>
      <c r="J9" s="24">
        <f t="shared" ref="J9:J14" si="0">G9*D9*12+H9*E9+I9*F9</f>
        <v>7091082.3843</v>
      </c>
      <c r="K9" s="17"/>
      <c r="L9" s="25"/>
      <c r="M9" s="25"/>
      <c r="N9" s="26"/>
      <c r="O9" s="26"/>
    </row>
    <row r="10" spans="2:15" x14ac:dyDescent="0.25">
      <c r="B10" s="18" t="s">
        <v>43</v>
      </c>
      <c r="C10" s="18" t="s">
        <v>42</v>
      </c>
      <c r="D10" s="19">
        <v>1633</v>
      </c>
      <c r="E10" s="20">
        <v>48895781</v>
      </c>
      <c r="F10" s="21"/>
      <c r="G10" s="22">
        <f>'2016 Proposed Rates'!O18</f>
        <v>28.13</v>
      </c>
      <c r="H10" s="23">
        <f>'2016 Proposed Rates'!P18</f>
        <v>2.29E-2</v>
      </c>
      <c r="I10" s="23"/>
      <c r="J10" s="24">
        <f t="shared" si="0"/>
        <v>1670948.8648999999</v>
      </c>
      <c r="K10" s="17"/>
      <c r="L10" s="25"/>
      <c r="M10" s="25"/>
      <c r="N10" s="26"/>
      <c r="O10" s="26"/>
    </row>
    <row r="11" spans="2:15" x14ac:dyDescent="0.25">
      <c r="B11" s="18" t="s">
        <v>44</v>
      </c>
      <c r="C11" s="18" t="s">
        <v>42</v>
      </c>
      <c r="D11" s="19">
        <v>149</v>
      </c>
      <c r="E11" s="20">
        <v>135605948</v>
      </c>
      <c r="F11" s="21">
        <v>379702</v>
      </c>
      <c r="G11" s="22">
        <f>'2016 Proposed Rates'!O19</f>
        <v>151.08000000000001</v>
      </c>
      <c r="H11" s="23"/>
      <c r="I11" s="23">
        <f>'2016 Proposed Rates'!P19</f>
        <v>6.6558000000000002</v>
      </c>
      <c r="J11" s="24">
        <f t="shared" si="0"/>
        <v>2797351.6115999999</v>
      </c>
      <c r="K11" s="17"/>
      <c r="L11" s="25"/>
      <c r="M11" s="25"/>
      <c r="N11" s="26"/>
      <c r="O11" s="26"/>
    </row>
    <row r="12" spans="2:15" x14ac:dyDescent="0.25">
      <c r="B12" s="18" t="s">
        <v>45</v>
      </c>
      <c r="C12" s="18" t="s">
        <v>42</v>
      </c>
      <c r="D12" s="19">
        <v>25</v>
      </c>
      <c r="E12" s="20">
        <v>946114</v>
      </c>
      <c r="F12" s="21"/>
      <c r="G12" s="22">
        <f>'2016 Proposed Rates'!O20</f>
        <v>32.799999999999997</v>
      </c>
      <c r="H12" s="23">
        <f>'2016 Proposed Rates'!P20</f>
        <v>1.78E-2</v>
      </c>
      <c r="I12" s="23"/>
      <c r="J12" s="24">
        <f t="shared" si="0"/>
        <v>26680.8292</v>
      </c>
      <c r="K12" s="17"/>
      <c r="L12" s="25"/>
      <c r="M12" s="25"/>
      <c r="N12" s="26"/>
      <c r="O12" s="26"/>
    </row>
    <row r="13" spans="2:15" x14ac:dyDescent="0.25">
      <c r="B13" s="18" t="s">
        <v>9</v>
      </c>
      <c r="C13" s="18" t="s">
        <v>46</v>
      </c>
      <c r="D13" s="19">
        <v>920</v>
      </c>
      <c r="E13" s="20">
        <v>747706</v>
      </c>
      <c r="F13" s="21">
        <v>2294</v>
      </c>
      <c r="G13" s="22">
        <f>'2016 Proposed Rates'!O21</f>
        <v>5.07</v>
      </c>
      <c r="H13" s="23"/>
      <c r="I13" s="23">
        <f>'2016 Proposed Rates'!P21</f>
        <v>5.8719999999999999</v>
      </c>
      <c r="J13" s="24">
        <f t="shared" si="0"/>
        <v>69443.168000000005</v>
      </c>
      <c r="K13" s="17"/>
      <c r="L13" s="25"/>
      <c r="M13" s="25"/>
      <c r="N13" s="26"/>
      <c r="O13" s="26"/>
    </row>
    <row r="14" spans="2:15" x14ac:dyDescent="0.25">
      <c r="B14" s="18" t="s">
        <v>10</v>
      </c>
      <c r="C14" s="18" t="s">
        <v>46</v>
      </c>
      <c r="D14" s="19">
        <v>3696</v>
      </c>
      <c r="E14" s="20">
        <v>2687821</v>
      </c>
      <c r="F14" s="21">
        <v>7670</v>
      </c>
      <c r="G14" s="22">
        <f>'2016 Proposed Rates'!O22</f>
        <v>4.93</v>
      </c>
      <c r="H14" s="23"/>
      <c r="I14" s="23">
        <f>'2016 Proposed Rates'!P22</f>
        <v>10.743399999999999</v>
      </c>
      <c r="J14" s="24">
        <f t="shared" si="0"/>
        <v>301057.23800000001</v>
      </c>
      <c r="K14" s="17"/>
      <c r="L14" s="25"/>
      <c r="M14" s="25"/>
      <c r="N14" s="26"/>
      <c r="O14" s="26"/>
    </row>
    <row r="15" spans="2:15" ht="15.75" thickBot="1" x14ac:dyDescent="0.3">
      <c r="B15" s="27"/>
      <c r="C15" s="27"/>
      <c r="D15" s="28"/>
      <c r="E15" s="20"/>
      <c r="F15" s="21"/>
      <c r="G15" s="22"/>
      <c r="H15" s="23"/>
      <c r="I15" s="23"/>
      <c r="J15" s="29"/>
      <c r="K15" s="17"/>
      <c r="L15" s="25"/>
      <c r="M15" s="25"/>
      <c r="N15" s="26"/>
      <c r="O15" s="26"/>
    </row>
    <row r="16" spans="2:15" ht="15.75" thickTop="1" x14ac:dyDescent="0.25">
      <c r="B16" s="15"/>
      <c r="C16" s="15"/>
      <c r="D16" s="15"/>
      <c r="E16" s="27"/>
      <c r="F16" s="30"/>
      <c r="G16" s="27"/>
      <c r="H16" s="27"/>
      <c r="I16" s="27"/>
      <c r="J16" s="31"/>
      <c r="K16" s="17"/>
      <c r="L16" s="14"/>
      <c r="M16" s="14"/>
      <c r="N16" s="14"/>
      <c r="O16" s="14"/>
    </row>
    <row r="17" spans="2:15" ht="15.75" thickBot="1" x14ac:dyDescent="0.3">
      <c r="B17" s="32" t="s">
        <v>47</v>
      </c>
      <c r="C17" s="33"/>
      <c r="D17" s="34">
        <f>SUM(D9:D14)</f>
        <v>23960</v>
      </c>
      <c r="E17" s="34">
        <f>SUM(E9:E14)</f>
        <v>333009413</v>
      </c>
      <c r="F17" s="34">
        <f>SUM(F9:F14)</f>
        <v>389666</v>
      </c>
      <c r="G17" s="35"/>
      <c r="H17" s="35"/>
      <c r="I17" s="35"/>
      <c r="J17" s="36">
        <f>SUM(J9:J14)</f>
        <v>11956564.095999999</v>
      </c>
      <c r="K17" s="37"/>
      <c r="L17" s="38"/>
      <c r="M17" s="38"/>
      <c r="N17" s="38"/>
      <c r="O17" s="39"/>
    </row>
    <row r="20" spans="2:15" ht="15.75" thickBot="1" x14ac:dyDescent="0.3">
      <c r="B20" s="1" t="s">
        <v>48</v>
      </c>
    </row>
    <row r="21" spans="2:15" ht="15.75" thickBot="1" x14ac:dyDescent="0.3">
      <c r="B21" s="2" t="s">
        <v>34</v>
      </c>
      <c r="C21" s="157" t="s">
        <v>35</v>
      </c>
      <c r="D21" s="3"/>
      <c r="E21" s="159" t="s">
        <v>36</v>
      </c>
      <c r="F21" s="160"/>
      <c r="G21" s="159" t="s">
        <v>37</v>
      </c>
      <c r="H21" s="162"/>
      <c r="I21" s="160"/>
      <c r="J21" s="157" t="s">
        <v>38</v>
      </c>
      <c r="K21" s="4"/>
      <c r="L21" s="161"/>
      <c r="M21" s="161"/>
      <c r="N21" s="161"/>
      <c r="O21" s="161"/>
    </row>
    <row r="22" spans="2:15" ht="39" thickBot="1" x14ac:dyDescent="0.3">
      <c r="B22" s="5"/>
      <c r="C22" s="158"/>
      <c r="D22" s="93" t="s">
        <v>39</v>
      </c>
      <c r="E22" s="6" t="s">
        <v>27</v>
      </c>
      <c r="F22" s="7" t="s">
        <v>28</v>
      </c>
      <c r="G22" s="93" t="s">
        <v>40</v>
      </c>
      <c r="H22" s="159" t="s">
        <v>41</v>
      </c>
      <c r="I22" s="160"/>
      <c r="J22" s="158"/>
      <c r="K22" s="8"/>
      <c r="L22" s="161"/>
      <c r="M22" s="161"/>
      <c r="N22" s="161"/>
      <c r="O22" s="161"/>
    </row>
    <row r="23" spans="2:15" x14ac:dyDescent="0.25">
      <c r="B23" s="9"/>
      <c r="C23" s="9"/>
      <c r="D23" s="9"/>
      <c r="E23" s="9"/>
      <c r="F23" s="10"/>
      <c r="G23" s="9"/>
      <c r="H23" s="11" t="s">
        <v>27</v>
      </c>
      <c r="I23" s="11" t="s">
        <v>28</v>
      </c>
      <c r="J23" s="12"/>
      <c r="K23" s="13"/>
      <c r="L23" s="14"/>
      <c r="M23" s="14"/>
      <c r="N23" s="14"/>
      <c r="O23" s="14"/>
    </row>
    <row r="24" spans="2:15" x14ac:dyDescent="0.25">
      <c r="B24" s="15"/>
      <c r="C24" s="15"/>
      <c r="D24" s="15"/>
      <c r="E24" s="15"/>
      <c r="F24" s="16"/>
      <c r="G24" s="15"/>
      <c r="H24" s="15"/>
      <c r="I24" s="15"/>
      <c r="J24" s="15"/>
      <c r="K24" s="17"/>
      <c r="L24" s="14"/>
      <c r="M24" s="14"/>
      <c r="N24" s="14"/>
      <c r="O24" s="14"/>
    </row>
    <row r="25" spans="2:15" x14ac:dyDescent="0.25">
      <c r="B25" s="18" t="s">
        <v>5</v>
      </c>
      <c r="C25" s="18" t="s">
        <v>42</v>
      </c>
      <c r="D25" s="19">
        <v>8152</v>
      </c>
      <c r="E25" s="20">
        <v>64161933</v>
      </c>
      <c r="F25" s="21"/>
      <c r="G25" s="22">
        <f>G9</f>
        <v>19.93</v>
      </c>
      <c r="H25" s="23">
        <f>H9</f>
        <v>2.01E-2</v>
      </c>
      <c r="I25" s="23"/>
      <c r="J25" s="24">
        <f t="shared" ref="J25:J30" si="1">G25*D25*12+H25*E25+I25*F25</f>
        <v>3239287.1732999999</v>
      </c>
      <c r="K25" s="17"/>
      <c r="L25" s="25"/>
      <c r="M25" s="25"/>
      <c r="N25" s="26"/>
      <c r="O25" s="26"/>
    </row>
    <row r="26" spans="2:15" x14ac:dyDescent="0.25">
      <c r="B26" s="18" t="s">
        <v>43</v>
      </c>
      <c r="C26" s="18" t="s">
        <v>42</v>
      </c>
      <c r="D26" s="19">
        <v>888</v>
      </c>
      <c r="E26" s="20">
        <v>23558821</v>
      </c>
      <c r="F26" s="21"/>
      <c r="G26" s="22">
        <f>G10</f>
        <v>28.13</v>
      </c>
      <c r="H26" s="23">
        <f>H10</f>
        <v>2.29E-2</v>
      </c>
      <c r="I26" s="23"/>
      <c r="J26" s="24">
        <f t="shared" si="1"/>
        <v>839250.2808999999</v>
      </c>
      <c r="K26" s="17"/>
      <c r="L26" s="25"/>
      <c r="M26" s="25"/>
      <c r="N26" s="26"/>
      <c r="O26" s="26"/>
    </row>
    <row r="27" spans="2:15" x14ac:dyDescent="0.25">
      <c r="B27" s="18" t="s">
        <v>44</v>
      </c>
      <c r="C27" s="18" t="s">
        <v>42</v>
      </c>
      <c r="D27" s="19">
        <v>79</v>
      </c>
      <c r="E27" s="20">
        <v>88694743</v>
      </c>
      <c r="F27" s="21">
        <v>311664</v>
      </c>
      <c r="G27" s="22">
        <f>G11</f>
        <v>151.08000000000001</v>
      </c>
      <c r="H27" s="23"/>
      <c r="I27" s="23">
        <f>I11</f>
        <v>6.6558000000000002</v>
      </c>
      <c r="J27" s="24">
        <f t="shared" si="1"/>
        <v>2217597.0912000001</v>
      </c>
      <c r="K27" s="17"/>
      <c r="L27" s="25"/>
      <c r="M27" s="25"/>
      <c r="N27" s="26"/>
      <c r="O27" s="26"/>
    </row>
    <row r="28" spans="2:15" x14ac:dyDescent="0.25">
      <c r="B28" s="18" t="s">
        <v>45</v>
      </c>
      <c r="C28" s="18" t="s">
        <v>42</v>
      </c>
      <c r="D28" s="19">
        <v>14</v>
      </c>
      <c r="E28" s="20">
        <v>581815</v>
      </c>
      <c r="F28" s="21"/>
      <c r="G28" s="22">
        <f>G12</f>
        <v>32.799999999999997</v>
      </c>
      <c r="H28" s="23">
        <f>H12</f>
        <v>1.78E-2</v>
      </c>
      <c r="I28" s="23"/>
      <c r="J28" s="24">
        <f t="shared" si="1"/>
        <v>15866.707</v>
      </c>
      <c r="K28" s="17"/>
      <c r="L28" s="25"/>
      <c r="M28" s="25"/>
      <c r="N28" s="26"/>
      <c r="O28" s="26"/>
    </row>
    <row r="29" spans="2:15" x14ac:dyDescent="0.25">
      <c r="B29" s="18" t="s">
        <v>9</v>
      </c>
      <c r="C29" s="18" t="s">
        <v>46</v>
      </c>
      <c r="D29" s="19">
        <v>41</v>
      </c>
      <c r="E29" s="20">
        <v>13331</v>
      </c>
      <c r="F29" s="21">
        <v>40</v>
      </c>
      <c r="G29" s="22">
        <f>G13</f>
        <v>5.07</v>
      </c>
      <c r="H29" s="23"/>
      <c r="I29" s="23">
        <f>I13</f>
        <v>5.8719999999999999</v>
      </c>
      <c r="J29" s="24">
        <f t="shared" si="1"/>
        <v>2729.32</v>
      </c>
      <c r="K29" s="17"/>
      <c r="L29" s="25"/>
      <c r="M29" s="25"/>
      <c r="N29" s="26"/>
      <c r="O29" s="26"/>
    </row>
    <row r="30" spans="2:15" x14ac:dyDescent="0.25">
      <c r="B30" s="18" t="s">
        <v>10</v>
      </c>
      <c r="C30" s="18" t="s">
        <v>46</v>
      </c>
      <c r="D30" s="19">
        <v>2000</v>
      </c>
      <c r="E30" s="20">
        <v>1787582</v>
      </c>
      <c r="F30" s="21">
        <v>4119</v>
      </c>
      <c r="G30" s="22">
        <f>G14</f>
        <v>4.93</v>
      </c>
      <c r="H30" s="23"/>
      <c r="I30" s="23">
        <f>I14</f>
        <v>10.743399999999999</v>
      </c>
      <c r="J30" s="24">
        <f t="shared" si="1"/>
        <v>162572.06459999998</v>
      </c>
      <c r="K30" s="17"/>
      <c r="L30" s="25"/>
      <c r="M30" s="25"/>
      <c r="N30" s="26"/>
      <c r="O30" s="26"/>
    </row>
    <row r="31" spans="2:15" ht="15.75" thickBot="1" x14ac:dyDescent="0.3">
      <c r="B31" s="27"/>
      <c r="C31" s="27"/>
      <c r="D31" s="28"/>
      <c r="E31" s="20"/>
      <c r="F31" s="21"/>
      <c r="G31" s="22"/>
      <c r="H31" s="23"/>
      <c r="I31" s="23"/>
      <c r="J31" s="29"/>
      <c r="K31" s="17"/>
      <c r="L31" s="25"/>
      <c r="M31" s="25"/>
      <c r="N31" s="26"/>
      <c r="O31" s="26"/>
    </row>
    <row r="32" spans="2:15" ht="15.75" thickTop="1" x14ac:dyDescent="0.25">
      <c r="B32" s="15"/>
      <c r="C32" s="15"/>
      <c r="D32" s="15"/>
      <c r="E32" s="27"/>
      <c r="F32" s="30"/>
      <c r="G32" s="27"/>
      <c r="H32" s="27"/>
      <c r="I32" s="27"/>
      <c r="J32" s="31"/>
      <c r="K32" s="17"/>
      <c r="L32" s="14"/>
      <c r="M32" s="14"/>
      <c r="N32" s="14"/>
      <c r="O32" s="14"/>
    </row>
    <row r="33" spans="2:15" ht="15.75" thickBot="1" x14ac:dyDescent="0.3">
      <c r="B33" s="32" t="s">
        <v>47</v>
      </c>
      <c r="C33" s="33"/>
      <c r="D33" s="34">
        <f>SUM(D25:D30)</f>
        <v>11174</v>
      </c>
      <c r="E33" s="34">
        <f>SUM(E25:E30)</f>
        <v>178798225</v>
      </c>
      <c r="F33" s="34">
        <f>SUM(F25:F30)</f>
        <v>315823</v>
      </c>
      <c r="G33" s="35"/>
      <c r="H33" s="35"/>
      <c r="I33" s="35"/>
      <c r="J33" s="36">
        <f>SUM(J25:J30)</f>
        <v>6477302.6370000001</v>
      </c>
      <c r="K33" s="37"/>
      <c r="L33" s="38"/>
      <c r="M33" s="38"/>
      <c r="N33" s="38"/>
      <c r="O33" s="39"/>
    </row>
    <row r="36" spans="2:15" ht="15.75" thickBot="1" x14ac:dyDescent="0.3">
      <c r="B36" s="1" t="s">
        <v>49</v>
      </c>
    </row>
    <row r="37" spans="2:15" ht="15.75" thickBot="1" x14ac:dyDescent="0.3">
      <c r="B37" s="2" t="s">
        <v>34</v>
      </c>
      <c r="C37" s="157" t="s">
        <v>35</v>
      </c>
      <c r="D37" s="3"/>
      <c r="E37" s="159" t="s">
        <v>36</v>
      </c>
      <c r="F37" s="160"/>
      <c r="G37" s="159" t="s">
        <v>37</v>
      </c>
      <c r="H37" s="162"/>
      <c r="I37" s="160"/>
      <c r="J37" s="157" t="s">
        <v>38</v>
      </c>
      <c r="K37" s="40"/>
      <c r="L37" s="157" t="s">
        <v>50</v>
      </c>
      <c r="M37" s="157" t="s">
        <v>51</v>
      </c>
      <c r="N37" s="157" t="s">
        <v>47</v>
      </c>
      <c r="O37" s="157" t="s">
        <v>52</v>
      </c>
    </row>
    <row r="38" spans="2:15" ht="39" thickBot="1" x14ac:dyDescent="0.3">
      <c r="B38" s="5"/>
      <c r="C38" s="158"/>
      <c r="D38" s="93" t="s">
        <v>39</v>
      </c>
      <c r="E38" s="6" t="s">
        <v>27</v>
      </c>
      <c r="F38" s="7" t="s">
        <v>28</v>
      </c>
      <c r="G38" s="93" t="s">
        <v>40</v>
      </c>
      <c r="H38" s="159" t="s">
        <v>41</v>
      </c>
      <c r="I38" s="160"/>
      <c r="J38" s="158"/>
      <c r="K38" s="41"/>
      <c r="L38" s="158"/>
      <c r="M38" s="158"/>
      <c r="N38" s="158"/>
      <c r="O38" s="158"/>
    </row>
    <row r="39" spans="2:15" x14ac:dyDescent="0.25">
      <c r="B39" s="9"/>
      <c r="C39" s="9"/>
      <c r="D39" s="9"/>
      <c r="E39" s="9"/>
      <c r="F39" s="10"/>
      <c r="G39" s="9"/>
      <c r="H39" s="11" t="s">
        <v>27</v>
      </c>
      <c r="I39" s="11" t="s">
        <v>28</v>
      </c>
      <c r="J39" s="12"/>
      <c r="K39" s="42"/>
      <c r="L39" s="12"/>
      <c r="M39" s="12"/>
      <c r="N39" s="12"/>
      <c r="O39" s="10"/>
    </row>
    <row r="40" spans="2:15" x14ac:dyDescent="0.25">
      <c r="B40" s="15"/>
      <c r="C40" s="15"/>
      <c r="D40" s="15"/>
      <c r="E40" s="15"/>
      <c r="F40" s="16"/>
      <c r="G40" s="15"/>
      <c r="H40" s="15"/>
      <c r="I40" s="15"/>
      <c r="J40" s="15"/>
      <c r="K40" s="43"/>
      <c r="L40" s="15"/>
      <c r="M40" s="15"/>
      <c r="N40" s="15"/>
      <c r="O40" s="16"/>
    </row>
    <row r="41" spans="2:15" x14ac:dyDescent="0.25">
      <c r="B41" s="18" t="s">
        <v>5</v>
      </c>
      <c r="C41" s="18" t="s">
        <v>42</v>
      </c>
      <c r="D41" s="19">
        <f>D9+D25</f>
        <v>25689</v>
      </c>
      <c r="E41" s="19">
        <f>E9+E25</f>
        <v>208287976</v>
      </c>
      <c r="F41" s="19"/>
      <c r="G41" s="22"/>
      <c r="H41" s="23"/>
      <c r="I41" s="23"/>
      <c r="J41" s="19">
        <f>J9+J25</f>
        <v>10330369.557599999</v>
      </c>
      <c r="K41" s="43"/>
      <c r="L41" s="19">
        <v>9944371.1640000008</v>
      </c>
      <c r="M41" s="44"/>
      <c r="N41" s="45">
        <f t="shared" ref="N41:N46" si="2">SUM(L41:M41)</f>
        <v>9944371.1640000008</v>
      </c>
      <c r="O41" s="46">
        <f>J41-N41</f>
        <v>385998.39359999821</v>
      </c>
    </row>
    <row r="42" spans="2:15" x14ac:dyDescent="0.25">
      <c r="B42" s="18" t="s">
        <v>43</v>
      </c>
      <c r="C42" s="18" t="s">
        <v>42</v>
      </c>
      <c r="D42" s="19">
        <f t="shared" ref="D42:F46" si="3">D10+D26</f>
        <v>2521</v>
      </c>
      <c r="E42" s="19">
        <f t="shared" si="3"/>
        <v>72454602</v>
      </c>
      <c r="F42" s="19"/>
      <c r="G42" s="22"/>
      <c r="H42" s="23"/>
      <c r="I42" s="23"/>
      <c r="J42" s="19">
        <f t="shared" ref="J42:J46" si="4">J10+J26</f>
        <v>2510199.1458000001</v>
      </c>
      <c r="K42" s="43"/>
      <c r="L42" s="19">
        <v>2426082</v>
      </c>
      <c r="M42" s="44"/>
      <c r="N42" s="45">
        <f t="shared" si="2"/>
        <v>2426082</v>
      </c>
      <c r="O42" s="46">
        <f t="shared" ref="O42:O46" si="5">J42-N42</f>
        <v>84117.145800000057</v>
      </c>
    </row>
    <row r="43" spans="2:15" x14ac:dyDescent="0.25">
      <c r="B43" s="18" t="s">
        <v>44</v>
      </c>
      <c r="C43" s="18" t="s">
        <v>42</v>
      </c>
      <c r="D43" s="19">
        <f t="shared" si="3"/>
        <v>228</v>
      </c>
      <c r="E43" s="19">
        <f t="shared" si="3"/>
        <v>224300691</v>
      </c>
      <c r="F43" s="19">
        <f t="shared" si="3"/>
        <v>691366</v>
      </c>
      <c r="G43" s="22"/>
      <c r="H43" s="23"/>
      <c r="I43" s="23"/>
      <c r="J43" s="19">
        <f t="shared" si="4"/>
        <v>5014948.7028000001</v>
      </c>
      <c r="K43" s="43"/>
      <c r="L43" s="19">
        <v>4608377</v>
      </c>
      <c r="M43" s="44">
        <v>232633.8</v>
      </c>
      <c r="N43" s="45">
        <f t="shared" si="2"/>
        <v>4841010.8</v>
      </c>
      <c r="O43" s="46">
        <f t="shared" si="5"/>
        <v>173937.90280000027</v>
      </c>
    </row>
    <row r="44" spans="2:15" x14ac:dyDescent="0.25">
      <c r="B44" s="18" t="s">
        <v>45</v>
      </c>
      <c r="C44" s="18" t="s">
        <v>42</v>
      </c>
      <c r="D44" s="19">
        <f t="shared" si="3"/>
        <v>39</v>
      </c>
      <c r="E44" s="19">
        <f t="shared" si="3"/>
        <v>1527929</v>
      </c>
      <c r="F44" s="19"/>
      <c r="G44" s="22"/>
      <c r="H44" s="23"/>
      <c r="I44" s="23"/>
      <c r="J44" s="19">
        <f t="shared" si="4"/>
        <v>42547.536200000002</v>
      </c>
      <c r="K44" s="43"/>
      <c r="L44" s="19">
        <v>67177.324000000008</v>
      </c>
      <c r="M44" s="44"/>
      <c r="N44" s="45">
        <f t="shared" si="2"/>
        <v>67177.324000000008</v>
      </c>
      <c r="O44" s="46">
        <f t="shared" si="5"/>
        <v>-24629.787800000006</v>
      </c>
    </row>
    <row r="45" spans="2:15" x14ac:dyDescent="0.25">
      <c r="B45" s="18" t="s">
        <v>9</v>
      </c>
      <c r="C45" s="18" t="s">
        <v>46</v>
      </c>
      <c r="D45" s="19">
        <f t="shared" si="3"/>
        <v>961</v>
      </c>
      <c r="E45" s="19">
        <f t="shared" si="3"/>
        <v>761037</v>
      </c>
      <c r="F45" s="19">
        <f t="shared" si="3"/>
        <v>2334</v>
      </c>
      <c r="G45" s="22"/>
      <c r="H45" s="23"/>
      <c r="I45" s="23"/>
      <c r="J45" s="19">
        <f t="shared" si="4"/>
        <v>72172.488000000012</v>
      </c>
      <c r="K45" s="43"/>
      <c r="L45" s="19">
        <v>69441.512000000002</v>
      </c>
      <c r="M45" s="44"/>
      <c r="N45" s="45">
        <f t="shared" si="2"/>
        <v>69441.512000000002</v>
      </c>
      <c r="O45" s="46">
        <f t="shared" si="5"/>
        <v>2730.9760000000097</v>
      </c>
    </row>
    <row r="46" spans="2:15" x14ac:dyDescent="0.25">
      <c r="B46" s="18" t="s">
        <v>10</v>
      </c>
      <c r="C46" s="18" t="s">
        <v>46</v>
      </c>
      <c r="D46" s="19">
        <f t="shared" si="3"/>
        <v>5696</v>
      </c>
      <c r="E46" s="19">
        <f t="shared" si="3"/>
        <v>4475403</v>
      </c>
      <c r="F46" s="19">
        <f t="shared" si="3"/>
        <v>11789</v>
      </c>
      <c r="G46" s="22"/>
      <c r="H46" s="23"/>
      <c r="I46" s="23"/>
      <c r="J46" s="19">
        <f t="shared" si="4"/>
        <v>463629.3026</v>
      </c>
      <c r="K46" s="43"/>
      <c r="L46" s="19">
        <v>447549</v>
      </c>
      <c r="M46" s="44"/>
      <c r="N46" s="45">
        <f t="shared" si="2"/>
        <v>447549</v>
      </c>
      <c r="O46" s="46">
        <f t="shared" si="5"/>
        <v>16080.302599999995</v>
      </c>
    </row>
    <row r="47" spans="2:15" ht="15.75" thickBot="1" x14ac:dyDescent="0.3">
      <c r="B47" s="27"/>
      <c r="C47" s="27"/>
      <c r="D47" s="28"/>
      <c r="E47" s="20"/>
      <c r="F47" s="21"/>
      <c r="G47" s="22"/>
      <c r="H47" s="23"/>
      <c r="I47" s="23"/>
      <c r="J47" s="29"/>
      <c r="K47" s="43"/>
      <c r="L47" s="44"/>
      <c r="M47" s="44"/>
      <c r="N47" s="47"/>
      <c r="O47" s="47"/>
    </row>
    <row r="48" spans="2:15" ht="15.75" thickTop="1" x14ac:dyDescent="0.25">
      <c r="B48" s="15"/>
      <c r="C48" s="15"/>
      <c r="D48" s="15"/>
      <c r="E48" s="27"/>
      <c r="F48" s="30"/>
      <c r="G48" s="27"/>
      <c r="H48" s="27"/>
      <c r="I48" s="27"/>
      <c r="J48" s="31"/>
      <c r="K48" s="43"/>
      <c r="L48" s="48"/>
      <c r="M48" s="48"/>
      <c r="N48" s="15"/>
      <c r="O48" s="16"/>
    </row>
    <row r="49" spans="2:15" ht="15.75" thickBot="1" x14ac:dyDescent="0.3">
      <c r="B49" s="32" t="s">
        <v>47</v>
      </c>
      <c r="C49" s="33"/>
      <c r="D49" s="34">
        <f>SUM(D41:D46)</f>
        <v>35134</v>
      </c>
      <c r="E49" s="34">
        <f>SUM(E41:E46)</f>
        <v>511807638</v>
      </c>
      <c r="F49" s="34">
        <f>SUM(F41:F46)</f>
        <v>705489</v>
      </c>
      <c r="G49" s="35"/>
      <c r="H49" s="35"/>
      <c r="I49" s="35"/>
      <c r="J49" s="49">
        <f>SUM(J41:J46)</f>
        <v>18433866.733000003</v>
      </c>
      <c r="K49" s="50"/>
      <c r="L49" s="49">
        <v>17562998</v>
      </c>
      <c r="M49" s="49">
        <v>232633.8</v>
      </c>
      <c r="N49" s="49">
        <f>L49+M49</f>
        <v>17795631.800000001</v>
      </c>
      <c r="O49" s="51">
        <f t="shared" ref="O49" si="6">J49-N49</f>
        <v>638234.93300000206</v>
      </c>
    </row>
    <row r="51" spans="2:15" x14ac:dyDescent="0.25">
      <c r="L51" s="164" t="s">
        <v>64</v>
      </c>
      <c r="M51" s="164"/>
      <c r="N51" s="164"/>
      <c r="O51" s="53">
        <f>('2014 Board Approved Rates'!D10*'2013 Reconcilation'!J49)+('2015 Board Approved Rates'!D10*'2014 Reconcilation'!N49)+('2016 Proposed Rates'!D10*'2015 Reconcilation'!N49)</f>
        <v>631744.92890000006</v>
      </c>
    </row>
    <row r="52" spans="2:15" x14ac:dyDescent="0.25">
      <c r="L52" s="164" t="s">
        <v>54</v>
      </c>
      <c r="M52" s="164"/>
      <c r="N52" s="164"/>
      <c r="O52" s="54">
        <f>O49-O51</f>
        <v>6490.0041000019992</v>
      </c>
    </row>
  </sheetData>
  <mergeCells count="30">
    <mergeCell ref="B3:O3"/>
    <mergeCell ref="C5:C6"/>
    <mergeCell ref="E5:F5"/>
    <mergeCell ref="G5:I5"/>
    <mergeCell ref="J5:J6"/>
    <mergeCell ref="L5:L6"/>
    <mergeCell ref="M5:M6"/>
    <mergeCell ref="N5:N6"/>
    <mergeCell ref="O5:O6"/>
    <mergeCell ref="H6:I6"/>
    <mergeCell ref="C21:C22"/>
    <mergeCell ref="E21:F21"/>
    <mergeCell ref="G21:I21"/>
    <mergeCell ref="J21:J22"/>
    <mergeCell ref="L21:L22"/>
    <mergeCell ref="C37:C38"/>
    <mergeCell ref="E37:F37"/>
    <mergeCell ref="G37:I37"/>
    <mergeCell ref="J37:J38"/>
    <mergeCell ref="L37:L38"/>
    <mergeCell ref="O37:O38"/>
    <mergeCell ref="H38:I38"/>
    <mergeCell ref="L51:N51"/>
    <mergeCell ref="L52:N52"/>
    <mergeCell ref="N21:N22"/>
    <mergeCell ref="O21:O22"/>
    <mergeCell ref="H22:I22"/>
    <mergeCell ref="M37:M38"/>
    <mergeCell ref="N37:N38"/>
    <mergeCell ref="M21:M22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2"/>
  <sheetViews>
    <sheetView showGridLines="0" workbookViewId="0">
      <selection activeCell="B2" sqref="B2:N2"/>
    </sheetView>
  </sheetViews>
  <sheetFormatPr defaultRowHeight="15" x14ac:dyDescent="0.25"/>
  <cols>
    <col min="1" max="1" width="1.7109375" customWidth="1"/>
    <col min="2" max="2" width="19.140625" bestFit="1" customWidth="1"/>
    <col min="3" max="3" width="12.7109375" customWidth="1"/>
    <col min="4" max="4" width="12.28515625" bestFit="1" customWidth="1"/>
    <col min="5" max="5" width="13" customWidth="1"/>
    <col min="6" max="6" width="11.140625" customWidth="1"/>
    <col min="8" max="8" width="9.7109375" customWidth="1"/>
    <col min="9" max="9" width="9.7109375" bestFit="1" customWidth="1"/>
    <col min="10" max="10" width="13.28515625" bestFit="1" customWidth="1"/>
    <col min="11" max="12" width="11.5703125" bestFit="1" customWidth="1"/>
  </cols>
  <sheetData>
    <row r="2" spans="2:14" ht="21" x14ac:dyDescent="0.3">
      <c r="B2" s="135" t="s">
        <v>93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2:14" ht="18.75" x14ac:dyDescent="0.3">
      <c r="B3" s="135" t="s">
        <v>76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2:14" ht="15.75" thickBot="1" x14ac:dyDescent="0.3"/>
    <row r="5" spans="2:14" ht="15.75" customHeight="1" thickBot="1" x14ac:dyDescent="0.3">
      <c r="B5" s="166" t="s">
        <v>34</v>
      </c>
      <c r="C5" s="168" t="s">
        <v>35</v>
      </c>
      <c r="D5" s="169"/>
      <c r="E5" s="159" t="s">
        <v>36</v>
      </c>
      <c r="F5" s="160"/>
      <c r="G5" s="159" t="s">
        <v>37</v>
      </c>
      <c r="H5" s="162"/>
      <c r="I5" s="160"/>
      <c r="J5" s="170" t="s">
        <v>81</v>
      </c>
      <c r="K5" s="171"/>
      <c r="L5" s="172"/>
      <c r="M5" s="171" t="s">
        <v>88</v>
      </c>
      <c r="N5" s="172"/>
    </row>
    <row r="6" spans="2:14" ht="39" thickBot="1" x14ac:dyDescent="0.3">
      <c r="B6" s="167"/>
      <c r="C6" s="126"/>
      <c r="D6" s="93" t="s">
        <v>39</v>
      </c>
      <c r="E6" s="6" t="s">
        <v>27</v>
      </c>
      <c r="F6" s="7" t="s">
        <v>28</v>
      </c>
      <c r="G6" s="93" t="s">
        <v>40</v>
      </c>
      <c r="H6" s="159" t="s">
        <v>41</v>
      </c>
      <c r="I6" s="160"/>
      <c r="J6" s="101" t="s">
        <v>82</v>
      </c>
      <c r="K6" s="101" t="s">
        <v>83</v>
      </c>
      <c r="L6" s="101" t="s">
        <v>47</v>
      </c>
      <c r="M6" s="101" t="s">
        <v>82</v>
      </c>
      <c r="N6" s="100" t="s">
        <v>83</v>
      </c>
    </row>
    <row r="7" spans="2:14" x14ac:dyDescent="0.25">
      <c r="B7" s="9"/>
      <c r="C7" s="9"/>
      <c r="D7" s="9"/>
      <c r="E7" s="9"/>
      <c r="F7" s="10"/>
      <c r="G7" s="9"/>
      <c r="H7" s="11" t="s">
        <v>27</v>
      </c>
      <c r="I7" s="11" t="s">
        <v>28</v>
      </c>
      <c r="J7" s="11" t="s">
        <v>84</v>
      </c>
      <c r="K7" s="11" t="s">
        <v>84</v>
      </c>
      <c r="L7" s="11" t="s">
        <v>84</v>
      </c>
      <c r="M7" s="12"/>
      <c r="N7" s="105"/>
    </row>
    <row r="8" spans="2:14" x14ac:dyDescent="0.25">
      <c r="B8" s="108" t="s">
        <v>5</v>
      </c>
      <c r="C8" s="108" t="s">
        <v>42</v>
      </c>
      <c r="D8" s="109">
        <f>'2016 Reconcilation'!D41</f>
        <v>25689</v>
      </c>
      <c r="E8" s="109">
        <f>'2016 Reconcilation'!E41</f>
        <v>208287976</v>
      </c>
      <c r="F8" s="109"/>
      <c r="G8" s="110">
        <f>'2016 Proposed Rates'!O17</f>
        <v>19.93</v>
      </c>
      <c r="H8" s="111">
        <f>'2016 Proposed Rates'!P17</f>
        <v>2.01E-2</v>
      </c>
      <c r="I8" s="111"/>
      <c r="J8" s="112">
        <f>D8*G8*12</f>
        <v>6143781.2400000002</v>
      </c>
      <c r="K8" s="112">
        <f>E8*H8</f>
        <v>4186588.3176000002</v>
      </c>
      <c r="L8" s="113">
        <f>J8+K8</f>
        <v>10330369.557600001</v>
      </c>
      <c r="M8" s="114">
        <f>J8/L8</f>
        <v>0.59473005353231057</v>
      </c>
      <c r="N8" s="115">
        <f>K8/L8</f>
        <v>0.40526994646768938</v>
      </c>
    </row>
    <row r="9" spans="2:14" x14ac:dyDescent="0.25">
      <c r="B9" s="108" t="s">
        <v>43</v>
      </c>
      <c r="C9" s="108" t="s">
        <v>42</v>
      </c>
      <c r="D9" s="109">
        <f>'2016 Reconcilation'!D42</f>
        <v>2521</v>
      </c>
      <c r="E9" s="109">
        <f>'2016 Reconcilation'!E42</f>
        <v>72454602</v>
      </c>
      <c r="F9" s="109"/>
      <c r="G9" s="110">
        <f>'2016 Proposed Rates'!O18</f>
        <v>28.13</v>
      </c>
      <c r="H9" s="111">
        <f>'2016 Proposed Rates'!P18</f>
        <v>2.29E-2</v>
      </c>
      <c r="I9" s="111"/>
      <c r="J9" s="112">
        <f t="shared" ref="J9:J13" si="0">D9*G9*12</f>
        <v>850988.76</v>
      </c>
      <c r="K9" s="112">
        <f>E9*H9</f>
        <v>1659210.3858</v>
      </c>
      <c r="L9" s="116">
        <f t="shared" ref="L9:L13" si="1">J9+K9</f>
        <v>2510199.1458000001</v>
      </c>
      <c r="M9" s="114">
        <f t="shared" ref="M9:M13" si="2">J9/L9</f>
        <v>0.33901244904168354</v>
      </c>
      <c r="N9" s="115">
        <f t="shared" ref="N9:N13" si="3">K9/L9</f>
        <v>0.66098755095831652</v>
      </c>
    </row>
    <row r="10" spans="2:14" x14ac:dyDescent="0.25">
      <c r="B10" s="108" t="s">
        <v>44</v>
      </c>
      <c r="C10" s="108" t="s">
        <v>42</v>
      </c>
      <c r="D10" s="109">
        <f>'2016 Reconcilation'!D43</f>
        <v>228</v>
      </c>
      <c r="E10" s="109">
        <f>'2016 Reconcilation'!E43</f>
        <v>224300691</v>
      </c>
      <c r="F10" s="109">
        <f>'2016 Reconcilation'!F43</f>
        <v>691366</v>
      </c>
      <c r="G10" s="110">
        <f>'2016 Proposed Rates'!O19</f>
        <v>151.08000000000001</v>
      </c>
      <c r="H10" s="111"/>
      <c r="I10" s="111">
        <f>'2016 Proposed Rates'!P19</f>
        <v>6.6558000000000002</v>
      </c>
      <c r="J10" s="112">
        <f t="shared" si="0"/>
        <v>413354.88000000006</v>
      </c>
      <c r="K10" s="112">
        <f>F10*I10</f>
        <v>4601593.8228000002</v>
      </c>
      <c r="L10" s="116">
        <f t="shared" si="1"/>
        <v>5014948.7028000001</v>
      </c>
      <c r="M10" s="114">
        <f t="shared" si="2"/>
        <v>8.242454798574736E-2</v>
      </c>
      <c r="N10" s="115">
        <f t="shared" si="3"/>
        <v>0.91757545201425272</v>
      </c>
    </row>
    <row r="11" spans="2:14" x14ac:dyDescent="0.25">
      <c r="B11" s="108" t="s">
        <v>45</v>
      </c>
      <c r="C11" s="108" t="s">
        <v>42</v>
      </c>
      <c r="D11" s="109">
        <f>'2016 Reconcilation'!D44</f>
        <v>39</v>
      </c>
      <c r="E11" s="109">
        <f>'2016 Reconcilation'!E44</f>
        <v>1527929</v>
      </c>
      <c r="F11" s="109"/>
      <c r="G11" s="110">
        <f>'2016 Proposed Rates'!O20</f>
        <v>32.799999999999997</v>
      </c>
      <c r="H11" s="111">
        <f>'2016 Proposed Rates'!P20</f>
        <v>1.78E-2</v>
      </c>
      <c r="I11" s="111"/>
      <c r="J11" s="112">
        <f t="shared" si="0"/>
        <v>15350.399999999998</v>
      </c>
      <c r="K11" s="112">
        <f>E11*H11</f>
        <v>27197.136200000001</v>
      </c>
      <c r="L11" s="116">
        <f t="shared" si="1"/>
        <v>42547.536200000002</v>
      </c>
      <c r="M11" s="114">
        <f t="shared" si="2"/>
        <v>0.36078234772146445</v>
      </c>
      <c r="N11" s="115">
        <f t="shared" si="3"/>
        <v>0.63921765227853544</v>
      </c>
    </row>
    <row r="12" spans="2:14" x14ac:dyDescent="0.25">
      <c r="B12" s="108" t="s">
        <v>9</v>
      </c>
      <c r="C12" s="108" t="s">
        <v>46</v>
      </c>
      <c r="D12" s="109">
        <f>'2016 Reconcilation'!D45</f>
        <v>961</v>
      </c>
      <c r="E12" s="109">
        <f>'2016 Reconcilation'!E45</f>
        <v>761037</v>
      </c>
      <c r="F12" s="109">
        <f>'2016 Reconcilation'!F45</f>
        <v>2334</v>
      </c>
      <c r="G12" s="110">
        <f>'2016 Proposed Rates'!O21</f>
        <v>5.07</v>
      </c>
      <c r="H12" s="111"/>
      <c r="I12" s="111">
        <f>'2016 Proposed Rates'!P21</f>
        <v>5.8719999999999999</v>
      </c>
      <c r="J12" s="112">
        <f t="shared" si="0"/>
        <v>58467.240000000005</v>
      </c>
      <c r="K12" s="112">
        <f t="shared" ref="K12:K13" si="4">F12*I12</f>
        <v>13705.248</v>
      </c>
      <c r="L12" s="113">
        <f t="shared" si="1"/>
        <v>72172.488000000012</v>
      </c>
      <c r="M12" s="114">
        <f t="shared" si="2"/>
        <v>0.81010426022724891</v>
      </c>
      <c r="N12" s="115">
        <f t="shared" si="3"/>
        <v>0.18989573977275104</v>
      </c>
    </row>
    <row r="13" spans="2:14" ht="15.75" thickBot="1" x14ac:dyDescent="0.3">
      <c r="B13" s="117" t="s">
        <v>10</v>
      </c>
      <c r="C13" s="117" t="s">
        <v>46</v>
      </c>
      <c r="D13" s="118">
        <f>'2016 Reconcilation'!D46</f>
        <v>5696</v>
      </c>
      <c r="E13" s="118">
        <f>'2016 Reconcilation'!E46</f>
        <v>4475403</v>
      </c>
      <c r="F13" s="118">
        <f>'2016 Reconcilation'!F46</f>
        <v>11789</v>
      </c>
      <c r="G13" s="119">
        <f>'2016 Proposed Rates'!O22</f>
        <v>4.93</v>
      </c>
      <c r="H13" s="120"/>
      <c r="I13" s="120">
        <f>'2016 Proposed Rates'!P22</f>
        <v>10.743399999999999</v>
      </c>
      <c r="J13" s="121">
        <f t="shared" si="0"/>
        <v>336975.35999999999</v>
      </c>
      <c r="K13" s="121">
        <f t="shared" si="4"/>
        <v>126653.94259999999</v>
      </c>
      <c r="L13" s="122">
        <f t="shared" si="1"/>
        <v>463629.3026</v>
      </c>
      <c r="M13" s="123">
        <f t="shared" si="2"/>
        <v>0.72682066925077049</v>
      </c>
      <c r="N13" s="124">
        <f t="shared" si="3"/>
        <v>0.27317933074922945</v>
      </c>
    </row>
    <row r="14" spans="2:14" ht="15.75" thickBot="1" x14ac:dyDescent="0.3">
      <c r="B14" s="32" t="s">
        <v>47</v>
      </c>
      <c r="C14" s="33"/>
      <c r="D14" s="34">
        <f>SUM(D8:D13)</f>
        <v>35134</v>
      </c>
      <c r="E14" s="34">
        <f>SUM(E8:E13)</f>
        <v>511807638</v>
      </c>
      <c r="F14" s="34">
        <f>SUM(F8:F13)</f>
        <v>705489</v>
      </c>
      <c r="G14" s="35"/>
      <c r="H14" s="35"/>
      <c r="I14" s="35"/>
      <c r="J14" s="102">
        <f>SUM(J8:J13)</f>
        <v>7818917.8800000008</v>
      </c>
      <c r="K14" s="103">
        <f>SUM(K8:K13)</f>
        <v>10614948.853</v>
      </c>
      <c r="L14" s="103">
        <f>SUM(L8:L13)</f>
        <v>18433866.733000003</v>
      </c>
      <c r="M14" s="104">
        <f t="shared" ref="M14" si="5">J14/L14</f>
        <v>0.42416048641616266</v>
      </c>
      <c r="N14" s="99">
        <f t="shared" ref="N14" si="6">K14/L14</f>
        <v>0.57583951358383723</v>
      </c>
    </row>
    <row r="17" spans="2:14" x14ac:dyDescent="0.25">
      <c r="B17" s="173" t="s">
        <v>85</v>
      </c>
      <c r="C17" s="173"/>
      <c r="D17" s="173"/>
      <c r="E17" s="173"/>
    </row>
    <row r="18" spans="2:14" ht="6.75" customHeight="1" x14ac:dyDescent="0.25"/>
    <row r="19" spans="2:14" x14ac:dyDescent="0.25">
      <c r="B19" s="164" t="s">
        <v>86</v>
      </c>
      <c r="C19" s="164"/>
      <c r="D19" s="164"/>
      <c r="E19" s="164"/>
      <c r="F19" s="106">
        <f>G8</f>
        <v>19.93</v>
      </c>
    </row>
    <row r="20" spans="2:14" x14ac:dyDescent="0.25">
      <c r="B20" s="164" t="s">
        <v>87</v>
      </c>
      <c r="C20" s="164"/>
      <c r="D20" s="164"/>
      <c r="E20" s="164"/>
      <c r="F20" s="107">
        <f>L8/D8/12</f>
        <v>33.511001977500101</v>
      </c>
    </row>
    <row r="21" spans="2:14" x14ac:dyDescent="0.25">
      <c r="B21" s="164" t="s">
        <v>89</v>
      </c>
      <c r="C21" s="164"/>
      <c r="D21" s="164"/>
      <c r="E21" s="164"/>
      <c r="F21" s="107">
        <f>(F20-F19)/4</f>
        <v>3.3952504943750252</v>
      </c>
    </row>
    <row r="22" spans="2:14" x14ac:dyDescent="0.25">
      <c r="B22" s="94" t="s">
        <v>95</v>
      </c>
      <c r="C22" s="94"/>
      <c r="D22" s="94"/>
      <c r="F22" s="107">
        <v>4</v>
      </c>
    </row>
    <row r="23" spans="2:14" x14ac:dyDescent="0.25">
      <c r="B23" s="164" t="s">
        <v>91</v>
      </c>
      <c r="C23" s="164"/>
      <c r="D23" s="164"/>
      <c r="E23" s="164"/>
      <c r="F23" s="107">
        <f>IF(F21&gt;F22,F22,F21)+F19</f>
        <v>23.325250494375027</v>
      </c>
    </row>
    <row r="25" spans="2:14" x14ac:dyDescent="0.25">
      <c r="B25" s="1" t="s">
        <v>90</v>
      </c>
    </row>
    <row r="26" spans="2:14" ht="15.75" thickBot="1" x14ac:dyDescent="0.3"/>
    <row r="27" spans="2:14" ht="15.75" customHeight="1" thickBot="1" x14ac:dyDescent="0.3">
      <c r="B27" s="2" t="s">
        <v>34</v>
      </c>
      <c r="C27" s="168" t="s">
        <v>35</v>
      </c>
      <c r="D27" s="169"/>
      <c r="E27" s="159" t="s">
        <v>36</v>
      </c>
      <c r="F27" s="160"/>
      <c r="G27" s="159" t="s">
        <v>37</v>
      </c>
      <c r="H27" s="162"/>
      <c r="I27" s="160"/>
      <c r="J27" s="170" t="s">
        <v>81</v>
      </c>
      <c r="K27" s="171"/>
      <c r="L27" s="172"/>
      <c r="M27" s="171" t="s">
        <v>88</v>
      </c>
      <c r="N27" s="172"/>
    </row>
    <row r="28" spans="2:14" ht="39" thickBot="1" x14ac:dyDescent="0.3">
      <c r="B28" s="5"/>
      <c r="C28" s="126"/>
      <c r="D28" s="93" t="s">
        <v>39</v>
      </c>
      <c r="E28" s="6" t="s">
        <v>27</v>
      </c>
      <c r="F28" s="7" t="s">
        <v>28</v>
      </c>
      <c r="G28" s="93" t="s">
        <v>40</v>
      </c>
      <c r="H28" s="159" t="s">
        <v>41</v>
      </c>
      <c r="I28" s="160"/>
      <c r="J28" s="101" t="s">
        <v>82</v>
      </c>
      <c r="K28" s="101" t="s">
        <v>83</v>
      </c>
      <c r="L28" s="101" t="s">
        <v>47</v>
      </c>
      <c r="M28" s="101" t="s">
        <v>82</v>
      </c>
      <c r="N28" s="100" t="s">
        <v>83</v>
      </c>
    </row>
    <row r="29" spans="2:14" x14ac:dyDescent="0.25">
      <c r="B29" s="9"/>
      <c r="C29" s="9"/>
      <c r="D29" s="9"/>
      <c r="E29" s="9"/>
      <c r="F29" s="10"/>
      <c r="G29" s="9"/>
      <c r="H29" s="11" t="s">
        <v>27</v>
      </c>
      <c r="I29" s="11" t="s">
        <v>28</v>
      </c>
      <c r="J29" s="11" t="s">
        <v>84</v>
      </c>
      <c r="K29" s="11" t="s">
        <v>84</v>
      </c>
      <c r="L29" s="11" t="s">
        <v>84</v>
      </c>
      <c r="M29" s="12"/>
      <c r="N29" s="105"/>
    </row>
    <row r="30" spans="2:14" ht="15.75" thickBot="1" x14ac:dyDescent="0.3">
      <c r="B30" s="117" t="s">
        <v>5</v>
      </c>
      <c r="C30" s="117" t="s">
        <v>42</v>
      </c>
      <c r="D30" s="118">
        <f>D8</f>
        <v>25689</v>
      </c>
      <c r="E30" s="118">
        <f>E8</f>
        <v>208287976</v>
      </c>
      <c r="F30" s="118"/>
      <c r="G30" s="119">
        <f>ROUND(F23,2)</f>
        <v>23.33</v>
      </c>
      <c r="H30" s="120">
        <f>(L8-(G30*D30*12))/E30</f>
        <v>1.5067970690732534E-2</v>
      </c>
      <c r="I30" s="120"/>
      <c r="J30" s="121">
        <f>G30*D30*12</f>
        <v>7191892.4399999995</v>
      </c>
      <c r="K30" s="121">
        <f>E30*H30</f>
        <v>3138477.1176000014</v>
      </c>
      <c r="L30" s="125">
        <f>J30+K30</f>
        <v>10330369.557600001</v>
      </c>
      <c r="M30" s="123">
        <f>J30/L30</f>
        <v>0.69618926989005547</v>
      </c>
      <c r="N30" s="124">
        <f>K30/L30</f>
        <v>0.30381073010994458</v>
      </c>
    </row>
    <row r="32" spans="2:14" x14ac:dyDescent="0.25">
      <c r="J32" s="165" t="s">
        <v>92</v>
      </c>
      <c r="K32" s="165"/>
      <c r="L32" s="98">
        <f>L8-L30</f>
        <v>0</v>
      </c>
    </row>
  </sheetData>
  <mergeCells count="21">
    <mergeCell ref="M27:N27"/>
    <mergeCell ref="E5:F5"/>
    <mergeCell ref="G5:I5"/>
    <mergeCell ref="H6:I6"/>
    <mergeCell ref="J5:L5"/>
    <mergeCell ref="B2:N2"/>
    <mergeCell ref="B3:N3"/>
    <mergeCell ref="M5:N5"/>
    <mergeCell ref="B19:E19"/>
    <mergeCell ref="B20:E20"/>
    <mergeCell ref="B17:E17"/>
    <mergeCell ref="J32:K32"/>
    <mergeCell ref="H28:I28"/>
    <mergeCell ref="B23:E23"/>
    <mergeCell ref="B5:B6"/>
    <mergeCell ref="C5:D5"/>
    <mergeCell ref="C27:D27"/>
    <mergeCell ref="B21:E21"/>
    <mergeCell ref="E27:F27"/>
    <mergeCell ref="G27:I27"/>
    <mergeCell ref="J27:L27"/>
  </mergeCells>
  <pageMargins left="0.7" right="0.7" top="0.75" bottom="0.75" header="0.3" footer="0.3"/>
  <pageSetup scale="5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Sheet</vt:lpstr>
      <vt:lpstr>2014 Board Approved Rates</vt:lpstr>
      <vt:lpstr>2015 Board Approved Rates</vt:lpstr>
      <vt:lpstr>2016 Proposed Rates</vt:lpstr>
      <vt:lpstr>2013 Reconcilation</vt:lpstr>
      <vt:lpstr>2014 Reconcilation</vt:lpstr>
      <vt:lpstr>2015 Reconcilation</vt:lpstr>
      <vt:lpstr>2016 Reconcilation</vt:lpstr>
      <vt:lpstr>Decoupling</vt:lpstr>
      <vt:lpstr>Proposed Rates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2015-06-16T18:48:26Z</cp:lastPrinted>
  <dcterms:created xsi:type="dcterms:W3CDTF">2013-07-31T14:36:17Z</dcterms:created>
  <dcterms:modified xsi:type="dcterms:W3CDTF">2015-08-13T13:17:06Z</dcterms:modified>
</cp:coreProperties>
</file>