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CTIVE APPLICATIONS\API 2016 IRM\Bill Impacts\"/>
    </mc:Choice>
  </mc:AlternateContent>
  <bookViews>
    <workbookView xWindow="480" yWindow="240" windowWidth="24240" windowHeight="12465"/>
  </bookViews>
  <sheets>
    <sheet name="Cover" sheetId="12" r:id="rId1"/>
    <sheet name="Rates" sheetId="3" r:id="rId2"/>
    <sheet name="Residential - R1 RPP" sheetId="2" r:id="rId3"/>
    <sheet name="Residential - R1 GS RPP" sheetId="22" r:id="rId4"/>
    <sheet name="Residential - R1 Non-RPP" sheetId="17" r:id="rId5"/>
    <sheet name="Residential - R2" sheetId="14" r:id="rId6"/>
    <sheet name="Seasonal RPP" sheetId="4" r:id="rId7"/>
    <sheet name="Seasonal Non-RPP" sheetId="19" r:id="rId8"/>
    <sheet name="Street Lighting Non-RPP" sheetId="10" r:id="rId9"/>
    <sheet name="Street Lighting Non-RPP (2)" sheetId="20" r:id="rId10"/>
    <sheet name="Summary" sheetId="21" r:id="rId11"/>
  </sheets>
  <externalReferences>
    <externalReference r:id="rId12"/>
  </externalReferences>
  <definedNames>
    <definedName name="EBNUMBER">'[1]LDC Info'!$E$16</definedName>
    <definedName name="_xlnm.Print_Area" localSheetId="3">'Residential - R1 GS RPP'!$A$1:$O$64</definedName>
    <definedName name="_xlnm.Print_Area" localSheetId="4">'Residential - R1 Non-RPP'!$A$1:$O$64</definedName>
    <definedName name="_xlnm.Print_Area" localSheetId="2">'Residential - R1 RPP'!$A$1:$O$64</definedName>
    <definedName name="_xlnm.Print_Area" localSheetId="5">'Residential - R2'!$A$1:$O$63</definedName>
    <definedName name="_xlnm.Print_Area" localSheetId="7">'Seasonal Non-RPP'!$A$1:$O$68</definedName>
    <definedName name="_xlnm.Print_Area" localSheetId="6">'Seasonal RPP'!$A$1:$O$69</definedName>
    <definedName name="_xlnm.Print_Area" localSheetId="8">'Street Lighting Non-RPP'!$A$1:$O$63</definedName>
    <definedName name="_xlnm.Print_Area" localSheetId="9">'Street Lighting Non-RPP (2)'!$A$1:$O$63</definedName>
  </definedNames>
  <calcPr calcId="152511"/>
</workbook>
</file>

<file path=xl/calcChain.xml><?xml version="1.0" encoding="utf-8"?>
<calcChain xmlns="http://schemas.openxmlformats.org/spreadsheetml/2006/main">
  <c r="G19" i="21" l="1"/>
  <c r="F19" i="21"/>
  <c r="G10" i="21"/>
  <c r="F10" i="21"/>
  <c r="H19" i="21"/>
  <c r="I19" i="21" s="1"/>
  <c r="H10" i="21"/>
  <c r="I10" i="21" s="1"/>
  <c r="C19" i="21"/>
  <c r="C10" i="21"/>
  <c r="J27" i="22"/>
  <c r="F27" i="22"/>
  <c r="F23" i="22"/>
  <c r="J23" i="22"/>
  <c r="J64" i="22"/>
  <c r="F64" i="22"/>
  <c r="G47" i="22" s="1"/>
  <c r="G48" i="22" s="1"/>
  <c r="H48" i="22" s="1"/>
  <c r="O61" i="22"/>
  <c r="N61" i="22"/>
  <c r="J56" i="22"/>
  <c r="G56" i="22"/>
  <c r="H56" i="22" s="1"/>
  <c r="F56" i="22"/>
  <c r="J55" i="22"/>
  <c r="G55" i="22"/>
  <c r="K55" i="22" s="1"/>
  <c r="L55" i="22" s="1"/>
  <c r="F55" i="22"/>
  <c r="J54" i="22"/>
  <c r="G54" i="22"/>
  <c r="K54" i="22" s="1"/>
  <c r="L54" i="22" s="1"/>
  <c r="F54" i="22"/>
  <c r="F44" i="22" s="1"/>
  <c r="L53" i="22"/>
  <c r="K53" i="22"/>
  <c r="J53" i="22"/>
  <c r="G53" i="22"/>
  <c r="F53" i="22"/>
  <c r="J52" i="22"/>
  <c r="L52" i="22" s="1"/>
  <c r="N52" i="22" s="1"/>
  <c r="F52" i="22"/>
  <c r="H52" i="22" s="1"/>
  <c r="J51" i="22"/>
  <c r="F51" i="22"/>
  <c r="J50" i="22"/>
  <c r="F50" i="22"/>
  <c r="J48" i="22"/>
  <c r="F48" i="22"/>
  <c r="K47" i="22"/>
  <c r="J47" i="22"/>
  <c r="F47" i="22"/>
  <c r="L45" i="22"/>
  <c r="N45" i="22" s="1"/>
  <c r="J45" i="22"/>
  <c r="F45" i="22"/>
  <c r="H45" i="22" s="1"/>
  <c r="K44" i="22"/>
  <c r="J44" i="22"/>
  <c r="G44" i="22"/>
  <c r="K43" i="22"/>
  <c r="L43" i="22" s="1"/>
  <c r="H43" i="22"/>
  <c r="O43" i="22" s="1"/>
  <c r="G43" i="22"/>
  <c r="L42" i="22"/>
  <c r="N42" i="22" s="1"/>
  <c r="J42" i="22"/>
  <c r="H42" i="22"/>
  <c r="O42" i="22" s="1"/>
  <c r="B42" i="22"/>
  <c r="O41" i="22"/>
  <c r="K41" i="22"/>
  <c r="L41" i="22" s="1"/>
  <c r="N41" i="22" s="1"/>
  <c r="J41" i="22"/>
  <c r="G41" i="22"/>
  <c r="H41" i="22" s="1"/>
  <c r="B41" i="22"/>
  <c r="L40" i="22"/>
  <c r="F40" i="22"/>
  <c r="H40" i="22" s="1"/>
  <c r="O40" i="22" s="1"/>
  <c r="B40" i="22"/>
  <c r="L39" i="22"/>
  <c r="N39" i="22" s="1"/>
  <c r="K39" i="22"/>
  <c r="J39" i="22"/>
  <c r="G39" i="22"/>
  <c r="H39" i="22" s="1"/>
  <c r="F39" i="22"/>
  <c r="B39" i="22"/>
  <c r="K37" i="22"/>
  <c r="L37" i="22" s="1"/>
  <c r="G37" i="22"/>
  <c r="H37" i="22" s="1"/>
  <c r="L36" i="22"/>
  <c r="N36" i="22" s="1"/>
  <c r="K36" i="22"/>
  <c r="G36" i="22"/>
  <c r="H36" i="22" s="1"/>
  <c r="O36" i="22" s="1"/>
  <c r="K35" i="22"/>
  <c r="L35" i="22" s="1"/>
  <c r="G35" i="22"/>
  <c r="H35" i="22" s="1"/>
  <c r="K34" i="22"/>
  <c r="L34" i="22" s="1"/>
  <c r="N34" i="22" s="1"/>
  <c r="G34" i="22"/>
  <c r="H34" i="22" s="1"/>
  <c r="O34" i="22" s="1"/>
  <c r="K33" i="22"/>
  <c r="J33" i="22"/>
  <c r="H33" i="22"/>
  <c r="G33" i="22"/>
  <c r="F33" i="22"/>
  <c r="B33" i="22"/>
  <c r="K32" i="22"/>
  <c r="L32" i="22" s="1"/>
  <c r="H32" i="22"/>
  <c r="O32" i="22" s="1"/>
  <c r="G32" i="22"/>
  <c r="L31" i="22"/>
  <c r="K31" i="22"/>
  <c r="G31" i="22"/>
  <c r="H31" i="22" s="1"/>
  <c r="O31" i="22" s="1"/>
  <c r="K30" i="22"/>
  <c r="L30" i="22" s="1"/>
  <c r="G30" i="22"/>
  <c r="H30" i="22" s="1"/>
  <c r="O30" i="22" s="1"/>
  <c r="K29" i="22"/>
  <c r="L29" i="22" s="1"/>
  <c r="N29" i="22" s="1"/>
  <c r="J29" i="22"/>
  <c r="G29" i="22"/>
  <c r="H29" i="22" s="1"/>
  <c r="F29" i="22"/>
  <c r="B29" i="22"/>
  <c r="K28" i="22"/>
  <c r="L28" i="22" s="1"/>
  <c r="F28" i="22"/>
  <c r="H28" i="22" s="1"/>
  <c r="K27" i="22"/>
  <c r="L27" i="22" s="1"/>
  <c r="G27" i="22"/>
  <c r="L26" i="22"/>
  <c r="H26" i="22"/>
  <c r="O26" i="22" s="1"/>
  <c r="L25" i="22"/>
  <c r="H25" i="22"/>
  <c r="O25" i="22" s="1"/>
  <c r="L24" i="22"/>
  <c r="H24" i="22"/>
  <c r="O24" i="22" s="1"/>
  <c r="L23" i="22"/>
  <c r="H23" i="22"/>
  <c r="O1" i="22"/>
  <c r="N30" i="22" l="1"/>
  <c r="N31" i="22"/>
  <c r="N32" i="22"/>
  <c r="N54" i="22"/>
  <c r="N23" i="22"/>
  <c r="N28" i="22"/>
  <c r="O28" i="22" s="1"/>
  <c r="O29" i="22"/>
  <c r="O35" i="22"/>
  <c r="N35" i="22"/>
  <c r="O37" i="22"/>
  <c r="N37" i="22"/>
  <c r="O39" i="22"/>
  <c r="H44" i="22"/>
  <c r="N25" i="22"/>
  <c r="H27" i="22"/>
  <c r="N43" i="22"/>
  <c r="L47" i="22"/>
  <c r="O52" i="22"/>
  <c r="H53" i="22"/>
  <c r="O53" i="22" s="1"/>
  <c r="L44" i="22"/>
  <c r="N44" i="22" s="1"/>
  <c r="H54" i="22"/>
  <c r="K56" i="22"/>
  <c r="L56" i="22" s="1"/>
  <c r="N56" i="22" s="1"/>
  <c r="O56" i="22" s="1"/>
  <c r="G51" i="22"/>
  <c r="H51" i="22" s="1"/>
  <c r="G50" i="22"/>
  <c r="H50" i="22" s="1"/>
  <c r="O23" i="22"/>
  <c r="N24" i="22"/>
  <c r="N26" i="22"/>
  <c r="L33" i="22"/>
  <c r="N33" i="22" s="1"/>
  <c r="O33" i="22" s="1"/>
  <c r="N40" i="22"/>
  <c r="H47" i="22"/>
  <c r="H55" i="22"/>
  <c r="K48" i="22"/>
  <c r="D22" i="21"/>
  <c r="C22" i="21"/>
  <c r="D13" i="21"/>
  <c r="C13" i="21"/>
  <c r="C21" i="21"/>
  <c r="C12" i="21"/>
  <c r="D20" i="21"/>
  <c r="C20" i="21"/>
  <c r="D11" i="21"/>
  <c r="C11" i="21"/>
  <c r="C18" i="21"/>
  <c r="C9" i="21"/>
  <c r="N53" i="22" l="1"/>
  <c r="L38" i="22"/>
  <c r="L46" i="22" s="1"/>
  <c r="O44" i="22"/>
  <c r="N55" i="22"/>
  <c r="O55" i="22" s="1"/>
  <c r="H38" i="22"/>
  <c r="N27" i="22"/>
  <c r="O27" i="22" s="1"/>
  <c r="L48" i="22"/>
  <c r="N48" i="22" s="1"/>
  <c r="O48" i="22" s="1"/>
  <c r="K51" i="22"/>
  <c r="L51" i="22" s="1"/>
  <c r="N51" i="22" s="1"/>
  <c r="O51" i="22" s="1"/>
  <c r="K50" i="22"/>
  <c r="L50" i="22" s="1"/>
  <c r="O54" i="22"/>
  <c r="N47" i="22"/>
  <c r="O47" i="22" s="1"/>
  <c r="J60" i="19"/>
  <c r="F60" i="19"/>
  <c r="L49" i="22" l="1"/>
  <c r="L58" i="22"/>
  <c r="N50" i="22"/>
  <c r="O50" i="22" s="1"/>
  <c r="H46" i="22"/>
  <c r="N46" i="22" s="1"/>
  <c r="N38" i="22"/>
  <c r="O38" i="22" s="1"/>
  <c r="H33" i="14"/>
  <c r="G33" i="14"/>
  <c r="F33" i="14"/>
  <c r="L59" i="22" l="1"/>
  <c r="H49" i="22"/>
  <c r="O46" i="22"/>
  <c r="J63" i="20"/>
  <c r="K52" i="20" s="1"/>
  <c r="F63" i="20"/>
  <c r="G52" i="20" s="1"/>
  <c r="K56" i="20"/>
  <c r="J56" i="20"/>
  <c r="G56" i="20"/>
  <c r="F56" i="20"/>
  <c r="K55" i="20"/>
  <c r="J55" i="20"/>
  <c r="G55" i="20"/>
  <c r="F55" i="20"/>
  <c r="J54" i="20"/>
  <c r="L54" i="20" s="1"/>
  <c r="F54" i="20"/>
  <c r="H54" i="20" s="1"/>
  <c r="J53" i="20"/>
  <c r="F53" i="20"/>
  <c r="J52" i="20"/>
  <c r="F52" i="20"/>
  <c r="J50" i="20"/>
  <c r="F50" i="20"/>
  <c r="K49" i="20"/>
  <c r="J49" i="20"/>
  <c r="F49" i="20"/>
  <c r="L47" i="20"/>
  <c r="N47" i="20" s="1"/>
  <c r="H47" i="20"/>
  <c r="J46" i="20"/>
  <c r="F46" i="20"/>
  <c r="K45" i="20"/>
  <c r="L45" i="20" s="1"/>
  <c r="G45" i="20"/>
  <c r="H45" i="20" s="1"/>
  <c r="O45" i="20" s="1"/>
  <c r="K44" i="20"/>
  <c r="J44" i="20"/>
  <c r="G44" i="20"/>
  <c r="F44" i="20"/>
  <c r="B44" i="20"/>
  <c r="K43" i="20"/>
  <c r="L43" i="20" s="1"/>
  <c r="J43" i="20"/>
  <c r="G43" i="20"/>
  <c r="F43" i="20"/>
  <c r="B43" i="20"/>
  <c r="K42" i="20"/>
  <c r="J42" i="20"/>
  <c r="G42" i="20"/>
  <c r="F42" i="20"/>
  <c r="B42" i="20"/>
  <c r="K41" i="20"/>
  <c r="J41" i="20"/>
  <c r="G41" i="20"/>
  <c r="F41" i="20"/>
  <c r="B41" i="20"/>
  <c r="K39" i="20"/>
  <c r="L39" i="20" s="1"/>
  <c r="N39" i="20" s="1"/>
  <c r="G39" i="20"/>
  <c r="H39" i="20" s="1"/>
  <c r="O39" i="20" s="1"/>
  <c r="K38" i="20"/>
  <c r="L38" i="20" s="1"/>
  <c r="G38" i="20"/>
  <c r="H38" i="20" s="1"/>
  <c r="O38" i="20" s="1"/>
  <c r="K37" i="20"/>
  <c r="L37" i="20" s="1"/>
  <c r="N37" i="20" s="1"/>
  <c r="G37" i="20"/>
  <c r="H37" i="20" s="1"/>
  <c r="O37" i="20" s="1"/>
  <c r="K36" i="20"/>
  <c r="L36" i="20" s="1"/>
  <c r="G36" i="20"/>
  <c r="H36" i="20" s="1"/>
  <c r="O36" i="20" s="1"/>
  <c r="L35" i="20"/>
  <c r="K35" i="20"/>
  <c r="J35" i="20"/>
  <c r="G35" i="20"/>
  <c r="F35" i="20"/>
  <c r="B35" i="20"/>
  <c r="K34" i="20"/>
  <c r="L34" i="20" s="1"/>
  <c r="G34" i="20"/>
  <c r="H34" i="20" s="1"/>
  <c r="O34" i="20" s="1"/>
  <c r="K33" i="20"/>
  <c r="J33" i="20"/>
  <c r="G33" i="20"/>
  <c r="F33" i="20"/>
  <c r="B33" i="20"/>
  <c r="K32" i="20"/>
  <c r="L32" i="20" s="1"/>
  <c r="N32" i="20" s="1"/>
  <c r="G32" i="20"/>
  <c r="H32" i="20" s="1"/>
  <c r="O32" i="20" s="1"/>
  <c r="K31" i="20"/>
  <c r="L31" i="20" s="1"/>
  <c r="H31" i="20"/>
  <c r="O31" i="20" s="1"/>
  <c r="G31" i="20"/>
  <c r="L30" i="20"/>
  <c r="N30" i="20" s="1"/>
  <c r="K30" i="20"/>
  <c r="G30" i="20"/>
  <c r="H30" i="20" s="1"/>
  <c r="O30" i="20" s="1"/>
  <c r="K29" i="20"/>
  <c r="L29" i="20" s="1"/>
  <c r="G29" i="20"/>
  <c r="H29" i="20" s="1"/>
  <c r="O29" i="20" s="1"/>
  <c r="K28" i="20"/>
  <c r="J28" i="20"/>
  <c r="G28" i="20"/>
  <c r="H28" i="20" s="1"/>
  <c r="F28" i="20"/>
  <c r="O27" i="20"/>
  <c r="N27" i="20"/>
  <c r="L27" i="20"/>
  <c r="H27" i="20"/>
  <c r="O26" i="20"/>
  <c r="N26" i="20"/>
  <c r="L26" i="20"/>
  <c r="H26" i="20"/>
  <c r="O25" i="20"/>
  <c r="N25" i="20"/>
  <c r="L25" i="20"/>
  <c r="H25" i="20"/>
  <c r="O24" i="20"/>
  <c r="N24" i="20"/>
  <c r="L24" i="20"/>
  <c r="H24" i="20"/>
  <c r="O23" i="20"/>
  <c r="N23" i="20"/>
  <c r="L23" i="20"/>
  <c r="H23" i="20"/>
  <c r="J22" i="20"/>
  <c r="L22" i="20" s="1"/>
  <c r="N22" i="20" s="1"/>
  <c r="F22" i="20"/>
  <c r="H22" i="20" s="1"/>
  <c r="O1" i="20"/>
  <c r="J44" i="10"/>
  <c r="J43" i="10"/>
  <c r="F44" i="10"/>
  <c r="F43" i="10"/>
  <c r="H33" i="10"/>
  <c r="G33" i="10"/>
  <c r="F33" i="10"/>
  <c r="B44" i="10"/>
  <c r="B43" i="10"/>
  <c r="J68" i="19"/>
  <c r="K50" i="19" s="1"/>
  <c r="K51" i="19" s="1"/>
  <c r="F68" i="19"/>
  <c r="G47" i="19" s="1"/>
  <c r="K60" i="19"/>
  <c r="G60" i="19"/>
  <c r="H60" i="19" s="1"/>
  <c r="K59" i="19"/>
  <c r="J59" i="19"/>
  <c r="G59" i="19"/>
  <c r="F59" i="19"/>
  <c r="K58" i="19"/>
  <c r="J58" i="19"/>
  <c r="G58" i="19"/>
  <c r="F58" i="19"/>
  <c r="K57" i="19"/>
  <c r="J57" i="19"/>
  <c r="G57" i="19"/>
  <c r="F57" i="19"/>
  <c r="F47" i="19" s="1"/>
  <c r="K56" i="19"/>
  <c r="J56" i="19"/>
  <c r="G56" i="19"/>
  <c r="F56" i="19"/>
  <c r="J55" i="19"/>
  <c r="L55" i="19" s="1"/>
  <c r="H55" i="19"/>
  <c r="F55" i="19"/>
  <c r="J54" i="19"/>
  <c r="F54" i="19"/>
  <c r="J53" i="19"/>
  <c r="F53" i="19"/>
  <c r="J51" i="19"/>
  <c r="F51" i="19"/>
  <c r="J50" i="19"/>
  <c r="G50" i="19"/>
  <c r="F50" i="19"/>
  <c r="J48" i="19"/>
  <c r="L48" i="19" s="1"/>
  <c r="N48" i="19" s="1"/>
  <c r="F48" i="19"/>
  <c r="H48" i="19" s="1"/>
  <c r="K46" i="19"/>
  <c r="L46" i="19" s="1"/>
  <c r="G46" i="19"/>
  <c r="H46" i="19" s="1"/>
  <c r="K45" i="19"/>
  <c r="J45" i="19"/>
  <c r="G45" i="19"/>
  <c r="F45" i="19"/>
  <c r="B45" i="19"/>
  <c r="K44" i="19"/>
  <c r="J44" i="19"/>
  <c r="G44" i="19"/>
  <c r="F44" i="19"/>
  <c r="H44" i="19" s="1"/>
  <c r="O44" i="19" s="1"/>
  <c r="B44" i="19"/>
  <c r="K43" i="19"/>
  <c r="L43" i="19" s="1"/>
  <c r="G43" i="19"/>
  <c r="F43" i="19"/>
  <c r="B43" i="19"/>
  <c r="K42" i="19"/>
  <c r="J42" i="19"/>
  <c r="G42" i="19"/>
  <c r="F42" i="19"/>
  <c r="B42" i="19"/>
  <c r="K40" i="19"/>
  <c r="L40" i="19" s="1"/>
  <c r="G40" i="19"/>
  <c r="H40" i="19" s="1"/>
  <c r="O40" i="19" s="1"/>
  <c r="K39" i="19"/>
  <c r="L39" i="19" s="1"/>
  <c r="N39" i="19" s="1"/>
  <c r="G39" i="19"/>
  <c r="H39" i="19" s="1"/>
  <c r="O39" i="19" s="1"/>
  <c r="K38" i="19"/>
  <c r="L38" i="19" s="1"/>
  <c r="G38" i="19"/>
  <c r="H38" i="19" s="1"/>
  <c r="O38" i="19" s="1"/>
  <c r="K37" i="19"/>
  <c r="J37" i="19"/>
  <c r="L37" i="19" s="1"/>
  <c r="G37" i="19"/>
  <c r="F37" i="19"/>
  <c r="B37" i="19"/>
  <c r="K36" i="19"/>
  <c r="J36" i="19"/>
  <c r="G36" i="19"/>
  <c r="F36" i="19"/>
  <c r="H36" i="19" s="1"/>
  <c r="B36" i="19"/>
  <c r="K35" i="19"/>
  <c r="J35" i="19"/>
  <c r="G35" i="19"/>
  <c r="F35" i="19"/>
  <c r="O34" i="19"/>
  <c r="K34" i="19"/>
  <c r="J34" i="19"/>
  <c r="F34" i="19"/>
  <c r="B34" i="19"/>
  <c r="K33" i="19"/>
  <c r="J33" i="19"/>
  <c r="G33" i="19"/>
  <c r="H33" i="19" s="1"/>
  <c r="O33" i="19" s="1"/>
  <c r="F33" i="19"/>
  <c r="K32" i="19"/>
  <c r="J32" i="19"/>
  <c r="G32" i="19"/>
  <c r="F32" i="19"/>
  <c r="H32" i="19" s="1"/>
  <c r="O32" i="19" s="1"/>
  <c r="K31" i="19"/>
  <c r="L31" i="19" s="1"/>
  <c r="H31" i="19"/>
  <c r="O31" i="19" s="1"/>
  <c r="G31" i="19"/>
  <c r="K30" i="19"/>
  <c r="L30" i="19" s="1"/>
  <c r="G30" i="19"/>
  <c r="H30" i="19" s="1"/>
  <c r="O30" i="19" s="1"/>
  <c r="K29" i="19"/>
  <c r="J29" i="19"/>
  <c r="G29" i="19"/>
  <c r="H29" i="19" s="1"/>
  <c r="F29" i="19"/>
  <c r="L28" i="19"/>
  <c r="N28" i="19" s="1"/>
  <c r="H28" i="19"/>
  <c r="O28" i="19" s="1"/>
  <c r="J27" i="19"/>
  <c r="L27" i="19" s="1"/>
  <c r="F27" i="19"/>
  <c r="H27" i="19" s="1"/>
  <c r="B27" i="19"/>
  <c r="L26" i="19"/>
  <c r="H26" i="19"/>
  <c r="O26" i="19" s="1"/>
  <c r="J25" i="19"/>
  <c r="L25" i="19" s="1"/>
  <c r="F25" i="19"/>
  <c r="H25" i="19" s="1"/>
  <c r="B25" i="19"/>
  <c r="L24" i="19"/>
  <c r="H24" i="19"/>
  <c r="O24" i="19" s="1"/>
  <c r="J23" i="19"/>
  <c r="L23" i="19" s="1"/>
  <c r="F23" i="19"/>
  <c r="H23" i="19" s="1"/>
  <c r="O1" i="19"/>
  <c r="F34" i="4"/>
  <c r="J45" i="4"/>
  <c r="J44" i="4"/>
  <c r="F45" i="4"/>
  <c r="F44" i="4"/>
  <c r="B45" i="4"/>
  <c r="B44" i="4"/>
  <c r="J44" i="14"/>
  <c r="J43" i="14"/>
  <c r="F44" i="14"/>
  <c r="F43" i="14"/>
  <c r="B44" i="14"/>
  <c r="B43" i="14"/>
  <c r="J44" i="17"/>
  <c r="J43" i="17"/>
  <c r="J42" i="2"/>
  <c r="J41" i="2"/>
  <c r="B44" i="17"/>
  <c r="B43" i="17"/>
  <c r="F30" i="17"/>
  <c r="F29" i="2"/>
  <c r="F28" i="2"/>
  <c r="B42" i="2"/>
  <c r="B41" i="2"/>
  <c r="F91" i="3"/>
  <c r="F92" i="3" s="1"/>
  <c r="D91" i="3"/>
  <c r="D92" i="3" s="1"/>
  <c r="H58" i="22" l="1"/>
  <c r="N49" i="22"/>
  <c r="O49" i="22" s="1"/>
  <c r="L60" i="22"/>
  <c r="K47" i="19"/>
  <c r="L41" i="20"/>
  <c r="L45" i="19"/>
  <c r="L28" i="20"/>
  <c r="N28" i="20" s="1"/>
  <c r="O28" i="20" s="1"/>
  <c r="H35" i="20"/>
  <c r="H43" i="20"/>
  <c r="O43" i="20" s="1"/>
  <c r="L52" i="20"/>
  <c r="L35" i="19"/>
  <c r="N35" i="19" s="1"/>
  <c r="H57" i="19"/>
  <c r="H58" i="19"/>
  <c r="H59" i="19"/>
  <c r="H44" i="20"/>
  <c r="O44" i="20" s="1"/>
  <c r="K46" i="20"/>
  <c r="L46" i="20" s="1"/>
  <c r="G49" i="20"/>
  <c r="N54" i="20"/>
  <c r="O54" i="20" s="1"/>
  <c r="L55" i="20"/>
  <c r="N55" i="20" s="1"/>
  <c r="L56" i="20"/>
  <c r="L44" i="19"/>
  <c r="J47" i="19"/>
  <c r="L33" i="20"/>
  <c r="N35" i="20"/>
  <c r="H42" i="20"/>
  <c r="L44" i="20"/>
  <c r="G46" i="20"/>
  <c r="H46" i="20" s="1"/>
  <c r="L49" i="20"/>
  <c r="H55" i="20"/>
  <c r="H56" i="20"/>
  <c r="L51" i="19"/>
  <c r="H42" i="19"/>
  <c r="N55" i="19"/>
  <c r="N25" i="19"/>
  <c r="O25" i="19" s="1"/>
  <c r="N30" i="19"/>
  <c r="N31" i="19"/>
  <c r="O46" i="19"/>
  <c r="N46" i="19"/>
  <c r="N24" i="19"/>
  <c r="N40" i="19"/>
  <c r="L57" i="19"/>
  <c r="L59" i="19"/>
  <c r="N59" i="19" s="1"/>
  <c r="O59" i="19" s="1"/>
  <c r="L32" i="19"/>
  <c r="N32" i="19" s="1"/>
  <c r="H35" i="19"/>
  <c r="O35" i="19" s="1"/>
  <c r="H43" i="19"/>
  <c r="L47" i="19"/>
  <c r="N47" i="19" s="1"/>
  <c r="O47" i="19" s="1"/>
  <c r="H50" i="19"/>
  <c r="H56" i="19"/>
  <c r="O56" i="19" s="1"/>
  <c r="H47" i="19"/>
  <c r="H37" i="19"/>
  <c r="H41" i="19" s="1"/>
  <c r="L50" i="19"/>
  <c r="N38" i="19"/>
  <c r="G51" i="19"/>
  <c r="H51" i="19" s="1"/>
  <c r="O55" i="19"/>
  <c r="N26" i="19"/>
  <c r="N43" i="20"/>
  <c r="O55" i="20"/>
  <c r="N34" i="20"/>
  <c r="O35" i="20"/>
  <c r="O22" i="20"/>
  <c r="N36" i="20"/>
  <c r="N38" i="20"/>
  <c r="L42" i="20"/>
  <c r="N42" i="20" s="1"/>
  <c r="O42" i="20" s="1"/>
  <c r="H49" i="20"/>
  <c r="N49" i="20" s="1"/>
  <c r="H52" i="20"/>
  <c r="N29" i="20"/>
  <c r="N31" i="20"/>
  <c r="H33" i="20"/>
  <c r="H40" i="20" s="1"/>
  <c r="H41" i="20"/>
  <c r="N41" i="20" s="1"/>
  <c r="N45" i="20"/>
  <c r="K50" i="20"/>
  <c r="L50" i="20" s="1"/>
  <c r="K53" i="20"/>
  <c r="L53" i="20" s="1"/>
  <c r="G50" i="20"/>
  <c r="H50" i="20" s="1"/>
  <c r="G53" i="20"/>
  <c r="H53" i="20" s="1"/>
  <c r="N27" i="19"/>
  <c r="O27" i="19" s="1"/>
  <c r="N43" i="19"/>
  <c r="O43" i="19" s="1"/>
  <c r="L33" i="19"/>
  <c r="N33" i="19" s="1"/>
  <c r="L42" i="19"/>
  <c r="N42" i="19" s="1"/>
  <c r="O42" i="19" s="1"/>
  <c r="H45" i="19"/>
  <c r="O45" i="19" s="1"/>
  <c r="L56" i="19"/>
  <c r="N56" i="19" s="1"/>
  <c r="L60" i="19"/>
  <c r="N44" i="19"/>
  <c r="N23" i="19"/>
  <c r="O23" i="19" s="1"/>
  <c r="L29" i="19"/>
  <c r="N29" i="19" s="1"/>
  <c r="O29" i="19" s="1"/>
  <c r="L34" i="19"/>
  <c r="N34" i="19" s="1"/>
  <c r="L36" i="19"/>
  <c r="N36" i="19" s="1"/>
  <c r="O36" i="19" s="1"/>
  <c r="K54" i="19"/>
  <c r="L54" i="19" s="1"/>
  <c r="K53" i="19"/>
  <c r="L53" i="19" s="1"/>
  <c r="L58" i="19"/>
  <c r="N58" i="19" s="1"/>
  <c r="O58" i="19" s="1"/>
  <c r="K33" i="10"/>
  <c r="J33" i="10"/>
  <c r="B33" i="10"/>
  <c r="O34" i="4"/>
  <c r="K34" i="4"/>
  <c r="J34" i="4"/>
  <c r="B34" i="4"/>
  <c r="K33" i="14"/>
  <c r="J33" i="14"/>
  <c r="B33" i="14"/>
  <c r="H59" i="22" l="1"/>
  <c r="N58" i="22"/>
  <c r="O58" i="22" s="1"/>
  <c r="L62" i="22"/>
  <c r="L40" i="20"/>
  <c r="L48" i="20" s="1"/>
  <c r="N44" i="20"/>
  <c r="N56" i="20"/>
  <c r="O56" i="20" s="1"/>
  <c r="N46" i="20"/>
  <c r="O46" i="20" s="1"/>
  <c r="N57" i="19"/>
  <c r="O57" i="19" s="1"/>
  <c r="N50" i="20"/>
  <c r="N51" i="19"/>
  <c r="O51" i="19" s="1"/>
  <c r="N37" i="19"/>
  <c r="O37" i="19" s="1"/>
  <c r="G54" i="19"/>
  <c r="H54" i="19" s="1"/>
  <c r="N54" i="19" s="1"/>
  <c r="G53" i="19"/>
  <c r="H53" i="19" s="1"/>
  <c r="N53" i="19" s="1"/>
  <c r="N50" i="19"/>
  <c r="O50" i="19" s="1"/>
  <c r="N33" i="20"/>
  <c r="O33" i="20" s="1"/>
  <c r="H48" i="20"/>
  <c r="O50" i="20"/>
  <c r="O41" i="20"/>
  <c r="N53" i="20"/>
  <c r="O53" i="20" s="1"/>
  <c r="O49" i="20"/>
  <c r="N52" i="20"/>
  <c r="O52" i="20" s="1"/>
  <c r="L41" i="19"/>
  <c r="N45" i="19"/>
  <c r="N60" i="19"/>
  <c r="O60" i="19" s="1"/>
  <c r="H49" i="19"/>
  <c r="L33" i="10"/>
  <c r="N33" i="10" s="1"/>
  <c r="O33" i="10" s="1"/>
  <c r="L33" i="14"/>
  <c r="N33" i="14" s="1"/>
  <c r="O33" i="14" s="1"/>
  <c r="L34" i="4"/>
  <c r="N34" i="4" s="1"/>
  <c r="N59" i="22" l="1"/>
  <c r="O59" i="22" s="1"/>
  <c r="H60" i="22"/>
  <c r="N40" i="20"/>
  <c r="O40" i="20" s="1"/>
  <c r="O53" i="19"/>
  <c r="O54" i="19"/>
  <c r="N48" i="20"/>
  <c r="O48" i="20" s="1"/>
  <c r="L51" i="20"/>
  <c r="H51" i="20"/>
  <c r="H52" i="19"/>
  <c r="N41" i="19"/>
  <c r="O41" i="19" s="1"/>
  <c r="L49" i="19"/>
  <c r="J25" i="17"/>
  <c r="H62" i="22" l="1"/>
  <c r="N60" i="22"/>
  <c r="O60" i="22" s="1"/>
  <c r="H58" i="20"/>
  <c r="N51" i="20"/>
  <c r="O51" i="20" s="1"/>
  <c r="L58" i="20"/>
  <c r="N49" i="19"/>
  <c r="O49" i="19" s="1"/>
  <c r="L52" i="19"/>
  <c r="H62" i="19"/>
  <c r="K32" i="10"/>
  <c r="G32" i="10"/>
  <c r="J33" i="4"/>
  <c r="K33" i="4"/>
  <c r="J32" i="4"/>
  <c r="G33" i="4"/>
  <c r="F33" i="4"/>
  <c r="F32" i="4"/>
  <c r="N62" i="22" l="1"/>
  <c r="O62" i="22" s="1"/>
  <c r="L59" i="20"/>
  <c r="N58" i="20"/>
  <c r="O58" i="20" s="1"/>
  <c r="H59" i="20"/>
  <c r="H60" i="20" s="1"/>
  <c r="N52" i="19"/>
  <c r="O52" i="19" s="1"/>
  <c r="L62" i="19"/>
  <c r="H63" i="19"/>
  <c r="H32" i="10"/>
  <c r="L32" i="10"/>
  <c r="L33" i="4"/>
  <c r="H33" i="4"/>
  <c r="K33" i="17"/>
  <c r="G33" i="17"/>
  <c r="N59" i="20" l="1"/>
  <c r="O59" i="20" s="1"/>
  <c r="L60" i="20"/>
  <c r="N60" i="20" s="1"/>
  <c r="O60" i="20" s="1"/>
  <c r="H64" i="19"/>
  <c r="L63" i="19"/>
  <c r="N63" i="19" s="1"/>
  <c r="O63" i="19" s="1"/>
  <c r="N62" i="19"/>
  <c r="O62" i="19" s="1"/>
  <c r="L33" i="17"/>
  <c r="L32" i="14"/>
  <c r="N32" i="10"/>
  <c r="O32" i="10" s="1"/>
  <c r="N33" i="4"/>
  <c r="O33" i="4" s="1"/>
  <c r="H33" i="17"/>
  <c r="H32" i="14"/>
  <c r="K31" i="2"/>
  <c r="G31" i="2"/>
  <c r="L64" i="19" l="1"/>
  <c r="H66" i="19"/>
  <c r="N32" i="14"/>
  <c r="O32" i="14" s="1"/>
  <c r="N33" i="17"/>
  <c r="O33" i="17" s="1"/>
  <c r="H31" i="2"/>
  <c r="L31" i="2"/>
  <c r="G56" i="17"/>
  <c r="K56" i="17" s="1"/>
  <c r="J46" i="17"/>
  <c r="F46" i="17"/>
  <c r="J56" i="17"/>
  <c r="F56" i="17"/>
  <c r="J64" i="17"/>
  <c r="K46" i="17" s="1"/>
  <c r="F64" i="17"/>
  <c r="G46" i="17" s="1"/>
  <c r="K55" i="17"/>
  <c r="J55" i="17"/>
  <c r="G55" i="17"/>
  <c r="F55" i="17"/>
  <c r="J54" i="17"/>
  <c r="L54" i="17" s="1"/>
  <c r="F54" i="17"/>
  <c r="H54" i="17" s="1"/>
  <c r="J53" i="17"/>
  <c r="F53" i="17"/>
  <c r="J52" i="17"/>
  <c r="F52" i="17"/>
  <c r="J50" i="17"/>
  <c r="F50" i="17"/>
  <c r="J49" i="17"/>
  <c r="F49" i="17"/>
  <c r="J47" i="17"/>
  <c r="L47" i="17" s="1"/>
  <c r="F47" i="17"/>
  <c r="H47" i="17" s="1"/>
  <c r="K45" i="17"/>
  <c r="L45" i="17" s="1"/>
  <c r="G45" i="17"/>
  <c r="H45" i="17" s="1"/>
  <c r="O45" i="17" s="1"/>
  <c r="K44" i="17"/>
  <c r="L44" i="17" s="1"/>
  <c r="G44" i="17"/>
  <c r="H44" i="17" s="1"/>
  <c r="O44" i="17" s="1"/>
  <c r="K43" i="17"/>
  <c r="L43" i="17" s="1"/>
  <c r="G43" i="17"/>
  <c r="H43" i="17" s="1"/>
  <c r="O43" i="17" s="1"/>
  <c r="K42" i="17"/>
  <c r="J42" i="17"/>
  <c r="G42" i="17"/>
  <c r="F42" i="17"/>
  <c r="B42" i="17"/>
  <c r="K41" i="17"/>
  <c r="J41" i="17"/>
  <c r="G41" i="17"/>
  <c r="F41" i="17"/>
  <c r="B41" i="17"/>
  <c r="K39" i="17"/>
  <c r="L39" i="17" s="1"/>
  <c r="G39" i="17"/>
  <c r="H39" i="17" s="1"/>
  <c r="O39" i="17" s="1"/>
  <c r="K38" i="17"/>
  <c r="L38" i="17" s="1"/>
  <c r="G38" i="17"/>
  <c r="H38" i="17" s="1"/>
  <c r="O38" i="17" s="1"/>
  <c r="K37" i="17"/>
  <c r="L37" i="17" s="1"/>
  <c r="G37" i="17"/>
  <c r="H37" i="17" s="1"/>
  <c r="O37" i="17" s="1"/>
  <c r="K36" i="17"/>
  <c r="L36" i="17" s="1"/>
  <c r="G36" i="17"/>
  <c r="H36" i="17" s="1"/>
  <c r="O36" i="17" s="1"/>
  <c r="K35" i="17"/>
  <c r="J35" i="17"/>
  <c r="G35" i="17"/>
  <c r="F35" i="17"/>
  <c r="B35" i="17"/>
  <c r="K34" i="17"/>
  <c r="G34" i="17"/>
  <c r="K32" i="17"/>
  <c r="G32" i="17"/>
  <c r="K31" i="17"/>
  <c r="J31" i="17"/>
  <c r="G31" i="17"/>
  <c r="F31" i="17"/>
  <c r="B31" i="17"/>
  <c r="K30" i="17"/>
  <c r="L30" i="17" s="1"/>
  <c r="H30" i="17"/>
  <c r="K29" i="17"/>
  <c r="J29" i="17"/>
  <c r="G29" i="17"/>
  <c r="F29" i="17"/>
  <c r="L28" i="17"/>
  <c r="H28" i="17"/>
  <c r="O28" i="17" s="1"/>
  <c r="L27" i="17"/>
  <c r="H27" i="17"/>
  <c r="O27" i="17" s="1"/>
  <c r="L26" i="17"/>
  <c r="H26" i="17"/>
  <c r="O26" i="17" s="1"/>
  <c r="L25" i="17"/>
  <c r="H25" i="17"/>
  <c r="O25" i="17" s="1"/>
  <c r="L24" i="17"/>
  <c r="H24" i="17"/>
  <c r="O24" i="17" s="1"/>
  <c r="J23" i="17"/>
  <c r="L23" i="17" s="1"/>
  <c r="F23" i="17"/>
  <c r="H23" i="17" s="1"/>
  <c r="O1" i="17"/>
  <c r="N65" i="19" l="1"/>
  <c r="O65" i="19" s="1"/>
  <c r="N64" i="19"/>
  <c r="O64" i="19" s="1"/>
  <c r="N31" i="2"/>
  <c r="O31" i="2" s="1"/>
  <c r="H56" i="17"/>
  <c r="N45" i="17"/>
  <c r="G49" i="17"/>
  <c r="H49" i="17" s="1"/>
  <c r="L56" i="17"/>
  <c r="L31" i="17"/>
  <c r="L41" i="17"/>
  <c r="L46" i="17"/>
  <c r="H46" i="17"/>
  <c r="N39" i="17"/>
  <c r="H35" i="17"/>
  <c r="L29" i="17"/>
  <c r="H34" i="17"/>
  <c r="L35" i="17"/>
  <c r="N37" i="17"/>
  <c r="H41" i="17"/>
  <c r="L42" i="17"/>
  <c r="N54" i="17"/>
  <c r="O54" i="17" s="1"/>
  <c r="L55" i="17"/>
  <c r="H31" i="17"/>
  <c r="L32" i="17"/>
  <c r="K49" i="17"/>
  <c r="N30" i="17"/>
  <c r="O30" i="17" s="1"/>
  <c r="N36" i="17"/>
  <c r="N43" i="17"/>
  <c r="H55" i="17"/>
  <c r="N23" i="17"/>
  <c r="O23" i="17" s="1"/>
  <c r="N27" i="17"/>
  <c r="H29" i="17"/>
  <c r="N38" i="17"/>
  <c r="N44" i="17"/>
  <c r="L34" i="17"/>
  <c r="H42" i="17"/>
  <c r="N47" i="17"/>
  <c r="N24" i="17"/>
  <c r="N26" i="17"/>
  <c r="N28" i="17"/>
  <c r="H32" i="17"/>
  <c r="N25" i="17"/>
  <c r="K42" i="10"/>
  <c r="K41" i="10"/>
  <c r="G42" i="10"/>
  <c r="G41" i="10"/>
  <c r="K35" i="10"/>
  <c r="G35" i="10"/>
  <c r="J35" i="10"/>
  <c r="F35" i="10"/>
  <c r="B35" i="10"/>
  <c r="J42" i="10"/>
  <c r="F42" i="10"/>
  <c r="B42" i="10"/>
  <c r="J41" i="10"/>
  <c r="F41" i="10"/>
  <c r="B41" i="10"/>
  <c r="J37" i="4"/>
  <c r="F37" i="4"/>
  <c r="B37" i="4"/>
  <c r="F43" i="4"/>
  <c r="B43" i="4"/>
  <c r="J42" i="4"/>
  <c r="F42" i="4"/>
  <c r="B42" i="4"/>
  <c r="J27" i="4"/>
  <c r="F27" i="4"/>
  <c r="B27" i="4"/>
  <c r="J46" i="14"/>
  <c r="F46" i="14"/>
  <c r="J63" i="14"/>
  <c r="K46" i="14" s="1"/>
  <c r="F63" i="14"/>
  <c r="K56" i="14"/>
  <c r="J56" i="14"/>
  <c r="G56" i="14"/>
  <c r="F56" i="14"/>
  <c r="K55" i="14"/>
  <c r="J55" i="14"/>
  <c r="G55" i="14"/>
  <c r="F55" i="14"/>
  <c r="J54" i="14"/>
  <c r="L54" i="14" s="1"/>
  <c r="F54" i="14"/>
  <c r="H54" i="14" s="1"/>
  <c r="J53" i="14"/>
  <c r="F53" i="14"/>
  <c r="J52" i="14"/>
  <c r="F52" i="14"/>
  <c r="J50" i="14"/>
  <c r="F50" i="14"/>
  <c r="J49" i="14"/>
  <c r="F49" i="14"/>
  <c r="L47" i="14"/>
  <c r="H47" i="14"/>
  <c r="L45" i="14"/>
  <c r="K45" i="14"/>
  <c r="G45" i="14"/>
  <c r="H45" i="14" s="1"/>
  <c r="O45" i="14" s="1"/>
  <c r="K44" i="14"/>
  <c r="L44" i="14" s="1"/>
  <c r="G44" i="14"/>
  <c r="H44" i="14" s="1"/>
  <c r="O44" i="14" s="1"/>
  <c r="K43" i="14"/>
  <c r="L43" i="14" s="1"/>
  <c r="G43" i="14"/>
  <c r="H43" i="14" s="1"/>
  <c r="O43" i="14" s="1"/>
  <c r="K42" i="14"/>
  <c r="L42" i="14" s="1"/>
  <c r="G42" i="14"/>
  <c r="F42" i="14"/>
  <c r="B42" i="14"/>
  <c r="K41" i="14"/>
  <c r="J41" i="14"/>
  <c r="G41" i="14"/>
  <c r="F41" i="14"/>
  <c r="B41" i="14"/>
  <c r="K39" i="14"/>
  <c r="L39" i="14" s="1"/>
  <c r="N39" i="14" s="1"/>
  <c r="G39" i="14"/>
  <c r="H39" i="14" s="1"/>
  <c r="O39" i="14" s="1"/>
  <c r="K38" i="14"/>
  <c r="L38" i="14" s="1"/>
  <c r="G38" i="14"/>
  <c r="H38" i="14" s="1"/>
  <c r="O38" i="14" s="1"/>
  <c r="K37" i="14"/>
  <c r="L37" i="14" s="1"/>
  <c r="N37" i="14" s="1"/>
  <c r="G37" i="14"/>
  <c r="H37" i="14" s="1"/>
  <c r="O37" i="14" s="1"/>
  <c r="K36" i="14"/>
  <c r="L36" i="14" s="1"/>
  <c r="G36" i="14"/>
  <c r="H36" i="14" s="1"/>
  <c r="O36" i="14" s="1"/>
  <c r="K35" i="14"/>
  <c r="J35" i="14"/>
  <c r="G35" i="14"/>
  <c r="F35" i="14"/>
  <c r="B35" i="14"/>
  <c r="J34" i="14"/>
  <c r="F34" i="14"/>
  <c r="K30" i="14"/>
  <c r="J30" i="14"/>
  <c r="G30" i="14"/>
  <c r="F30" i="14"/>
  <c r="B30" i="14"/>
  <c r="L29" i="14"/>
  <c r="H29" i="14"/>
  <c r="O29" i="14" s="1"/>
  <c r="K28" i="14"/>
  <c r="J28" i="14"/>
  <c r="G28" i="14"/>
  <c r="F28" i="14"/>
  <c r="L27" i="14"/>
  <c r="H27" i="14"/>
  <c r="O27" i="14" s="1"/>
  <c r="L26" i="14"/>
  <c r="H26" i="14"/>
  <c r="O26" i="14" s="1"/>
  <c r="L25" i="14"/>
  <c r="H25" i="14"/>
  <c r="O25" i="14" s="1"/>
  <c r="L24" i="14"/>
  <c r="H24" i="14"/>
  <c r="O24" i="14" s="1"/>
  <c r="L23" i="14"/>
  <c r="H23" i="14"/>
  <c r="O23" i="14" s="1"/>
  <c r="J22" i="14"/>
  <c r="L22" i="14" s="1"/>
  <c r="F22" i="14"/>
  <c r="H22" i="14" s="1"/>
  <c r="O1" i="14"/>
  <c r="J33" i="2"/>
  <c r="F33" i="2"/>
  <c r="B33" i="2"/>
  <c r="J29" i="2"/>
  <c r="B29" i="2"/>
  <c r="F40" i="2"/>
  <c r="B40" i="2"/>
  <c r="J39" i="2"/>
  <c r="F39" i="2"/>
  <c r="B39" i="2"/>
  <c r="L66" i="19" l="1"/>
  <c r="N66" i="19" s="1"/>
  <c r="O66" i="19" s="1"/>
  <c r="N47" i="14"/>
  <c r="L35" i="14"/>
  <c r="N43" i="14"/>
  <c r="N29" i="14"/>
  <c r="N44" i="14"/>
  <c r="N45" i="14"/>
  <c r="N24" i="14"/>
  <c r="H34" i="14"/>
  <c r="H35" i="14"/>
  <c r="H28" i="14"/>
  <c r="H41" i="14"/>
  <c r="N54" i="14"/>
  <c r="O54" i="14" s="1"/>
  <c r="L55" i="14"/>
  <c r="L56" i="14"/>
  <c r="L30" i="14"/>
  <c r="L41" i="14"/>
  <c r="H31" i="14"/>
  <c r="G50" i="17"/>
  <c r="H50" i="17" s="1"/>
  <c r="N29" i="17"/>
  <c r="O29" i="17" s="1"/>
  <c r="N56" i="17"/>
  <c r="O56" i="17" s="1"/>
  <c r="N35" i="17"/>
  <c r="O35" i="17" s="1"/>
  <c r="N46" i="17"/>
  <c r="O46" i="17" s="1"/>
  <c r="N41" i="17"/>
  <c r="O41" i="17" s="1"/>
  <c r="N55" i="17"/>
  <c r="O55" i="17" s="1"/>
  <c r="N31" i="17"/>
  <c r="O31" i="17" s="1"/>
  <c r="L40" i="17"/>
  <c r="L48" i="17" s="1"/>
  <c r="K50" i="17"/>
  <c r="L49" i="17"/>
  <c r="N49" i="17" s="1"/>
  <c r="O49" i="17" s="1"/>
  <c r="N34" i="17"/>
  <c r="O34" i="17" s="1"/>
  <c r="N32" i="17"/>
  <c r="O32" i="17" s="1"/>
  <c r="N42" i="17"/>
  <c r="O42" i="17" s="1"/>
  <c r="H40" i="17"/>
  <c r="L46" i="14"/>
  <c r="G52" i="14"/>
  <c r="G49" i="14"/>
  <c r="N23" i="14"/>
  <c r="N27" i="14"/>
  <c r="L34" i="14"/>
  <c r="N22" i="14"/>
  <c r="O22" i="14" s="1"/>
  <c r="N26" i="14"/>
  <c r="L28" i="14"/>
  <c r="H30" i="14"/>
  <c r="L31" i="14"/>
  <c r="N36" i="14"/>
  <c r="N38" i="14"/>
  <c r="H42" i="14"/>
  <c r="H55" i="14"/>
  <c r="H56" i="14"/>
  <c r="N25" i="14"/>
  <c r="G46" i="14"/>
  <c r="H46" i="14" s="1"/>
  <c r="K49" i="14"/>
  <c r="K52" i="14"/>
  <c r="N34" i="14" l="1"/>
  <c r="O34" i="14" s="1"/>
  <c r="N31" i="14"/>
  <c r="O31" i="14" s="1"/>
  <c r="N35" i="14"/>
  <c r="O35" i="14" s="1"/>
  <c r="N41" i="14"/>
  <c r="O41" i="14" s="1"/>
  <c r="G52" i="17"/>
  <c r="H52" i="17" s="1"/>
  <c r="G53" i="17"/>
  <c r="H53" i="17" s="1"/>
  <c r="L50" i="17"/>
  <c r="N50" i="17" s="1"/>
  <c r="O50" i="17" s="1"/>
  <c r="K52" i="17"/>
  <c r="L52" i="17" s="1"/>
  <c r="K53" i="17"/>
  <c r="L53" i="17" s="1"/>
  <c r="H48" i="17"/>
  <c r="N40" i="17"/>
  <c r="O40" i="17" s="1"/>
  <c r="L52" i="14"/>
  <c r="K53" i="14"/>
  <c r="L53" i="14" s="1"/>
  <c r="G50" i="14"/>
  <c r="H50" i="14" s="1"/>
  <c r="H49" i="14"/>
  <c r="N42" i="14"/>
  <c r="O42" i="14" s="1"/>
  <c r="L49" i="14"/>
  <c r="K50" i="14"/>
  <c r="L50" i="14" s="1"/>
  <c r="N28" i="14"/>
  <c r="O28" i="14" s="1"/>
  <c r="L40" i="14"/>
  <c r="G53" i="14"/>
  <c r="H53" i="14" s="1"/>
  <c r="H52" i="14"/>
  <c r="N30" i="14"/>
  <c r="O30" i="14" s="1"/>
  <c r="N56" i="14"/>
  <c r="O56" i="14" s="1"/>
  <c r="H40" i="14"/>
  <c r="N55" i="14"/>
  <c r="O55" i="14" s="1"/>
  <c r="N46" i="14"/>
  <c r="O46" i="14" s="1"/>
  <c r="N50" i="14" l="1"/>
  <c r="O50" i="14" s="1"/>
  <c r="N49" i="14"/>
  <c r="O49" i="14" s="1"/>
  <c r="N52" i="17"/>
  <c r="O52" i="17" s="1"/>
  <c r="N53" i="17"/>
  <c r="O53" i="17" s="1"/>
  <c r="L51" i="17"/>
  <c r="H51" i="17"/>
  <c r="N48" i="17"/>
  <c r="O48" i="17" s="1"/>
  <c r="N53" i="14"/>
  <c r="O53" i="14" s="1"/>
  <c r="H48" i="14"/>
  <c r="L48" i="14"/>
  <c r="N40" i="14"/>
  <c r="O40" i="14" s="1"/>
  <c r="N52" i="14"/>
  <c r="O52" i="14" s="1"/>
  <c r="J54" i="10"/>
  <c r="L54" i="10" s="1"/>
  <c r="F54" i="10"/>
  <c r="H54" i="10" s="1"/>
  <c r="J53" i="10"/>
  <c r="F53" i="10"/>
  <c r="J52" i="10"/>
  <c r="F52" i="10"/>
  <c r="J50" i="10"/>
  <c r="J49" i="10"/>
  <c r="F50" i="10"/>
  <c r="F49" i="10"/>
  <c r="K31" i="10"/>
  <c r="G31" i="10"/>
  <c r="K34" i="10"/>
  <c r="G34" i="10"/>
  <c r="K28" i="10"/>
  <c r="G28" i="10"/>
  <c r="J28" i="10"/>
  <c r="F28" i="10"/>
  <c r="J22" i="10"/>
  <c r="L22" i="10" s="1"/>
  <c r="F22" i="10"/>
  <c r="H22" i="10" s="1"/>
  <c r="J63" i="10"/>
  <c r="K46" i="10" s="1"/>
  <c r="F63" i="10"/>
  <c r="G52" i="10" s="1"/>
  <c r="K56" i="10"/>
  <c r="J56" i="10"/>
  <c r="G56" i="10"/>
  <c r="F56" i="10"/>
  <c r="K55" i="10"/>
  <c r="J55" i="10"/>
  <c r="G55" i="10"/>
  <c r="F55" i="10"/>
  <c r="L47" i="10"/>
  <c r="H47" i="10"/>
  <c r="J46" i="10"/>
  <c r="F46" i="10"/>
  <c r="K45" i="10"/>
  <c r="L45" i="10" s="1"/>
  <c r="G45" i="10"/>
  <c r="H45" i="10" s="1"/>
  <c r="O45" i="10" s="1"/>
  <c r="K44" i="10"/>
  <c r="L44" i="10" s="1"/>
  <c r="G44" i="10"/>
  <c r="H44" i="10" s="1"/>
  <c r="O44" i="10" s="1"/>
  <c r="K43" i="10"/>
  <c r="L43" i="10" s="1"/>
  <c r="G43" i="10"/>
  <c r="H43" i="10" s="1"/>
  <c r="O43" i="10" s="1"/>
  <c r="L42" i="10"/>
  <c r="H42" i="10"/>
  <c r="L41" i="10"/>
  <c r="H41" i="10"/>
  <c r="K39" i="10"/>
  <c r="L39" i="10" s="1"/>
  <c r="G39" i="10"/>
  <c r="H39" i="10" s="1"/>
  <c r="O39" i="10" s="1"/>
  <c r="K38" i="10"/>
  <c r="L38" i="10" s="1"/>
  <c r="G38" i="10"/>
  <c r="H38" i="10" s="1"/>
  <c r="O38" i="10" s="1"/>
  <c r="K37" i="10"/>
  <c r="L37" i="10" s="1"/>
  <c r="G37" i="10"/>
  <c r="H37" i="10" s="1"/>
  <c r="O37" i="10" s="1"/>
  <c r="K36" i="10"/>
  <c r="L36" i="10" s="1"/>
  <c r="G36" i="10"/>
  <c r="H36" i="10" s="1"/>
  <c r="O36" i="10" s="1"/>
  <c r="L35" i="10"/>
  <c r="H35" i="10"/>
  <c r="K30" i="10"/>
  <c r="L30" i="10" s="1"/>
  <c r="G30" i="10"/>
  <c r="H30" i="10" s="1"/>
  <c r="O30" i="10" s="1"/>
  <c r="K29" i="10"/>
  <c r="L29" i="10" s="1"/>
  <c r="G29" i="10"/>
  <c r="H29" i="10" s="1"/>
  <c r="L27" i="10"/>
  <c r="H27" i="10"/>
  <c r="O27" i="10" s="1"/>
  <c r="L26" i="10"/>
  <c r="H26" i="10"/>
  <c r="O26" i="10" s="1"/>
  <c r="L25" i="10"/>
  <c r="H25" i="10"/>
  <c r="O25" i="10" s="1"/>
  <c r="L24" i="10"/>
  <c r="H24" i="10"/>
  <c r="O24" i="10" s="1"/>
  <c r="L23" i="10"/>
  <c r="H23" i="10"/>
  <c r="O23" i="10" s="1"/>
  <c r="O1" i="10"/>
  <c r="N47" i="10" l="1"/>
  <c r="N37" i="10"/>
  <c r="N39" i="10"/>
  <c r="N44" i="10"/>
  <c r="N51" i="17"/>
  <c r="O51" i="17" s="1"/>
  <c r="L58" i="17"/>
  <c r="L59" i="17" s="1"/>
  <c r="L60" i="17" s="1"/>
  <c r="H58" i="17"/>
  <c r="N35" i="10"/>
  <c r="O35" i="10" s="1"/>
  <c r="N42" i="10"/>
  <c r="O42" i="10" s="1"/>
  <c r="L51" i="14"/>
  <c r="G11" i="21" s="1"/>
  <c r="N48" i="14"/>
  <c r="O48" i="14" s="1"/>
  <c r="H51" i="14"/>
  <c r="F11" i="21" s="1"/>
  <c r="G49" i="10"/>
  <c r="H49" i="10" s="1"/>
  <c r="G46" i="10"/>
  <c r="H46" i="10" s="1"/>
  <c r="H55" i="10"/>
  <c r="H56" i="10"/>
  <c r="L55" i="10"/>
  <c r="L56" i="10"/>
  <c r="N54" i="10"/>
  <c r="O54" i="10" s="1"/>
  <c r="H52" i="10"/>
  <c r="L34" i="10"/>
  <c r="H34" i="10"/>
  <c r="L28" i="10"/>
  <c r="N36" i="10"/>
  <c r="N38" i="10"/>
  <c r="N41" i="10"/>
  <c r="O41" i="10" s="1"/>
  <c r="N43" i="10"/>
  <c r="N45" i="10"/>
  <c r="N30" i="10"/>
  <c r="N22" i="10"/>
  <c r="O22" i="10" s="1"/>
  <c r="N29" i="10"/>
  <c r="O29" i="10"/>
  <c r="N24" i="10"/>
  <c r="N26" i="10"/>
  <c r="H28" i="10"/>
  <c r="L31" i="10"/>
  <c r="K52" i="10"/>
  <c r="N23" i="10"/>
  <c r="N25" i="10"/>
  <c r="N27" i="10"/>
  <c r="H31" i="10"/>
  <c r="K49" i="10"/>
  <c r="L46" i="10"/>
  <c r="G53" i="10"/>
  <c r="H53" i="10" s="1"/>
  <c r="H11" i="21" l="1"/>
  <c r="I11" i="21" s="1"/>
  <c r="L61" i="17"/>
  <c r="H59" i="17"/>
  <c r="N59" i="17" s="1"/>
  <c r="N58" i="17"/>
  <c r="O58" i="17" s="1"/>
  <c r="N51" i="14"/>
  <c r="O51" i="14" s="1"/>
  <c r="L58" i="14"/>
  <c r="H58" i="14"/>
  <c r="G50" i="10"/>
  <c r="H50" i="10" s="1"/>
  <c r="N46" i="10"/>
  <c r="O46" i="10" s="1"/>
  <c r="N55" i="10"/>
  <c r="O55" i="10" s="1"/>
  <c r="N56" i="10"/>
  <c r="O56" i="10" s="1"/>
  <c r="N28" i="10"/>
  <c r="O28" i="10" s="1"/>
  <c r="N34" i="10"/>
  <c r="O34" i="10" s="1"/>
  <c r="L49" i="10"/>
  <c r="N49" i="10" s="1"/>
  <c r="O49" i="10" s="1"/>
  <c r="K50" i="10"/>
  <c r="L50" i="10" s="1"/>
  <c r="N31" i="10"/>
  <c r="O31" i="10" s="1"/>
  <c r="L52" i="10"/>
  <c r="K53" i="10"/>
  <c r="L53" i="10" s="1"/>
  <c r="N53" i="10" s="1"/>
  <c r="O53" i="10" s="1"/>
  <c r="L40" i="10"/>
  <c r="H40" i="10"/>
  <c r="O59" i="17" l="1"/>
  <c r="L62" i="17"/>
  <c r="H60" i="17"/>
  <c r="N58" i="14"/>
  <c r="O58" i="14" s="1"/>
  <c r="L59" i="14"/>
  <c r="L60" i="14" s="1"/>
  <c r="G20" i="21" s="1"/>
  <c r="H59" i="14"/>
  <c r="N50" i="10"/>
  <c r="O50" i="10" s="1"/>
  <c r="H48" i="10"/>
  <c r="N52" i="10"/>
  <c r="O52" i="10" s="1"/>
  <c r="L48" i="10"/>
  <c r="N40" i="10"/>
  <c r="O40" i="10" s="1"/>
  <c r="H61" i="17" l="1"/>
  <c r="N60" i="17"/>
  <c r="O60" i="17" s="1"/>
  <c r="H60" i="14"/>
  <c r="N59" i="14"/>
  <c r="O59" i="14" s="1"/>
  <c r="H51" i="10"/>
  <c r="F13" i="21" s="1"/>
  <c r="N48" i="10"/>
  <c r="O48" i="10" s="1"/>
  <c r="L51" i="10"/>
  <c r="G13" i="21" s="1"/>
  <c r="H13" i="21" l="1"/>
  <c r="I13" i="21" s="1"/>
  <c r="N60" i="14"/>
  <c r="F20" i="21"/>
  <c r="H20" i="21" s="1"/>
  <c r="I20" i="21" s="1"/>
  <c r="N61" i="17"/>
  <c r="O61" i="17" s="1"/>
  <c r="H62" i="17"/>
  <c r="O60" i="14"/>
  <c r="H58" i="10"/>
  <c r="N51" i="10"/>
  <c r="O51" i="10" s="1"/>
  <c r="L58" i="10"/>
  <c r="N62" i="17" l="1"/>
  <c r="O62" i="17" s="1"/>
  <c r="H59" i="10"/>
  <c r="N58" i="10"/>
  <c r="O58" i="10" s="1"/>
  <c r="L59" i="10"/>
  <c r="N59" i="10" l="1"/>
  <c r="O59" i="10" s="1"/>
  <c r="L60" i="10"/>
  <c r="G22" i="21" s="1"/>
  <c r="H60" i="10"/>
  <c r="F22" i="21" s="1"/>
  <c r="H22" i="21" l="1"/>
  <c r="I22" i="21" s="1"/>
  <c r="N60" i="10"/>
  <c r="O60" i="10" s="1"/>
  <c r="J55" i="4" l="1"/>
  <c r="L55" i="4" s="1"/>
  <c r="F55" i="4"/>
  <c r="H55" i="4" s="1"/>
  <c r="J54" i="4"/>
  <c r="J53" i="4"/>
  <c r="F54" i="4"/>
  <c r="F53" i="4"/>
  <c r="J51" i="4"/>
  <c r="J50" i="4"/>
  <c r="F50" i="4"/>
  <c r="F51" i="4"/>
  <c r="J48" i="4"/>
  <c r="L48" i="4" s="1"/>
  <c r="F48" i="4"/>
  <c r="H48" i="4" s="1"/>
  <c r="J36" i="4"/>
  <c r="F36" i="4"/>
  <c r="B36" i="4"/>
  <c r="J35" i="4"/>
  <c r="F35" i="4"/>
  <c r="J29" i="4"/>
  <c r="F29" i="4"/>
  <c r="L26" i="4"/>
  <c r="H26" i="4"/>
  <c r="J25" i="4"/>
  <c r="L25" i="4" s="1"/>
  <c r="F25" i="4"/>
  <c r="H25" i="4" s="1"/>
  <c r="B25" i="4"/>
  <c r="J23" i="4"/>
  <c r="L23" i="4" s="1"/>
  <c r="F23" i="4"/>
  <c r="H23" i="4" s="1"/>
  <c r="J69" i="4"/>
  <c r="K50" i="4" s="1"/>
  <c r="F69" i="4"/>
  <c r="G50" i="4" s="1"/>
  <c r="J61" i="4"/>
  <c r="G61" i="4"/>
  <c r="K61" i="4" s="1"/>
  <c r="F61" i="4"/>
  <c r="J60" i="4"/>
  <c r="G60" i="4"/>
  <c r="K60" i="4" s="1"/>
  <c r="F60" i="4"/>
  <c r="J59" i="4"/>
  <c r="G59" i="4"/>
  <c r="K59" i="4" s="1"/>
  <c r="F59" i="4"/>
  <c r="J58" i="4"/>
  <c r="G58" i="4"/>
  <c r="K58" i="4" s="1"/>
  <c r="F58" i="4"/>
  <c r="J57" i="4"/>
  <c r="G57" i="4"/>
  <c r="K57" i="4" s="1"/>
  <c r="F57" i="4"/>
  <c r="K56" i="4"/>
  <c r="J56" i="4"/>
  <c r="G56" i="4"/>
  <c r="F56" i="4"/>
  <c r="K46" i="4"/>
  <c r="L46" i="4" s="1"/>
  <c r="G46" i="4"/>
  <c r="H46" i="4" s="1"/>
  <c r="O46" i="4" s="1"/>
  <c r="K45" i="4"/>
  <c r="L45" i="4" s="1"/>
  <c r="G45" i="4"/>
  <c r="H45" i="4" s="1"/>
  <c r="O45" i="4" s="1"/>
  <c r="K44" i="4"/>
  <c r="L44" i="4" s="1"/>
  <c r="G44" i="4"/>
  <c r="H44" i="4" s="1"/>
  <c r="O44" i="4" s="1"/>
  <c r="K43" i="4"/>
  <c r="L43" i="4" s="1"/>
  <c r="G43" i="4"/>
  <c r="H43" i="4" s="1"/>
  <c r="K42" i="4"/>
  <c r="L42" i="4" s="1"/>
  <c r="G42" i="4"/>
  <c r="H42" i="4" s="1"/>
  <c r="K40" i="4"/>
  <c r="L40" i="4" s="1"/>
  <c r="G40" i="4"/>
  <c r="H40" i="4" s="1"/>
  <c r="O40" i="4" s="1"/>
  <c r="K39" i="4"/>
  <c r="L39" i="4" s="1"/>
  <c r="G39" i="4"/>
  <c r="H39" i="4" s="1"/>
  <c r="O39" i="4" s="1"/>
  <c r="K38" i="4"/>
  <c r="L38" i="4" s="1"/>
  <c r="G38" i="4"/>
  <c r="H38" i="4" s="1"/>
  <c r="O38" i="4" s="1"/>
  <c r="K37" i="4"/>
  <c r="L37" i="4" s="1"/>
  <c r="G37" i="4"/>
  <c r="H37" i="4" s="1"/>
  <c r="K36" i="4"/>
  <c r="G36" i="4"/>
  <c r="K35" i="4"/>
  <c r="G35" i="4"/>
  <c r="K32" i="4"/>
  <c r="G32" i="4"/>
  <c r="K31" i="4"/>
  <c r="L31" i="4" s="1"/>
  <c r="G31" i="4"/>
  <c r="H31" i="4" s="1"/>
  <c r="O31" i="4" s="1"/>
  <c r="K30" i="4"/>
  <c r="L30" i="4" s="1"/>
  <c r="G30" i="4"/>
  <c r="H30" i="4" s="1"/>
  <c r="O30" i="4" s="1"/>
  <c r="K29" i="4"/>
  <c r="G29" i="4"/>
  <c r="L28" i="4"/>
  <c r="H28" i="4"/>
  <c r="O28" i="4" s="1"/>
  <c r="L27" i="4"/>
  <c r="H27" i="4"/>
  <c r="L24" i="4"/>
  <c r="H24" i="4"/>
  <c r="O24" i="4" s="1"/>
  <c r="O1" i="4"/>
  <c r="J56" i="2"/>
  <c r="F56" i="2"/>
  <c r="L56" i="4" l="1"/>
  <c r="N43" i="4"/>
  <c r="O43" i="4" s="1"/>
  <c r="L57" i="4"/>
  <c r="L61" i="4"/>
  <c r="H29" i="4"/>
  <c r="H35" i="4"/>
  <c r="N45" i="4"/>
  <c r="L32" i="4"/>
  <c r="H36" i="4"/>
  <c r="K47" i="4"/>
  <c r="L59" i="4"/>
  <c r="F47" i="4"/>
  <c r="J47" i="4"/>
  <c r="L36" i="4"/>
  <c r="H50" i="4"/>
  <c r="N55" i="4"/>
  <c r="O55" i="4" s="1"/>
  <c r="N25" i="4"/>
  <c r="O25" i="4" s="1"/>
  <c r="N31" i="4"/>
  <c r="N38" i="4"/>
  <c r="N40" i="4"/>
  <c r="H56" i="4"/>
  <c r="N56" i="4" s="1"/>
  <c r="O56" i="4" s="1"/>
  <c r="L58" i="4"/>
  <c r="N28" i="4"/>
  <c r="G47" i="4"/>
  <c r="N24" i="4"/>
  <c r="N30" i="4"/>
  <c r="L60" i="4"/>
  <c r="L35" i="4"/>
  <c r="H32" i="4"/>
  <c r="L29" i="4"/>
  <c r="N42" i="4"/>
  <c r="O42" i="4" s="1"/>
  <c r="N48" i="4"/>
  <c r="N23" i="4"/>
  <c r="O23" i="4" s="1"/>
  <c r="N27" i="4"/>
  <c r="O27" i="4" s="1"/>
  <c r="N37" i="4"/>
  <c r="O37" i="4" s="1"/>
  <c r="N44" i="4"/>
  <c r="N26" i="4"/>
  <c r="O26" i="4" s="1"/>
  <c r="N39" i="4"/>
  <c r="N46" i="4"/>
  <c r="L50" i="4"/>
  <c r="K51" i="4"/>
  <c r="H57" i="4"/>
  <c r="H58" i="4"/>
  <c r="H59" i="4"/>
  <c r="H60" i="4"/>
  <c r="H61" i="4"/>
  <c r="G51" i="4"/>
  <c r="F54" i="2"/>
  <c r="F55" i="2"/>
  <c r="J54" i="2"/>
  <c r="J55" i="2"/>
  <c r="J53" i="2"/>
  <c r="F53" i="2"/>
  <c r="J52" i="2"/>
  <c r="F52" i="2"/>
  <c r="J51" i="2"/>
  <c r="F51" i="2"/>
  <c r="J50" i="2"/>
  <c r="F50" i="2"/>
  <c r="J48" i="2"/>
  <c r="J47" i="2"/>
  <c r="F48" i="2"/>
  <c r="F47" i="2"/>
  <c r="J64" i="2"/>
  <c r="F64" i="2"/>
  <c r="J27" i="2"/>
  <c r="F27" i="2"/>
  <c r="J23" i="2"/>
  <c r="F23" i="2"/>
  <c r="J45" i="2"/>
  <c r="F45" i="2"/>
  <c r="N29" i="4" l="1"/>
  <c r="O29" i="4" s="1"/>
  <c r="N57" i="4"/>
  <c r="O57" i="4" s="1"/>
  <c r="N35" i="4"/>
  <c r="O35" i="4" s="1"/>
  <c r="N32" i="4"/>
  <c r="O32" i="4" s="1"/>
  <c r="N36" i="4"/>
  <c r="O36" i="4" s="1"/>
  <c r="H47" i="4"/>
  <c r="N50" i="4"/>
  <c r="O50" i="4" s="1"/>
  <c r="L47" i="4"/>
  <c r="H41" i="4"/>
  <c r="L41" i="4"/>
  <c r="L51" i="4"/>
  <c r="K54" i="4"/>
  <c r="L54" i="4" s="1"/>
  <c r="K53" i="4"/>
  <c r="L53" i="4" s="1"/>
  <c r="N59" i="4"/>
  <c r="O59" i="4" s="1"/>
  <c r="N60" i="4"/>
  <c r="O60" i="4" s="1"/>
  <c r="H51" i="4"/>
  <c r="G54" i="4"/>
  <c r="H54" i="4" s="1"/>
  <c r="G53" i="4"/>
  <c r="H53" i="4" s="1"/>
  <c r="N58" i="4"/>
  <c r="O58" i="4" s="1"/>
  <c r="N61" i="4"/>
  <c r="O61" i="4" s="1"/>
  <c r="G56" i="2"/>
  <c r="K56" i="2" s="1"/>
  <c r="L56" i="2" s="1"/>
  <c r="G55" i="2"/>
  <c r="K55" i="2" s="1"/>
  <c r="L55" i="2" s="1"/>
  <c r="G54" i="2"/>
  <c r="K54" i="2" s="1"/>
  <c r="L54" i="2" s="1"/>
  <c r="K53" i="2"/>
  <c r="L53" i="2" s="1"/>
  <c r="G53" i="2"/>
  <c r="H53" i="2" s="1"/>
  <c r="L52" i="2"/>
  <c r="H52" i="2"/>
  <c r="K47" i="2"/>
  <c r="K48" i="2" s="1"/>
  <c r="G47" i="2"/>
  <c r="G48" i="2" s="1"/>
  <c r="L45" i="2"/>
  <c r="H45" i="2"/>
  <c r="K44" i="2"/>
  <c r="J44" i="2"/>
  <c r="G44" i="2"/>
  <c r="F44" i="2"/>
  <c r="K43" i="2"/>
  <c r="L43" i="2" s="1"/>
  <c r="G43" i="2"/>
  <c r="H43" i="2" s="1"/>
  <c r="O43" i="2" s="1"/>
  <c r="L42" i="2"/>
  <c r="H42" i="2"/>
  <c r="O42" i="2" s="1"/>
  <c r="K41" i="2"/>
  <c r="L41" i="2" s="1"/>
  <c r="G41" i="2"/>
  <c r="H41" i="2" s="1"/>
  <c r="O41" i="2" s="1"/>
  <c r="L40" i="2"/>
  <c r="H40" i="2"/>
  <c r="K39" i="2"/>
  <c r="L39" i="2" s="1"/>
  <c r="G39" i="2"/>
  <c r="H39" i="2" s="1"/>
  <c r="K37" i="2"/>
  <c r="L37" i="2" s="1"/>
  <c r="G37" i="2"/>
  <c r="H37" i="2" s="1"/>
  <c r="O37" i="2" s="1"/>
  <c r="K36" i="2"/>
  <c r="L36" i="2" s="1"/>
  <c r="G36" i="2"/>
  <c r="H36" i="2" s="1"/>
  <c r="O36" i="2" s="1"/>
  <c r="K35" i="2"/>
  <c r="L35" i="2" s="1"/>
  <c r="G35" i="2"/>
  <c r="H35" i="2" s="1"/>
  <c r="O35" i="2" s="1"/>
  <c r="K34" i="2"/>
  <c r="L34" i="2" s="1"/>
  <c r="G34" i="2"/>
  <c r="H34" i="2" s="1"/>
  <c r="O34" i="2" s="1"/>
  <c r="K33" i="2"/>
  <c r="L33" i="2" s="1"/>
  <c r="G33" i="2"/>
  <c r="H33" i="2" s="1"/>
  <c r="K32" i="2"/>
  <c r="L32" i="2" s="1"/>
  <c r="G32" i="2"/>
  <c r="H32" i="2" s="1"/>
  <c r="K30" i="2"/>
  <c r="L30" i="2" s="1"/>
  <c r="G30" i="2"/>
  <c r="H30" i="2" s="1"/>
  <c r="K29" i="2"/>
  <c r="L29" i="2" s="1"/>
  <c r="G29" i="2"/>
  <c r="H29" i="2" s="1"/>
  <c r="K28" i="2"/>
  <c r="L28" i="2" s="1"/>
  <c r="H28" i="2"/>
  <c r="K27" i="2"/>
  <c r="L27" i="2" s="1"/>
  <c r="G27" i="2"/>
  <c r="H27" i="2" s="1"/>
  <c r="L26" i="2"/>
  <c r="H26" i="2"/>
  <c r="O26" i="2" s="1"/>
  <c r="L25" i="2"/>
  <c r="H25" i="2"/>
  <c r="O25" i="2" s="1"/>
  <c r="L24" i="2"/>
  <c r="H24" i="2"/>
  <c r="O24" i="2" s="1"/>
  <c r="L23" i="2"/>
  <c r="H23" i="2"/>
  <c r="O1" i="2"/>
  <c r="N24" i="2" l="1"/>
  <c r="N26" i="2"/>
  <c r="N47" i="4"/>
  <c r="O47" i="4" s="1"/>
  <c r="N33" i="2"/>
  <c r="O33" i="2" s="1"/>
  <c r="N35" i="2"/>
  <c r="N37" i="2"/>
  <c r="N42" i="2"/>
  <c r="N25" i="2"/>
  <c r="H49" i="4"/>
  <c r="N23" i="2"/>
  <c r="O23" i="2" s="1"/>
  <c r="L49" i="4"/>
  <c r="N52" i="2"/>
  <c r="O52" i="2" s="1"/>
  <c r="N51" i="4"/>
  <c r="O51" i="4" s="1"/>
  <c r="N41" i="4"/>
  <c r="O41" i="4" s="1"/>
  <c r="N53" i="4"/>
  <c r="O53" i="4" s="1"/>
  <c r="N54" i="4"/>
  <c r="O54" i="4" s="1"/>
  <c r="H56" i="2"/>
  <c r="N56" i="2" s="1"/>
  <c r="O56" i="2" s="1"/>
  <c r="N30" i="2"/>
  <c r="O30" i="2" s="1"/>
  <c r="L47" i="2"/>
  <c r="N28" i="2"/>
  <c r="O28" i="2" s="1"/>
  <c r="N40" i="2"/>
  <c r="O40" i="2" s="1"/>
  <c r="N34" i="2"/>
  <c r="H54" i="2"/>
  <c r="N54" i="2" s="1"/>
  <c r="H55" i="2"/>
  <c r="N55" i="2" s="1"/>
  <c r="N41" i="2"/>
  <c r="H47" i="2"/>
  <c r="H44" i="2"/>
  <c r="N53" i="2"/>
  <c r="O53" i="2" s="1"/>
  <c r="N45" i="2"/>
  <c r="L44" i="2"/>
  <c r="G51" i="2"/>
  <c r="H51" i="2" s="1"/>
  <c r="G50" i="2"/>
  <c r="H50" i="2" s="1"/>
  <c r="H48" i="2"/>
  <c r="N27" i="2"/>
  <c r="O27" i="2" s="1"/>
  <c r="N36" i="2"/>
  <c r="N29" i="2"/>
  <c r="O29" i="2" s="1"/>
  <c r="K50" i="2"/>
  <c r="L50" i="2" s="1"/>
  <c r="L48" i="2"/>
  <c r="K51" i="2"/>
  <c r="L51" i="2" s="1"/>
  <c r="N51" i="2" s="1"/>
  <c r="L38" i="2"/>
  <c r="N32" i="2"/>
  <c r="O32" i="2" s="1"/>
  <c r="N39" i="2"/>
  <c r="O39" i="2" s="1"/>
  <c r="N43" i="2"/>
  <c r="H38" i="2"/>
  <c r="L52" i="4" l="1"/>
  <c r="L63" i="4" s="1"/>
  <c r="G12" i="21"/>
  <c r="N49" i="4"/>
  <c r="O49" i="4" s="1"/>
  <c r="H52" i="4"/>
  <c r="L64" i="4"/>
  <c r="O51" i="2"/>
  <c r="N47" i="2"/>
  <c r="O47" i="2" s="1"/>
  <c r="N44" i="2"/>
  <c r="O44" i="2" s="1"/>
  <c r="O55" i="2"/>
  <c r="O54" i="2"/>
  <c r="N50" i="2"/>
  <c r="O50" i="2" s="1"/>
  <c r="L46" i="2"/>
  <c r="N38" i="2"/>
  <c r="O38" i="2" s="1"/>
  <c r="H46" i="2"/>
  <c r="N48" i="2"/>
  <c r="O48" i="2" s="1"/>
  <c r="H63" i="4" l="1"/>
  <c r="H64" i="4" s="1"/>
  <c r="N64" i="4" s="1"/>
  <c r="O64" i="4" s="1"/>
  <c r="F12" i="21"/>
  <c r="H12" i="21" s="1"/>
  <c r="I12" i="21" s="1"/>
  <c r="N52" i="4"/>
  <c r="O52" i="4" s="1"/>
  <c r="L65" i="4"/>
  <c r="H49" i="2"/>
  <c r="N46" i="2"/>
  <c r="O46" i="2" s="1"/>
  <c r="L49" i="2"/>
  <c r="G9" i="21" s="1"/>
  <c r="H58" i="2" l="1"/>
  <c r="F9" i="21"/>
  <c r="H9" i="21" s="1"/>
  <c r="I9" i="21" s="1"/>
  <c r="N63" i="4"/>
  <c r="O63" i="4" s="1"/>
  <c r="H65" i="4"/>
  <c r="H67" i="4" s="1"/>
  <c r="F21" i="21" s="1"/>
  <c r="N65" i="4"/>
  <c r="O65" i="4" s="1"/>
  <c r="N49" i="2"/>
  <c r="O49" i="2" s="1"/>
  <c r="L58" i="2"/>
  <c r="N66" i="4" l="1"/>
  <c r="O66" i="4" s="1"/>
  <c r="L67" i="4"/>
  <c r="N58" i="2"/>
  <c r="O58" i="2" s="1"/>
  <c r="L59" i="2"/>
  <c r="H59" i="2"/>
  <c r="N67" i="4" l="1"/>
  <c r="O67" i="4" s="1"/>
  <c r="G21" i="21"/>
  <c r="H21" i="21" s="1"/>
  <c r="I21" i="21" s="1"/>
  <c r="N59" i="2"/>
  <c r="O59" i="2" s="1"/>
  <c r="L60" i="2"/>
  <c r="H60" i="2"/>
  <c r="N60" i="2" l="1"/>
  <c r="O60" i="2" s="1"/>
  <c r="H62" i="2"/>
  <c r="F18" i="21" s="1"/>
  <c r="N61" i="2" l="1"/>
  <c r="O61" i="2" s="1"/>
  <c r="L62" i="2"/>
  <c r="N62" i="2" l="1"/>
  <c r="O62" i="2" s="1"/>
  <c r="G18" i="21"/>
  <c r="H18" i="21" s="1"/>
  <c r="I18" i="21" s="1"/>
</calcChain>
</file>

<file path=xl/comments1.xml><?xml version="1.0" encoding="utf-8"?>
<comments xmlns="http://schemas.openxmlformats.org/spreadsheetml/2006/main">
  <authors>
    <author>Marc Abramovitz</author>
  </authors>
  <commentLis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0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0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5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3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5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5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3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5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<sst xmlns="http://schemas.openxmlformats.org/spreadsheetml/2006/main" count="797" uniqueCount="120">
  <si>
    <t>File Number:</t>
  </si>
  <si>
    <t>Exhibit:</t>
  </si>
  <si>
    <t>Tab:</t>
  </si>
  <si>
    <t>Schedule:</t>
  </si>
  <si>
    <t>Page:</t>
  </si>
  <si>
    <t>Date: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</si>
  <si>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</si>
  <si>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</si>
  <si>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</si>
  <si>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</si>
  <si>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</si>
  <si>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</si>
  <si>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</si>
  <si>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</si>
  <si>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</si>
  <si>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</si>
  <si>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</si>
  <si>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</si>
  <si>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</si>
  <si>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</si>
  <si>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</si>
  <si>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</si>
  <si>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</si>
  <si>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</si>
  <si>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Smart Meter Rate Adder</t>
  </si>
  <si>
    <t>Distribution Volumetric Rate</t>
  </si>
  <si>
    <t>Smart Meter Disposition Rider</t>
  </si>
  <si>
    <t>LRAM &amp; SSM Rate Rider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</si>
  <si>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</si>
  <si>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</si>
  <si>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</si>
  <si>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</si>
  <si>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</si>
  <si>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</si>
  <si>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</si>
  <si>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</si>
  <si>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</si>
  <si>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</si>
  <si>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</si>
  <si>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</si>
  <si>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</si>
  <si>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</si>
  <si>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</si>
  <si>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</si>
  <si>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</si>
  <si>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</si>
  <si>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</si>
  <si>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t>Total Bill on TOU (including OCEB)</t>
  </si>
  <si>
    <t>Loss Factor (%)</t>
  </si>
  <si>
    <t>Note that cells with the highlighted color shown to the left indicate quantities that are loss adjusted.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</si>
  <si>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</si>
  <si>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</si>
  <si>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Monthly Rates and Charges</t>
  </si>
  <si>
    <t xml:space="preserve">Current Approved Rates     </t>
  </si>
  <si>
    <t>Proposed Rates</t>
  </si>
  <si>
    <t>Residential - R1</t>
  </si>
  <si>
    <t>$</t>
  </si>
  <si>
    <t>$/kWh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</si>
  <si>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</si>
  <si>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</si>
  <si>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</si>
  <si>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</si>
  <si>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Smart Meter Entity Charge - effective May 1, 2013 until October 31, 2018</t>
  </si>
  <si>
    <t>Standard Supply Service - Administrative Charge (if applicable)</t>
  </si>
  <si>
    <t>Residential - R2</t>
  </si>
  <si>
    <t>$/kW</t>
  </si>
  <si>
    <t>Seasonal</t>
  </si>
  <si>
    <t>Street Lighting</t>
  </si>
  <si>
    <t>Other</t>
  </si>
  <si>
    <t>Debt Retirement Charge</t>
  </si>
  <si>
    <t>Energy - First Tier</t>
  </si>
  <si>
    <t>Energy - Second Tier</t>
  </si>
  <si>
    <t>Loss Factor</t>
  </si>
  <si>
    <t>Total Loss Factor</t>
  </si>
  <si>
    <t>%</t>
  </si>
  <si>
    <t>Monthly</t>
  </si>
  <si>
    <t>per kWh</t>
  </si>
  <si>
    <t>SME - Net Deferred Revenue Requirement, effective until December 31, 2016</t>
  </si>
  <si>
    <t>UOM</t>
  </si>
  <si>
    <t>Billing Demand</t>
  </si>
  <si>
    <t>kW</t>
  </si>
  <si>
    <t>per kW</t>
  </si>
  <si>
    <t>Energy Price Non - RPP</t>
  </si>
  <si>
    <t>Energy Price RPP</t>
  </si>
  <si>
    <t>Cost of Power (Non-RPP)</t>
  </si>
  <si>
    <t>Street Lighting (Non - RPP)</t>
  </si>
  <si>
    <t>Algoma Power Inc.</t>
  </si>
  <si>
    <t>Bill Impact Model</t>
  </si>
  <si>
    <t>Rate Rider for the Disposition of Deferral/Variance Accounts (2014) - effective until December 31, 2015</t>
  </si>
  <si>
    <t>Deferral/Variance Account Disposition - effective until June 30, 2019</t>
  </si>
  <si>
    <t>Rate Rider for the Disposition of Global Adjustment Sub-Account (2014) - effective until December 31, 2015</t>
  </si>
  <si>
    <t>Rate Rider for the Recovery of Lost Revenue Adjustment (LRAM) - effective until December 31, 2015</t>
  </si>
  <si>
    <t>Rate Rider for the Disposition of Account 1575 &amp; 1576 - effective until December 31, 2019</t>
  </si>
  <si>
    <t>Total Bill  (before Taxes)</t>
  </si>
  <si>
    <t>Residential - R1 [RPP]</t>
  </si>
  <si>
    <t>Residential - R1 [Non-RPP]</t>
  </si>
  <si>
    <t>Cost of Power Non-RPP</t>
  </si>
  <si>
    <t>Seasonal [RPP]</t>
  </si>
  <si>
    <t>Rate Rider for Recovery of Stranded Meter Assets (2014) - effective until December 31, 2015</t>
  </si>
  <si>
    <t>Foregone Revenue Recovery (2015) - effective until December 31, 2015 (2015)</t>
  </si>
  <si>
    <t>Rate Rider for the Disposition of Deferral/Variance Accounts (2016) - effective until December 31, 2016</t>
  </si>
  <si>
    <t>Rate Rider for the Disposition of Global Adjustment Sub-Account (2016) - effective until December 31, 2016</t>
  </si>
  <si>
    <t>2016 Electricity Distribution Rate Application</t>
  </si>
  <si>
    <t>IRM</t>
  </si>
  <si>
    <t>Application</t>
  </si>
  <si>
    <t>EB-2015-0051</t>
  </si>
  <si>
    <t>Customer Classification and Billing Type</t>
  </si>
  <si>
    <t>Energy</t>
  </si>
  <si>
    <t>Demand</t>
  </si>
  <si>
    <t>Monthly Delivery Charge</t>
  </si>
  <si>
    <t>kWh</t>
  </si>
  <si>
    <t>Current</t>
  </si>
  <si>
    <t>Per Application</t>
  </si>
  <si>
    <t>Change</t>
  </si>
  <si>
    <t>Total Bill</t>
  </si>
  <si>
    <t>Selected Delivery Charge and Bill Impacts Per Application                                                                                                                                        Algoma Power Inc.  2016</t>
  </si>
  <si>
    <t>Distribution Volumetric Rate - General Service</t>
  </si>
  <si>
    <t>Monthly Service Charge - General Service</t>
  </si>
  <si>
    <t>Residential - R1 GS</t>
  </si>
  <si>
    <t>August 13,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</si>
</sst>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_(* #,##0.0000_);_(* \(#,##0.0000\);_(* &quot;-&quot;??_);_(@_)"/>
    <numFmt numFmtId="167" formatCode="0.0%"/>
    <numFmt numFmtId="168" formatCode="_-&quot;$&quot;* #,##0.00000_-;\-&quot;$&quot;* #,##0.00000_-;_-&quot;$&quot;* &quot;-&quot;??_-;_-@_-"/>
    <numFmt numFmtId="169" formatCode="0.0000"/>
    <numFmt numFmtId="170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i/>
      <vertAlign val="superscript"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224">
    <xf numFmtId="0" fontId="0" fillId="0" borderId="0" xfId="0"/>
    <xf numFmtId="0" fontId="2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3" fillId="0" borderId="0" xfId="0" applyFont="1"/>
    <xf numFmtId="0" fontId="4" fillId="0" borderId="0" xfId="0" applyFont="1" applyAlignment="1">
      <alignment horizontal="right" vertical="top"/>
    </xf>
    <xf numFmtId="0" fontId="5" fillId="2" borderId="0" xfId="0" applyFont="1" applyFill="1" applyBorder="1" applyAlignment="1" applyProtection="1"/>
    <xf numFmtId="0" fontId="4" fillId="3" borderId="1" xfId="0" applyFont="1" applyFill="1" applyBorder="1" applyAlignment="1">
      <alignment horizontal="right" vertical="top"/>
    </xf>
    <xf numFmtId="0" fontId="0" fillId="2" borderId="0" xfId="0" applyFill="1" applyBorder="1" applyAlignment="1" applyProtection="1">
      <alignment horizontal="left" indent="1"/>
    </xf>
    <xf numFmtId="0" fontId="6" fillId="2" borderId="0" xfId="0" applyFont="1" applyFill="1" applyBorder="1" applyAlignment="1" applyProtection="1"/>
    <xf numFmtId="0" fontId="4" fillId="3" borderId="0" xfId="0" applyFont="1" applyFill="1" applyAlignment="1">
      <alignment horizontal="right" vertical="top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9" fillId="4" borderId="0" xfId="0" applyFont="1" applyFill="1" applyAlignment="1" applyProtection="1">
      <alignment horizontal="center"/>
    </xf>
    <xf numFmtId="0" fontId="8" fillId="0" borderId="0" xfId="0" applyFont="1" applyProtection="1"/>
    <xf numFmtId="0" fontId="3" fillId="0" borderId="0" xfId="0" applyFont="1" applyProtection="1"/>
    <xf numFmtId="164" fontId="3" fillId="3" borderId="2" xfId="1" applyNumberFormat="1" applyFont="1" applyFill="1" applyBorder="1" applyProtection="1">
      <protection locked="0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0" xfId="0" quotePrefix="1" applyFont="1" applyBorder="1" applyAlignment="1" applyProtection="1">
      <alignment horizontal="center"/>
    </xf>
    <xf numFmtId="0" fontId="3" fillId="0" borderId="11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center"/>
    </xf>
    <xf numFmtId="44" fontId="0" fillId="0" borderId="7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0" fillId="3" borderId="9" xfId="2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44" fontId="0" fillId="0" borderId="9" xfId="0" applyNumberFormat="1" applyBorder="1" applyAlignment="1" applyProtection="1">
      <alignment vertical="center"/>
    </xf>
    <xf numFmtId="10" fontId="0" fillId="0" borderId="7" xfId="3" applyNumberFormat="1" applyFont="1" applyBorder="1" applyAlignment="1" applyProtection="1">
      <alignment vertical="center"/>
    </xf>
    <xf numFmtId="0" fontId="0" fillId="3" borderId="0" xfId="0" applyFill="1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3" fillId="5" borderId="3" xfId="0" applyFont="1" applyFill="1" applyBorder="1" applyAlignment="1" applyProtection="1">
      <alignment vertical="top"/>
      <protection locked="0"/>
    </xf>
    <xf numFmtId="0" fontId="0" fillId="5" borderId="4" xfId="0" applyFill="1" applyBorder="1" applyAlignment="1" applyProtection="1">
      <alignment vertical="top"/>
    </xf>
    <xf numFmtId="0" fontId="0" fillId="5" borderId="4" xfId="0" applyFill="1" applyBorder="1" applyAlignment="1" applyProtection="1">
      <alignment vertical="top"/>
      <protection locked="0"/>
    </xf>
    <xf numFmtId="165" fontId="0" fillId="5" borderId="2" xfId="2" applyNumberFormat="1" applyFont="1" applyFill="1" applyBorder="1" applyAlignment="1" applyProtection="1">
      <alignment vertical="top"/>
      <protection locked="0"/>
    </xf>
    <xf numFmtId="0" fontId="0" fillId="5" borderId="2" xfId="0" applyFill="1" applyBorder="1" applyAlignment="1" applyProtection="1">
      <alignment vertical="center"/>
      <protection locked="0"/>
    </xf>
    <xf numFmtId="44" fontId="0" fillId="5" borderId="5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0" fillId="5" borderId="2" xfId="2" applyNumberFormat="1" applyFont="1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44" fontId="3" fillId="5" borderId="2" xfId="0" applyNumberFormat="1" applyFont="1" applyFill="1" applyBorder="1" applyAlignment="1" applyProtection="1">
      <alignment vertical="center"/>
    </xf>
    <xf numFmtId="10" fontId="3" fillId="5" borderId="5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8" fillId="3" borderId="0" xfId="0" applyFont="1" applyFill="1" applyAlignment="1" applyProtection="1">
      <alignment vertical="top" wrapText="1"/>
    </xf>
    <xf numFmtId="0" fontId="0" fillId="0" borderId="12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8" fillId="0" borderId="0" xfId="0" applyFont="1" applyAlignment="1" applyProtection="1">
      <alignment vertical="top"/>
    </xf>
    <xf numFmtId="165" fontId="0" fillId="6" borderId="9" xfId="2" applyNumberFormat="1" applyFont="1" applyFill="1" applyBorder="1" applyAlignment="1" applyProtection="1">
      <alignment vertical="top"/>
      <protection locked="0"/>
    </xf>
    <xf numFmtId="0" fontId="0" fillId="7" borderId="9" xfId="0" applyFill="1" applyBorder="1" applyAlignment="1" applyProtection="1">
      <alignment vertical="center"/>
    </xf>
    <xf numFmtId="165" fontId="0" fillId="6" borderId="9" xfId="2" applyNumberFormat="1" applyFont="1" applyFill="1" applyBorder="1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vertical="top" wrapText="1"/>
    </xf>
    <xf numFmtId="0" fontId="0" fillId="5" borderId="4" xfId="0" applyFill="1" applyBorder="1" applyProtection="1"/>
    <xf numFmtId="0" fontId="0" fillId="5" borderId="2" xfId="0" applyFill="1" applyBorder="1" applyProtection="1"/>
    <xf numFmtId="0" fontId="0" fillId="5" borderId="2" xfId="0" applyFill="1" applyBorder="1" applyAlignment="1" applyProtection="1">
      <alignment vertical="center"/>
    </xf>
    <xf numFmtId="44" fontId="3" fillId="5" borderId="5" xfId="0" applyNumberFormat="1" applyFont="1" applyFill="1" applyBorder="1" applyAlignment="1" applyProtection="1">
      <alignment vertical="center"/>
    </xf>
    <xf numFmtId="0" fontId="0" fillId="5" borderId="5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7" borderId="9" xfId="0" applyNumberFormat="1" applyFill="1" applyBorder="1" applyAlignment="1" applyProtection="1">
      <alignment vertical="center"/>
    </xf>
    <xf numFmtId="1" fontId="0" fillId="7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2" xfId="0" applyFill="1" applyBorder="1" applyAlignment="1" applyProtection="1">
      <alignment vertical="top"/>
    </xf>
    <xf numFmtId="0" fontId="3" fillId="5" borderId="0" xfId="0" applyFont="1" applyFill="1" applyAlignment="1" applyProtection="1">
      <alignment vertical="center"/>
    </xf>
    <xf numFmtId="0" fontId="3" fillId="5" borderId="2" xfId="0" applyFont="1" applyFill="1" applyBorder="1" applyAlignment="1" applyProtection="1">
      <alignment vertical="center"/>
    </xf>
    <xf numFmtId="0" fontId="3" fillId="5" borderId="5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" fillId="3" borderId="9" xfId="2" applyNumberFormat="1" applyFill="1" applyBorder="1" applyAlignment="1" applyProtection="1">
      <alignment vertical="top"/>
      <protection locked="0"/>
    </xf>
    <xf numFmtId="44" fontId="1" fillId="0" borderId="7" xfId="2" applyBorder="1" applyAlignment="1" applyProtection="1">
      <alignment vertical="center"/>
    </xf>
    <xf numFmtId="165" fontId="1" fillId="3" borderId="9" xfId="2" applyNumberFormat="1" applyFill="1" applyBorder="1" applyAlignment="1" applyProtection="1">
      <alignment vertical="center"/>
      <protection locked="0"/>
    </xf>
    <xf numFmtId="10" fontId="1" fillId="0" borderId="7" xfId="3" applyNumberFormat="1" applyBorder="1" applyAlignment="1" applyProtection="1">
      <alignment vertical="center"/>
    </xf>
    <xf numFmtId="1" fontId="0" fillId="0" borderId="9" xfId="0" applyNumberFormat="1" applyFill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65" fontId="1" fillId="0" borderId="9" xfId="2" applyNumberFormat="1" applyFill="1" applyBorder="1" applyAlignment="1" applyProtection="1">
      <alignment vertical="top"/>
      <protection locked="0"/>
    </xf>
    <xf numFmtId="1" fontId="8" fillId="6" borderId="9" xfId="0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0" fontId="8" fillId="0" borderId="0" xfId="4" applyFont="1" applyAlignment="1" applyProtection="1">
      <alignment vertical="top"/>
    </xf>
    <xf numFmtId="0" fontId="8" fillId="0" borderId="0" xfId="4" applyAlignment="1" applyProtection="1">
      <alignment vertical="top"/>
    </xf>
    <xf numFmtId="0" fontId="8" fillId="4" borderId="0" xfId="4" applyFill="1" applyAlignment="1" applyProtection="1">
      <alignment vertical="top"/>
      <protection locked="0"/>
    </xf>
    <xf numFmtId="0" fontId="8" fillId="0" borderId="0" xfId="4" applyFill="1" applyAlignment="1" applyProtection="1">
      <alignment vertical="top"/>
    </xf>
    <xf numFmtId="1" fontId="8" fillId="6" borderId="9" xfId="4" applyNumberFormat="1" applyFill="1" applyBorder="1" applyAlignment="1" applyProtection="1">
      <alignment vertical="center"/>
    </xf>
    <xf numFmtId="0" fontId="8" fillId="0" borderId="0" xfId="4" applyAlignment="1" applyProtection="1">
      <alignment vertical="center"/>
    </xf>
    <xf numFmtId="44" fontId="8" fillId="0" borderId="9" xfId="4" applyNumberFormat="1" applyBorder="1" applyAlignment="1" applyProtection="1">
      <alignment vertical="center"/>
    </xf>
    <xf numFmtId="0" fontId="8" fillId="0" borderId="0" xfId="4" applyProtection="1"/>
    <xf numFmtId="0" fontId="8" fillId="8" borderId="13" xfId="0" applyFont="1" applyFill="1" applyBorder="1" applyProtection="1"/>
    <xf numFmtId="0" fontId="0" fillId="8" borderId="14" xfId="0" applyFill="1" applyBorder="1" applyAlignment="1" applyProtection="1">
      <alignment vertical="top"/>
    </xf>
    <xf numFmtId="0" fontId="0" fillId="8" borderId="14" xfId="0" applyFill="1" applyBorder="1" applyAlignment="1" applyProtection="1">
      <alignment vertical="top"/>
      <protection locked="0"/>
    </xf>
    <xf numFmtId="165" fontId="1" fillId="8" borderId="15" xfId="2" applyNumberFormat="1" applyFill="1" applyBorder="1" applyAlignment="1" applyProtection="1">
      <alignment vertical="top"/>
      <protection locked="0"/>
    </xf>
    <xf numFmtId="0" fontId="0" fillId="8" borderId="16" xfId="0" applyFill="1" applyBorder="1" applyAlignment="1" applyProtection="1">
      <alignment vertical="center"/>
      <protection locked="0"/>
    </xf>
    <xf numFmtId="44" fontId="1" fillId="8" borderId="14" xfId="2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  <protection locked="0"/>
    </xf>
    <xf numFmtId="44" fontId="0" fillId="8" borderId="15" xfId="0" applyNumberFormat="1" applyFill="1" applyBorder="1" applyAlignment="1" applyProtection="1">
      <alignment vertical="center"/>
    </xf>
    <xf numFmtId="10" fontId="1" fillId="8" borderId="17" xfId="3" applyNumberForma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9" fontId="0" fillId="0" borderId="9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3" fillId="0" borderId="12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9" fontId="3" fillId="0" borderId="9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4" fontId="3" fillId="0" borderId="9" xfId="0" applyNumberFormat="1" applyFont="1" applyFill="1" applyBorder="1" applyAlignment="1" applyProtection="1">
      <alignment vertical="center"/>
    </xf>
    <xf numFmtId="10" fontId="3" fillId="0" borderId="7" xfId="3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top" indent="1"/>
    </xf>
    <xf numFmtId="9" fontId="0" fillId="0" borderId="9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8" fillId="0" borderId="12" xfId="0" applyNumberFormat="1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vertical="center"/>
    </xf>
    <xf numFmtId="9" fontId="8" fillId="0" borderId="9" xfId="0" applyNumberFormat="1" applyFont="1" applyFill="1" applyBorder="1" applyAlignment="1" applyProtection="1">
      <alignment vertical="center"/>
      <protection locked="0"/>
    </xf>
    <xf numFmtId="44" fontId="8" fillId="0" borderId="7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44" fontId="8" fillId="0" borderId="9" xfId="0" applyNumberFormat="1" applyFont="1" applyFill="1" applyBorder="1" applyAlignment="1" applyProtection="1">
      <alignment vertical="center"/>
    </xf>
    <xf numFmtId="10" fontId="8" fillId="0" borderId="7" xfId="3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top" wrapText="1" indent="1"/>
    </xf>
    <xf numFmtId="0" fontId="0" fillId="0" borderId="9" xfId="0" applyFill="1" applyBorder="1" applyAlignment="1" applyProtection="1">
      <alignment vertical="top"/>
    </xf>
    <xf numFmtId="44" fontId="11" fillId="0" borderId="12" xfId="0" applyNumberFormat="1" applyFont="1" applyFill="1" applyBorder="1" applyAlignment="1" applyProtection="1">
      <alignment vertical="center"/>
    </xf>
    <xf numFmtId="44" fontId="11" fillId="0" borderId="7" xfId="0" applyNumberFormat="1" applyFont="1" applyFill="1" applyBorder="1" applyAlignment="1" applyProtection="1">
      <alignment vertical="center"/>
    </xf>
    <xf numFmtId="44" fontId="11" fillId="0" borderId="9" xfId="0" applyNumberFormat="1" applyFont="1" applyFill="1" applyBorder="1" applyAlignment="1" applyProtection="1">
      <alignment vertical="center"/>
    </xf>
    <xf numFmtId="10" fontId="11" fillId="0" borderId="7" xfId="3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10" xfId="0" applyFill="1" applyBorder="1" applyAlignment="1" applyProtection="1">
      <alignment vertical="top"/>
    </xf>
    <xf numFmtId="0" fontId="0" fillId="9" borderId="18" xfId="0" applyFill="1" applyBorder="1" applyAlignment="1" applyProtection="1">
      <alignment vertical="center"/>
    </xf>
    <xf numFmtId="44" fontId="3" fillId="9" borderId="19" xfId="0" applyNumberFormat="1" applyFont="1" applyFill="1" applyBorder="1" applyAlignment="1" applyProtection="1">
      <alignment vertical="center"/>
    </xf>
    <xf numFmtId="0" fontId="3" fillId="9" borderId="10" xfId="0" applyFont="1" applyFill="1" applyBorder="1" applyAlignment="1" applyProtection="1">
      <alignment vertical="center"/>
    </xf>
    <xf numFmtId="44" fontId="3" fillId="9" borderId="11" xfId="0" applyNumberFormat="1" applyFont="1" applyFill="1" applyBorder="1" applyAlignment="1" applyProtection="1">
      <alignment vertical="center"/>
    </xf>
    <xf numFmtId="0" fontId="3" fillId="9" borderId="18" xfId="0" applyFont="1" applyFill="1" applyBorder="1" applyAlignment="1" applyProtection="1">
      <alignment vertical="center"/>
    </xf>
    <xf numFmtId="44" fontId="3" fillId="9" borderId="10" xfId="0" applyNumberFormat="1" applyFont="1" applyFill="1" applyBorder="1" applyAlignment="1" applyProtection="1">
      <alignment vertical="center"/>
    </xf>
    <xf numFmtId="10" fontId="3" fillId="9" borderId="11" xfId="3" applyNumberFormat="1" applyFont="1" applyFill="1" applyBorder="1" applyAlignment="1" applyProtection="1">
      <alignment vertical="center"/>
    </xf>
    <xf numFmtId="0" fontId="8" fillId="8" borderId="13" xfId="4" applyFont="1" applyFill="1" applyBorder="1" applyProtection="1"/>
    <xf numFmtId="0" fontId="8" fillId="8" borderId="14" xfId="4" applyFill="1" applyBorder="1" applyAlignment="1" applyProtection="1">
      <alignment vertical="top"/>
    </xf>
    <xf numFmtId="0" fontId="8" fillId="8" borderId="14" xfId="4" applyFill="1" applyBorder="1" applyAlignment="1" applyProtection="1">
      <alignment vertical="top"/>
      <protection locked="0"/>
    </xf>
    <xf numFmtId="0" fontId="8" fillId="8" borderId="16" xfId="4" applyFill="1" applyBorder="1" applyAlignment="1" applyProtection="1">
      <alignment vertical="center"/>
      <protection locked="0"/>
    </xf>
    <xf numFmtId="0" fontId="8" fillId="8" borderId="14" xfId="4" applyFill="1" applyBorder="1" applyAlignment="1" applyProtection="1">
      <alignment vertical="center"/>
    </xf>
    <xf numFmtId="0" fontId="8" fillId="8" borderId="15" xfId="4" applyFill="1" applyBorder="1" applyAlignment="1" applyProtection="1">
      <alignment vertical="center"/>
      <protection locked="0"/>
    </xf>
    <xf numFmtId="44" fontId="8" fillId="8" borderId="15" xfId="4" applyNumberFormat="1" applyFill="1" applyBorder="1" applyAlignment="1" applyProtection="1">
      <alignment vertical="center"/>
    </xf>
    <xf numFmtId="10" fontId="1" fillId="3" borderId="2" xfId="3" applyNumberFormat="1" applyFill="1" applyBorder="1" applyProtection="1">
      <protection locked="0"/>
    </xf>
    <xf numFmtId="0" fontId="0" fillId="7" borderId="0" xfId="0" applyFill="1" applyProtection="1"/>
    <xf numFmtId="44" fontId="3" fillId="0" borderId="20" xfId="0" applyNumberFormat="1" applyFont="1" applyFill="1" applyBorder="1" applyAlignment="1" applyProtection="1">
      <alignment vertical="center"/>
    </xf>
    <xf numFmtId="0" fontId="0" fillId="3" borderId="0" xfId="0" applyFill="1" applyAlignment="1" applyProtection="1">
      <alignment vertical="top" wrapText="1"/>
      <protection locked="0"/>
    </xf>
    <xf numFmtId="0" fontId="15" fillId="0" borderId="0" xfId="0" applyFont="1" applyProtection="1"/>
    <xf numFmtId="164" fontId="0" fillId="0" borderId="9" xfId="0" applyNumberFormat="1" applyFill="1" applyBorder="1" applyAlignment="1" applyProtection="1">
      <alignment vertical="center"/>
    </xf>
    <xf numFmtId="168" fontId="0" fillId="6" borderId="9" xfId="2" applyNumberFormat="1" applyFont="1" applyFill="1" applyBorder="1" applyAlignment="1" applyProtection="1">
      <alignment vertical="top"/>
      <protection locked="0"/>
    </xf>
    <xf numFmtId="168" fontId="1" fillId="0" borderId="9" xfId="2" applyNumberFormat="1" applyFill="1" applyBorder="1" applyAlignment="1" applyProtection="1">
      <alignment vertical="top"/>
      <protection locked="0"/>
    </xf>
    <xf numFmtId="168" fontId="0" fillId="6" borderId="9" xfId="2" applyNumberFormat="1" applyFont="1" applyFill="1" applyBorder="1" applyAlignment="1" applyProtection="1">
      <alignment vertical="center"/>
      <protection locked="0"/>
    </xf>
    <xf numFmtId="168" fontId="1" fillId="3" borderId="9" xfId="2" applyNumberFormat="1" applyFill="1" applyBorder="1" applyAlignment="1" applyProtection="1">
      <alignment vertical="top"/>
      <protection locked="0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8" fillId="0" borderId="0" xfId="0" applyFont="1" applyBorder="1"/>
    <xf numFmtId="0" fontId="16" fillId="0" borderId="0" xfId="0" applyFont="1"/>
    <xf numFmtId="0" fontId="17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43" fontId="18" fillId="0" borderId="0" xfId="1" applyFont="1" applyBorder="1"/>
    <xf numFmtId="10" fontId="18" fillId="0" borderId="0" xfId="3" applyNumberFormat="1" applyFont="1" applyBorder="1"/>
    <xf numFmtId="166" fontId="18" fillId="0" borderId="0" xfId="1" applyNumberFormat="1" applyFont="1" applyBorder="1"/>
    <xf numFmtId="166" fontId="18" fillId="0" borderId="0" xfId="1" applyNumberFormat="1" applyFont="1" applyFill="1" applyBorder="1"/>
    <xf numFmtId="167" fontId="18" fillId="0" borderId="0" xfId="3" applyNumberFormat="1" applyFont="1" applyBorder="1"/>
    <xf numFmtId="167" fontId="18" fillId="0" borderId="0" xfId="0" applyNumberFormat="1" applyFont="1" applyBorder="1"/>
    <xf numFmtId="0" fontId="17" fillId="0" borderId="0" xfId="0" applyFont="1" applyBorder="1" applyAlignment="1">
      <alignment horizontal="center"/>
    </xf>
    <xf numFmtId="0" fontId="0" fillId="3" borderId="0" xfId="0" applyFill="1" applyAlignment="1" applyProtection="1">
      <alignment vertical="top" wrapText="1"/>
    </xf>
    <xf numFmtId="0" fontId="18" fillId="0" borderId="0" xfId="0" applyFont="1" applyBorder="1" applyAlignment="1">
      <alignment wrapText="1"/>
    </xf>
    <xf numFmtId="169" fontId="18" fillId="0" borderId="0" xfId="0" applyNumberFormat="1" applyFont="1" applyBorder="1"/>
    <xf numFmtId="0" fontId="20" fillId="0" borderId="20" xfId="4" applyFont="1" applyBorder="1" applyAlignment="1">
      <alignment horizontal="center"/>
    </xf>
    <xf numFmtId="0" fontId="20" fillId="5" borderId="23" xfId="4" applyFont="1" applyFill="1" applyBorder="1"/>
    <xf numFmtId="0" fontId="20" fillId="0" borderId="9" xfId="4" applyFont="1" applyBorder="1" applyAlignment="1">
      <alignment horizontal="center"/>
    </xf>
    <xf numFmtId="0" fontId="20" fillId="5" borderId="0" xfId="4" applyFont="1" applyFill="1" applyBorder="1"/>
    <xf numFmtId="0" fontId="20" fillId="0" borderId="28" xfId="4" applyFont="1" applyBorder="1"/>
    <xf numFmtId="0" fontId="20" fillId="0" borderId="10" xfId="4" applyFont="1" applyBorder="1"/>
    <xf numFmtId="0" fontId="20" fillId="5" borderId="18" xfId="4" applyFont="1" applyFill="1" applyBorder="1"/>
    <xf numFmtId="0" fontId="20" fillId="0" borderId="2" xfId="4" applyFont="1" applyBorder="1" applyAlignment="1">
      <alignment horizontal="center"/>
    </xf>
    <xf numFmtId="0" fontId="20" fillId="0" borderId="27" xfId="4" applyFont="1" applyBorder="1" applyAlignment="1">
      <alignment horizontal="center"/>
    </xf>
    <xf numFmtId="0" fontId="20" fillId="0" borderId="29" xfId="4" applyFont="1" applyBorder="1"/>
    <xf numFmtId="170" fontId="20" fillId="0" borderId="2" xfId="1" applyNumberFormat="1" applyFont="1" applyBorder="1"/>
    <xf numFmtId="0" fontId="20" fillId="5" borderId="2" xfId="4" applyFont="1" applyFill="1" applyBorder="1"/>
    <xf numFmtId="44" fontId="20" fillId="0" borderId="2" xfId="4" applyNumberFormat="1" applyFont="1" applyBorder="1"/>
    <xf numFmtId="167" fontId="20" fillId="0" borderId="27" xfId="4" applyNumberFormat="1" applyFont="1" applyBorder="1" applyAlignment="1">
      <alignment horizontal="center"/>
    </xf>
    <xf numFmtId="0" fontId="20" fillId="5" borderId="30" xfId="4" applyFont="1" applyFill="1" applyBorder="1"/>
    <xf numFmtId="170" fontId="20" fillId="5" borderId="0" xfId="1" applyNumberFormat="1" applyFont="1" applyFill="1" applyBorder="1"/>
    <xf numFmtId="44" fontId="20" fillId="5" borderId="0" xfId="4" applyNumberFormat="1" applyFont="1" applyFill="1" applyBorder="1"/>
    <xf numFmtId="167" fontId="20" fillId="5" borderId="31" xfId="4" applyNumberFormat="1" applyFont="1" applyFill="1" applyBorder="1" applyAlignment="1">
      <alignment horizontal="center"/>
    </xf>
    <xf numFmtId="0" fontId="20" fillId="0" borderId="32" xfId="4" applyFont="1" applyBorder="1"/>
    <xf numFmtId="170" fontId="20" fillId="0" borderId="33" xfId="1" applyNumberFormat="1" applyFont="1" applyBorder="1"/>
    <xf numFmtId="170" fontId="20" fillId="5" borderId="33" xfId="1" applyNumberFormat="1" applyFont="1" applyFill="1" applyBorder="1"/>
    <xf numFmtId="0" fontId="20" fillId="5" borderId="21" xfId="4" applyFont="1" applyFill="1" applyBorder="1"/>
    <xf numFmtId="44" fontId="20" fillId="0" borderId="33" xfId="4" applyNumberFormat="1" applyFont="1" applyBorder="1"/>
    <xf numFmtId="167" fontId="20" fillId="0" borderId="34" xfId="4" applyNumberFormat="1" applyFont="1" applyBorder="1" applyAlignment="1">
      <alignment horizontal="center"/>
    </xf>
    <xf numFmtId="15" fontId="16" fillId="0" borderId="0" xfId="0" quotePrefix="1" applyNumberFormat="1" applyFont="1" applyAlignment="1">
      <alignment horizontal="center"/>
    </xf>
    <xf numFmtId="1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5" fillId="2" borderId="0" xfId="0" applyFont="1" applyFill="1" applyBorder="1" applyAlignment="1" applyProtection="1">
      <alignment horizontal="left" indent="7"/>
    </xf>
    <xf numFmtId="0" fontId="7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9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3" fillId="0" borderId="7" xfId="0" applyFont="1" applyFill="1" applyBorder="1" applyAlignment="1" applyProtection="1">
      <alignment horizontal="center" wrapText="1"/>
    </xf>
    <xf numFmtId="0" fontId="0" fillId="0" borderId="11" xfId="0" applyBorder="1" applyAlignment="1">
      <alignment wrapText="1"/>
    </xf>
    <xf numFmtId="0" fontId="10" fillId="0" borderId="0" xfId="0" applyFont="1" applyAlignment="1" applyProtection="1">
      <alignment horizontal="left" vertical="top" wrapText="1" indent="1"/>
    </xf>
    <xf numFmtId="0" fontId="3" fillId="9" borderId="0" xfId="0" applyFont="1" applyFill="1" applyAlignment="1" applyProtection="1">
      <alignment horizontal="left" vertical="top" wrapText="1"/>
    </xf>
    <xf numFmtId="0" fontId="15" fillId="0" borderId="0" xfId="0" applyFont="1" applyAlignment="1" applyProtection="1">
      <alignment horizontal="center"/>
    </xf>
    <xf numFmtId="0" fontId="20" fillId="0" borderId="22" xfId="4" applyFont="1" applyBorder="1" applyAlignment="1">
      <alignment horizontal="center" wrapText="1"/>
    </xf>
    <xf numFmtId="0" fontId="20" fillId="0" borderId="26" xfId="4" applyFont="1" applyBorder="1" applyAlignment="1">
      <alignment horizontal="center" wrapText="1"/>
    </xf>
    <xf numFmtId="0" fontId="15" fillId="0" borderId="24" xfId="4" applyFont="1" applyBorder="1" applyAlignment="1">
      <alignment horizontal="center" vertical="center"/>
    </xf>
    <xf numFmtId="0" fontId="15" fillId="0" borderId="25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/>
    </xf>
    <xf numFmtId="0" fontId="20" fillId="0" borderId="2" xfId="4" applyFont="1" applyBorder="1" applyAlignment="1">
      <alignment horizontal="center" vertical="center" wrapText="1"/>
    </xf>
    <xf numFmtId="0" fontId="20" fillId="0" borderId="2" xfId="4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19" fillId="0" borderId="0" xfId="4" applyFont="1" applyBorder="1" applyAlignment="1">
      <alignment horizontal="center" vertical="center" wrapText="1"/>
    </xf>
    <xf numFmtId="0" fontId="19" fillId="0" borderId="21" xfId="4" applyFont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I%202015%20REG%20COS/Chap_2_App/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H20"/>
  <sheetViews>
    <sheetView showGridLines="0" tabSelected="1" topLeftCell="A10" zoomScaleNormal="100" workbookViewId="0">
      <selection activeCell="E25" sqref="E25"/>
    </sheetView>
  </sheetViews>
  <sheetFormatPr defaultRowHeight="15" x14ac:dyDescent="0.25"/>
  <cols>
    <col min="2" max="2" width="15.28515625" bestFit="1" customWidth="1"/>
  </cols>
  <sheetData>
    <row r="12" spans="2:8" ht="23.25" x14ac:dyDescent="0.35">
      <c r="B12" s="198" t="s">
        <v>86</v>
      </c>
      <c r="C12" s="198"/>
      <c r="D12" s="198"/>
      <c r="E12" s="198"/>
      <c r="F12" s="198"/>
      <c r="G12" s="198"/>
      <c r="H12" s="198"/>
    </row>
    <row r="13" spans="2:8" ht="23.25" x14ac:dyDescent="0.35">
      <c r="B13" s="198" t="s">
        <v>102</v>
      </c>
      <c r="C13" s="198"/>
      <c r="D13" s="198"/>
      <c r="E13" s="198"/>
      <c r="F13" s="198"/>
      <c r="G13" s="198"/>
      <c r="H13" s="198"/>
    </row>
    <row r="14" spans="2:8" ht="23.25" x14ac:dyDescent="0.35">
      <c r="B14" s="198" t="s">
        <v>103</v>
      </c>
      <c r="C14" s="198"/>
      <c r="D14" s="198"/>
      <c r="E14" s="198"/>
      <c r="F14" s="198"/>
      <c r="G14" s="198"/>
      <c r="H14" s="198"/>
    </row>
    <row r="15" spans="2:8" ht="23.25" x14ac:dyDescent="0.35">
      <c r="B15" s="158"/>
    </row>
    <row r="16" spans="2:8" ht="23.25" x14ac:dyDescent="0.35">
      <c r="B16" s="198" t="s">
        <v>87</v>
      </c>
      <c r="C16" s="198"/>
      <c r="D16" s="198"/>
      <c r="E16" s="198"/>
      <c r="F16" s="198"/>
      <c r="G16" s="198"/>
      <c r="H16" s="198"/>
    </row>
    <row r="17" spans="2:8" ht="23.25" x14ac:dyDescent="0.35">
      <c r="B17" s="198" t="s">
        <v>104</v>
      </c>
      <c r="C17" s="198"/>
      <c r="D17" s="198"/>
      <c r="E17" s="198"/>
      <c r="F17" s="198"/>
      <c r="G17" s="198"/>
      <c r="H17" s="198"/>
    </row>
    <row r="18" spans="2:8" ht="23.25" x14ac:dyDescent="0.35">
      <c r="B18" s="198" t="s">
        <v>105</v>
      </c>
      <c r="C18" s="198"/>
      <c r="D18" s="198"/>
      <c r="E18" s="198"/>
      <c r="F18" s="198"/>
      <c r="G18" s="198"/>
      <c r="H18" s="198"/>
    </row>
    <row r="19" spans="2:8" ht="23.25" x14ac:dyDescent="0.35">
      <c r="B19" s="158"/>
    </row>
    <row r="20" spans="2:8" ht="23.25" x14ac:dyDescent="0.35">
      <c r="B20" s="196" t="s">
        <v>119</v>
      </c>
      <c r="C20" s="197"/>
      <c r="D20" s="197"/>
      <c r="E20" s="197"/>
      <c r="F20" s="197"/>
      <c r="G20" s="197"/>
      <c r="H20" s="197"/>
    </row>
  </sheetData>
  <mergeCells count="7">
    <mergeCell ref="B20:H20"/>
    <mergeCell ref="B12:H12"/>
    <mergeCell ref="B13:H13"/>
    <mergeCell ref="B14:H14"/>
    <mergeCell ref="B16:H16"/>
    <mergeCell ref="B18:H18"/>
    <mergeCell ref="B17:H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65"/>
  <sheetViews>
    <sheetView showGridLines="0" zoomScaleNormal="100" workbookViewId="0">
      <selection activeCell="K23" sqref="K23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00" t="s">
        <v>6</v>
      </c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/>
    </row>
    <row r="11" spans="1:20" ht="18.75" customHeight="1" x14ac:dyDescent="0.25">
      <c r="B11" s="200" t="s">
        <v>7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01" t="s">
        <v>85</v>
      </c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150</v>
      </c>
      <c r="G17" s="16" t="s">
        <v>12</v>
      </c>
      <c r="I17" s="213" t="s">
        <v>79</v>
      </c>
      <c r="J17" s="213"/>
      <c r="K17" s="17">
        <v>1</v>
      </c>
      <c r="L17" s="145" t="s">
        <v>80</v>
      </c>
    </row>
    <row r="18" spans="2:15" x14ac:dyDescent="0.25">
      <c r="B18" s="15"/>
    </row>
    <row r="19" spans="2:15" x14ac:dyDescent="0.25">
      <c r="B19" s="15"/>
      <c r="D19" s="18"/>
      <c r="E19" s="18"/>
      <c r="F19" s="202" t="s">
        <v>13</v>
      </c>
      <c r="G19" s="203"/>
      <c r="H19" s="204"/>
      <c r="J19" s="202" t="s">
        <v>14</v>
      </c>
      <c r="K19" s="203"/>
      <c r="L19" s="204"/>
      <c r="N19" s="202" t="s">
        <v>15</v>
      </c>
      <c r="O19" s="204"/>
    </row>
    <row r="20" spans="2:15" x14ac:dyDescent="0.25">
      <c r="B20" s="15"/>
      <c r="D20" s="205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07" t="s">
        <v>20</v>
      </c>
      <c r="O20" s="209" t="s">
        <v>21</v>
      </c>
    </row>
    <row r="21" spans="2:15" x14ac:dyDescent="0.25">
      <c r="B21" s="15"/>
      <c r="D21" s="206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08"/>
      <c r="O21" s="210"/>
    </row>
    <row r="22" spans="2:15" x14ac:dyDescent="0.25">
      <c r="B22" s="25" t="s">
        <v>23</v>
      </c>
      <c r="C22" s="25"/>
      <c r="D22" s="26" t="s">
        <v>75</v>
      </c>
      <c r="E22" s="27"/>
      <c r="F22" s="28">
        <f>Rates!D62</f>
        <v>1.1000000000000001</v>
      </c>
      <c r="G22" s="29">
        <v>1</v>
      </c>
      <c r="H22" s="30">
        <f>G22*F22</f>
        <v>1.1000000000000001</v>
      </c>
      <c r="I22" s="31"/>
      <c r="J22" s="32">
        <f>Rates!F62</f>
        <v>1.33</v>
      </c>
      <c r="K22" s="33">
        <v>1</v>
      </c>
      <c r="L22" s="30">
        <f>K22*J22</f>
        <v>1.33</v>
      </c>
      <c r="M22" s="31"/>
      <c r="N22" s="34">
        <f>L22-H22</f>
        <v>0.22999999999999998</v>
      </c>
      <c r="O22" s="35">
        <f>IF((H22)=0,"",(N22/H22))</f>
        <v>0.20909090909090905</v>
      </c>
    </row>
    <row r="23" spans="2:15" x14ac:dyDescent="0.25">
      <c r="B23" s="25"/>
      <c r="C23" s="25"/>
      <c r="D23" s="26"/>
      <c r="E23" s="27"/>
      <c r="F23" s="28"/>
      <c r="G23" s="29">
        <v>1</v>
      </c>
      <c r="H23" s="30">
        <f t="shared" ref="H23:H39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9" si="1">K24*J24</f>
        <v>0</v>
      </c>
      <c r="M24" s="31"/>
      <c r="N24" s="34">
        <f t="shared" ref="N24:N40" si="2">L24-H24</f>
        <v>0</v>
      </c>
      <c r="O24" s="35" t="str">
        <f t="shared" ref="O24:O40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76</v>
      </c>
      <c r="E28" s="27"/>
      <c r="F28" s="28">
        <f>Rates!D63</f>
        <v>0.1767</v>
      </c>
      <c r="G28" s="146">
        <f>$F$17</f>
        <v>150</v>
      </c>
      <c r="H28" s="30">
        <f t="shared" si="0"/>
        <v>26.504999999999999</v>
      </c>
      <c r="I28" s="31"/>
      <c r="J28" s="32">
        <f>Rates!F63</f>
        <v>0.21540000000000001</v>
      </c>
      <c r="K28" s="146">
        <f>$F$17</f>
        <v>150</v>
      </c>
      <c r="L28" s="30">
        <f t="shared" si="1"/>
        <v>32.31</v>
      </c>
      <c r="M28" s="31"/>
      <c r="N28" s="34">
        <f t="shared" si="2"/>
        <v>5.8050000000000033</v>
      </c>
      <c r="O28" s="35">
        <f t="shared" si="3"/>
        <v>0.21901528013582355</v>
      </c>
    </row>
    <row r="29" spans="2:15" x14ac:dyDescent="0.25">
      <c r="B29" s="25"/>
      <c r="C29" s="25"/>
      <c r="D29" s="26"/>
      <c r="E29" s="27"/>
      <c r="F29" s="28"/>
      <c r="G29" s="29">
        <f t="shared" ref="G29:G45" si="4">$K$17</f>
        <v>1</v>
      </c>
      <c r="H29" s="30">
        <f t="shared" si="0"/>
        <v>0</v>
      </c>
      <c r="I29" s="31"/>
      <c r="J29" s="32"/>
      <c r="K29" s="29">
        <f t="shared" ref="K29:K45" si="5">$K$17</f>
        <v>1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x14ac:dyDescent="0.25">
      <c r="B30" s="25" t="s">
        <v>27</v>
      </c>
      <c r="C30" s="25"/>
      <c r="D30" s="26"/>
      <c r="E30" s="27"/>
      <c r="F30" s="28"/>
      <c r="G30" s="29">
        <f t="shared" si="4"/>
        <v>1</v>
      </c>
      <c r="H30" s="30">
        <f t="shared" si="0"/>
        <v>0</v>
      </c>
      <c r="I30" s="31"/>
      <c r="J30" s="32"/>
      <c r="K30" s="29">
        <f t="shared" si="5"/>
        <v>1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144"/>
      <c r="C31" s="25"/>
      <c r="D31" s="63"/>
      <c r="E31" s="27"/>
      <c r="F31" s="32"/>
      <c r="G31" s="146">
        <f>$F$17</f>
        <v>150</v>
      </c>
      <c r="H31" s="30">
        <f t="shared" si="0"/>
        <v>0</v>
      </c>
      <c r="I31" s="31"/>
      <c r="J31" s="32"/>
      <c r="K31" s="146">
        <f>$F$17</f>
        <v>150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x14ac:dyDescent="0.25">
      <c r="B32" s="144"/>
      <c r="C32" s="25"/>
      <c r="D32" s="63"/>
      <c r="E32" s="27"/>
      <c r="F32" s="32"/>
      <c r="G32" s="146">
        <f>$F$17</f>
        <v>150</v>
      </c>
      <c r="H32" s="30">
        <f t="shared" si="0"/>
        <v>0</v>
      </c>
      <c r="I32" s="31"/>
      <c r="J32" s="32"/>
      <c r="K32" s="146">
        <f>$F$17</f>
        <v>150</v>
      </c>
      <c r="L32" s="30">
        <f t="shared" si="1"/>
        <v>0</v>
      </c>
      <c r="M32" s="31"/>
      <c r="N32" s="34">
        <f t="shared" si="2"/>
        <v>0</v>
      </c>
      <c r="O32" s="35" t="str">
        <f t="shared" si="3"/>
        <v/>
      </c>
    </row>
    <row r="33" spans="2:15" ht="30" x14ac:dyDescent="0.25">
      <c r="B33" s="144" t="str">
        <f>Rates!A66</f>
        <v>Foregone Revenue Recovery (2015) - effective until December 31, 2015 (2015)</v>
      </c>
      <c r="C33" s="25"/>
      <c r="D33" s="63" t="s">
        <v>76</v>
      </c>
      <c r="E33" s="27"/>
      <c r="F33" s="32">
        <f>Rates!D66</f>
        <v>1.9E-3</v>
      </c>
      <c r="G33" s="146">
        <f>$F$17</f>
        <v>150</v>
      </c>
      <c r="H33" s="30">
        <f t="shared" si="0"/>
        <v>0.28499999999999998</v>
      </c>
      <c r="I33" s="31"/>
      <c r="J33" s="32">
        <f>Rates!F66</f>
        <v>0</v>
      </c>
      <c r="K33" s="146">
        <f>$F$17</f>
        <v>150</v>
      </c>
      <c r="L33" s="30">
        <f t="shared" si="1"/>
        <v>0</v>
      </c>
      <c r="M33" s="31"/>
      <c r="N33" s="34">
        <f t="shared" si="2"/>
        <v>-0.28499999999999998</v>
      </c>
      <c r="O33" s="35">
        <f t="shared" si="3"/>
        <v>-1</v>
      </c>
    </row>
    <row r="34" spans="2:15" x14ac:dyDescent="0.25">
      <c r="B34" s="144"/>
      <c r="C34" s="25"/>
      <c r="D34" s="63" t="s">
        <v>76</v>
      </c>
      <c r="E34" s="27"/>
      <c r="F34" s="32"/>
      <c r="G34" s="146">
        <f>$F$17</f>
        <v>150</v>
      </c>
      <c r="H34" s="30">
        <f t="shared" si="0"/>
        <v>0</v>
      </c>
      <c r="I34" s="31"/>
      <c r="J34" s="32"/>
      <c r="K34" s="146">
        <f>$F$17</f>
        <v>150</v>
      </c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ht="45" x14ac:dyDescent="0.25">
      <c r="B35" s="144" t="str">
        <f>Rates!A71</f>
        <v>Rate Rider for the Disposition of Account 1575 &amp; 1576 - effective until December 31, 2019</v>
      </c>
      <c r="C35" s="25"/>
      <c r="D35" s="63" t="s">
        <v>76</v>
      </c>
      <c r="E35" s="27"/>
      <c r="F35" s="32">
        <f>Rates!D71</f>
        <v>-1.9E-3</v>
      </c>
      <c r="G35" s="146">
        <f>$F$17</f>
        <v>150</v>
      </c>
      <c r="H35" s="30">
        <f t="shared" si="0"/>
        <v>-0.28499999999999998</v>
      </c>
      <c r="I35" s="31"/>
      <c r="J35" s="32">
        <f>Rates!F71</f>
        <v>-1.9E-3</v>
      </c>
      <c r="K35" s="146">
        <f>$F$17</f>
        <v>150</v>
      </c>
      <c r="L35" s="30">
        <f t="shared" si="1"/>
        <v>-0.28499999999999998</v>
      </c>
      <c r="M35" s="31"/>
      <c r="N35" s="34">
        <f t="shared" si="2"/>
        <v>0</v>
      </c>
      <c r="O35" s="35">
        <f t="shared" si="3"/>
        <v>0</v>
      </c>
    </row>
    <row r="36" spans="2:15" x14ac:dyDescent="0.25">
      <c r="B36" s="37"/>
      <c r="C36" s="25"/>
      <c r="D36" s="26"/>
      <c r="E36" s="27"/>
      <c r="F36" s="28"/>
      <c r="G36" s="29">
        <f t="shared" si="4"/>
        <v>1</v>
      </c>
      <c r="H36" s="30">
        <f t="shared" si="0"/>
        <v>0</v>
      </c>
      <c r="I36" s="31"/>
      <c r="J36" s="32"/>
      <c r="K36" s="29">
        <f t="shared" si="5"/>
        <v>1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1</v>
      </c>
      <c r="H37" s="30">
        <f t="shared" si="0"/>
        <v>0</v>
      </c>
      <c r="I37" s="31"/>
      <c r="J37" s="32"/>
      <c r="K37" s="29">
        <f t="shared" si="5"/>
        <v>1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1</v>
      </c>
      <c r="H38" s="30">
        <f t="shared" si="0"/>
        <v>0</v>
      </c>
      <c r="I38" s="31"/>
      <c r="J38" s="32"/>
      <c r="K38" s="29">
        <f t="shared" si="5"/>
        <v>1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4"/>
        <v>1</v>
      </c>
      <c r="H39" s="30">
        <f t="shared" si="0"/>
        <v>0</v>
      </c>
      <c r="I39" s="31"/>
      <c r="J39" s="32"/>
      <c r="K39" s="29">
        <f t="shared" si="5"/>
        <v>1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SUM(H22:H39)</f>
        <v>27.605</v>
      </c>
      <c r="I40" s="44"/>
      <c r="J40" s="45"/>
      <c r="K40" s="46"/>
      <c r="L40" s="43">
        <f>SUM(L22:L39)</f>
        <v>33.355000000000004</v>
      </c>
      <c r="M40" s="44"/>
      <c r="N40" s="47">
        <f t="shared" si="2"/>
        <v>5.7500000000000036</v>
      </c>
      <c r="O40" s="48">
        <f t="shared" si="3"/>
        <v>0.20829559862343791</v>
      </c>
    </row>
    <row r="41" spans="2:15" ht="38.25" x14ac:dyDescent="0.25">
      <c r="B41" s="50" t="str">
        <f>Rates!A68</f>
        <v>Rate Rider for the Disposition of Deferral/Variance Accounts (2014) - effective until December 31, 2015</v>
      </c>
      <c r="C41" s="25"/>
      <c r="D41" s="63" t="s">
        <v>76</v>
      </c>
      <c r="E41" s="27"/>
      <c r="F41" s="32">
        <f>Rates!D68</f>
        <v>-1.41E-2</v>
      </c>
      <c r="G41" s="146">
        <f>$F$17</f>
        <v>150</v>
      </c>
      <c r="H41" s="30">
        <f>G41*F41</f>
        <v>-2.1149999999999998</v>
      </c>
      <c r="I41" s="31"/>
      <c r="J41" s="32">
        <f>Rates!F68</f>
        <v>0</v>
      </c>
      <c r="K41" s="146">
        <f>$F$17</f>
        <v>150</v>
      </c>
      <c r="L41" s="30">
        <f>K41*J41</f>
        <v>0</v>
      </c>
      <c r="M41" s="31"/>
      <c r="N41" s="34">
        <f>L41-H41</f>
        <v>2.1149999999999998</v>
      </c>
      <c r="O41" s="35">
        <f>IF((H41)=0,"",(N41/H41))</f>
        <v>-1</v>
      </c>
    </row>
    <row r="42" spans="2:15" ht="38.25" x14ac:dyDescent="0.25">
      <c r="B42" s="50" t="str">
        <f>Rates!A69</f>
        <v>Rate Rider for the Disposition of Global Adjustment Sub-Account (2014) - effective until December 31, 2015</v>
      </c>
      <c r="C42" s="25"/>
      <c r="D42" s="63" t="s">
        <v>76</v>
      </c>
      <c r="E42" s="27"/>
      <c r="F42" s="28">
        <f>Rates!D69</f>
        <v>2.1899999999999999E-2</v>
      </c>
      <c r="G42" s="146">
        <f>$F$17</f>
        <v>150</v>
      </c>
      <c r="H42" s="30">
        <f t="shared" ref="H42:H46" si="6">G42*F42</f>
        <v>3.2849999999999997</v>
      </c>
      <c r="I42" s="51"/>
      <c r="J42" s="32">
        <f>Rates!F69</f>
        <v>0</v>
      </c>
      <c r="K42" s="146">
        <f>$F$17</f>
        <v>150</v>
      </c>
      <c r="L42" s="30">
        <f t="shared" ref="L42:L46" si="7">K42*J42</f>
        <v>0</v>
      </c>
      <c r="M42" s="52"/>
      <c r="N42" s="34">
        <f t="shared" ref="N42:N46" si="8">L42-H42</f>
        <v>-3.2849999999999997</v>
      </c>
      <c r="O42" s="35">
        <f t="shared" ref="O42:O46" si="9">IF((H42)=0,"",(N42/H42))</f>
        <v>-1</v>
      </c>
    </row>
    <row r="43" spans="2:15" ht="38.25" x14ac:dyDescent="0.25">
      <c r="B43" s="50" t="str">
        <f>Rates!A64</f>
        <v>Rate Rider for the Disposition of Deferral/Variance Accounts (2016) - effective until December 31, 2016</v>
      </c>
      <c r="C43" s="25"/>
      <c r="D43" s="26"/>
      <c r="E43" s="27"/>
      <c r="F43" s="28">
        <f>Rates!D64</f>
        <v>0</v>
      </c>
      <c r="G43" s="29">
        <f t="shared" si="4"/>
        <v>1</v>
      </c>
      <c r="H43" s="30">
        <f t="shared" si="6"/>
        <v>0</v>
      </c>
      <c r="I43" s="51"/>
      <c r="J43" s="32">
        <f>Rates!F64</f>
        <v>0</v>
      </c>
      <c r="K43" s="29">
        <f t="shared" si="5"/>
        <v>1</v>
      </c>
      <c r="L43" s="30">
        <f t="shared" si="7"/>
        <v>0</v>
      </c>
      <c r="M43" s="52"/>
      <c r="N43" s="34">
        <f t="shared" si="8"/>
        <v>0</v>
      </c>
      <c r="O43" s="35" t="str">
        <f t="shared" si="9"/>
        <v/>
      </c>
    </row>
    <row r="44" spans="2:15" ht="38.25" x14ac:dyDescent="0.25">
      <c r="B44" s="50" t="str">
        <f>Rates!A65</f>
        <v>Rate Rider for the Disposition of Global Adjustment Sub-Account (2016) - effective until December 31, 2016</v>
      </c>
      <c r="C44" s="25"/>
      <c r="D44" s="26"/>
      <c r="E44" s="27"/>
      <c r="F44" s="28">
        <f>Rates!D65</f>
        <v>0</v>
      </c>
      <c r="G44" s="29">
        <f t="shared" si="4"/>
        <v>1</v>
      </c>
      <c r="H44" s="30">
        <f t="shared" si="6"/>
        <v>0</v>
      </c>
      <c r="I44" s="51"/>
      <c r="J44" s="32">
        <f>Rates!F65</f>
        <v>0</v>
      </c>
      <c r="K44" s="29">
        <f t="shared" si="5"/>
        <v>1</v>
      </c>
      <c r="L44" s="30">
        <f t="shared" si="7"/>
        <v>0</v>
      </c>
      <c r="M44" s="52"/>
      <c r="N44" s="34">
        <f t="shared" si="8"/>
        <v>0</v>
      </c>
      <c r="O44" s="35" t="str">
        <f t="shared" si="9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4"/>
        <v>1</v>
      </c>
      <c r="H45" s="30">
        <f>G45*F45</f>
        <v>0</v>
      </c>
      <c r="I45" s="31"/>
      <c r="J45" s="32"/>
      <c r="K45" s="29">
        <f t="shared" si="5"/>
        <v>1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76</v>
      </c>
      <c r="E46" s="27"/>
      <c r="F46" s="147">
        <f>Rates!D91</f>
        <v>0.10214000000000001</v>
      </c>
      <c r="G46" s="55">
        <f>$F$17*(1+$F$63)-$F$17</f>
        <v>13.754999999999995</v>
      </c>
      <c r="H46" s="30">
        <f t="shared" si="6"/>
        <v>1.4049356999999996</v>
      </c>
      <c r="I46" s="31"/>
      <c r="J46" s="149">
        <f>Rates!F91</f>
        <v>0.10214000000000001</v>
      </c>
      <c r="K46" s="55">
        <f>$F$17*(1+$J$63)-$F$17</f>
        <v>13.754999999999995</v>
      </c>
      <c r="L46" s="30">
        <f t="shared" si="7"/>
        <v>1.4049356999999996</v>
      </c>
      <c r="M46" s="31"/>
      <c r="N46" s="34">
        <f t="shared" si="8"/>
        <v>0</v>
      </c>
      <c r="O46" s="35">
        <f t="shared" si="9"/>
        <v>0</v>
      </c>
    </row>
    <row r="47" spans="2:15" x14ac:dyDescent="0.25">
      <c r="B47" s="53" t="s">
        <v>31</v>
      </c>
      <c r="C47" s="25"/>
      <c r="D47" s="26" t="s">
        <v>75</v>
      </c>
      <c r="E47" s="27"/>
      <c r="F47" s="54"/>
      <c r="G47" s="29">
        <v>1</v>
      </c>
      <c r="H47" s="30">
        <f>G47*F47</f>
        <v>0</v>
      </c>
      <c r="I47" s="31"/>
      <c r="J47" s="54"/>
      <c r="K47" s="29">
        <v>1</v>
      </c>
      <c r="L47" s="30">
        <f>K47*J47</f>
        <v>0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30.179935700000001</v>
      </c>
      <c r="I48" s="44"/>
      <c r="J48" s="60"/>
      <c r="K48" s="62"/>
      <c r="L48" s="61">
        <f>SUM(L41:L47)+L40</f>
        <v>34.759935700000007</v>
      </c>
      <c r="M48" s="44"/>
      <c r="N48" s="47">
        <f t="shared" ref="N48:N60" si="10">L48-H48</f>
        <v>4.5800000000000054</v>
      </c>
      <c r="O48" s="48">
        <f t="shared" ref="O48:O60" si="11">IF((H48)=0,"",(N48/H48))</f>
        <v>0.15175645321205919</v>
      </c>
    </row>
    <row r="49" spans="2:19" x14ac:dyDescent="0.25">
      <c r="B49" s="31" t="s">
        <v>33</v>
      </c>
      <c r="C49" s="31"/>
      <c r="D49" s="63" t="s">
        <v>81</v>
      </c>
      <c r="E49" s="64"/>
      <c r="F49" s="32">
        <f>Rates!D72</f>
        <v>1.9898</v>
      </c>
      <c r="G49" s="65">
        <f>K17*(1+F63)</f>
        <v>1.0916999999999999</v>
      </c>
      <c r="H49" s="30">
        <f>G49*F49</f>
        <v>2.1722646599999997</v>
      </c>
      <c r="I49" s="31"/>
      <c r="J49" s="32">
        <f>Rates!F72</f>
        <v>1.9496</v>
      </c>
      <c r="K49" s="66">
        <f>K17*(1+J63)</f>
        <v>1.0916999999999999</v>
      </c>
      <c r="L49" s="30">
        <f>K49*J49</f>
        <v>2.1283783199999999</v>
      </c>
      <c r="M49" s="31"/>
      <c r="N49" s="34">
        <f t="shared" si="10"/>
        <v>-4.3886339999999802E-2</v>
      </c>
      <c r="O49" s="35">
        <f t="shared" si="11"/>
        <v>-2.0203035480952772E-2</v>
      </c>
    </row>
    <row r="50" spans="2:19" ht="30" x14ac:dyDescent="0.25">
      <c r="B50" s="67" t="s">
        <v>34</v>
      </c>
      <c r="C50" s="31"/>
      <c r="D50" s="63" t="s">
        <v>81</v>
      </c>
      <c r="E50" s="64"/>
      <c r="F50" s="32">
        <f>Rates!D73</f>
        <v>1.4332</v>
      </c>
      <c r="G50" s="65">
        <f>G49</f>
        <v>1.0916999999999999</v>
      </c>
      <c r="H50" s="30">
        <f>G50*F50</f>
        <v>1.5646244399999998</v>
      </c>
      <c r="I50" s="31"/>
      <c r="J50" s="32">
        <f>Rates!F73</f>
        <v>1.3767</v>
      </c>
      <c r="K50" s="66">
        <f>K49</f>
        <v>1.0916999999999999</v>
      </c>
      <c r="L50" s="30">
        <f>K50*J50</f>
        <v>1.50294339</v>
      </c>
      <c r="M50" s="31"/>
      <c r="N50" s="34">
        <f t="shared" si="10"/>
        <v>-6.1681049999999793E-2</v>
      </c>
      <c r="O50" s="35">
        <f t="shared" si="11"/>
        <v>-3.9422271839240734E-2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33.916824800000001</v>
      </c>
      <c r="I51" s="69"/>
      <c r="J51" s="70"/>
      <c r="K51" s="71"/>
      <c r="L51" s="61">
        <f>SUM(L48:L50)</f>
        <v>38.391257410000009</v>
      </c>
      <c r="M51" s="69"/>
      <c r="N51" s="47">
        <f t="shared" si="10"/>
        <v>4.474432610000008</v>
      </c>
      <c r="O51" s="48">
        <f t="shared" si="11"/>
        <v>0.13192368791550346</v>
      </c>
    </row>
    <row r="52" spans="2:19" ht="30" x14ac:dyDescent="0.25">
      <c r="B52" s="72" t="s">
        <v>36</v>
      </c>
      <c r="C52" s="25"/>
      <c r="D52" s="63" t="s">
        <v>76</v>
      </c>
      <c r="E52" s="27"/>
      <c r="F52" s="75">
        <f>Rates!D74</f>
        <v>4.4000000000000003E-3</v>
      </c>
      <c r="G52" s="65">
        <f>F17*(1+F63)</f>
        <v>163.755</v>
      </c>
      <c r="H52" s="74">
        <f t="shared" ref="H52:H56" si="12">G52*F52</f>
        <v>0.720522</v>
      </c>
      <c r="I52" s="31"/>
      <c r="J52" s="75">
        <f>Rates!F74</f>
        <v>4.4000000000000003E-3</v>
      </c>
      <c r="K52" s="66">
        <f>F17*(1+J63)</f>
        <v>163.755</v>
      </c>
      <c r="L52" s="74">
        <f t="shared" ref="L52:L56" si="13">K52*J52</f>
        <v>0.720522</v>
      </c>
      <c r="M52" s="31"/>
      <c r="N52" s="34">
        <f t="shared" si="10"/>
        <v>0</v>
      </c>
      <c r="O52" s="76">
        <f t="shared" si="11"/>
        <v>0</v>
      </c>
    </row>
    <row r="53" spans="2:19" ht="30" x14ac:dyDescent="0.25">
      <c r="B53" s="72" t="s">
        <v>37</v>
      </c>
      <c r="C53" s="25"/>
      <c r="D53" s="63" t="s">
        <v>76</v>
      </c>
      <c r="E53" s="27"/>
      <c r="F53" s="75">
        <f>Rates!D75</f>
        <v>1.2999999999999999E-3</v>
      </c>
      <c r="G53" s="65">
        <f>G52</f>
        <v>163.755</v>
      </c>
      <c r="H53" s="74">
        <f t="shared" si="12"/>
        <v>0.21288149999999997</v>
      </c>
      <c r="I53" s="31"/>
      <c r="J53" s="75">
        <f>Rates!F75</f>
        <v>1.2999999999999999E-3</v>
      </c>
      <c r="K53" s="66">
        <f>K52</f>
        <v>163.755</v>
      </c>
      <c r="L53" s="74">
        <f t="shared" si="13"/>
        <v>0.21288149999999997</v>
      </c>
      <c r="M53" s="31"/>
      <c r="N53" s="34">
        <f t="shared" si="10"/>
        <v>0</v>
      </c>
      <c r="O53" s="76">
        <f t="shared" si="11"/>
        <v>0</v>
      </c>
    </row>
    <row r="54" spans="2:19" x14ac:dyDescent="0.25">
      <c r="B54" s="25" t="s">
        <v>38</v>
      </c>
      <c r="C54" s="25"/>
      <c r="D54" s="26" t="s">
        <v>75</v>
      </c>
      <c r="E54" s="27"/>
      <c r="F54" s="73">
        <f>Rates!D76</f>
        <v>0.25</v>
      </c>
      <c r="G54" s="29">
        <v>1</v>
      </c>
      <c r="H54" s="74">
        <f t="shared" si="12"/>
        <v>0.25</v>
      </c>
      <c r="I54" s="31"/>
      <c r="J54" s="75">
        <f>Rates!F76</f>
        <v>0.25</v>
      </c>
      <c r="K54" s="33">
        <v>1</v>
      </c>
      <c r="L54" s="74">
        <f t="shared" si="13"/>
        <v>0.25</v>
      </c>
      <c r="M54" s="31"/>
      <c r="N54" s="34">
        <f t="shared" si="10"/>
        <v>0</v>
      </c>
      <c r="O54" s="76">
        <f t="shared" si="11"/>
        <v>0</v>
      </c>
    </row>
    <row r="55" spans="2:19" x14ac:dyDescent="0.25">
      <c r="B55" s="25" t="s">
        <v>39</v>
      </c>
      <c r="C55" s="25"/>
      <c r="D55" s="26" t="s">
        <v>76</v>
      </c>
      <c r="E55" s="27"/>
      <c r="F55" s="73">
        <f>Rates!D79</f>
        <v>0</v>
      </c>
      <c r="G55" s="77">
        <f>F17</f>
        <v>150</v>
      </c>
      <c r="H55" s="74">
        <f t="shared" si="12"/>
        <v>0</v>
      </c>
      <c r="I55" s="31"/>
      <c r="J55" s="75">
        <f>Rates!F79</f>
        <v>0</v>
      </c>
      <c r="K55" s="78">
        <f>F17</f>
        <v>150</v>
      </c>
      <c r="L55" s="74">
        <f t="shared" si="13"/>
        <v>0</v>
      </c>
      <c r="M55" s="31"/>
      <c r="N55" s="34">
        <f t="shared" si="10"/>
        <v>0</v>
      </c>
      <c r="O55" s="76" t="str">
        <f t="shared" si="11"/>
        <v/>
      </c>
    </row>
    <row r="56" spans="2:19" ht="15.75" thickBot="1" x14ac:dyDescent="0.3">
      <c r="B56" s="53" t="s">
        <v>84</v>
      </c>
      <c r="C56" s="25"/>
      <c r="D56" s="26" t="s">
        <v>76</v>
      </c>
      <c r="E56" s="27"/>
      <c r="F56" s="148">
        <f>Rates!D91</f>
        <v>0.10214000000000001</v>
      </c>
      <c r="G56" s="80">
        <f>$F$17</f>
        <v>150</v>
      </c>
      <c r="H56" s="74">
        <f t="shared" si="12"/>
        <v>15.321000000000002</v>
      </c>
      <c r="I56" s="31"/>
      <c r="J56" s="150">
        <f>Rates!F91</f>
        <v>0.10214000000000001</v>
      </c>
      <c r="K56" s="80">
        <f>F17</f>
        <v>150</v>
      </c>
      <c r="L56" s="74">
        <f t="shared" si="13"/>
        <v>15.321000000000002</v>
      </c>
      <c r="M56" s="31"/>
      <c r="N56" s="34">
        <f t="shared" si="10"/>
        <v>0</v>
      </c>
      <c r="O56" s="76">
        <f t="shared" si="11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93</v>
      </c>
      <c r="C58" s="25"/>
      <c r="D58" s="25"/>
      <c r="E58" s="25"/>
      <c r="F58" s="101"/>
      <c r="G58" s="102"/>
      <c r="H58" s="103">
        <f>SUM(H52:H56,H51)</f>
        <v>50.421228300000003</v>
      </c>
      <c r="I58" s="104"/>
      <c r="J58" s="105"/>
      <c r="K58" s="105"/>
      <c r="L58" s="143">
        <f>SUM(L52:L56,L51)</f>
        <v>54.895660910000011</v>
      </c>
      <c r="M58" s="106"/>
      <c r="N58" s="107">
        <f t="shared" ref="N58" si="14">L58-H58</f>
        <v>4.474432610000008</v>
      </c>
      <c r="O58" s="108">
        <f t="shared" ref="O58" si="15">IF((H58)=0,"",(N58/H58))</f>
        <v>8.8741047389359368E-2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6.5547596790000009</v>
      </c>
      <c r="I59" s="113"/>
      <c r="J59" s="114">
        <v>0.13</v>
      </c>
      <c r="K59" s="113"/>
      <c r="L59" s="115">
        <f>L58*J59</f>
        <v>7.1364359183000019</v>
      </c>
      <c r="M59" s="116"/>
      <c r="N59" s="117">
        <f t="shared" si="10"/>
        <v>0.58167623930000101</v>
      </c>
      <c r="O59" s="118">
        <f t="shared" si="11"/>
        <v>8.8741047389359354E-2</v>
      </c>
      <c r="S59" s="81"/>
    </row>
    <row r="60" spans="2:19" ht="15.75" thickBot="1" x14ac:dyDescent="0.3">
      <c r="B60" s="119" t="s">
        <v>50</v>
      </c>
      <c r="C60" s="25"/>
      <c r="D60" s="25"/>
      <c r="E60" s="25"/>
      <c r="F60" s="120"/>
      <c r="G60" s="111"/>
      <c r="H60" s="112">
        <f>H58+H59</f>
        <v>56.975987979000003</v>
      </c>
      <c r="I60" s="113"/>
      <c r="J60" s="113"/>
      <c r="K60" s="113"/>
      <c r="L60" s="115">
        <f>L58+L59</f>
        <v>62.032096828300013</v>
      </c>
      <c r="M60" s="116"/>
      <c r="N60" s="117">
        <f t="shared" si="10"/>
        <v>5.0561088493000099</v>
      </c>
      <c r="O60" s="118">
        <f t="shared" si="11"/>
        <v>8.8741047389359382E-2</v>
      </c>
      <c r="S60" s="81"/>
    </row>
    <row r="61" spans="2:19" s="89" customFormat="1" ht="15.75" thickBot="1" x14ac:dyDescent="0.25">
      <c r="B61" s="134"/>
      <c r="C61" s="135"/>
      <c r="D61" s="136"/>
      <c r="E61" s="135"/>
      <c r="F61" s="93"/>
      <c r="G61" s="137"/>
      <c r="H61" s="95"/>
      <c r="I61" s="138"/>
      <c r="J61" s="93"/>
      <c r="K61" s="139"/>
      <c r="L61" s="95"/>
      <c r="M61" s="138"/>
      <c r="N61" s="140"/>
      <c r="O61" s="99"/>
    </row>
    <row r="62" spans="2:19" x14ac:dyDescent="0.25">
      <c r="L62" s="81"/>
    </row>
    <row r="63" spans="2:19" x14ac:dyDescent="0.25">
      <c r="B63" s="16" t="s">
        <v>48</v>
      </c>
      <c r="F63" s="141">
        <f>Rates!D84</f>
        <v>9.1700000000000004E-2</v>
      </c>
      <c r="J63" s="141">
        <f>Rates!F84</f>
        <v>9.1700000000000004E-2</v>
      </c>
    </row>
    <row r="65" spans="1:2" x14ac:dyDescent="0.25">
      <c r="A65" s="142"/>
      <c r="B65" s="10" t="s">
        <v>49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9:E50 E41:E47 E22:E39 E61 E52:E57">
      <formula1>#REF!</formula1>
    </dataValidation>
    <dataValidation type="list" allowBlank="1" showInputMessage="1" showErrorMessage="1" prompt="Select Charge Unit - monthly, per kWh, per kW" sqref="D49:D50 D41:D47 D61 D22:D39 D52:D57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2"/>
  <sheetViews>
    <sheetView showGridLines="0" zoomScaleNormal="100" workbookViewId="0">
      <selection activeCell="B3" sqref="B3:I22"/>
    </sheetView>
  </sheetViews>
  <sheetFormatPr defaultRowHeight="15" x14ac:dyDescent="0.25"/>
  <cols>
    <col min="1" max="1" width="4.140625" customWidth="1"/>
    <col min="2" max="2" width="25.140625" customWidth="1"/>
    <col min="3" max="3" width="11.85546875" customWidth="1"/>
    <col min="4" max="4" width="11.140625" customWidth="1"/>
    <col min="5" max="5" width="2.140625" customWidth="1"/>
    <col min="6" max="6" width="13.7109375" bestFit="1" customWidth="1"/>
    <col min="7" max="7" width="15.140625" bestFit="1" customWidth="1"/>
    <col min="8" max="8" width="12.5703125" bestFit="1" customWidth="1"/>
    <col min="9" max="9" width="9.28515625" bestFit="1" customWidth="1"/>
  </cols>
  <sheetData>
    <row r="3" spans="2:9" x14ac:dyDescent="0.25">
      <c r="B3" s="222" t="s">
        <v>115</v>
      </c>
      <c r="C3" s="222"/>
      <c r="D3" s="222"/>
      <c r="E3" s="222"/>
      <c r="F3" s="222"/>
      <c r="G3" s="222"/>
      <c r="H3" s="222"/>
      <c r="I3" s="222"/>
    </row>
    <row r="4" spans="2:9" x14ac:dyDescent="0.25">
      <c r="B4" s="222"/>
      <c r="C4" s="222"/>
      <c r="D4" s="222"/>
      <c r="E4" s="222"/>
      <c r="F4" s="222"/>
      <c r="G4" s="222"/>
      <c r="H4" s="222"/>
      <c r="I4" s="222"/>
    </row>
    <row r="5" spans="2:9" ht="15.75" thickBot="1" x14ac:dyDescent="0.3">
      <c r="B5" s="223"/>
      <c r="C5" s="223"/>
      <c r="D5" s="223"/>
      <c r="E5" s="223"/>
      <c r="F5" s="223"/>
      <c r="G5" s="223"/>
      <c r="H5" s="223"/>
      <c r="I5" s="223"/>
    </row>
    <row r="6" spans="2:9" x14ac:dyDescent="0.25">
      <c r="B6" s="214" t="s">
        <v>106</v>
      </c>
      <c r="C6" s="172" t="s">
        <v>107</v>
      </c>
      <c r="D6" s="172" t="s">
        <v>108</v>
      </c>
      <c r="E6" s="173"/>
      <c r="F6" s="216" t="s">
        <v>109</v>
      </c>
      <c r="G6" s="216"/>
      <c r="H6" s="216"/>
      <c r="I6" s="217"/>
    </row>
    <row r="7" spans="2:9" x14ac:dyDescent="0.25">
      <c r="B7" s="215"/>
      <c r="C7" s="174" t="s">
        <v>110</v>
      </c>
      <c r="D7" s="174" t="s">
        <v>80</v>
      </c>
      <c r="E7" s="175"/>
      <c r="F7" s="218" t="s">
        <v>111</v>
      </c>
      <c r="G7" s="219" t="s">
        <v>112</v>
      </c>
      <c r="H7" s="220" t="s">
        <v>113</v>
      </c>
      <c r="I7" s="221"/>
    </row>
    <row r="8" spans="2:9" x14ac:dyDescent="0.25">
      <c r="B8" s="176"/>
      <c r="C8" s="177"/>
      <c r="D8" s="177"/>
      <c r="E8" s="178"/>
      <c r="F8" s="218"/>
      <c r="G8" s="219"/>
      <c r="H8" s="179" t="s">
        <v>56</v>
      </c>
      <c r="I8" s="180" t="s">
        <v>74</v>
      </c>
    </row>
    <row r="9" spans="2:9" x14ac:dyDescent="0.25">
      <c r="B9" s="181" t="s">
        <v>55</v>
      </c>
      <c r="C9" s="182">
        <f>'Residential - R1 RPP'!F18</f>
        <v>800</v>
      </c>
      <c r="D9" s="183"/>
      <c r="E9" s="175"/>
      <c r="F9" s="184">
        <f>'Residential - R1 RPP'!H49</f>
        <v>58.102654399999984</v>
      </c>
      <c r="G9" s="184">
        <f>'Residential - R1 RPP'!L49</f>
        <v>67.730646399999983</v>
      </c>
      <c r="H9" s="184">
        <f>G9-F9</f>
        <v>9.627991999999999</v>
      </c>
      <c r="I9" s="185">
        <f>IF(ISBLANK(F9),"",H9/F9)</f>
        <v>0.16570657742617695</v>
      </c>
    </row>
    <row r="10" spans="2:9" x14ac:dyDescent="0.25">
      <c r="B10" s="181" t="s">
        <v>118</v>
      </c>
      <c r="C10" s="182">
        <f>'Residential - R1 GS RPP'!F18</f>
        <v>2000</v>
      </c>
      <c r="D10" s="183"/>
      <c r="E10" s="175"/>
      <c r="F10" s="184">
        <f>'Residential - R1 GS RPP'!H49</f>
        <v>105.98663599999998</v>
      </c>
      <c r="G10" s="184">
        <f>'Residential - R1 GS RPP'!L49</f>
        <v>131.86161599999994</v>
      </c>
      <c r="H10" s="184">
        <f>G10-F10</f>
        <v>25.874979999999965</v>
      </c>
      <c r="I10" s="185">
        <f>IF(ISBLANK(F10),"",H10/F10)</f>
        <v>0.24413436426079199</v>
      </c>
    </row>
    <row r="11" spans="2:9" x14ac:dyDescent="0.25">
      <c r="B11" s="181" t="s">
        <v>64</v>
      </c>
      <c r="C11" s="182">
        <f>'Residential - R2'!F17</f>
        <v>90000</v>
      </c>
      <c r="D11" s="183">
        <f>'Residential - R2'!K17</f>
        <v>225</v>
      </c>
      <c r="E11" s="175"/>
      <c r="F11" s="184">
        <f>'Residential - R2'!H51</f>
        <v>3866.8101177499984</v>
      </c>
      <c r="G11" s="184">
        <f>'Residential - R2'!L51</f>
        <v>3104.4049259999983</v>
      </c>
      <c r="H11" s="184">
        <f t="shared" ref="H11:H13" si="0">G11-F11</f>
        <v>-762.40519175000009</v>
      </c>
      <c r="I11" s="185">
        <f t="shared" ref="I11:I13" si="1">IF(ISBLANK(F11),"",H11/F11)</f>
        <v>-0.19716644172681147</v>
      </c>
    </row>
    <row r="12" spans="2:9" x14ac:dyDescent="0.25">
      <c r="B12" s="181" t="s">
        <v>66</v>
      </c>
      <c r="C12" s="182">
        <f>'Seasonal RPP'!F18</f>
        <v>1000</v>
      </c>
      <c r="D12" s="182"/>
      <c r="E12" s="175"/>
      <c r="F12" s="184">
        <f>'Seasonal RPP'!H52</f>
        <v>239.72331799999998</v>
      </c>
      <c r="G12" s="184">
        <f>'Seasonal RPP'!L49</f>
        <v>235.69623799999997</v>
      </c>
      <c r="H12" s="184">
        <f t="shared" si="0"/>
        <v>-4.0270800000000122</v>
      </c>
      <c r="I12" s="185">
        <f t="shared" si="1"/>
        <v>-1.6798866433176986E-2</v>
      </c>
    </row>
    <row r="13" spans="2:9" x14ac:dyDescent="0.25">
      <c r="B13" s="181" t="s">
        <v>67</v>
      </c>
      <c r="C13" s="182">
        <f>'Street Lighting Non-RPP'!F17</f>
        <v>19056</v>
      </c>
      <c r="D13" s="182">
        <f>'Street Lighting Non-RPP'!K17</f>
        <v>62</v>
      </c>
      <c r="E13" s="175"/>
      <c r="F13" s="184">
        <f>'Street Lighting Non-RPP'!H51</f>
        <v>4356.1021555279995</v>
      </c>
      <c r="G13" s="184">
        <f>'Street Lighting Non-RPP'!L51</f>
        <v>4992.1109773480002</v>
      </c>
      <c r="H13" s="184">
        <f t="shared" si="0"/>
        <v>636.00882182000078</v>
      </c>
      <c r="I13" s="185">
        <f t="shared" si="1"/>
        <v>0.14600411081105849</v>
      </c>
    </row>
    <row r="14" spans="2:9" ht="15.75" thickBot="1" x14ac:dyDescent="0.3">
      <c r="B14" s="186"/>
      <c r="C14" s="187"/>
      <c r="D14" s="187"/>
      <c r="E14" s="175"/>
      <c r="F14" s="188"/>
      <c r="G14" s="188"/>
      <c r="H14" s="188"/>
      <c r="I14" s="189"/>
    </row>
    <row r="15" spans="2:9" x14ac:dyDescent="0.25">
      <c r="B15" s="214" t="s">
        <v>106</v>
      </c>
      <c r="C15" s="172" t="s">
        <v>107</v>
      </c>
      <c r="D15" s="172" t="s">
        <v>108</v>
      </c>
      <c r="E15" s="173"/>
      <c r="F15" s="216" t="s">
        <v>114</v>
      </c>
      <c r="G15" s="216"/>
      <c r="H15" s="216"/>
      <c r="I15" s="217"/>
    </row>
    <row r="16" spans="2:9" x14ac:dyDescent="0.25">
      <c r="B16" s="215"/>
      <c r="C16" s="174" t="s">
        <v>110</v>
      </c>
      <c r="D16" s="174" t="s">
        <v>80</v>
      </c>
      <c r="E16" s="175"/>
      <c r="F16" s="218" t="s">
        <v>111</v>
      </c>
      <c r="G16" s="219" t="s">
        <v>112</v>
      </c>
      <c r="H16" s="220" t="s">
        <v>113</v>
      </c>
      <c r="I16" s="221"/>
    </row>
    <row r="17" spans="2:9" x14ac:dyDescent="0.25">
      <c r="B17" s="176"/>
      <c r="C17" s="177"/>
      <c r="D17" s="177"/>
      <c r="E17" s="178"/>
      <c r="F17" s="218"/>
      <c r="G17" s="219"/>
      <c r="H17" s="179" t="s">
        <v>56</v>
      </c>
      <c r="I17" s="180" t="s">
        <v>74</v>
      </c>
    </row>
    <row r="18" spans="2:9" x14ac:dyDescent="0.25">
      <c r="B18" s="181" t="s">
        <v>55</v>
      </c>
      <c r="C18" s="182">
        <f>'Residential - R1 RPP'!F18</f>
        <v>800</v>
      </c>
      <c r="D18" s="183"/>
      <c r="E18" s="175"/>
      <c r="F18" s="184">
        <f>'Residential - R1 RPP'!H62</f>
        <v>163.89837123199999</v>
      </c>
      <c r="G18" s="184">
        <f>'Residential - R1 RPP'!L62</f>
        <v>174.77800219199997</v>
      </c>
      <c r="H18" s="184">
        <f>G18-F18</f>
        <v>10.879630959999986</v>
      </c>
      <c r="I18" s="185">
        <f>IF(ISBLANK(F18),"",H18/F18)</f>
        <v>6.6380348250073495E-2</v>
      </c>
    </row>
    <row r="19" spans="2:9" x14ac:dyDescent="0.25">
      <c r="B19" s="181" t="s">
        <v>118</v>
      </c>
      <c r="C19" s="182">
        <f>'Residential - R1 GS RPP'!F18</f>
        <v>2000</v>
      </c>
      <c r="D19" s="183"/>
      <c r="E19" s="175"/>
      <c r="F19" s="184">
        <f>'Residential - R1 GS RPP'!H62</f>
        <v>364.94707807999993</v>
      </c>
      <c r="G19" s="184">
        <f>'Residential - R1 GS RPP'!L62</f>
        <v>394.18580547999994</v>
      </c>
      <c r="H19" s="184">
        <f>G19-F19</f>
        <v>29.238727400000016</v>
      </c>
      <c r="I19" s="185">
        <f>IF(ISBLANK(F19),"",H19/F19)</f>
        <v>8.0117718858926185E-2</v>
      </c>
    </row>
    <row r="20" spans="2:9" x14ac:dyDescent="0.25">
      <c r="B20" s="181" t="s">
        <v>64</v>
      </c>
      <c r="C20" s="182">
        <f>'Residential - R2'!F17</f>
        <v>90000</v>
      </c>
      <c r="D20" s="183">
        <f>'Residential - R2'!K17</f>
        <v>225</v>
      </c>
      <c r="E20" s="175"/>
      <c r="F20" s="184">
        <f>'Residential - R2'!H60</f>
        <v>15390.263506057501</v>
      </c>
      <c r="G20" s="184">
        <f>'Residential - R2'!L60</f>
        <v>14528.74563938</v>
      </c>
      <c r="H20" s="184">
        <f t="shared" ref="H20:H22" si="2">G20-F20</f>
        <v>-861.51786667750093</v>
      </c>
      <c r="I20" s="185">
        <f t="shared" ref="I20:I22" si="3">IF(ISBLANK(F20),"",H20/F20)</f>
        <v>-5.5978110208341363E-2</v>
      </c>
    </row>
    <row r="21" spans="2:9" x14ac:dyDescent="0.25">
      <c r="B21" s="181" t="s">
        <v>66</v>
      </c>
      <c r="C21" s="182">
        <f>'Seasonal RPP'!F18</f>
        <v>1000</v>
      </c>
      <c r="D21" s="182"/>
      <c r="E21" s="175"/>
      <c r="F21" s="184">
        <f>'Seasonal RPP'!H67</f>
        <v>393.61968903999997</v>
      </c>
      <c r="G21" s="184">
        <f>'Seasonal RPP'!L67</f>
        <v>403.99590273999996</v>
      </c>
      <c r="H21" s="184">
        <f t="shared" si="2"/>
        <v>10.376213699999994</v>
      </c>
      <c r="I21" s="185">
        <f t="shared" si="3"/>
        <v>2.6361012898787069E-2</v>
      </c>
    </row>
    <row r="22" spans="2:9" ht="15.75" thickBot="1" x14ac:dyDescent="0.3">
      <c r="B22" s="190" t="s">
        <v>67</v>
      </c>
      <c r="C22" s="191">
        <f>'Street Lighting Non-RPP'!F17</f>
        <v>19056</v>
      </c>
      <c r="D22" s="192">
        <f>'Street Lighting Non-RPP'!K17</f>
        <v>62</v>
      </c>
      <c r="E22" s="193"/>
      <c r="F22" s="194">
        <f>'Street Lighting Non-RPP'!H60</f>
        <v>7256.0820810698406</v>
      </c>
      <c r="G22" s="194">
        <f>'Street Lighting Non-RPP'!L60</f>
        <v>7974.7720497264399</v>
      </c>
      <c r="H22" s="194">
        <f t="shared" si="2"/>
        <v>718.68996865659938</v>
      </c>
      <c r="I22" s="195">
        <f t="shared" si="3"/>
        <v>9.9046559924062402E-2</v>
      </c>
    </row>
  </sheetData>
  <mergeCells count="11">
    <mergeCell ref="B3:I5"/>
    <mergeCell ref="B6:B7"/>
    <mergeCell ref="F6:I6"/>
    <mergeCell ref="F7:F8"/>
    <mergeCell ref="G7:G8"/>
    <mergeCell ref="H7:I7"/>
    <mergeCell ref="B15:B16"/>
    <mergeCell ref="F15:I15"/>
    <mergeCell ref="F16:F17"/>
    <mergeCell ref="G16:G17"/>
    <mergeCell ref="H16:I16"/>
  </mergeCells>
  <pageMargins left="0.7" right="0.7" top="0.75" bottom="0.75" header="0.3" footer="0.3"/>
  <pageSetup scale="8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topLeftCell="A46" zoomScaleNormal="100" workbookViewId="0">
      <selection activeCell="F64" sqref="F64"/>
    </sheetView>
  </sheetViews>
  <sheetFormatPr defaultRowHeight="15" x14ac:dyDescent="0.25"/>
  <cols>
    <col min="1" max="1" width="91.85546875" style="155" bestFit="1" customWidth="1"/>
    <col min="2" max="2" width="6.7109375" style="154" customWidth="1"/>
    <col min="3" max="3" width="2.5703125" style="154" customWidth="1"/>
    <col min="4" max="4" width="11.28515625" style="155" bestFit="1" customWidth="1"/>
    <col min="5" max="5" width="2.5703125" style="155" customWidth="1"/>
    <col min="6" max="6" width="10.85546875" style="155" customWidth="1"/>
    <col min="7" max="7" width="6" style="154" customWidth="1"/>
    <col min="8" max="16384" width="9.140625" style="155"/>
  </cols>
  <sheetData>
    <row r="1" spans="1:6" ht="38.25" x14ac:dyDescent="0.25">
      <c r="A1" s="151" t="s">
        <v>52</v>
      </c>
      <c r="B1" s="152" t="s">
        <v>78</v>
      </c>
      <c r="C1" s="152"/>
      <c r="D1" s="153" t="s">
        <v>53</v>
      </c>
      <c r="E1" s="152"/>
      <c r="F1" s="153" t="s">
        <v>54</v>
      </c>
    </row>
    <row r="2" spans="1:6" x14ac:dyDescent="0.25">
      <c r="A2" s="151" t="s">
        <v>55</v>
      </c>
      <c r="C2" s="156"/>
      <c r="D2" s="154"/>
      <c r="E2" s="156"/>
      <c r="F2" s="154"/>
    </row>
    <row r="3" spans="1:6" x14ac:dyDescent="0.25">
      <c r="A3" s="160" t="s">
        <v>23</v>
      </c>
      <c r="B3" s="161" t="s">
        <v>56</v>
      </c>
      <c r="C3" s="161"/>
      <c r="D3" s="162">
        <v>23.34</v>
      </c>
      <c r="E3" s="163"/>
      <c r="F3" s="162">
        <v>27.52</v>
      </c>
    </row>
    <row r="4" spans="1:6" x14ac:dyDescent="0.25">
      <c r="A4" s="160" t="s">
        <v>117</v>
      </c>
      <c r="B4" s="161" t="s">
        <v>56</v>
      </c>
      <c r="C4" s="161"/>
      <c r="D4" s="162">
        <v>23.34</v>
      </c>
      <c r="E4" s="163"/>
      <c r="F4" s="162">
        <v>23.52</v>
      </c>
    </row>
    <row r="5" spans="1:6" x14ac:dyDescent="0.25">
      <c r="A5" s="160" t="s">
        <v>25</v>
      </c>
      <c r="B5" s="161" t="s">
        <v>57</v>
      </c>
      <c r="C5" s="161"/>
      <c r="D5" s="164">
        <v>3.2800000000000003E-2</v>
      </c>
      <c r="E5" s="163"/>
      <c r="F5" s="164">
        <v>2.86E-2</v>
      </c>
    </row>
    <row r="6" spans="1:6" x14ac:dyDescent="0.25">
      <c r="A6" s="160" t="s">
        <v>116</v>
      </c>
      <c r="B6" s="161" t="s">
        <v>57</v>
      </c>
      <c r="C6" s="161"/>
      <c r="D6" s="164">
        <v>3.2800000000000003E-2</v>
      </c>
      <c r="E6" s="163"/>
      <c r="F6" s="164">
        <v>3.3099999999999997E-2</v>
      </c>
    </row>
    <row r="7" spans="1:6" x14ac:dyDescent="0.25">
      <c r="A7" s="160" t="s">
        <v>98</v>
      </c>
      <c r="B7" s="161" t="s">
        <v>56</v>
      </c>
      <c r="C7" s="161"/>
      <c r="D7" s="162">
        <v>2.0499999999999998</v>
      </c>
      <c r="E7" s="163"/>
      <c r="F7" s="162">
        <v>0</v>
      </c>
    </row>
    <row r="8" spans="1:6" x14ac:dyDescent="0.25">
      <c r="A8" s="157" t="s">
        <v>100</v>
      </c>
      <c r="B8" s="161" t="s">
        <v>57</v>
      </c>
      <c r="C8" s="161"/>
      <c r="D8" s="164"/>
      <c r="E8" s="163"/>
      <c r="F8" s="164">
        <v>0</v>
      </c>
    </row>
    <row r="9" spans="1:6" x14ac:dyDescent="0.25">
      <c r="A9" s="157" t="s">
        <v>101</v>
      </c>
      <c r="B9" s="161" t="s">
        <v>57</v>
      </c>
      <c r="C9" s="161"/>
      <c r="D9" s="164"/>
      <c r="E9" s="163"/>
      <c r="F9" s="164">
        <v>0</v>
      </c>
    </row>
    <row r="10" spans="1:6" x14ac:dyDescent="0.25">
      <c r="A10" s="157"/>
      <c r="B10" s="161" t="s">
        <v>57</v>
      </c>
      <c r="C10" s="161"/>
      <c r="D10" s="164"/>
      <c r="E10" s="162"/>
      <c r="F10" s="164"/>
    </row>
    <row r="11" spans="1:6" x14ac:dyDescent="0.25">
      <c r="A11" s="157" t="s">
        <v>88</v>
      </c>
      <c r="B11" s="161" t="s">
        <v>57</v>
      </c>
      <c r="C11" s="161"/>
      <c r="D11" s="164">
        <v>-1.41E-2</v>
      </c>
      <c r="E11" s="162"/>
      <c r="F11" s="164"/>
    </row>
    <row r="12" spans="1:6" x14ac:dyDescent="0.25">
      <c r="A12" s="157" t="s">
        <v>90</v>
      </c>
      <c r="B12" s="161" t="s">
        <v>57</v>
      </c>
      <c r="C12" s="161"/>
      <c r="D12" s="164">
        <v>2.1899999999999999E-2</v>
      </c>
      <c r="E12" s="162"/>
      <c r="F12" s="164"/>
    </row>
    <row r="13" spans="1:6" x14ac:dyDescent="0.25">
      <c r="A13" s="157" t="s">
        <v>91</v>
      </c>
      <c r="B13" s="161" t="s">
        <v>57</v>
      </c>
      <c r="C13" s="161"/>
      <c r="D13" s="164">
        <v>2.0000000000000001E-4</v>
      </c>
      <c r="E13" s="162"/>
      <c r="F13" s="164"/>
    </row>
    <row r="14" spans="1:6" x14ac:dyDescent="0.25">
      <c r="A14" s="157" t="s">
        <v>92</v>
      </c>
      <c r="B14" s="161" t="s">
        <v>57</v>
      </c>
      <c r="C14" s="161"/>
      <c r="D14" s="164">
        <v>-1.9E-3</v>
      </c>
      <c r="E14" s="162"/>
      <c r="F14" s="164">
        <v>-1.9E-3</v>
      </c>
    </row>
    <row r="15" spans="1:6" x14ac:dyDescent="0.25">
      <c r="A15" s="160" t="s">
        <v>58</v>
      </c>
      <c r="B15" s="161" t="s">
        <v>57</v>
      </c>
      <c r="C15" s="161"/>
      <c r="D15" s="165">
        <v>7.1000000000000004E-3</v>
      </c>
      <c r="E15" s="166"/>
      <c r="F15" s="165">
        <v>7.0000000000000001E-3</v>
      </c>
    </row>
    <row r="16" spans="1:6" x14ac:dyDescent="0.25">
      <c r="A16" s="160" t="s">
        <v>59</v>
      </c>
      <c r="B16" s="161" t="s">
        <v>57</v>
      </c>
      <c r="C16" s="161"/>
      <c r="D16" s="165">
        <v>5.3E-3</v>
      </c>
      <c r="E16" s="167"/>
      <c r="F16" s="165">
        <v>5.1000000000000004E-3</v>
      </c>
    </row>
    <row r="17" spans="1:6" x14ac:dyDescent="0.25">
      <c r="A17" s="160" t="s">
        <v>60</v>
      </c>
      <c r="B17" s="161" t="s">
        <v>57</v>
      </c>
      <c r="C17" s="161"/>
      <c r="D17" s="164">
        <v>4.4000000000000003E-3</v>
      </c>
      <c r="E17" s="162"/>
      <c r="F17" s="164">
        <v>4.4000000000000003E-3</v>
      </c>
    </row>
    <row r="18" spans="1:6" x14ac:dyDescent="0.25">
      <c r="A18" s="160" t="s">
        <v>61</v>
      </c>
      <c r="B18" s="161" t="s">
        <v>57</v>
      </c>
      <c r="C18" s="161"/>
      <c r="D18" s="164">
        <v>1.2999999999999999E-3</v>
      </c>
      <c r="E18" s="164"/>
      <c r="F18" s="164">
        <v>1.2999999999999999E-3</v>
      </c>
    </row>
    <row r="19" spans="1:6" x14ac:dyDescent="0.25">
      <c r="A19" s="160" t="s">
        <v>62</v>
      </c>
      <c r="B19" s="161" t="s">
        <v>56</v>
      </c>
      <c r="C19" s="161"/>
      <c r="D19" s="162">
        <v>0.79</v>
      </c>
      <c r="E19" s="164"/>
      <c r="F19" s="162">
        <v>0.79</v>
      </c>
    </row>
    <row r="20" spans="1:6" x14ac:dyDescent="0.25">
      <c r="A20" s="157" t="s">
        <v>63</v>
      </c>
      <c r="B20" s="161" t="s">
        <v>56</v>
      </c>
      <c r="C20" s="161"/>
      <c r="D20" s="162">
        <v>0.25</v>
      </c>
      <c r="E20" s="162"/>
      <c r="F20" s="162">
        <v>0.25</v>
      </c>
    </row>
    <row r="21" spans="1:6" x14ac:dyDescent="0.25">
      <c r="B21" s="161"/>
      <c r="C21" s="161"/>
      <c r="D21" s="160"/>
      <c r="E21" s="160"/>
      <c r="F21" s="160"/>
    </row>
    <row r="22" spans="1:6" x14ac:dyDescent="0.25">
      <c r="A22" s="151" t="s">
        <v>64</v>
      </c>
      <c r="B22" s="161"/>
      <c r="C22" s="161"/>
      <c r="D22" s="160"/>
      <c r="E22" s="160"/>
      <c r="F22" s="160"/>
    </row>
    <row r="23" spans="1:6" x14ac:dyDescent="0.25">
      <c r="A23" s="160" t="s">
        <v>23</v>
      </c>
      <c r="B23" s="161" t="s">
        <v>56</v>
      </c>
      <c r="C23" s="161"/>
      <c r="D23" s="162">
        <v>600.83000000000004</v>
      </c>
      <c r="E23" s="163"/>
      <c r="F23" s="162">
        <v>605.58000000000004</v>
      </c>
    </row>
    <row r="24" spans="1:6" x14ac:dyDescent="0.25">
      <c r="A24" s="160" t="s">
        <v>25</v>
      </c>
      <c r="B24" s="161" t="s">
        <v>65</v>
      </c>
      <c r="C24" s="161"/>
      <c r="D24" s="164">
        <v>3.1131000000000002</v>
      </c>
      <c r="E24" s="163"/>
      <c r="F24" s="164">
        <v>3.1377000000000002</v>
      </c>
    </row>
    <row r="25" spans="1:6" x14ac:dyDescent="0.25">
      <c r="A25" s="157" t="s">
        <v>100</v>
      </c>
      <c r="B25" s="161" t="s">
        <v>65</v>
      </c>
      <c r="C25" s="161"/>
      <c r="D25" s="164">
        <v>0</v>
      </c>
      <c r="E25" s="163"/>
      <c r="F25" s="164">
        <v>0</v>
      </c>
    </row>
    <row r="26" spans="1:6" x14ac:dyDescent="0.25">
      <c r="A26" s="157" t="s">
        <v>101</v>
      </c>
      <c r="B26" s="161" t="s">
        <v>65</v>
      </c>
      <c r="C26" s="161"/>
      <c r="D26" s="164">
        <v>0</v>
      </c>
      <c r="E26" s="163"/>
      <c r="F26" s="164">
        <v>0</v>
      </c>
    </row>
    <row r="27" spans="1:6" x14ac:dyDescent="0.25">
      <c r="A27" s="160" t="s">
        <v>99</v>
      </c>
      <c r="B27" s="161" t="s">
        <v>65</v>
      </c>
      <c r="C27" s="161"/>
      <c r="D27" s="164">
        <v>3.5000000000000001E-3</v>
      </c>
      <c r="E27" s="163"/>
      <c r="F27" s="164">
        <v>0</v>
      </c>
    </row>
    <row r="28" spans="1:6" x14ac:dyDescent="0.25">
      <c r="A28" s="157"/>
      <c r="B28" s="161" t="s">
        <v>65</v>
      </c>
      <c r="C28" s="161"/>
      <c r="D28" s="164">
        <v>0</v>
      </c>
      <c r="E28" s="162"/>
      <c r="F28" s="164">
        <v>0</v>
      </c>
    </row>
    <row r="29" spans="1:6" x14ac:dyDescent="0.25">
      <c r="A29" s="157" t="s">
        <v>88</v>
      </c>
      <c r="B29" s="161" t="s">
        <v>65</v>
      </c>
      <c r="C29" s="161"/>
      <c r="D29" s="164">
        <v>-5.8936999999999999</v>
      </c>
      <c r="E29" s="162"/>
      <c r="F29" s="164">
        <v>0</v>
      </c>
    </row>
    <row r="30" spans="1:6" x14ac:dyDescent="0.25">
      <c r="A30" s="157" t="s">
        <v>90</v>
      </c>
      <c r="B30" s="161" t="s">
        <v>65</v>
      </c>
      <c r="C30" s="161"/>
      <c r="D30" s="164">
        <v>9.1750000000000007</v>
      </c>
      <c r="E30" s="162"/>
      <c r="F30" s="164">
        <v>0</v>
      </c>
    </row>
    <row r="31" spans="1:6" x14ac:dyDescent="0.25">
      <c r="A31" s="157" t="s">
        <v>91</v>
      </c>
      <c r="B31" s="161" t="s">
        <v>65</v>
      </c>
      <c r="C31" s="161"/>
      <c r="D31" s="164">
        <v>3.2000000000000002E-3</v>
      </c>
      <c r="E31" s="162"/>
      <c r="F31" s="164">
        <v>0</v>
      </c>
    </row>
    <row r="32" spans="1:6" x14ac:dyDescent="0.25">
      <c r="A32" s="157" t="s">
        <v>92</v>
      </c>
      <c r="B32" s="161" t="s">
        <v>65</v>
      </c>
      <c r="C32" s="161"/>
      <c r="D32" s="164">
        <v>-0.80100000000000005</v>
      </c>
      <c r="E32" s="162"/>
      <c r="F32" s="164">
        <v>-0.80100000000000005</v>
      </c>
    </row>
    <row r="33" spans="1:6" x14ac:dyDescent="0.25">
      <c r="A33" s="160" t="s">
        <v>58</v>
      </c>
      <c r="B33" s="161" t="s">
        <v>65</v>
      </c>
      <c r="C33" s="161"/>
      <c r="D33" s="165">
        <v>2.7479</v>
      </c>
      <c r="E33" s="166"/>
      <c r="F33" s="165">
        <v>2.6924000000000001</v>
      </c>
    </row>
    <row r="34" spans="1:6" x14ac:dyDescent="0.25">
      <c r="A34" s="160" t="s">
        <v>59</v>
      </c>
      <c r="B34" s="161" t="s">
        <v>65</v>
      </c>
      <c r="C34" s="161"/>
      <c r="D34" s="165">
        <v>1.9867999999999999</v>
      </c>
      <c r="E34" s="167"/>
      <c r="F34" s="165">
        <v>1.9084000000000001</v>
      </c>
    </row>
    <row r="35" spans="1:6" x14ac:dyDescent="0.25">
      <c r="A35" s="160" t="s">
        <v>60</v>
      </c>
      <c r="B35" s="161" t="s">
        <v>57</v>
      </c>
      <c r="C35" s="161"/>
      <c r="D35" s="164">
        <v>4.4000000000000003E-3</v>
      </c>
      <c r="E35" s="162"/>
      <c r="F35" s="164">
        <v>4.4000000000000003E-3</v>
      </c>
    </row>
    <row r="36" spans="1:6" x14ac:dyDescent="0.25">
      <c r="A36" s="160" t="s">
        <v>61</v>
      </c>
      <c r="B36" s="161" t="s">
        <v>57</v>
      </c>
      <c r="C36" s="161"/>
      <c r="D36" s="164">
        <v>1.2999999999999999E-3</v>
      </c>
      <c r="E36" s="164"/>
      <c r="F36" s="164">
        <v>1.2999999999999999E-3</v>
      </c>
    </row>
    <row r="37" spans="1:6" x14ac:dyDescent="0.25">
      <c r="A37" s="157" t="s">
        <v>63</v>
      </c>
      <c r="B37" s="161" t="s">
        <v>56</v>
      </c>
      <c r="C37" s="161"/>
      <c r="D37" s="162">
        <v>0.25</v>
      </c>
      <c r="E37" s="162"/>
      <c r="F37" s="162">
        <v>0.25</v>
      </c>
    </row>
    <row r="38" spans="1:6" x14ac:dyDescent="0.25">
      <c r="B38" s="161"/>
      <c r="C38" s="161"/>
      <c r="D38" s="160"/>
      <c r="E38" s="160"/>
      <c r="F38" s="160"/>
    </row>
    <row r="39" spans="1:6" x14ac:dyDescent="0.25">
      <c r="A39" s="151" t="s">
        <v>66</v>
      </c>
      <c r="B39" s="161"/>
      <c r="C39" s="161"/>
      <c r="D39" s="160"/>
      <c r="E39" s="160"/>
      <c r="F39" s="160"/>
    </row>
    <row r="40" spans="1:6" x14ac:dyDescent="0.25">
      <c r="A40" s="160" t="s">
        <v>23</v>
      </c>
      <c r="B40" s="161" t="s">
        <v>56</v>
      </c>
      <c r="C40" s="161"/>
      <c r="D40" s="162">
        <v>27.15</v>
      </c>
      <c r="E40" s="163"/>
      <c r="F40" s="162">
        <v>30.27</v>
      </c>
    </row>
    <row r="41" spans="1:6" x14ac:dyDescent="0.25">
      <c r="A41" s="160" t="s">
        <v>25</v>
      </c>
      <c r="B41" s="161" t="s">
        <v>57</v>
      </c>
      <c r="C41" s="161"/>
      <c r="D41" s="164">
        <v>0.1462</v>
      </c>
      <c r="E41" s="163"/>
      <c r="F41" s="164">
        <v>0.16289999999999999</v>
      </c>
    </row>
    <row r="42" spans="1:6" x14ac:dyDescent="0.25">
      <c r="A42" s="157" t="s">
        <v>100</v>
      </c>
      <c r="B42" s="161" t="s">
        <v>57</v>
      </c>
      <c r="C42" s="161"/>
      <c r="D42" s="164">
        <v>0</v>
      </c>
      <c r="E42" s="163"/>
      <c r="F42" s="164">
        <v>0</v>
      </c>
    </row>
    <row r="43" spans="1:6" x14ac:dyDescent="0.25">
      <c r="A43" s="157" t="s">
        <v>101</v>
      </c>
      <c r="B43" s="161" t="s">
        <v>57</v>
      </c>
      <c r="C43" s="161"/>
      <c r="D43" s="164">
        <v>0</v>
      </c>
      <c r="E43" s="163"/>
      <c r="F43" s="164">
        <v>0</v>
      </c>
    </row>
    <row r="44" spans="1:6" x14ac:dyDescent="0.25">
      <c r="A44" s="160" t="s">
        <v>99</v>
      </c>
      <c r="B44" s="161" t="s">
        <v>57</v>
      </c>
      <c r="C44" s="161"/>
      <c r="D44" s="164">
        <v>4.1000000000000003E-3</v>
      </c>
      <c r="E44" s="163"/>
      <c r="F44" s="164">
        <v>0</v>
      </c>
    </row>
    <row r="45" spans="1:6" x14ac:dyDescent="0.25">
      <c r="A45" s="157" t="s">
        <v>89</v>
      </c>
      <c r="B45" s="161" t="s">
        <v>57</v>
      </c>
      <c r="C45" s="161"/>
      <c r="D45" s="165">
        <v>3.0700000000000002E-2</v>
      </c>
      <c r="E45" s="160"/>
      <c r="F45" s="165">
        <v>3.0700000000000002E-2</v>
      </c>
    </row>
    <row r="46" spans="1:6" x14ac:dyDescent="0.25">
      <c r="A46" s="157" t="s">
        <v>77</v>
      </c>
      <c r="B46" s="161" t="s">
        <v>56</v>
      </c>
      <c r="C46" s="161"/>
      <c r="D46" s="162">
        <v>3.57</v>
      </c>
      <c r="E46" s="160"/>
      <c r="F46" s="162">
        <v>3.57</v>
      </c>
    </row>
    <row r="47" spans="1:6" x14ac:dyDescent="0.25">
      <c r="A47" s="157"/>
      <c r="B47" s="161" t="s">
        <v>56</v>
      </c>
      <c r="C47" s="161"/>
      <c r="D47" s="162">
        <v>0</v>
      </c>
      <c r="E47" s="160"/>
      <c r="F47" s="162">
        <v>0</v>
      </c>
    </row>
    <row r="48" spans="1:6" x14ac:dyDescent="0.25">
      <c r="A48" s="157" t="s">
        <v>98</v>
      </c>
      <c r="B48" s="161" t="s">
        <v>56</v>
      </c>
      <c r="C48" s="161"/>
      <c r="D48" s="162">
        <v>2.5099999999999998</v>
      </c>
      <c r="E48" s="160"/>
      <c r="F48" s="162">
        <v>0</v>
      </c>
    </row>
    <row r="49" spans="1:6" x14ac:dyDescent="0.25">
      <c r="A49" s="157"/>
      <c r="B49" s="161" t="s">
        <v>57</v>
      </c>
      <c r="C49" s="161"/>
      <c r="D49" s="164">
        <v>0</v>
      </c>
      <c r="E49" s="162"/>
      <c r="F49" s="164">
        <v>0</v>
      </c>
    </row>
    <row r="50" spans="1:6" x14ac:dyDescent="0.25">
      <c r="A50" s="157" t="s">
        <v>88</v>
      </c>
      <c r="B50" s="161" t="s">
        <v>57</v>
      </c>
      <c r="C50" s="161"/>
      <c r="D50" s="164">
        <v>-1.41E-2</v>
      </c>
      <c r="E50" s="162"/>
      <c r="F50" s="164"/>
    </row>
    <row r="51" spans="1:6" x14ac:dyDescent="0.25">
      <c r="A51" s="157" t="s">
        <v>90</v>
      </c>
      <c r="B51" s="161" t="s">
        <v>57</v>
      </c>
      <c r="C51" s="161"/>
      <c r="D51" s="164">
        <v>2.1899999999999999E-2</v>
      </c>
      <c r="E51" s="162"/>
      <c r="F51" s="164"/>
    </row>
    <row r="52" spans="1:6" x14ac:dyDescent="0.25">
      <c r="A52" s="157" t="s">
        <v>91</v>
      </c>
      <c r="B52" s="161" t="s">
        <v>57</v>
      </c>
      <c r="C52" s="161"/>
      <c r="D52" s="164">
        <v>0</v>
      </c>
      <c r="E52" s="162"/>
      <c r="F52" s="164">
        <v>0</v>
      </c>
    </row>
    <row r="53" spans="1:6" x14ac:dyDescent="0.25">
      <c r="A53" s="157" t="s">
        <v>92</v>
      </c>
      <c r="B53" s="161" t="s">
        <v>57</v>
      </c>
      <c r="C53" s="161"/>
      <c r="D53" s="164">
        <v>-1.9E-3</v>
      </c>
      <c r="E53" s="162"/>
      <c r="F53" s="164">
        <v>-1.9E-3</v>
      </c>
    </row>
    <row r="54" spans="1:6" x14ac:dyDescent="0.25">
      <c r="A54" s="160" t="s">
        <v>58</v>
      </c>
      <c r="B54" s="161" t="s">
        <v>57</v>
      </c>
      <c r="C54" s="161"/>
      <c r="D54" s="165">
        <v>7.1000000000000004E-3</v>
      </c>
      <c r="E54" s="166"/>
      <c r="F54" s="165">
        <v>7.0000000000000001E-3</v>
      </c>
    </row>
    <row r="55" spans="1:6" x14ac:dyDescent="0.25">
      <c r="A55" s="160" t="s">
        <v>59</v>
      </c>
      <c r="B55" s="161" t="s">
        <v>57</v>
      </c>
      <c r="C55" s="161"/>
      <c r="D55" s="165">
        <v>5.3E-3</v>
      </c>
      <c r="E55" s="167"/>
      <c r="F55" s="165">
        <v>5.1000000000000004E-3</v>
      </c>
    </row>
    <row r="56" spans="1:6" x14ac:dyDescent="0.25">
      <c r="A56" s="160" t="s">
        <v>60</v>
      </c>
      <c r="B56" s="161" t="s">
        <v>57</v>
      </c>
      <c r="C56" s="161"/>
      <c r="D56" s="164">
        <v>4.4000000000000003E-3</v>
      </c>
      <c r="E56" s="162"/>
      <c r="F56" s="164">
        <v>4.4000000000000003E-3</v>
      </c>
    </row>
    <row r="57" spans="1:6" x14ac:dyDescent="0.25">
      <c r="A57" s="160" t="s">
        <v>61</v>
      </c>
      <c r="B57" s="161" t="s">
        <v>57</v>
      </c>
      <c r="C57" s="161"/>
      <c r="D57" s="164">
        <v>1.2999999999999999E-3</v>
      </c>
      <c r="E57" s="164"/>
      <c r="F57" s="164">
        <v>1.2999999999999999E-3</v>
      </c>
    </row>
    <row r="58" spans="1:6" x14ac:dyDescent="0.25">
      <c r="A58" s="160" t="s">
        <v>62</v>
      </c>
      <c r="B58" s="161" t="s">
        <v>56</v>
      </c>
      <c r="C58" s="161"/>
      <c r="D58" s="162">
        <v>0.79</v>
      </c>
      <c r="E58" s="164"/>
      <c r="F58" s="162">
        <v>0.79</v>
      </c>
    </row>
    <row r="59" spans="1:6" x14ac:dyDescent="0.25">
      <c r="A59" s="157" t="s">
        <v>63</v>
      </c>
      <c r="B59" s="161" t="s">
        <v>56</v>
      </c>
      <c r="C59" s="161"/>
      <c r="D59" s="162">
        <v>0.25</v>
      </c>
      <c r="E59" s="162"/>
      <c r="F59" s="162">
        <v>0.25</v>
      </c>
    </row>
    <row r="60" spans="1:6" x14ac:dyDescent="0.25">
      <c r="B60" s="161"/>
      <c r="C60" s="161"/>
      <c r="D60" s="160"/>
      <c r="E60" s="160"/>
      <c r="F60" s="160"/>
    </row>
    <row r="61" spans="1:6" x14ac:dyDescent="0.25">
      <c r="A61" s="151" t="s">
        <v>67</v>
      </c>
      <c r="B61" s="161"/>
      <c r="C61" s="161"/>
      <c r="D61" s="161"/>
      <c r="E61" s="160"/>
      <c r="F61" s="161"/>
    </row>
    <row r="62" spans="1:6" x14ac:dyDescent="0.25">
      <c r="A62" s="160" t="s">
        <v>23</v>
      </c>
      <c r="B62" s="161" t="s">
        <v>56</v>
      </c>
      <c r="C62" s="161"/>
      <c r="D62" s="162">
        <v>1.1000000000000001</v>
      </c>
      <c r="E62" s="163"/>
      <c r="F62" s="162">
        <v>1.33</v>
      </c>
    </row>
    <row r="63" spans="1:6" x14ac:dyDescent="0.25">
      <c r="A63" s="160" t="s">
        <v>25</v>
      </c>
      <c r="B63" s="161" t="s">
        <v>57</v>
      </c>
      <c r="C63" s="161"/>
      <c r="D63" s="164">
        <v>0.1767</v>
      </c>
      <c r="E63" s="163"/>
      <c r="F63" s="164">
        <v>0.21540000000000001</v>
      </c>
    </row>
    <row r="64" spans="1:6" x14ac:dyDescent="0.25">
      <c r="A64" s="157" t="s">
        <v>100</v>
      </c>
      <c r="B64" s="161" t="s">
        <v>57</v>
      </c>
      <c r="C64" s="161"/>
      <c r="D64" s="164">
        <v>0</v>
      </c>
      <c r="E64" s="163"/>
      <c r="F64" s="164">
        <v>0</v>
      </c>
    </row>
    <row r="65" spans="1:6" x14ac:dyDescent="0.25">
      <c r="A65" s="157" t="s">
        <v>101</v>
      </c>
      <c r="B65" s="161" t="s">
        <v>57</v>
      </c>
      <c r="C65" s="161"/>
      <c r="D65" s="164">
        <v>0</v>
      </c>
      <c r="E65" s="163"/>
      <c r="F65" s="164">
        <v>0</v>
      </c>
    </row>
    <row r="66" spans="1:6" x14ac:dyDescent="0.25">
      <c r="A66" s="160" t="s">
        <v>99</v>
      </c>
      <c r="B66" s="161" t="s">
        <v>57</v>
      </c>
      <c r="C66" s="161"/>
      <c r="D66" s="164">
        <v>1.9E-3</v>
      </c>
      <c r="E66" s="163"/>
      <c r="F66" s="164">
        <v>0</v>
      </c>
    </row>
    <row r="67" spans="1:6" x14ac:dyDescent="0.25">
      <c r="A67" s="157"/>
      <c r="B67" s="161" t="s">
        <v>57</v>
      </c>
      <c r="C67" s="161"/>
      <c r="D67" s="164">
        <v>0</v>
      </c>
      <c r="E67" s="163"/>
      <c r="F67" s="164">
        <v>0</v>
      </c>
    </row>
    <row r="68" spans="1:6" x14ac:dyDescent="0.25">
      <c r="A68" s="157" t="s">
        <v>88</v>
      </c>
      <c r="B68" s="161" t="s">
        <v>57</v>
      </c>
      <c r="C68" s="161"/>
      <c r="D68" s="164">
        <v>-1.41E-2</v>
      </c>
      <c r="E68" s="163"/>
      <c r="F68" s="164">
        <v>0</v>
      </c>
    </row>
    <row r="69" spans="1:6" x14ac:dyDescent="0.25">
      <c r="A69" s="157" t="s">
        <v>90</v>
      </c>
      <c r="B69" s="161" t="s">
        <v>57</v>
      </c>
      <c r="C69" s="161"/>
      <c r="D69" s="164">
        <v>2.1899999999999999E-2</v>
      </c>
      <c r="E69" s="163"/>
      <c r="F69" s="164">
        <v>0</v>
      </c>
    </row>
    <row r="70" spans="1:6" x14ac:dyDescent="0.25">
      <c r="A70" s="157" t="s">
        <v>91</v>
      </c>
      <c r="B70" s="161" t="s">
        <v>57</v>
      </c>
      <c r="C70" s="161"/>
      <c r="D70" s="164">
        <v>0</v>
      </c>
      <c r="E70" s="163"/>
      <c r="F70" s="164">
        <v>0</v>
      </c>
    </row>
    <row r="71" spans="1:6" x14ac:dyDescent="0.25">
      <c r="A71" s="157" t="s">
        <v>92</v>
      </c>
      <c r="B71" s="161" t="s">
        <v>57</v>
      </c>
      <c r="C71" s="161"/>
      <c r="D71" s="164">
        <v>-1.9E-3</v>
      </c>
      <c r="E71" s="163"/>
      <c r="F71" s="164">
        <v>-1.9E-3</v>
      </c>
    </row>
    <row r="72" spans="1:6" x14ac:dyDescent="0.25">
      <c r="A72" s="160" t="s">
        <v>58</v>
      </c>
      <c r="B72" s="161" t="s">
        <v>65</v>
      </c>
      <c r="C72" s="161"/>
      <c r="D72" s="165">
        <v>1.9898</v>
      </c>
      <c r="E72" s="166"/>
      <c r="F72" s="165">
        <v>1.9496</v>
      </c>
    </row>
    <row r="73" spans="1:6" x14ac:dyDescent="0.25">
      <c r="A73" s="160" t="s">
        <v>59</v>
      </c>
      <c r="B73" s="161" t="s">
        <v>65</v>
      </c>
      <c r="C73" s="161"/>
      <c r="D73" s="165">
        <v>1.4332</v>
      </c>
      <c r="E73" s="167"/>
      <c r="F73" s="165">
        <v>1.3767</v>
      </c>
    </row>
    <row r="74" spans="1:6" x14ac:dyDescent="0.25">
      <c r="A74" s="160" t="s">
        <v>60</v>
      </c>
      <c r="B74" s="161" t="s">
        <v>57</v>
      </c>
      <c r="C74" s="161"/>
      <c r="D74" s="164">
        <v>4.4000000000000003E-3</v>
      </c>
      <c r="E74" s="162"/>
      <c r="F74" s="164">
        <v>4.4000000000000003E-3</v>
      </c>
    </row>
    <row r="75" spans="1:6" x14ac:dyDescent="0.25">
      <c r="A75" s="160" t="s">
        <v>61</v>
      </c>
      <c r="B75" s="161" t="s">
        <v>57</v>
      </c>
      <c r="C75" s="161"/>
      <c r="D75" s="164">
        <v>1.2999999999999999E-3</v>
      </c>
      <c r="E75" s="164"/>
      <c r="F75" s="164">
        <v>1.2999999999999999E-3</v>
      </c>
    </row>
    <row r="76" spans="1:6" x14ac:dyDescent="0.25">
      <c r="A76" s="157" t="s">
        <v>63</v>
      </c>
      <c r="B76" s="161" t="s">
        <v>56</v>
      </c>
      <c r="C76" s="161"/>
      <c r="D76" s="162">
        <v>0.25</v>
      </c>
      <c r="E76" s="162"/>
      <c r="F76" s="162">
        <v>0.25</v>
      </c>
    </row>
    <row r="77" spans="1:6" x14ac:dyDescent="0.25">
      <c r="B77" s="161"/>
      <c r="C77" s="161"/>
      <c r="D77" s="160"/>
      <c r="E77" s="160"/>
      <c r="F77" s="160"/>
    </row>
    <row r="78" spans="1:6" x14ac:dyDescent="0.25">
      <c r="A78" s="151" t="s">
        <v>68</v>
      </c>
      <c r="B78" s="161"/>
      <c r="C78" s="161"/>
      <c r="D78" s="160"/>
      <c r="E78" s="160"/>
      <c r="F78" s="160"/>
    </row>
    <row r="79" spans="1:6" x14ac:dyDescent="0.25">
      <c r="A79" s="155" t="s">
        <v>69</v>
      </c>
      <c r="B79" s="161" t="s">
        <v>57</v>
      </c>
      <c r="C79" s="161"/>
      <c r="D79" s="164">
        <v>0</v>
      </c>
      <c r="E79" s="160"/>
      <c r="F79" s="164">
        <v>0</v>
      </c>
    </row>
    <row r="80" spans="1:6" x14ac:dyDescent="0.25">
      <c r="A80" s="155" t="s">
        <v>70</v>
      </c>
      <c r="B80" s="161" t="s">
        <v>57</v>
      </c>
      <c r="C80" s="161"/>
      <c r="D80" s="164">
        <v>8.3000000000000004E-2</v>
      </c>
      <c r="E80" s="160"/>
      <c r="F80" s="164">
        <v>8.3000000000000004E-2</v>
      </c>
    </row>
    <row r="81" spans="1:6" x14ac:dyDescent="0.25">
      <c r="A81" s="155" t="s">
        <v>71</v>
      </c>
      <c r="B81" s="161" t="s">
        <v>57</v>
      </c>
      <c r="C81" s="161"/>
      <c r="D81" s="164">
        <v>9.7000000000000003E-2</v>
      </c>
      <c r="E81" s="160"/>
      <c r="F81" s="164">
        <v>9.7000000000000003E-2</v>
      </c>
    </row>
    <row r="82" spans="1:6" x14ac:dyDescent="0.25">
      <c r="B82" s="161"/>
      <c r="C82" s="161"/>
      <c r="D82" s="160"/>
      <c r="E82" s="160"/>
      <c r="F82" s="160"/>
    </row>
    <row r="83" spans="1:6" x14ac:dyDescent="0.25">
      <c r="A83" s="151" t="s">
        <v>72</v>
      </c>
      <c r="B83" s="161"/>
      <c r="C83" s="161"/>
      <c r="D83" s="160"/>
      <c r="E83" s="162"/>
      <c r="F83" s="160"/>
    </row>
    <row r="84" spans="1:6" x14ac:dyDescent="0.25">
      <c r="A84" s="155" t="s">
        <v>73</v>
      </c>
      <c r="B84" s="161" t="s">
        <v>74</v>
      </c>
      <c r="C84" s="161"/>
      <c r="D84" s="164">
        <v>9.1700000000000004E-2</v>
      </c>
      <c r="E84" s="160"/>
      <c r="F84" s="164">
        <v>9.1700000000000004E-2</v>
      </c>
    </row>
    <row r="85" spans="1:6" x14ac:dyDescent="0.25">
      <c r="B85" s="161"/>
      <c r="C85" s="161"/>
      <c r="D85" s="160"/>
      <c r="E85" s="160"/>
      <c r="F85" s="160"/>
    </row>
    <row r="86" spans="1:6" x14ac:dyDescent="0.25">
      <c r="A86" s="151" t="s">
        <v>10</v>
      </c>
      <c r="B86" s="161"/>
      <c r="C86" s="161"/>
      <c r="D86" s="160"/>
      <c r="E86" s="160"/>
      <c r="F86" s="160"/>
    </row>
    <row r="87" spans="1:6" x14ac:dyDescent="0.25">
      <c r="A87" s="155" t="s">
        <v>40</v>
      </c>
      <c r="B87" s="161" t="s">
        <v>57</v>
      </c>
      <c r="C87" s="161"/>
      <c r="D87" s="171">
        <v>0.08</v>
      </c>
      <c r="E87" s="160"/>
      <c r="F87" s="171">
        <v>0.08</v>
      </c>
    </row>
    <row r="88" spans="1:6" x14ac:dyDescent="0.25">
      <c r="A88" s="155" t="s">
        <v>41</v>
      </c>
      <c r="B88" s="161" t="s">
        <v>57</v>
      </c>
      <c r="C88" s="161"/>
      <c r="D88" s="171">
        <v>0.122</v>
      </c>
      <c r="E88" s="160"/>
      <c r="F88" s="171">
        <v>0.122</v>
      </c>
    </row>
    <row r="89" spans="1:6" x14ac:dyDescent="0.25">
      <c r="A89" s="155" t="s">
        <v>42</v>
      </c>
      <c r="B89" s="161" t="s">
        <v>57</v>
      </c>
      <c r="C89" s="161"/>
      <c r="D89" s="171">
        <v>0.161</v>
      </c>
      <c r="E89" s="160"/>
      <c r="F89" s="171">
        <v>0.161</v>
      </c>
    </row>
    <row r="90" spans="1:6" x14ac:dyDescent="0.25">
      <c r="B90" s="161"/>
      <c r="C90" s="161"/>
      <c r="D90" s="160"/>
      <c r="E90" s="160"/>
      <c r="F90" s="160"/>
    </row>
    <row r="91" spans="1:6" x14ac:dyDescent="0.25">
      <c r="A91" s="155" t="s">
        <v>82</v>
      </c>
      <c r="B91" s="161" t="s">
        <v>57</v>
      </c>
      <c r="C91" s="161"/>
      <c r="D91" s="171">
        <f>(D87*0.64)+(D88*0.18)+(D89*0.18)</f>
        <v>0.10214000000000001</v>
      </c>
      <c r="E91" s="160"/>
      <c r="F91" s="171">
        <f>(F87*0.64)+(F88*0.18)+(F89*0.18)</f>
        <v>0.10214000000000001</v>
      </c>
    </row>
    <row r="92" spans="1:6" x14ac:dyDescent="0.25">
      <c r="A92" s="155" t="s">
        <v>83</v>
      </c>
      <c r="B92" s="161" t="s">
        <v>57</v>
      </c>
      <c r="C92" s="161"/>
      <c r="D92" s="171">
        <f>D91</f>
        <v>0.10214000000000001</v>
      </c>
      <c r="E92" s="160"/>
      <c r="F92" s="171">
        <f>F91</f>
        <v>0.10214000000000001</v>
      </c>
    </row>
    <row r="93" spans="1:6" x14ac:dyDescent="0.25">
      <c r="B93" s="161"/>
      <c r="C93" s="161"/>
      <c r="D93" s="160"/>
      <c r="E93" s="160"/>
      <c r="F93" s="160"/>
    </row>
    <row r="94" spans="1:6" x14ac:dyDescent="0.25">
      <c r="B94" s="168"/>
      <c r="C94" s="168"/>
      <c r="D94" s="159"/>
      <c r="E94" s="159"/>
      <c r="F94" s="159"/>
    </row>
    <row r="95" spans="1:6" x14ac:dyDescent="0.25">
      <c r="B95" s="168"/>
      <c r="C95" s="168"/>
      <c r="D95" s="159"/>
      <c r="E95" s="159"/>
      <c r="F95" s="159"/>
    </row>
    <row r="96" spans="1:6" x14ac:dyDescent="0.25">
      <c r="B96" s="168"/>
      <c r="C96" s="168"/>
      <c r="D96" s="159"/>
      <c r="E96" s="159"/>
      <c r="F96" s="159"/>
    </row>
  </sheetData>
  <pageMargins left="0.7" right="0.7" top="0.75" bottom="0.75" header="0.3" footer="0.3"/>
  <pageSetup scale="73" fitToHeight="0" orientation="portrait" r:id="rId1"/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66"/>
  <sheetViews>
    <sheetView showGridLines="0" topLeftCell="A14" zoomScaleNormal="100" workbookViewId="0">
      <selection activeCell="F19" sqref="F19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0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0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00" t="s">
        <v>6</v>
      </c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/>
    </row>
    <row r="11" spans="1:20" ht="18.75" customHeight="1" x14ac:dyDescent="0.25">
      <c r="B11" s="200" t="s">
        <v>7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01" t="s">
        <v>94</v>
      </c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800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02" t="s">
        <v>13</v>
      </c>
      <c r="G20" s="203"/>
      <c r="H20" s="204"/>
      <c r="J20" s="202" t="s">
        <v>14</v>
      </c>
      <c r="K20" s="203"/>
      <c r="L20" s="204"/>
      <c r="N20" s="202" t="s">
        <v>15</v>
      </c>
      <c r="O20" s="204"/>
    </row>
    <row r="21" spans="2:15" x14ac:dyDescent="0.25">
      <c r="B21" s="15"/>
      <c r="D21" s="205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07" t="s">
        <v>20</v>
      </c>
      <c r="O21" s="209" t="s">
        <v>21</v>
      </c>
    </row>
    <row r="22" spans="2:15" x14ac:dyDescent="0.25">
      <c r="B22" s="15"/>
      <c r="D22" s="206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08"/>
      <c r="O22" s="210"/>
    </row>
    <row r="23" spans="2:15" x14ac:dyDescent="0.25">
      <c r="B23" s="25" t="s">
        <v>23</v>
      </c>
      <c r="C23" s="25"/>
      <c r="D23" s="26" t="s">
        <v>75</v>
      </c>
      <c r="E23" s="27"/>
      <c r="F23" s="28">
        <f>Rates!D3</f>
        <v>23.34</v>
      </c>
      <c r="G23" s="29">
        <v>1</v>
      </c>
      <c r="H23" s="30">
        <f>G23*F23</f>
        <v>23.34</v>
      </c>
      <c r="I23" s="31"/>
      <c r="J23" s="32">
        <f>Rates!F3</f>
        <v>27.52</v>
      </c>
      <c r="K23" s="33">
        <v>1</v>
      </c>
      <c r="L23" s="30">
        <f>K23*J23</f>
        <v>27.52</v>
      </c>
      <c r="M23" s="31"/>
      <c r="N23" s="34">
        <f>L23-H23</f>
        <v>4.18</v>
      </c>
      <c r="O23" s="35">
        <f>IF((H23)=0,"",(N23/H23))</f>
        <v>0.17909168808911738</v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ref="H24:H37" si="0">G24*F24</f>
        <v>0</v>
      </c>
      <c r="I24" s="31"/>
      <c r="J24" s="32"/>
      <c r="K24" s="33">
        <v>1</v>
      </c>
      <c r="L24" s="30">
        <f t="shared" ref="L24:L37" si="1">K24*J24</f>
        <v>0</v>
      </c>
      <c r="M24" s="31"/>
      <c r="N24" s="34">
        <f t="shared" ref="N24:N38" si="2">L24-H24</f>
        <v>0</v>
      </c>
      <c r="O24" s="35" t="str">
        <f t="shared" ref="O24:O38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25" t="s">
        <v>25</v>
      </c>
      <c r="C27" s="25"/>
      <c r="D27" s="26" t="s">
        <v>76</v>
      </c>
      <c r="E27" s="27"/>
      <c r="F27" s="28">
        <f>Rates!D5</f>
        <v>3.2800000000000003E-2</v>
      </c>
      <c r="G27" s="29">
        <f>$F$18</f>
        <v>800</v>
      </c>
      <c r="H27" s="30">
        <f t="shared" si="0"/>
        <v>26.240000000000002</v>
      </c>
      <c r="I27" s="31"/>
      <c r="J27" s="32">
        <f>Rates!F5</f>
        <v>2.86E-2</v>
      </c>
      <c r="K27" s="29">
        <f>$F$18</f>
        <v>800</v>
      </c>
      <c r="L27" s="30">
        <f t="shared" si="1"/>
        <v>22.88</v>
      </c>
      <c r="M27" s="31"/>
      <c r="N27" s="34">
        <f t="shared" si="2"/>
        <v>-3.360000000000003</v>
      </c>
      <c r="O27" s="35">
        <f t="shared" si="3"/>
        <v>-0.12804878048780499</v>
      </c>
    </row>
    <row r="28" spans="2:15" x14ac:dyDescent="0.25">
      <c r="B28" s="25" t="s">
        <v>26</v>
      </c>
      <c r="C28" s="25"/>
      <c r="D28" s="26" t="s">
        <v>75</v>
      </c>
      <c r="E28" s="27"/>
      <c r="F28" s="28">
        <f>Rates!D7</f>
        <v>2.0499999999999998</v>
      </c>
      <c r="G28" s="29">
        <v>1</v>
      </c>
      <c r="H28" s="30">
        <f t="shared" si="0"/>
        <v>2.0499999999999998</v>
      </c>
      <c r="I28" s="31"/>
      <c r="J28" s="32"/>
      <c r="K28" s="29">
        <f t="shared" ref="K28:K37" si="4">$F$18</f>
        <v>800</v>
      </c>
      <c r="L28" s="30">
        <f t="shared" si="1"/>
        <v>0</v>
      </c>
      <c r="M28" s="31"/>
      <c r="N28" s="34">
        <f t="shared" si="2"/>
        <v>-2.0499999999999998</v>
      </c>
      <c r="O28" s="35">
        <f t="shared" si="3"/>
        <v>-1</v>
      </c>
    </row>
    <row r="29" spans="2:15" ht="45" x14ac:dyDescent="0.25">
      <c r="B29" s="72" t="str">
        <f>Rates!A13</f>
        <v>Rate Rider for the Recovery of Lost Revenue Adjustment (LRAM) - effective until December 31, 2015</v>
      </c>
      <c r="C29" s="25"/>
      <c r="D29" s="63" t="s">
        <v>76</v>
      </c>
      <c r="E29" s="27"/>
      <c r="F29" s="32">
        <f>Rates!D13</f>
        <v>2.0000000000000001E-4</v>
      </c>
      <c r="G29" s="29">
        <f>$F$18</f>
        <v>800</v>
      </c>
      <c r="H29" s="30">
        <f t="shared" si="0"/>
        <v>0.16</v>
      </c>
      <c r="I29" s="31"/>
      <c r="J29" s="32">
        <f>Rates!F13</f>
        <v>0</v>
      </c>
      <c r="K29" s="29">
        <f t="shared" si="4"/>
        <v>800</v>
      </c>
      <c r="L29" s="30">
        <f t="shared" si="1"/>
        <v>0</v>
      </c>
      <c r="M29" s="31"/>
      <c r="N29" s="34">
        <f t="shared" si="2"/>
        <v>-0.16</v>
      </c>
      <c r="O29" s="35">
        <f t="shared" si="3"/>
        <v>-1</v>
      </c>
    </row>
    <row r="30" spans="2:15" x14ac:dyDescent="0.25">
      <c r="B30" s="144"/>
      <c r="C30" s="25"/>
      <c r="D30" s="63"/>
      <c r="E30" s="27"/>
      <c r="F30" s="32"/>
      <c r="G30" s="29">
        <f t="shared" ref="G30:G37" si="5">$F$18</f>
        <v>800</v>
      </c>
      <c r="H30" s="30">
        <f t="shared" si="0"/>
        <v>0</v>
      </c>
      <c r="I30" s="31"/>
      <c r="J30" s="32"/>
      <c r="K30" s="29">
        <f t="shared" si="4"/>
        <v>800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144"/>
      <c r="C31" s="25"/>
      <c r="D31" s="63"/>
      <c r="E31" s="27"/>
      <c r="F31" s="32"/>
      <c r="G31" s="29">
        <f t="shared" si="5"/>
        <v>800</v>
      </c>
      <c r="H31" s="30">
        <f t="shared" si="0"/>
        <v>0</v>
      </c>
      <c r="I31" s="31"/>
      <c r="J31" s="32"/>
      <c r="K31" s="29">
        <f t="shared" si="4"/>
        <v>800</v>
      </c>
      <c r="L31" s="30">
        <f t="shared" si="1"/>
        <v>0</v>
      </c>
      <c r="M31" s="31"/>
      <c r="N31" s="34">
        <f t="shared" ref="N31" si="6">L31-H31</f>
        <v>0</v>
      </c>
      <c r="O31" s="35" t="str">
        <f t="shared" ref="O31" si="7">IF((H31)=0,"",(N31/H31))</f>
        <v/>
      </c>
    </row>
    <row r="32" spans="2:15" x14ac:dyDescent="0.25">
      <c r="B32" s="144"/>
      <c r="C32" s="25"/>
      <c r="D32" s="63"/>
      <c r="E32" s="27"/>
      <c r="F32" s="32"/>
      <c r="G32" s="29">
        <f t="shared" si="5"/>
        <v>800</v>
      </c>
      <c r="H32" s="30">
        <f t="shared" si="0"/>
        <v>0</v>
      </c>
      <c r="I32" s="31"/>
      <c r="J32" s="32"/>
      <c r="K32" s="29">
        <f t="shared" si="4"/>
        <v>800</v>
      </c>
      <c r="L32" s="30">
        <f t="shared" si="1"/>
        <v>0</v>
      </c>
      <c r="M32" s="31"/>
      <c r="N32" s="34">
        <f t="shared" si="2"/>
        <v>0</v>
      </c>
      <c r="O32" s="35" t="str">
        <f t="shared" si="3"/>
        <v/>
      </c>
    </row>
    <row r="33" spans="2:15" ht="45" x14ac:dyDescent="0.25">
      <c r="B33" s="144" t="str">
        <f>Rates!A14</f>
        <v>Rate Rider for the Disposition of Account 1575 &amp; 1576 - effective until December 31, 2019</v>
      </c>
      <c r="C33" s="25"/>
      <c r="D33" s="63" t="s">
        <v>76</v>
      </c>
      <c r="E33" s="27"/>
      <c r="F33" s="32">
        <f>Rates!D14</f>
        <v>-1.9E-3</v>
      </c>
      <c r="G33" s="29">
        <f t="shared" si="5"/>
        <v>800</v>
      </c>
      <c r="H33" s="30">
        <f t="shared" si="0"/>
        <v>-1.52</v>
      </c>
      <c r="I33" s="31"/>
      <c r="J33" s="32">
        <f>Rates!F14</f>
        <v>-1.9E-3</v>
      </c>
      <c r="K33" s="29">
        <f t="shared" si="4"/>
        <v>800</v>
      </c>
      <c r="L33" s="30">
        <f t="shared" si="1"/>
        <v>-1.52</v>
      </c>
      <c r="M33" s="31"/>
      <c r="N33" s="34">
        <f t="shared" si="2"/>
        <v>0</v>
      </c>
      <c r="O33" s="35">
        <f t="shared" si="3"/>
        <v>0</v>
      </c>
    </row>
    <row r="34" spans="2:15" x14ac:dyDescent="0.25">
      <c r="B34" s="37"/>
      <c r="C34" s="25"/>
      <c r="D34" s="26"/>
      <c r="E34" s="27"/>
      <c r="F34" s="28"/>
      <c r="G34" s="29">
        <f t="shared" si="5"/>
        <v>800</v>
      </c>
      <c r="H34" s="30">
        <f t="shared" si="0"/>
        <v>0</v>
      </c>
      <c r="I34" s="31"/>
      <c r="J34" s="32"/>
      <c r="K34" s="29">
        <f t="shared" si="4"/>
        <v>800</v>
      </c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5"/>
        <v>800</v>
      </c>
      <c r="H35" s="30">
        <f t="shared" si="0"/>
        <v>0</v>
      </c>
      <c r="I35" s="31"/>
      <c r="J35" s="32"/>
      <c r="K35" s="29">
        <f t="shared" si="4"/>
        <v>800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5"/>
        <v>800</v>
      </c>
      <c r="H36" s="30">
        <f t="shared" si="0"/>
        <v>0</v>
      </c>
      <c r="I36" s="31"/>
      <c r="J36" s="32"/>
      <c r="K36" s="29">
        <f t="shared" si="4"/>
        <v>800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5"/>
        <v>800</v>
      </c>
      <c r="H37" s="30">
        <f t="shared" si="0"/>
        <v>0</v>
      </c>
      <c r="I37" s="31"/>
      <c r="J37" s="32"/>
      <c r="K37" s="29">
        <f t="shared" si="4"/>
        <v>800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s="49" customFormat="1" x14ac:dyDescent="0.25">
      <c r="B38" s="38" t="s">
        <v>28</v>
      </c>
      <c r="C38" s="39"/>
      <c r="D38" s="40"/>
      <c r="E38" s="39"/>
      <c r="F38" s="41"/>
      <c r="G38" s="42"/>
      <c r="H38" s="43">
        <f>SUM(H23:H37)</f>
        <v>50.269999999999989</v>
      </c>
      <c r="I38" s="44"/>
      <c r="J38" s="45"/>
      <c r="K38" s="46"/>
      <c r="L38" s="43">
        <f>SUM(L23:L37)</f>
        <v>48.879999999999995</v>
      </c>
      <c r="M38" s="44"/>
      <c r="N38" s="47">
        <f t="shared" si="2"/>
        <v>-1.3899999999999935</v>
      </c>
      <c r="O38" s="48">
        <f t="shared" si="3"/>
        <v>-2.7650686294012211E-2</v>
      </c>
    </row>
    <row r="39" spans="2:15" ht="38.25" x14ac:dyDescent="0.25">
      <c r="B39" s="50" t="str">
        <f>Rates!A11</f>
        <v>Rate Rider for the Disposition of Deferral/Variance Accounts (2014) - effective until December 31, 2015</v>
      </c>
      <c r="C39" s="25"/>
      <c r="D39" s="63" t="s">
        <v>76</v>
      </c>
      <c r="E39" s="27"/>
      <c r="F39" s="32">
        <f>Rates!D11</f>
        <v>-1.41E-2</v>
      </c>
      <c r="G39" s="29">
        <f>$F$18</f>
        <v>800</v>
      </c>
      <c r="H39" s="30">
        <f>G39*F39</f>
        <v>-11.28</v>
      </c>
      <c r="I39" s="31"/>
      <c r="J39" s="32">
        <f>Rates!F11</f>
        <v>0</v>
      </c>
      <c r="K39" s="29">
        <f>$F$18</f>
        <v>800</v>
      </c>
      <c r="L39" s="30">
        <f>K39*J39</f>
        <v>0</v>
      </c>
      <c r="M39" s="31"/>
      <c r="N39" s="34">
        <f>L39-H39</f>
        <v>11.28</v>
      </c>
      <c r="O39" s="35">
        <f>IF((H39)=0,"",(N39/H39))</f>
        <v>-1</v>
      </c>
    </row>
    <row r="40" spans="2:15" ht="38.25" x14ac:dyDescent="0.25">
      <c r="B40" s="50" t="str">
        <f>Rates!A12</f>
        <v>Rate Rider for the Disposition of Global Adjustment Sub-Account (2014) - effective until December 31, 2015</v>
      </c>
      <c r="C40" s="25"/>
      <c r="D40" s="63" t="s">
        <v>76</v>
      </c>
      <c r="E40" s="27"/>
      <c r="F40" s="32">
        <f>Rates!D12</f>
        <v>2.1899999999999999E-2</v>
      </c>
      <c r="G40" s="29">
        <v>0</v>
      </c>
      <c r="H40" s="30">
        <f t="shared" ref="H40:H44" si="8">G40*F40</f>
        <v>0</v>
      </c>
      <c r="I40" s="51"/>
      <c r="J40" s="32">
        <v>0</v>
      </c>
      <c r="K40" s="29">
        <v>0</v>
      </c>
      <c r="L40" s="30">
        <f t="shared" ref="L40:L44" si="9">K40*J40</f>
        <v>0</v>
      </c>
      <c r="M40" s="52"/>
      <c r="N40" s="34">
        <f t="shared" ref="N40:N44" si="10">L40-H40</f>
        <v>0</v>
      </c>
      <c r="O40" s="35" t="str">
        <f t="shared" ref="O40:O44" si="11">IF((H40)=0,"",(N40/H40))</f>
        <v/>
      </c>
    </row>
    <row r="41" spans="2:15" ht="38.25" x14ac:dyDescent="0.25">
      <c r="B41" s="50" t="str">
        <f>Rates!A8</f>
        <v>Rate Rider for the Disposition of Deferral/Variance Accounts (2016) - effective until December 31, 2016</v>
      </c>
      <c r="C41" s="25"/>
      <c r="D41" s="26" t="s">
        <v>76</v>
      </c>
      <c r="E41" s="27"/>
      <c r="F41" s="28"/>
      <c r="G41" s="29">
        <f t="shared" ref="G41:G43" si="12">$F$18</f>
        <v>800</v>
      </c>
      <c r="H41" s="30">
        <f t="shared" si="8"/>
        <v>0</v>
      </c>
      <c r="I41" s="51"/>
      <c r="J41" s="32">
        <f>Rates!F8</f>
        <v>0</v>
      </c>
      <c r="K41" s="29">
        <f t="shared" ref="K41:K43" si="13">$F$18</f>
        <v>800</v>
      </c>
      <c r="L41" s="30">
        <f t="shared" si="9"/>
        <v>0</v>
      </c>
      <c r="M41" s="52"/>
      <c r="N41" s="34">
        <f t="shared" si="10"/>
        <v>0</v>
      </c>
      <c r="O41" s="35" t="str">
        <f t="shared" si="11"/>
        <v/>
      </c>
    </row>
    <row r="42" spans="2:15" ht="38.25" x14ac:dyDescent="0.25">
      <c r="B42" s="50" t="str">
        <f>Rates!A9</f>
        <v>Rate Rider for the Disposition of Global Adjustment Sub-Account (2016) - effective until December 31, 2016</v>
      </c>
      <c r="C42" s="25"/>
      <c r="D42" s="26" t="s">
        <v>76</v>
      </c>
      <c r="E42" s="27"/>
      <c r="F42" s="28"/>
      <c r="G42" s="29"/>
      <c r="H42" s="30">
        <f t="shared" si="8"/>
        <v>0</v>
      </c>
      <c r="I42" s="51"/>
      <c r="J42" s="32">
        <f>Rates!F9</f>
        <v>0</v>
      </c>
      <c r="K42" s="29"/>
      <c r="L42" s="30">
        <f t="shared" si="9"/>
        <v>0</v>
      </c>
      <c r="M42" s="52"/>
      <c r="N42" s="34">
        <f t="shared" si="10"/>
        <v>0</v>
      </c>
      <c r="O42" s="35" t="str">
        <f t="shared" si="11"/>
        <v/>
      </c>
    </row>
    <row r="43" spans="2:15" x14ac:dyDescent="0.25">
      <c r="B43" s="53" t="s">
        <v>29</v>
      </c>
      <c r="C43" s="25"/>
      <c r="D43" s="26"/>
      <c r="E43" s="27"/>
      <c r="F43" s="28"/>
      <c r="G43" s="29">
        <f t="shared" si="12"/>
        <v>800</v>
      </c>
      <c r="H43" s="30">
        <f>G43*F43</f>
        <v>0</v>
      </c>
      <c r="I43" s="31"/>
      <c r="J43" s="32"/>
      <c r="K43" s="29">
        <f t="shared" si="13"/>
        <v>800</v>
      </c>
      <c r="L43" s="30">
        <f>K43*J43</f>
        <v>0</v>
      </c>
      <c r="M43" s="31"/>
      <c r="N43" s="34">
        <f>L43-H43</f>
        <v>0</v>
      </c>
      <c r="O43" s="35" t="str">
        <f>IF((H43)=0,"",(N43/H43))</f>
        <v/>
      </c>
    </row>
    <row r="44" spans="2:15" x14ac:dyDescent="0.25">
      <c r="B44" s="53" t="s">
        <v>30</v>
      </c>
      <c r="C44" s="25"/>
      <c r="D44" s="26" t="s">
        <v>76</v>
      </c>
      <c r="E44" s="27"/>
      <c r="F44" s="54">
        <f>IF(ISBLANK(D16)=TRUE, 0, IF(D16="TOU", 0.64*$F$54+0.18*$F$55+0.18*$F$56, IF(AND(D16="non-TOU",#REF!&gt; 0),#REF!,#REF!)))</f>
        <v>0.10214000000000001</v>
      </c>
      <c r="G44" s="55">
        <f>$F$18*(1+$F$64)-$F$18</f>
        <v>73.3599999999999</v>
      </c>
      <c r="H44" s="30">
        <f t="shared" si="8"/>
        <v>7.4929903999999903</v>
      </c>
      <c r="I44" s="31"/>
      <c r="J44" s="56">
        <f>0.64*$F$54+0.18*$F$55+0.18*$F$56</f>
        <v>0.10214000000000001</v>
      </c>
      <c r="K44" s="55">
        <f>$F$18*(1+$J$64)-$F$18</f>
        <v>73.3599999999999</v>
      </c>
      <c r="L44" s="30">
        <f t="shared" si="9"/>
        <v>7.4929903999999903</v>
      </c>
      <c r="M44" s="31"/>
      <c r="N44" s="34">
        <f t="shared" si="10"/>
        <v>0</v>
      </c>
      <c r="O44" s="35">
        <f t="shared" si="11"/>
        <v>0</v>
      </c>
    </row>
    <row r="45" spans="2:15" x14ac:dyDescent="0.25">
      <c r="B45" s="53" t="s">
        <v>31</v>
      </c>
      <c r="C45" s="25"/>
      <c r="D45" s="26" t="s">
        <v>75</v>
      </c>
      <c r="E45" s="27"/>
      <c r="F45" s="54">
        <f>Rates!D19</f>
        <v>0.79</v>
      </c>
      <c r="G45" s="29">
        <v>1</v>
      </c>
      <c r="H45" s="30">
        <f>G45*F45</f>
        <v>0.79</v>
      </c>
      <c r="I45" s="31"/>
      <c r="J45" s="54">
        <f>Rates!F19</f>
        <v>0.79</v>
      </c>
      <c r="K45" s="29">
        <v>1</v>
      </c>
      <c r="L45" s="30">
        <f>K45*J45</f>
        <v>0.79</v>
      </c>
      <c r="M45" s="31"/>
      <c r="N45" s="34">
        <f>L45-H45</f>
        <v>0</v>
      </c>
      <c r="O45" s="35"/>
    </row>
    <row r="46" spans="2:15" ht="25.5" x14ac:dyDescent="0.25">
      <c r="B46" s="57" t="s">
        <v>32</v>
      </c>
      <c r="C46" s="58"/>
      <c r="D46" s="58"/>
      <c r="E46" s="58"/>
      <c r="F46" s="59"/>
      <c r="G46" s="60"/>
      <c r="H46" s="61">
        <f>SUM(H39:H45)+H38</f>
        <v>47.272990399999983</v>
      </c>
      <c r="I46" s="44"/>
      <c r="J46" s="60"/>
      <c r="K46" s="62"/>
      <c r="L46" s="61">
        <f>SUM(L39:L45)+L38</f>
        <v>57.162990399999984</v>
      </c>
      <c r="M46" s="44"/>
      <c r="N46" s="47">
        <f t="shared" ref="N46:N62" si="14">L46-H46</f>
        <v>9.89</v>
      </c>
      <c r="O46" s="48">
        <f t="shared" ref="O46:O62" si="15">IF((H46)=0,"",(N46/H46))</f>
        <v>0.20921037396441086</v>
      </c>
    </row>
    <row r="47" spans="2:15" x14ac:dyDescent="0.25">
      <c r="B47" s="31" t="s">
        <v>33</v>
      </c>
      <c r="C47" s="31"/>
      <c r="D47" s="63" t="s">
        <v>76</v>
      </c>
      <c r="E47" s="64"/>
      <c r="F47" s="32">
        <f>Rates!D15</f>
        <v>7.1000000000000004E-3</v>
      </c>
      <c r="G47" s="65">
        <f>F18*(1+F64)</f>
        <v>873.3599999999999</v>
      </c>
      <c r="H47" s="30">
        <f>G47*F47</f>
        <v>6.2008559999999999</v>
      </c>
      <c r="I47" s="31"/>
      <c r="J47" s="32">
        <f>Rates!F15</f>
        <v>7.0000000000000001E-3</v>
      </c>
      <c r="K47" s="66">
        <f>F18*(1+J64)</f>
        <v>873.3599999999999</v>
      </c>
      <c r="L47" s="30">
        <f>K47*J47</f>
        <v>6.1135199999999994</v>
      </c>
      <c r="M47" s="31"/>
      <c r="N47" s="34">
        <f t="shared" si="14"/>
        <v>-8.7336000000000524E-2</v>
      </c>
      <c r="O47" s="35">
        <f t="shared" si="15"/>
        <v>-1.4084507042253606E-2</v>
      </c>
    </row>
    <row r="48" spans="2:15" ht="30" x14ac:dyDescent="0.25">
      <c r="B48" s="67" t="s">
        <v>34</v>
      </c>
      <c r="C48" s="31"/>
      <c r="D48" s="63" t="s">
        <v>76</v>
      </c>
      <c r="E48" s="64"/>
      <c r="F48" s="32">
        <f>Rates!D16</f>
        <v>5.3E-3</v>
      </c>
      <c r="G48" s="65">
        <f>G47</f>
        <v>873.3599999999999</v>
      </c>
      <c r="H48" s="30">
        <f>G48*F48</f>
        <v>4.6288079999999994</v>
      </c>
      <c r="I48" s="31"/>
      <c r="J48" s="32">
        <f>Rates!F16</f>
        <v>5.1000000000000004E-3</v>
      </c>
      <c r="K48" s="66">
        <f>K47</f>
        <v>873.3599999999999</v>
      </c>
      <c r="L48" s="30">
        <f>K48*J48</f>
        <v>4.4541360000000001</v>
      </c>
      <c r="M48" s="31"/>
      <c r="N48" s="34">
        <f t="shared" si="14"/>
        <v>-0.17467199999999927</v>
      </c>
      <c r="O48" s="35">
        <f t="shared" si="15"/>
        <v>-3.7735849056603619E-2</v>
      </c>
    </row>
    <row r="49" spans="2:19" ht="25.5" x14ac:dyDescent="0.25">
      <c r="B49" s="57" t="s">
        <v>35</v>
      </c>
      <c r="C49" s="39"/>
      <c r="D49" s="39"/>
      <c r="E49" s="39"/>
      <c r="F49" s="68"/>
      <c r="G49" s="60"/>
      <c r="H49" s="61">
        <f>SUM(H46:H48)</f>
        <v>58.102654399999984</v>
      </c>
      <c r="I49" s="69"/>
      <c r="J49" s="70"/>
      <c r="K49" s="71"/>
      <c r="L49" s="61">
        <f>SUM(L46:L48)</f>
        <v>67.730646399999983</v>
      </c>
      <c r="M49" s="69"/>
      <c r="N49" s="47">
        <f t="shared" si="14"/>
        <v>9.627991999999999</v>
      </c>
      <c r="O49" s="48">
        <f t="shared" si="15"/>
        <v>0.16570657742617695</v>
      </c>
    </row>
    <row r="50" spans="2:19" ht="30" x14ac:dyDescent="0.25">
      <c r="B50" s="72" t="s">
        <v>36</v>
      </c>
      <c r="C50" s="25"/>
      <c r="D50" s="63" t="s">
        <v>76</v>
      </c>
      <c r="E50" s="27"/>
      <c r="F50" s="75">
        <f>Rates!D17</f>
        <v>4.4000000000000003E-3</v>
      </c>
      <c r="G50" s="65">
        <f>G48</f>
        <v>873.3599999999999</v>
      </c>
      <c r="H50" s="74">
        <f t="shared" ref="H50:H56" si="16">G50*F50</f>
        <v>3.842784</v>
      </c>
      <c r="I50" s="31"/>
      <c r="J50" s="75">
        <f>Rates!F17</f>
        <v>4.4000000000000003E-3</v>
      </c>
      <c r="K50" s="66">
        <f>K48</f>
        <v>873.3599999999999</v>
      </c>
      <c r="L50" s="74">
        <f t="shared" ref="L50:L56" si="17">K50*J50</f>
        <v>3.842784</v>
      </c>
      <c r="M50" s="31"/>
      <c r="N50" s="34">
        <f t="shared" si="14"/>
        <v>0</v>
      </c>
      <c r="O50" s="76">
        <f t="shared" si="15"/>
        <v>0</v>
      </c>
    </row>
    <row r="51" spans="2:19" ht="30" x14ac:dyDescent="0.25">
      <c r="B51" s="72" t="s">
        <v>37</v>
      </c>
      <c r="C51" s="25"/>
      <c r="D51" s="63" t="s">
        <v>76</v>
      </c>
      <c r="E51" s="27"/>
      <c r="F51" s="75">
        <f>Rates!D18</f>
        <v>1.2999999999999999E-3</v>
      </c>
      <c r="G51" s="65">
        <f>G48</f>
        <v>873.3599999999999</v>
      </c>
      <c r="H51" s="74">
        <f t="shared" si="16"/>
        <v>1.1353679999999997</v>
      </c>
      <c r="I51" s="31"/>
      <c r="J51" s="75">
        <f>Rates!F18</f>
        <v>1.2999999999999999E-3</v>
      </c>
      <c r="K51" s="66">
        <f>K48</f>
        <v>873.3599999999999</v>
      </c>
      <c r="L51" s="74">
        <f t="shared" si="17"/>
        <v>1.1353679999999997</v>
      </c>
      <c r="M51" s="31"/>
      <c r="N51" s="34">
        <f t="shared" si="14"/>
        <v>0</v>
      </c>
      <c r="O51" s="76">
        <f t="shared" si="15"/>
        <v>0</v>
      </c>
    </row>
    <row r="52" spans="2:19" x14ac:dyDescent="0.25">
      <c r="B52" s="25" t="s">
        <v>38</v>
      </c>
      <c r="C52" s="25"/>
      <c r="D52" s="26" t="s">
        <v>75</v>
      </c>
      <c r="E52" s="27"/>
      <c r="F52" s="73">
        <f>Rates!D20</f>
        <v>0.25</v>
      </c>
      <c r="G52" s="29">
        <v>1</v>
      </c>
      <c r="H52" s="74">
        <f t="shared" si="16"/>
        <v>0.25</v>
      </c>
      <c r="I52" s="31"/>
      <c r="J52" s="75">
        <f>Rates!F20</f>
        <v>0.25</v>
      </c>
      <c r="K52" s="33">
        <v>1</v>
      </c>
      <c r="L52" s="74">
        <f t="shared" si="17"/>
        <v>0.25</v>
      </c>
      <c r="M52" s="31"/>
      <c r="N52" s="34">
        <f t="shared" si="14"/>
        <v>0</v>
      </c>
      <c r="O52" s="76">
        <f t="shared" si="15"/>
        <v>0</v>
      </c>
    </row>
    <row r="53" spans="2:19" x14ac:dyDescent="0.25">
      <c r="B53" s="25" t="s">
        <v>39</v>
      </c>
      <c r="C53" s="25"/>
      <c r="D53" s="26" t="s">
        <v>76</v>
      </c>
      <c r="E53" s="27"/>
      <c r="F53" s="73">
        <f>Rates!D79</f>
        <v>0</v>
      </c>
      <c r="G53" s="77">
        <f>F18</f>
        <v>800</v>
      </c>
      <c r="H53" s="74">
        <f t="shared" si="16"/>
        <v>0</v>
      </c>
      <c r="I53" s="31"/>
      <c r="J53" s="75">
        <f>Rates!F79</f>
        <v>0</v>
      </c>
      <c r="K53" s="78">
        <f>F18</f>
        <v>800</v>
      </c>
      <c r="L53" s="74">
        <f t="shared" si="17"/>
        <v>0</v>
      </c>
      <c r="M53" s="31"/>
      <c r="N53" s="34">
        <f t="shared" si="14"/>
        <v>0</v>
      </c>
      <c r="O53" s="76" t="str">
        <f t="shared" si="15"/>
        <v/>
      </c>
    </row>
    <row r="54" spans="2:19" x14ac:dyDescent="0.25">
      <c r="B54" s="53" t="s">
        <v>40</v>
      </c>
      <c r="C54" s="25"/>
      <c r="D54" s="26" t="s">
        <v>76</v>
      </c>
      <c r="E54" s="27"/>
      <c r="F54" s="79">
        <f>Rates!D87</f>
        <v>0.08</v>
      </c>
      <c r="G54" s="80">
        <f>0.64*$F$18</f>
        <v>512</v>
      </c>
      <c r="H54" s="74">
        <f t="shared" si="16"/>
        <v>40.96</v>
      </c>
      <c r="I54" s="31"/>
      <c r="J54" s="73">
        <f>Rates!F87</f>
        <v>0.08</v>
      </c>
      <c r="K54" s="80">
        <f>G54</f>
        <v>512</v>
      </c>
      <c r="L54" s="74">
        <f t="shared" si="17"/>
        <v>40.96</v>
      </c>
      <c r="M54" s="31"/>
      <c r="N54" s="34">
        <f t="shared" si="14"/>
        <v>0</v>
      </c>
      <c r="O54" s="76">
        <f t="shared" si="15"/>
        <v>0</v>
      </c>
      <c r="S54" s="81"/>
    </row>
    <row r="55" spans="2:19" x14ac:dyDescent="0.25">
      <c r="B55" s="53" t="s">
        <v>41</v>
      </c>
      <c r="C55" s="25"/>
      <c r="D55" s="26" t="s">
        <v>76</v>
      </c>
      <c r="E55" s="27"/>
      <c r="F55" s="79">
        <f>Rates!D88</f>
        <v>0.122</v>
      </c>
      <c r="G55" s="80">
        <f>0.18*$F$18</f>
        <v>144</v>
      </c>
      <c r="H55" s="74">
        <f t="shared" si="16"/>
        <v>17.567999999999998</v>
      </c>
      <c r="I55" s="31"/>
      <c r="J55" s="73">
        <f>Rates!F88</f>
        <v>0.122</v>
      </c>
      <c r="K55" s="80">
        <f>G55</f>
        <v>144</v>
      </c>
      <c r="L55" s="74">
        <f t="shared" si="17"/>
        <v>17.567999999999998</v>
      </c>
      <c r="M55" s="31"/>
      <c r="N55" s="34">
        <f t="shared" si="14"/>
        <v>0</v>
      </c>
      <c r="O55" s="76">
        <f t="shared" si="15"/>
        <v>0</v>
      </c>
      <c r="S55" s="81"/>
    </row>
    <row r="56" spans="2:19" ht="15.75" thickBot="1" x14ac:dyDescent="0.3">
      <c r="B56" s="15" t="s">
        <v>42</v>
      </c>
      <c r="C56" s="25"/>
      <c r="D56" s="26" t="s">
        <v>76</v>
      </c>
      <c r="E56" s="27"/>
      <c r="F56" s="79">
        <f>Rates!D89</f>
        <v>0.161</v>
      </c>
      <c r="G56" s="80">
        <f>0.18*$F$18</f>
        <v>144</v>
      </c>
      <c r="H56" s="74">
        <f t="shared" si="16"/>
        <v>23.184000000000001</v>
      </c>
      <c r="I56" s="31"/>
      <c r="J56" s="73">
        <f>Rates!F89</f>
        <v>0.161</v>
      </c>
      <c r="K56" s="80">
        <f>G56</f>
        <v>144</v>
      </c>
      <c r="L56" s="74">
        <f t="shared" si="17"/>
        <v>23.184000000000001</v>
      </c>
      <c r="M56" s="31"/>
      <c r="N56" s="34">
        <f t="shared" si="14"/>
        <v>0</v>
      </c>
      <c r="O56" s="76">
        <f t="shared" si="15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45</v>
      </c>
      <c r="C58" s="25"/>
      <c r="D58" s="25"/>
      <c r="E58" s="25"/>
      <c r="F58" s="101"/>
      <c r="G58" s="102"/>
      <c r="H58" s="103">
        <f>SUM(H50:H56,H49)</f>
        <v>145.04280639999999</v>
      </c>
      <c r="I58" s="104"/>
      <c r="J58" s="105"/>
      <c r="K58" s="105"/>
      <c r="L58" s="143">
        <f>SUM(L50:L56,L49)</f>
        <v>154.67079839999997</v>
      </c>
      <c r="M58" s="106"/>
      <c r="N58" s="107">
        <f t="shared" ref="N58" si="18">L58-H58</f>
        <v>9.6279919999999777</v>
      </c>
      <c r="O58" s="108">
        <f t="shared" ref="O58" si="19">IF((H58)=0,"",(N58/H58))</f>
        <v>6.6380348250073426E-2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18.855564831999999</v>
      </c>
      <c r="I59" s="113"/>
      <c r="J59" s="114">
        <v>0.13</v>
      </c>
      <c r="K59" s="113"/>
      <c r="L59" s="115">
        <f>L58*J59</f>
        <v>20.107203791999996</v>
      </c>
      <c r="M59" s="116"/>
      <c r="N59" s="117">
        <f t="shared" si="14"/>
        <v>1.2516389599999975</v>
      </c>
      <c r="O59" s="118">
        <f t="shared" si="15"/>
        <v>6.638034825007344E-2</v>
      </c>
      <c r="S59" s="81"/>
    </row>
    <row r="60" spans="2:19" x14ac:dyDescent="0.25">
      <c r="B60" s="119" t="s">
        <v>50</v>
      </c>
      <c r="C60" s="25"/>
      <c r="D60" s="25"/>
      <c r="E60" s="25"/>
      <c r="F60" s="120"/>
      <c r="G60" s="111"/>
      <c r="H60" s="112">
        <f>H58+H59</f>
        <v>163.89837123199999</v>
      </c>
      <c r="I60" s="113"/>
      <c r="J60" s="113"/>
      <c r="K60" s="113"/>
      <c r="L60" s="115">
        <f>L58+L59</f>
        <v>174.77800219199997</v>
      </c>
      <c r="M60" s="116"/>
      <c r="N60" s="117">
        <f t="shared" si="14"/>
        <v>10.879630959999986</v>
      </c>
      <c r="O60" s="118">
        <f t="shared" si="15"/>
        <v>6.6380348250073495E-2</v>
      </c>
      <c r="S60" s="81"/>
    </row>
    <row r="61" spans="2:19" x14ac:dyDescent="0.25">
      <c r="B61" s="211" t="s">
        <v>51</v>
      </c>
      <c r="C61" s="211"/>
      <c r="D61" s="211"/>
      <c r="E61" s="25"/>
      <c r="F61" s="120"/>
      <c r="G61" s="111"/>
      <c r="H61" s="121">
        <v>0</v>
      </c>
      <c r="I61" s="113"/>
      <c r="J61" s="113"/>
      <c r="K61" s="113"/>
      <c r="L61" s="122">
        <v>0</v>
      </c>
      <c r="M61" s="116"/>
      <c r="N61" s="123">
        <f t="shared" si="14"/>
        <v>0</v>
      </c>
      <c r="O61" s="124" t="str">
        <f t="shared" si="15"/>
        <v/>
      </c>
    </row>
    <row r="62" spans="2:19" x14ac:dyDescent="0.25">
      <c r="B62" s="212" t="s">
        <v>47</v>
      </c>
      <c r="C62" s="212"/>
      <c r="D62" s="212"/>
      <c r="E62" s="125"/>
      <c r="F62" s="126"/>
      <c r="G62" s="127"/>
      <c r="H62" s="128">
        <f>H60+H61</f>
        <v>163.89837123199999</v>
      </c>
      <c r="I62" s="129"/>
      <c r="J62" s="129"/>
      <c r="K62" s="129"/>
      <c r="L62" s="130">
        <f>L60+L61</f>
        <v>174.77800219199997</v>
      </c>
      <c r="M62" s="131"/>
      <c r="N62" s="132">
        <f t="shared" si="14"/>
        <v>10.879630959999986</v>
      </c>
      <c r="O62" s="133">
        <f t="shared" si="15"/>
        <v>6.6380348250073495E-2</v>
      </c>
    </row>
    <row r="63" spans="2:19" x14ac:dyDescent="0.25">
      <c r="L63" s="81"/>
    </row>
    <row r="64" spans="2:19" x14ac:dyDescent="0.25">
      <c r="B64" s="16" t="s">
        <v>48</v>
      </c>
      <c r="F64" s="141">
        <f>Rates!D84</f>
        <v>9.1700000000000004E-2</v>
      </c>
      <c r="J64" s="141">
        <f>Rates!F84</f>
        <v>9.1700000000000004E-2</v>
      </c>
    </row>
    <row r="66" spans="1:2" x14ac:dyDescent="0.25">
      <c r="A66" s="142"/>
      <c r="B66" s="10" t="s">
        <v>49</v>
      </c>
    </row>
  </sheetData>
  <mergeCells count="12">
    <mergeCell ref="D21:D22"/>
    <mergeCell ref="N21:N22"/>
    <mergeCell ref="O21:O22"/>
    <mergeCell ref="B61:D61"/>
    <mergeCell ref="B62:D6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sqref="E47:E48 E39:E45 E23:E37 E50:E57">
      <formula1>#REF!</formula1>
    </dataValidation>
    <dataValidation type="list" allowBlank="1" showInputMessage="1" showErrorMessage="1" prompt="Select Charge Unit - monthly, per kWh, per kW" sqref="D47:D48 D39:D45 D23:D37 D50:D57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66"/>
  <sheetViews>
    <sheetView showGridLines="0" zoomScaleNormal="100" workbookViewId="0">
      <selection activeCell="N39" sqref="N39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0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0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00" t="s">
        <v>6</v>
      </c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/>
    </row>
    <row r="11" spans="1:20" ht="18.75" customHeight="1" x14ac:dyDescent="0.25">
      <c r="B11" s="200" t="s">
        <v>7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01" t="s">
        <v>94</v>
      </c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2000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02" t="s">
        <v>13</v>
      </c>
      <c r="G20" s="203"/>
      <c r="H20" s="204"/>
      <c r="J20" s="202" t="s">
        <v>14</v>
      </c>
      <c r="K20" s="203"/>
      <c r="L20" s="204"/>
      <c r="N20" s="202" t="s">
        <v>15</v>
      </c>
      <c r="O20" s="204"/>
    </row>
    <row r="21" spans="2:15" x14ac:dyDescent="0.25">
      <c r="B21" s="15"/>
      <c r="D21" s="205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07" t="s">
        <v>20</v>
      </c>
      <c r="O21" s="209" t="s">
        <v>21</v>
      </c>
    </row>
    <row r="22" spans="2:15" x14ac:dyDescent="0.25">
      <c r="B22" s="15"/>
      <c r="D22" s="206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08"/>
      <c r="O22" s="210"/>
    </row>
    <row r="23" spans="2:15" x14ac:dyDescent="0.25">
      <c r="B23" s="25" t="s">
        <v>23</v>
      </c>
      <c r="C23" s="25"/>
      <c r="D23" s="26" t="s">
        <v>75</v>
      </c>
      <c r="E23" s="27"/>
      <c r="F23" s="28">
        <f>Rates!D4</f>
        <v>23.34</v>
      </c>
      <c r="G23" s="29">
        <v>1</v>
      </c>
      <c r="H23" s="30">
        <f>G23*F23</f>
        <v>23.34</v>
      </c>
      <c r="I23" s="31"/>
      <c r="J23" s="32">
        <f>Rates!F4</f>
        <v>23.52</v>
      </c>
      <c r="K23" s="33">
        <v>1</v>
      </c>
      <c r="L23" s="30">
        <f>K23*J23</f>
        <v>23.52</v>
      </c>
      <c r="M23" s="31"/>
      <c r="N23" s="34">
        <f>L23-H23</f>
        <v>0.17999999999999972</v>
      </c>
      <c r="O23" s="35">
        <f>IF((H23)=0,"",(N23/H23))</f>
        <v>7.7120822622107846E-3</v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ref="H24:H37" si="0">G24*F24</f>
        <v>0</v>
      </c>
      <c r="I24" s="31"/>
      <c r="J24" s="32"/>
      <c r="K24" s="33">
        <v>1</v>
      </c>
      <c r="L24" s="30">
        <f t="shared" ref="L24:L37" si="1">K24*J24</f>
        <v>0</v>
      </c>
      <c r="M24" s="31"/>
      <c r="N24" s="34">
        <f t="shared" ref="N24:N38" si="2">L24-H24</f>
        <v>0</v>
      </c>
      <c r="O24" s="35" t="str">
        <f t="shared" ref="O24:O38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25" t="s">
        <v>25</v>
      </c>
      <c r="C27" s="25"/>
      <c r="D27" s="26" t="s">
        <v>76</v>
      </c>
      <c r="E27" s="27"/>
      <c r="F27" s="28">
        <f>Rates!D6</f>
        <v>3.2800000000000003E-2</v>
      </c>
      <c r="G27" s="29">
        <f>$F$18</f>
        <v>2000</v>
      </c>
      <c r="H27" s="30">
        <f t="shared" si="0"/>
        <v>65.600000000000009</v>
      </c>
      <c r="I27" s="31"/>
      <c r="J27" s="32">
        <f>Rates!F6</f>
        <v>3.3099999999999997E-2</v>
      </c>
      <c r="K27" s="29">
        <f>$F$18</f>
        <v>2000</v>
      </c>
      <c r="L27" s="30">
        <f t="shared" si="1"/>
        <v>66.199999999999989</v>
      </c>
      <c r="M27" s="31"/>
      <c r="N27" s="34">
        <f t="shared" si="2"/>
        <v>0.5999999999999801</v>
      </c>
      <c r="O27" s="35">
        <f t="shared" si="3"/>
        <v>9.14634146341433E-3</v>
      </c>
    </row>
    <row r="28" spans="2:15" x14ac:dyDescent="0.25">
      <c r="B28" s="25" t="s">
        <v>26</v>
      </c>
      <c r="C28" s="25"/>
      <c r="D28" s="26" t="s">
        <v>75</v>
      </c>
      <c r="E28" s="27"/>
      <c r="F28" s="28">
        <f>Rates!D7</f>
        <v>2.0499999999999998</v>
      </c>
      <c r="G28" s="29">
        <v>1</v>
      </c>
      <c r="H28" s="30">
        <f t="shared" si="0"/>
        <v>2.0499999999999998</v>
      </c>
      <c r="I28" s="31"/>
      <c r="J28" s="32"/>
      <c r="K28" s="29">
        <f t="shared" ref="K28:K37" si="4">$F$18</f>
        <v>2000</v>
      </c>
      <c r="L28" s="30">
        <f t="shared" si="1"/>
        <v>0</v>
      </c>
      <c r="M28" s="31"/>
      <c r="N28" s="34">
        <f t="shared" si="2"/>
        <v>-2.0499999999999998</v>
      </c>
      <c r="O28" s="35">
        <f t="shared" si="3"/>
        <v>-1</v>
      </c>
    </row>
    <row r="29" spans="2:15" ht="45" x14ac:dyDescent="0.25">
      <c r="B29" s="72" t="str">
        <f>Rates!A13</f>
        <v>Rate Rider for the Recovery of Lost Revenue Adjustment (LRAM) - effective until December 31, 2015</v>
      </c>
      <c r="C29" s="25"/>
      <c r="D29" s="63" t="s">
        <v>76</v>
      </c>
      <c r="E29" s="27"/>
      <c r="F29" s="32">
        <f>Rates!D13</f>
        <v>2.0000000000000001E-4</v>
      </c>
      <c r="G29" s="29">
        <f>$F$18</f>
        <v>2000</v>
      </c>
      <c r="H29" s="30">
        <f t="shared" si="0"/>
        <v>0.4</v>
      </c>
      <c r="I29" s="31"/>
      <c r="J29" s="32">
        <f>Rates!F13</f>
        <v>0</v>
      </c>
      <c r="K29" s="29">
        <f t="shared" si="4"/>
        <v>2000</v>
      </c>
      <c r="L29" s="30">
        <f t="shared" si="1"/>
        <v>0</v>
      </c>
      <c r="M29" s="31"/>
      <c r="N29" s="34">
        <f t="shared" si="2"/>
        <v>-0.4</v>
      </c>
      <c r="O29" s="35">
        <f t="shared" si="3"/>
        <v>-1</v>
      </c>
    </row>
    <row r="30" spans="2:15" x14ac:dyDescent="0.25">
      <c r="B30" s="144"/>
      <c r="C30" s="25"/>
      <c r="D30" s="63"/>
      <c r="E30" s="27"/>
      <c r="F30" s="32"/>
      <c r="G30" s="29">
        <f t="shared" ref="G30:G37" si="5">$F$18</f>
        <v>2000</v>
      </c>
      <c r="H30" s="30">
        <f t="shared" si="0"/>
        <v>0</v>
      </c>
      <c r="I30" s="31"/>
      <c r="J30" s="32"/>
      <c r="K30" s="29">
        <f t="shared" si="4"/>
        <v>2000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144"/>
      <c r="C31" s="25"/>
      <c r="D31" s="63"/>
      <c r="E31" s="27"/>
      <c r="F31" s="32"/>
      <c r="G31" s="29">
        <f t="shared" si="5"/>
        <v>2000</v>
      </c>
      <c r="H31" s="30">
        <f t="shared" si="0"/>
        <v>0</v>
      </c>
      <c r="I31" s="31"/>
      <c r="J31" s="32"/>
      <c r="K31" s="29">
        <f t="shared" si="4"/>
        <v>2000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x14ac:dyDescent="0.25">
      <c r="B32" s="144"/>
      <c r="C32" s="25"/>
      <c r="D32" s="63"/>
      <c r="E32" s="27"/>
      <c r="F32" s="32"/>
      <c r="G32" s="29">
        <f t="shared" si="5"/>
        <v>2000</v>
      </c>
      <c r="H32" s="30">
        <f t="shared" si="0"/>
        <v>0</v>
      </c>
      <c r="I32" s="31"/>
      <c r="J32" s="32"/>
      <c r="K32" s="29">
        <f t="shared" si="4"/>
        <v>2000</v>
      </c>
      <c r="L32" s="30">
        <f t="shared" si="1"/>
        <v>0</v>
      </c>
      <c r="M32" s="31"/>
      <c r="N32" s="34">
        <f t="shared" si="2"/>
        <v>0</v>
      </c>
      <c r="O32" s="35" t="str">
        <f t="shared" si="3"/>
        <v/>
      </c>
    </row>
    <row r="33" spans="2:15" ht="45" x14ac:dyDescent="0.25">
      <c r="B33" s="144" t="str">
        <f>Rates!A14</f>
        <v>Rate Rider for the Disposition of Account 1575 &amp; 1576 - effective until December 31, 2019</v>
      </c>
      <c r="C33" s="25"/>
      <c r="D33" s="63" t="s">
        <v>76</v>
      </c>
      <c r="E33" s="27"/>
      <c r="F33" s="32">
        <f>Rates!D14</f>
        <v>-1.9E-3</v>
      </c>
      <c r="G33" s="29">
        <f t="shared" si="5"/>
        <v>2000</v>
      </c>
      <c r="H33" s="30">
        <f t="shared" si="0"/>
        <v>-3.8</v>
      </c>
      <c r="I33" s="31"/>
      <c r="J33" s="32">
        <f>Rates!F14</f>
        <v>-1.9E-3</v>
      </c>
      <c r="K33" s="29">
        <f t="shared" si="4"/>
        <v>2000</v>
      </c>
      <c r="L33" s="30">
        <f t="shared" si="1"/>
        <v>-3.8</v>
      </c>
      <c r="M33" s="31"/>
      <c r="N33" s="34">
        <f t="shared" si="2"/>
        <v>0</v>
      </c>
      <c r="O33" s="35">
        <f t="shared" si="3"/>
        <v>0</v>
      </c>
    </row>
    <row r="34" spans="2:15" x14ac:dyDescent="0.25">
      <c r="B34" s="37"/>
      <c r="C34" s="25"/>
      <c r="D34" s="26"/>
      <c r="E34" s="27"/>
      <c r="F34" s="28"/>
      <c r="G34" s="29">
        <f t="shared" si="5"/>
        <v>2000</v>
      </c>
      <c r="H34" s="30">
        <f t="shared" si="0"/>
        <v>0</v>
      </c>
      <c r="I34" s="31"/>
      <c r="J34" s="32"/>
      <c r="K34" s="29">
        <f t="shared" si="4"/>
        <v>2000</v>
      </c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5"/>
        <v>2000</v>
      </c>
      <c r="H35" s="30">
        <f t="shared" si="0"/>
        <v>0</v>
      </c>
      <c r="I35" s="31"/>
      <c r="J35" s="32"/>
      <c r="K35" s="29">
        <f t="shared" si="4"/>
        <v>2000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5"/>
        <v>2000</v>
      </c>
      <c r="H36" s="30">
        <f t="shared" si="0"/>
        <v>0</v>
      </c>
      <c r="I36" s="31"/>
      <c r="J36" s="32"/>
      <c r="K36" s="29">
        <f t="shared" si="4"/>
        <v>2000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5"/>
        <v>2000</v>
      </c>
      <c r="H37" s="30">
        <f t="shared" si="0"/>
        <v>0</v>
      </c>
      <c r="I37" s="31"/>
      <c r="J37" s="32"/>
      <c r="K37" s="29">
        <f t="shared" si="4"/>
        <v>2000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s="49" customFormat="1" x14ac:dyDescent="0.25">
      <c r="B38" s="38" t="s">
        <v>28</v>
      </c>
      <c r="C38" s="39"/>
      <c r="D38" s="40"/>
      <c r="E38" s="39"/>
      <c r="F38" s="41"/>
      <c r="G38" s="42"/>
      <c r="H38" s="43">
        <f>SUM(H23:H37)</f>
        <v>87.590000000000018</v>
      </c>
      <c r="I38" s="44"/>
      <c r="J38" s="45"/>
      <c r="K38" s="46"/>
      <c r="L38" s="43">
        <f>SUM(L23:L37)</f>
        <v>85.919999999999987</v>
      </c>
      <c r="M38" s="44"/>
      <c r="N38" s="47">
        <f t="shared" si="2"/>
        <v>-1.6700000000000301</v>
      </c>
      <c r="O38" s="48">
        <f t="shared" si="3"/>
        <v>-1.9066103436465691E-2</v>
      </c>
    </row>
    <row r="39" spans="2:15" ht="38.25" x14ac:dyDescent="0.25">
      <c r="B39" s="50" t="str">
        <f>Rates!A11</f>
        <v>Rate Rider for the Disposition of Deferral/Variance Accounts (2014) - effective until December 31, 2015</v>
      </c>
      <c r="C39" s="25"/>
      <c r="D39" s="63" t="s">
        <v>76</v>
      </c>
      <c r="E39" s="27"/>
      <c r="F39" s="32">
        <f>Rates!D11</f>
        <v>-1.41E-2</v>
      </c>
      <c r="G39" s="29">
        <f>$F$18</f>
        <v>2000</v>
      </c>
      <c r="H39" s="30">
        <f>G39*F39</f>
        <v>-28.2</v>
      </c>
      <c r="I39" s="31"/>
      <c r="J39" s="32">
        <f>Rates!F11</f>
        <v>0</v>
      </c>
      <c r="K39" s="29">
        <f>$F$18</f>
        <v>2000</v>
      </c>
      <c r="L39" s="30">
        <f>K39*J39</f>
        <v>0</v>
      </c>
      <c r="M39" s="31"/>
      <c r="N39" s="34">
        <f>L39-H39</f>
        <v>28.2</v>
      </c>
      <c r="O39" s="35">
        <f>IF((H39)=0,"",(N39/H39))</f>
        <v>-1</v>
      </c>
    </row>
    <row r="40" spans="2:15" ht="38.25" x14ac:dyDescent="0.25">
      <c r="B40" s="50" t="str">
        <f>Rates!A12</f>
        <v>Rate Rider for the Disposition of Global Adjustment Sub-Account (2014) - effective until December 31, 2015</v>
      </c>
      <c r="C40" s="25"/>
      <c r="D40" s="63" t="s">
        <v>76</v>
      </c>
      <c r="E40" s="27"/>
      <c r="F40" s="32">
        <f>Rates!D12</f>
        <v>2.1899999999999999E-2</v>
      </c>
      <c r="G40" s="29">
        <v>0</v>
      </c>
      <c r="H40" s="30">
        <f t="shared" ref="H40:H44" si="6">G40*F40</f>
        <v>0</v>
      </c>
      <c r="I40" s="51"/>
      <c r="J40" s="32">
        <v>0</v>
      </c>
      <c r="K40" s="29">
        <v>0</v>
      </c>
      <c r="L40" s="30">
        <f t="shared" ref="L40:L44" si="7">K40*J40</f>
        <v>0</v>
      </c>
      <c r="M40" s="52"/>
      <c r="N40" s="34">
        <f t="shared" ref="N40:N44" si="8">L40-H40</f>
        <v>0</v>
      </c>
      <c r="O40" s="35" t="str">
        <f t="shared" ref="O40:O44" si="9">IF((H40)=0,"",(N40/H40))</f>
        <v/>
      </c>
    </row>
    <row r="41" spans="2:15" ht="38.25" x14ac:dyDescent="0.25">
      <c r="B41" s="50" t="str">
        <f>Rates!A8</f>
        <v>Rate Rider for the Disposition of Deferral/Variance Accounts (2016) - effective until December 31, 2016</v>
      </c>
      <c r="C41" s="25"/>
      <c r="D41" s="26" t="s">
        <v>76</v>
      </c>
      <c r="E41" s="27"/>
      <c r="F41" s="28"/>
      <c r="G41" s="29">
        <f t="shared" ref="G41:G43" si="10">$F$18</f>
        <v>2000</v>
      </c>
      <c r="H41" s="30">
        <f t="shared" si="6"/>
        <v>0</v>
      </c>
      <c r="I41" s="51"/>
      <c r="J41" s="32">
        <f>Rates!F8</f>
        <v>0</v>
      </c>
      <c r="K41" s="29">
        <f t="shared" ref="K41:K43" si="11">$F$18</f>
        <v>2000</v>
      </c>
      <c r="L41" s="30">
        <f t="shared" si="7"/>
        <v>0</v>
      </c>
      <c r="M41" s="52"/>
      <c r="N41" s="34">
        <f t="shared" si="8"/>
        <v>0</v>
      </c>
      <c r="O41" s="35" t="str">
        <f t="shared" si="9"/>
        <v/>
      </c>
    </row>
    <row r="42" spans="2:15" ht="38.25" x14ac:dyDescent="0.25">
      <c r="B42" s="50" t="str">
        <f>Rates!A9</f>
        <v>Rate Rider for the Disposition of Global Adjustment Sub-Account (2016) - effective until December 31, 2016</v>
      </c>
      <c r="C42" s="25"/>
      <c r="D42" s="26" t="s">
        <v>76</v>
      </c>
      <c r="E42" s="27"/>
      <c r="F42" s="28"/>
      <c r="G42" s="29"/>
      <c r="H42" s="30">
        <f t="shared" si="6"/>
        <v>0</v>
      </c>
      <c r="I42" s="51"/>
      <c r="J42" s="32">
        <f>Rates!F9</f>
        <v>0</v>
      </c>
      <c r="K42" s="29"/>
      <c r="L42" s="30">
        <f t="shared" si="7"/>
        <v>0</v>
      </c>
      <c r="M42" s="52"/>
      <c r="N42" s="34">
        <f t="shared" si="8"/>
        <v>0</v>
      </c>
      <c r="O42" s="35" t="str">
        <f t="shared" si="9"/>
        <v/>
      </c>
    </row>
    <row r="43" spans="2:15" x14ac:dyDescent="0.25">
      <c r="B43" s="53" t="s">
        <v>29</v>
      </c>
      <c r="C43" s="25"/>
      <c r="D43" s="26"/>
      <c r="E43" s="27"/>
      <c r="F43" s="28"/>
      <c r="G43" s="29">
        <f t="shared" si="10"/>
        <v>2000</v>
      </c>
      <c r="H43" s="30">
        <f>G43*F43</f>
        <v>0</v>
      </c>
      <c r="I43" s="31"/>
      <c r="J43" s="32"/>
      <c r="K43" s="29">
        <f t="shared" si="11"/>
        <v>2000</v>
      </c>
      <c r="L43" s="30">
        <f>K43*J43</f>
        <v>0</v>
      </c>
      <c r="M43" s="31"/>
      <c r="N43" s="34">
        <f>L43-H43</f>
        <v>0</v>
      </c>
      <c r="O43" s="35" t="str">
        <f>IF((H43)=0,"",(N43/H43))</f>
        <v/>
      </c>
    </row>
    <row r="44" spans="2:15" x14ac:dyDescent="0.25">
      <c r="B44" s="53" t="s">
        <v>30</v>
      </c>
      <c r="C44" s="25"/>
      <c r="D44" s="26" t="s">
        <v>76</v>
      </c>
      <c r="E44" s="27"/>
      <c r="F44" s="54">
        <f>IF(ISBLANK(D16)=TRUE, 0, IF(D16="TOU", 0.64*$F$54+0.18*$F$55+0.18*$F$56, IF(AND(D16="non-TOU",#REF!&gt; 0),#REF!,#REF!)))</f>
        <v>0.10214000000000001</v>
      </c>
      <c r="G44" s="55">
        <f>$F$18*(1+$F$64)-$F$18</f>
        <v>183.39999999999964</v>
      </c>
      <c r="H44" s="30">
        <f t="shared" si="6"/>
        <v>18.732475999999963</v>
      </c>
      <c r="I44" s="31"/>
      <c r="J44" s="56">
        <f>0.64*$F$54+0.18*$F$55+0.18*$F$56</f>
        <v>0.10214000000000001</v>
      </c>
      <c r="K44" s="55">
        <f>$F$18*(1+$J$64)-$F$18</f>
        <v>183.39999999999964</v>
      </c>
      <c r="L44" s="30">
        <f t="shared" si="7"/>
        <v>18.732475999999963</v>
      </c>
      <c r="M44" s="31"/>
      <c r="N44" s="34">
        <f t="shared" si="8"/>
        <v>0</v>
      </c>
      <c r="O44" s="35">
        <f t="shared" si="9"/>
        <v>0</v>
      </c>
    </row>
    <row r="45" spans="2:15" x14ac:dyDescent="0.25">
      <c r="B45" s="53" t="s">
        <v>31</v>
      </c>
      <c r="C45" s="25"/>
      <c r="D45" s="26" t="s">
        <v>75</v>
      </c>
      <c r="E45" s="27"/>
      <c r="F45" s="54">
        <f>Rates!D19</f>
        <v>0.79</v>
      </c>
      <c r="G45" s="29">
        <v>1</v>
      </c>
      <c r="H45" s="30">
        <f>G45*F45</f>
        <v>0.79</v>
      </c>
      <c r="I45" s="31"/>
      <c r="J45" s="54">
        <f>Rates!F19</f>
        <v>0.79</v>
      </c>
      <c r="K45" s="29">
        <v>1</v>
      </c>
      <c r="L45" s="30">
        <f>K45*J45</f>
        <v>0.79</v>
      </c>
      <c r="M45" s="31"/>
      <c r="N45" s="34">
        <f>L45-H45</f>
        <v>0</v>
      </c>
      <c r="O45" s="35"/>
    </row>
    <row r="46" spans="2:15" ht="25.5" x14ac:dyDescent="0.25">
      <c r="B46" s="57" t="s">
        <v>32</v>
      </c>
      <c r="C46" s="58"/>
      <c r="D46" s="58"/>
      <c r="E46" s="58"/>
      <c r="F46" s="59"/>
      <c r="G46" s="60"/>
      <c r="H46" s="61">
        <f>SUM(H39:H45)+H38</f>
        <v>78.912475999999984</v>
      </c>
      <c r="I46" s="44"/>
      <c r="J46" s="60"/>
      <c r="K46" s="62"/>
      <c r="L46" s="61">
        <f>SUM(L39:L45)+L38</f>
        <v>105.44247599999994</v>
      </c>
      <c r="M46" s="44"/>
      <c r="N46" s="47">
        <f t="shared" ref="N46:N62" si="12">L46-H46</f>
        <v>26.529999999999959</v>
      </c>
      <c r="O46" s="48">
        <f t="shared" ref="O46:O62" si="13">IF((H46)=0,"",(N46/H46))</f>
        <v>0.33619525510769632</v>
      </c>
    </row>
    <row r="47" spans="2:15" x14ac:dyDescent="0.25">
      <c r="B47" s="31" t="s">
        <v>33</v>
      </c>
      <c r="C47" s="31"/>
      <c r="D47" s="63" t="s">
        <v>76</v>
      </c>
      <c r="E47" s="64"/>
      <c r="F47" s="32">
        <f>Rates!D15</f>
        <v>7.1000000000000004E-3</v>
      </c>
      <c r="G47" s="65">
        <f>F18*(1+F64)</f>
        <v>2183.3999999999996</v>
      </c>
      <c r="H47" s="30">
        <f>G47*F47</f>
        <v>15.502139999999999</v>
      </c>
      <c r="I47" s="31"/>
      <c r="J47" s="32">
        <f>Rates!F15</f>
        <v>7.0000000000000001E-3</v>
      </c>
      <c r="K47" s="66">
        <f>F18*(1+J64)</f>
        <v>2183.3999999999996</v>
      </c>
      <c r="L47" s="30">
        <f>K47*J47</f>
        <v>15.283799999999998</v>
      </c>
      <c r="M47" s="31"/>
      <c r="N47" s="34">
        <f t="shared" si="12"/>
        <v>-0.21834000000000131</v>
      </c>
      <c r="O47" s="35">
        <f t="shared" si="13"/>
        <v>-1.4084507042253606E-2</v>
      </c>
    </row>
    <row r="48" spans="2:15" ht="30" x14ac:dyDescent="0.25">
      <c r="B48" s="67" t="s">
        <v>34</v>
      </c>
      <c r="C48" s="31"/>
      <c r="D48" s="63" t="s">
        <v>76</v>
      </c>
      <c r="E48" s="64"/>
      <c r="F48" s="32">
        <f>Rates!D16</f>
        <v>5.3E-3</v>
      </c>
      <c r="G48" s="65">
        <f>G47</f>
        <v>2183.3999999999996</v>
      </c>
      <c r="H48" s="30">
        <f>G48*F48</f>
        <v>11.572019999999998</v>
      </c>
      <c r="I48" s="31"/>
      <c r="J48" s="32">
        <f>Rates!F16</f>
        <v>5.1000000000000004E-3</v>
      </c>
      <c r="K48" s="66">
        <f>K47</f>
        <v>2183.3999999999996</v>
      </c>
      <c r="L48" s="30">
        <f>K48*J48</f>
        <v>11.135339999999999</v>
      </c>
      <c r="M48" s="31"/>
      <c r="N48" s="34">
        <f t="shared" si="12"/>
        <v>-0.43667999999999907</v>
      </c>
      <c r="O48" s="35">
        <f t="shared" si="13"/>
        <v>-3.7735849056603696E-2</v>
      </c>
    </row>
    <row r="49" spans="2:19" ht="25.5" x14ac:dyDescent="0.25">
      <c r="B49" s="57" t="s">
        <v>35</v>
      </c>
      <c r="C49" s="39"/>
      <c r="D49" s="39"/>
      <c r="E49" s="39"/>
      <c r="F49" s="68"/>
      <c r="G49" s="60"/>
      <c r="H49" s="61">
        <f>SUM(H46:H48)</f>
        <v>105.98663599999998</v>
      </c>
      <c r="I49" s="69"/>
      <c r="J49" s="70"/>
      <c r="K49" s="71"/>
      <c r="L49" s="61">
        <f>SUM(L46:L48)</f>
        <v>131.86161599999994</v>
      </c>
      <c r="M49" s="69"/>
      <c r="N49" s="47">
        <f t="shared" si="12"/>
        <v>25.874979999999965</v>
      </c>
      <c r="O49" s="48">
        <f t="shared" si="13"/>
        <v>0.24413436426079199</v>
      </c>
    </row>
    <row r="50" spans="2:19" ht="30" x14ac:dyDescent="0.25">
      <c r="B50" s="72" t="s">
        <v>36</v>
      </c>
      <c r="C50" s="25"/>
      <c r="D50" s="63" t="s">
        <v>76</v>
      </c>
      <c r="E50" s="27"/>
      <c r="F50" s="75">
        <f>Rates!D17</f>
        <v>4.4000000000000003E-3</v>
      </c>
      <c r="G50" s="65">
        <f>G48</f>
        <v>2183.3999999999996</v>
      </c>
      <c r="H50" s="74">
        <f t="shared" ref="H50:H56" si="14">G50*F50</f>
        <v>9.6069599999999991</v>
      </c>
      <c r="I50" s="31"/>
      <c r="J50" s="75">
        <f>Rates!F17</f>
        <v>4.4000000000000003E-3</v>
      </c>
      <c r="K50" s="66">
        <f>K48</f>
        <v>2183.3999999999996</v>
      </c>
      <c r="L50" s="74">
        <f t="shared" ref="L50:L56" si="15">K50*J50</f>
        <v>9.6069599999999991</v>
      </c>
      <c r="M50" s="31"/>
      <c r="N50" s="34">
        <f t="shared" si="12"/>
        <v>0</v>
      </c>
      <c r="O50" s="76">
        <f t="shared" si="13"/>
        <v>0</v>
      </c>
    </row>
    <row r="51" spans="2:19" ht="30" x14ac:dyDescent="0.25">
      <c r="B51" s="72" t="s">
        <v>37</v>
      </c>
      <c r="C51" s="25"/>
      <c r="D51" s="63" t="s">
        <v>76</v>
      </c>
      <c r="E51" s="27"/>
      <c r="F51" s="75">
        <f>Rates!D18</f>
        <v>1.2999999999999999E-3</v>
      </c>
      <c r="G51" s="65">
        <f>G48</f>
        <v>2183.3999999999996</v>
      </c>
      <c r="H51" s="74">
        <f t="shared" si="14"/>
        <v>2.8384199999999993</v>
      </c>
      <c r="I51" s="31"/>
      <c r="J51" s="75">
        <f>Rates!F18</f>
        <v>1.2999999999999999E-3</v>
      </c>
      <c r="K51" s="66">
        <f>K48</f>
        <v>2183.3999999999996</v>
      </c>
      <c r="L51" s="74">
        <f t="shared" si="15"/>
        <v>2.8384199999999993</v>
      </c>
      <c r="M51" s="31"/>
      <c r="N51" s="34">
        <f t="shared" si="12"/>
        <v>0</v>
      </c>
      <c r="O51" s="76">
        <f t="shared" si="13"/>
        <v>0</v>
      </c>
    </row>
    <row r="52" spans="2:19" x14ac:dyDescent="0.25">
      <c r="B52" s="25" t="s">
        <v>38</v>
      </c>
      <c r="C52" s="25"/>
      <c r="D52" s="26" t="s">
        <v>75</v>
      </c>
      <c r="E52" s="27"/>
      <c r="F52" s="73">
        <f>Rates!D20</f>
        <v>0.25</v>
      </c>
      <c r="G52" s="29">
        <v>1</v>
      </c>
      <c r="H52" s="74">
        <f t="shared" si="14"/>
        <v>0.25</v>
      </c>
      <c r="I52" s="31"/>
      <c r="J52" s="75">
        <f>Rates!F20</f>
        <v>0.25</v>
      </c>
      <c r="K52" s="33">
        <v>1</v>
      </c>
      <c r="L52" s="74">
        <f t="shared" si="15"/>
        <v>0.25</v>
      </c>
      <c r="M52" s="31"/>
      <c r="N52" s="34">
        <f t="shared" si="12"/>
        <v>0</v>
      </c>
      <c r="O52" s="76">
        <f t="shared" si="13"/>
        <v>0</v>
      </c>
    </row>
    <row r="53" spans="2:19" x14ac:dyDescent="0.25">
      <c r="B53" s="25" t="s">
        <v>39</v>
      </c>
      <c r="C53" s="25"/>
      <c r="D53" s="26" t="s">
        <v>76</v>
      </c>
      <c r="E53" s="27"/>
      <c r="F53" s="73">
        <f>Rates!D79</f>
        <v>0</v>
      </c>
      <c r="G53" s="77">
        <f>F18</f>
        <v>2000</v>
      </c>
      <c r="H53" s="74">
        <f t="shared" si="14"/>
        <v>0</v>
      </c>
      <c r="I53" s="31"/>
      <c r="J53" s="75">
        <f>Rates!F79</f>
        <v>0</v>
      </c>
      <c r="K53" s="78">
        <f>F18</f>
        <v>2000</v>
      </c>
      <c r="L53" s="74">
        <f t="shared" si="15"/>
        <v>0</v>
      </c>
      <c r="M53" s="31"/>
      <c r="N53" s="34">
        <f t="shared" si="12"/>
        <v>0</v>
      </c>
      <c r="O53" s="76" t="str">
        <f t="shared" si="13"/>
        <v/>
      </c>
    </row>
    <row r="54" spans="2:19" x14ac:dyDescent="0.25">
      <c r="B54" s="53" t="s">
        <v>40</v>
      </c>
      <c r="C54" s="25"/>
      <c r="D54" s="26" t="s">
        <v>76</v>
      </c>
      <c r="E54" s="27"/>
      <c r="F54" s="79">
        <f>Rates!D87</f>
        <v>0.08</v>
      </c>
      <c r="G54" s="80">
        <f>0.64*$F$18</f>
        <v>1280</v>
      </c>
      <c r="H54" s="74">
        <f t="shared" si="14"/>
        <v>102.4</v>
      </c>
      <c r="I54" s="31"/>
      <c r="J54" s="73">
        <f>Rates!F87</f>
        <v>0.08</v>
      </c>
      <c r="K54" s="80">
        <f>G54</f>
        <v>1280</v>
      </c>
      <c r="L54" s="74">
        <f t="shared" si="15"/>
        <v>102.4</v>
      </c>
      <c r="M54" s="31"/>
      <c r="N54" s="34">
        <f t="shared" si="12"/>
        <v>0</v>
      </c>
      <c r="O54" s="76">
        <f t="shared" si="13"/>
        <v>0</v>
      </c>
      <c r="S54" s="81"/>
    </row>
    <row r="55" spans="2:19" x14ac:dyDescent="0.25">
      <c r="B55" s="53" t="s">
        <v>41</v>
      </c>
      <c r="C55" s="25"/>
      <c r="D55" s="26" t="s">
        <v>76</v>
      </c>
      <c r="E55" s="27"/>
      <c r="F55" s="79">
        <f>Rates!D88</f>
        <v>0.122</v>
      </c>
      <c r="G55" s="80">
        <f>0.18*$F$18</f>
        <v>360</v>
      </c>
      <c r="H55" s="74">
        <f t="shared" si="14"/>
        <v>43.92</v>
      </c>
      <c r="I55" s="31"/>
      <c r="J55" s="73">
        <f>Rates!F88</f>
        <v>0.122</v>
      </c>
      <c r="K55" s="80">
        <f>G55</f>
        <v>360</v>
      </c>
      <c r="L55" s="74">
        <f t="shared" si="15"/>
        <v>43.92</v>
      </c>
      <c r="M55" s="31"/>
      <c r="N55" s="34">
        <f t="shared" si="12"/>
        <v>0</v>
      </c>
      <c r="O55" s="76">
        <f t="shared" si="13"/>
        <v>0</v>
      </c>
      <c r="S55" s="81"/>
    </row>
    <row r="56" spans="2:19" ht="15.75" thickBot="1" x14ac:dyDescent="0.3">
      <c r="B56" s="15" t="s">
        <v>42</v>
      </c>
      <c r="C56" s="25"/>
      <c r="D56" s="26" t="s">
        <v>76</v>
      </c>
      <c r="E56" s="27"/>
      <c r="F56" s="79">
        <f>Rates!D89</f>
        <v>0.161</v>
      </c>
      <c r="G56" s="80">
        <f>0.18*$F$18</f>
        <v>360</v>
      </c>
      <c r="H56" s="74">
        <f t="shared" si="14"/>
        <v>57.96</v>
      </c>
      <c r="I56" s="31"/>
      <c r="J56" s="73">
        <f>Rates!F89</f>
        <v>0.161</v>
      </c>
      <c r="K56" s="80">
        <f>G56</f>
        <v>360</v>
      </c>
      <c r="L56" s="74">
        <f t="shared" si="15"/>
        <v>57.96</v>
      </c>
      <c r="M56" s="31"/>
      <c r="N56" s="34">
        <f t="shared" si="12"/>
        <v>0</v>
      </c>
      <c r="O56" s="76">
        <f t="shared" si="13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45</v>
      </c>
      <c r="C58" s="25"/>
      <c r="D58" s="25"/>
      <c r="E58" s="25"/>
      <c r="F58" s="101"/>
      <c r="G58" s="102"/>
      <c r="H58" s="103">
        <f>SUM(H50:H56,H49)</f>
        <v>322.96201599999995</v>
      </c>
      <c r="I58" s="104"/>
      <c r="J58" s="105"/>
      <c r="K58" s="105"/>
      <c r="L58" s="143">
        <f>SUM(L50:L56,L49)</f>
        <v>348.83699599999994</v>
      </c>
      <c r="M58" s="106"/>
      <c r="N58" s="107">
        <f t="shared" ref="N58" si="16">L58-H58</f>
        <v>25.874979999999994</v>
      </c>
      <c r="O58" s="108">
        <f t="shared" ref="O58" si="17">IF((H58)=0,"",(N58/H58))</f>
        <v>8.0117718858926115E-2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41.985062079999992</v>
      </c>
      <c r="I59" s="113"/>
      <c r="J59" s="114">
        <v>0.13</v>
      </c>
      <c r="K59" s="113"/>
      <c r="L59" s="115">
        <f>L58*J59</f>
        <v>45.348809479999993</v>
      </c>
      <c r="M59" s="116"/>
      <c r="N59" s="117">
        <f t="shared" si="12"/>
        <v>3.3637474000000012</v>
      </c>
      <c r="O59" s="118">
        <f t="shared" si="13"/>
        <v>8.0117718858926171E-2</v>
      </c>
      <c r="S59" s="81"/>
    </row>
    <row r="60" spans="2:19" x14ac:dyDescent="0.25">
      <c r="B60" s="119" t="s">
        <v>50</v>
      </c>
      <c r="C60" s="25"/>
      <c r="D60" s="25"/>
      <c r="E60" s="25"/>
      <c r="F60" s="120"/>
      <c r="G60" s="111"/>
      <c r="H60" s="112">
        <f>H58+H59</f>
        <v>364.94707807999993</v>
      </c>
      <c r="I60" s="113"/>
      <c r="J60" s="113"/>
      <c r="K60" s="113"/>
      <c r="L60" s="115">
        <f>L58+L59</f>
        <v>394.18580547999994</v>
      </c>
      <c r="M60" s="116"/>
      <c r="N60" s="117">
        <f t="shared" si="12"/>
        <v>29.238727400000016</v>
      </c>
      <c r="O60" s="118">
        <f t="shared" si="13"/>
        <v>8.0117718858926185E-2</v>
      </c>
      <c r="S60" s="81"/>
    </row>
    <row r="61" spans="2:19" x14ac:dyDescent="0.25">
      <c r="B61" s="211" t="s">
        <v>51</v>
      </c>
      <c r="C61" s="211"/>
      <c r="D61" s="211"/>
      <c r="E61" s="25"/>
      <c r="F61" s="120"/>
      <c r="G61" s="111"/>
      <c r="H61" s="121">
        <v>0</v>
      </c>
      <c r="I61" s="113"/>
      <c r="J61" s="113"/>
      <c r="K61" s="113"/>
      <c r="L61" s="122">
        <v>0</v>
      </c>
      <c r="M61" s="116"/>
      <c r="N61" s="123">
        <f t="shared" si="12"/>
        <v>0</v>
      </c>
      <c r="O61" s="124" t="str">
        <f t="shared" si="13"/>
        <v/>
      </c>
    </row>
    <row r="62" spans="2:19" x14ac:dyDescent="0.25">
      <c r="B62" s="212" t="s">
        <v>47</v>
      </c>
      <c r="C62" s="212"/>
      <c r="D62" s="212"/>
      <c r="E62" s="125"/>
      <c r="F62" s="126"/>
      <c r="G62" s="127"/>
      <c r="H62" s="128">
        <f>H60+H61</f>
        <v>364.94707807999993</v>
      </c>
      <c r="I62" s="129"/>
      <c r="J62" s="129"/>
      <c r="K62" s="129"/>
      <c r="L62" s="130">
        <f>L60+L61</f>
        <v>394.18580547999994</v>
      </c>
      <c r="M62" s="131"/>
      <c r="N62" s="132">
        <f t="shared" si="12"/>
        <v>29.238727400000016</v>
      </c>
      <c r="O62" s="133">
        <f t="shared" si="13"/>
        <v>8.0117718858926185E-2</v>
      </c>
    </row>
    <row r="63" spans="2:19" x14ac:dyDescent="0.25">
      <c r="L63" s="81"/>
    </row>
    <row r="64" spans="2:19" x14ac:dyDescent="0.25">
      <c r="B64" s="16" t="s">
        <v>48</v>
      </c>
      <c r="F64" s="141">
        <f>Rates!D84</f>
        <v>9.1700000000000004E-2</v>
      </c>
      <c r="J64" s="141">
        <f>Rates!F84</f>
        <v>9.1700000000000004E-2</v>
      </c>
    </row>
    <row r="66" spans="1:2" x14ac:dyDescent="0.25">
      <c r="A66" s="142"/>
      <c r="B66" s="10" t="s">
        <v>49</v>
      </c>
    </row>
  </sheetData>
  <mergeCells count="12">
    <mergeCell ref="D21:D22"/>
    <mergeCell ref="N21:N22"/>
    <mergeCell ref="O21:O22"/>
    <mergeCell ref="B61:D61"/>
    <mergeCell ref="B62:D6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prompt="Select Charge Unit - monthly, per kWh, per kW" sqref="D47:D48 D39:D45 D23:D37 D50:D57">
      <formula1>"Monthly, per kWh, per kW"</formula1>
    </dataValidation>
    <dataValidation type="list" allowBlank="1" showInputMessage="1" showErrorMessage="1" sqref="E47:E48 E39:E45 E23:E37 E50:E57">
      <formula1>#REF!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66"/>
  <sheetViews>
    <sheetView showGridLines="0" topLeftCell="A40" zoomScaleNormal="100" workbookViewId="0">
      <selection activeCell="B56" sqref="B56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00" t="s">
        <v>6</v>
      </c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/>
    </row>
    <row r="11" spans="1:20" ht="18.75" customHeight="1" x14ac:dyDescent="0.25">
      <c r="B11" s="200" t="s">
        <v>7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01" t="s">
        <v>95</v>
      </c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800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02" t="s">
        <v>13</v>
      </c>
      <c r="G20" s="203"/>
      <c r="H20" s="204"/>
      <c r="J20" s="202" t="s">
        <v>14</v>
      </c>
      <c r="K20" s="203"/>
      <c r="L20" s="204"/>
      <c r="N20" s="202" t="s">
        <v>15</v>
      </c>
      <c r="O20" s="204"/>
    </row>
    <row r="21" spans="2:15" x14ac:dyDescent="0.25">
      <c r="B21" s="15"/>
      <c r="D21" s="205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07" t="s">
        <v>20</v>
      </c>
      <c r="O21" s="209" t="s">
        <v>21</v>
      </c>
    </row>
    <row r="22" spans="2:15" x14ac:dyDescent="0.25">
      <c r="B22" s="15"/>
      <c r="D22" s="206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08"/>
      <c r="O22" s="210"/>
    </row>
    <row r="23" spans="2:15" x14ac:dyDescent="0.25">
      <c r="B23" s="25" t="s">
        <v>23</v>
      </c>
      <c r="C23" s="25"/>
      <c r="D23" s="26" t="s">
        <v>75</v>
      </c>
      <c r="E23" s="27"/>
      <c r="F23" s="28">
        <f>Rates!D3</f>
        <v>23.34</v>
      </c>
      <c r="G23" s="29">
        <v>1</v>
      </c>
      <c r="H23" s="30">
        <f>G23*F23</f>
        <v>23.34</v>
      </c>
      <c r="I23" s="31"/>
      <c r="J23" s="32">
        <f>Rates!F3</f>
        <v>27.52</v>
      </c>
      <c r="K23" s="33">
        <v>1</v>
      </c>
      <c r="L23" s="30">
        <f>K23*J23</f>
        <v>27.52</v>
      </c>
      <c r="M23" s="31"/>
      <c r="N23" s="34">
        <f>L23-H23</f>
        <v>4.18</v>
      </c>
      <c r="O23" s="35">
        <f>IF((H23)=0,"",(N23/H23))</f>
        <v>0.17909168808911738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9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x14ac:dyDescent="0.25">
      <c r="B25" s="170"/>
      <c r="C25" s="25"/>
      <c r="D25" s="63"/>
      <c r="E25" s="27"/>
      <c r="F25" s="28"/>
      <c r="G25" s="29">
        <v>1</v>
      </c>
      <c r="H25" s="30">
        <f t="shared" si="0"/>
        <v>0</v>
      </c>
      <c r="I25" s="31"/>
      <c r="J25" s="32">
        <f>Rates!F7</f>
        <v>0</v>
      </c>
      <c r="K25" s="33">
        <v>1</v>
      </c>
      <c r="L25" s="30">
        <f t="shared" ref="L25:L39" si="1">K25*J25</f>
        <v>0</v>
      </c>
      <c r="M25" s="31"/>
      <c r="N25" s="34">
        <f t="shared" ref="N25:N40" si="2">L25-H25</f>
        <v>0</v>
      </c>
      <c r="O25" s="35" t="str">
        <f t="shared" ref="O25:O40" si="3">IF((H25)=0,"",(N25/H25))</f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76</v>
      </c>
      <c r="E29" s="27"/>
      <c r="F29" s="28">
        <f>Rates!D5</f>
        <v>3.2800000000000003E-2</v>
      </c>
      <c r="G29" s="29">
        <f>$F$18</f>
        <v>800</v>
      </c>
      <c r="H29" s="30">
        <f t="shared" si="0"/>
        <v>26.240000000000002</v>
      </c>
      <c r="I29" s="31"/>
      <c r="J29" s="32">
        <f>Rates!F5</f>
        <v>2.86E-2</v>
      </c>
      <c r="K29" s="29">
        <f>$F$18</f>
        <v>800</v>
      </c>
      <c r="L29" s="30">
        <f t="shared" si="1"/>
        <v>22.88</v>
      </c>
      <c r="M29" s="31"/>
      <c r="N29" s="34">
        <f t="shared" si="2"/>
        <v>-3.360000000000003</v>
      </c>
      <c r="O29" s="35">
        <f t="shared" si="3"/>
        <v>-0.12804878048780499</v>
      </c>
    </row>
    <row r="30" spans="2:15" x14ac:dyDescent="0.25">
      <c r="B30" s="25" t="s">
        <v>26</v>
      </c>
      <c r="C30" s="25"/>
      <c r="D30" s="26" t="s">
        <v>75</v>
      </c>
      <c r="E30" s="27"/>
      <c r="F30" s="28">
        <f>Rates!D7</f>
        <v>2.0499999999999998</v>
      </c>
      <c r="G30" s="29">
        <v>1</v>
      </c>
      <c r="H30" s="30">
        <f t="shared" si="0"/>
        <v>2.0499999999999998</v>
      </c>
      <c r="I30" s="31"/>
      <c r="J30" s="32"/>
      <c r="K30" s="29">
        <f t="shared" ref="K30:K39" si="4">$F$18</f>
        <v>800</v>
      </c>
      <c r="L30" s="30">
        <f t="shared" si="1"/>
        <v>0</v>
      </c>
      <c r="M30" s="31"/>
      <c r="N30" s="34">
        <f t="shared" si="2"/>
        <v>-2.0499999999999998</v>
      </c>
      <c r="O30" s="35">
        <f t="shared" si="3"/>
        <v>-1</v>
      </c>
    </row>
    <row r="31" spans="2:15" ht="45" x14ac:dyDescent="0.25">
      <c r="B31" s="72" t="str">
        <f>Rates!A13</f>
        <v>Rate Rider for the Recovery of Lost Revenue Adjustment (LRAM) - effective until December 31, 2015</v>
      </c>
      <c r="C31" s="25"/>
      <c r="D31" s="63" t="s">
        <v>76</v>
      </c>
      <c r="E31" s="27"/>
      <c r="F31" s="32">
        <f>Rates!D13</f>
        <v>2.0000000000000001E-4</v>
      </c>
      <c r="G31" s="29">
        <f>$F$18</f>
        <v>800</v>
      </c>
      <c r="H31" s="30">
        <f t="shared" si="0"/>
        <v>0.16</v>
      </c>
      <c r="I31" s="31"/>
      <c r="J31" s="32">
        <f>Rates!F13</f>
        <v>0</v>
      </c>
      <c r="K31" s="29">
        <f t="shared" si="4"/>
        <v>800</v>
      </c>
      <c r="L31" s="30">
        <f t="shared" si="1"/>
        <v>0</v>
      </c>
      <c r="M31" s="31"/>
      <c r="N31" s="34">
        <f t="shared" si="2"/>
        <v>-0.16</v>
      </c>
      <c r="O31" s="35">
        <f t="shared" si="3"/>
        <v>-1</v>
      </c>
    </row>
    <row r="32" spans="2:15" x14ac:dyDescent="0.25">
      <c r="B32" s="144"/>
      <c r="C32" s="25"/>
      <c r="D32" s="63" t="s">
        <v>76</v>
      </c>
      <c r="E32" s="27"/>
      <c r="F32" s="32"/>
      <c r="G32" s="29">
        <f t="shared" ref="G32:G39" si="5">$F$18</f>
        <v>800</v>
      </c>
      <c r="H32" s="30">
        <f t="shared" si="0"/>
        <v>0</v>
      </c>
      <c r="I32" s="31"/>
      <c r="J32" s="32"/>
      <c r="K32" s="29">
        <f t="shared" si="4"/>
        <v>800</v>
      </c>
      <c r="L32" s="30">
        <f t="shared" si="1"/>
        <v>0</v>
      </c>
      <c r="M32" s="31"/>
      <c r="N32" s="34">
        <f t="shared" si="2"/>
        <v>0</v>
      </c>
      <c r="O32" s="35" t="str">
        <f t="shared" si="3"/>
        <v/>
      </c>
    </row>
    <row r="33" spans="2:15" x14ac:dyDescent="0.25">
      <c r="B33" s="144"/>
      <c r="C33" s="25"/>
      <c r="D33" s="63" t="s">
        <v>76</v>
      </c>
      <c r="E33" s="27"/>
      <c r="F33" s="32"/>
      <c r="G33" s="29">
        <f t="shared" si="5"/>
        <v>800</v>
      </c>
      <c r="H33" s="30">
        <f t="shared" si="0"/>
        <v>0</v>
      </c>
      <c r="I33" s="31"/>
      <c r="J33" s="32"/>
      <c r="K33" s="29">
        <f t="shared" si="4"/>
        <v>800</v>
      </c>
      <c r="L33" s="30">
        <f t="shared" si="1"/>
        <v>0</v>
      </c>
      <c r="M33" s="31"/>
      <c r="N33" s="34">
        <f t="shared" ref="N33" si="6">L33-H33</f>
        <v>0</v>
      </c>
      <c r="O33" s="35" t="str">
        <f t="shared" ref="O33" si="7">IF((H33)=0,"",(N33/H33))</f>
        <v/>
      </c>
    </row>
    <row r="34" spans="2:15" x14ac:dyDescent="0.25">
      <c r="B34" s="144"/>
      <c r="C34" s="25"/>
      <c r="D34" s="63" t="s">
        <v>76</v>
      </c>
      <c r="E34" s="27"/>
      <c r="F34" s="32"/>
      <c r="G34" s="29">
        <f t="shared" si="5"/>
        <v>800</v>
      </c>
      <c r="H34" s="30">
        <f t="shared" si="0"/>
        <v>0</v>
      </c>
      <c r="I34" s="31"/>
      <c r="J34" s="32"/>
      <c r="K34" s="29">
        <f t="shared" si="4"/>
        <v>800</v>
      </c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ht="45" x14ac:dyDescent="0.25">
      <c r="B35" s="144" t="str">
        <f>Rates!A14</f>
        <v>Rate Rider for the Disposition of Account 1575 &amp; 1576 - effective until December 31, 2019</v>
      </c>
      <c r="C35" s="25"/>
      <c r="D35" s="63" t="s">
        <v>76</v>
      </c>
      <c r="E35" s="27"/>
      <c r="F35" s="32">
        <f>Rates!D14</f>
        <v>-1.9E-3</v>
      </c>
      <c r="G35" s="29">
        <f t="shared" si="5"/>
        <v>800</v>
      </c>
      <c r="H35" s="30">
        <f t="shared" si="0"/>
        <v>-1.52</v>
      </c>
      <c r="I35" s="31"/>
      <c r="J35" s="32">
        <f>Rates!F14</f>
        <v>-1.9E-3</v>
      </c>
      <c r="K35" s="29">
        <f t="shared" si="4"/>
        <v>800</v>
      </c>
      <c r="L35" s="30">
        <f t="shared" si="1"/>
        <v>-1.52</v>
      </c>
      <c r="M35" s="31"/>
      <c r="N35" s="34">
        <f t="shared" si="2"/>
        <v>0</v>
      </c>
      <c r="O35" s="35">
        <f t="shared" si="3"/>
        <v>0</v>
      </c>
    </row>
    <row r="36" spans="2:15" x14ac:dyDescent="0.25">
      <c r="B36" s="37"/>
      <c r="C36" s="25"/>
      <c r="D36" s="26"/>
      <c r="E36" s="27"/>
      <c r="F36" s="28"/>
      <c r="G36" s="29">
        <f t="shared" si="5"/>
        <v>800</v>
      </c>
      <c r="H36" s="30">
        <f t="shared" si="0"/>
        <v>0</v>
      </c>
      <c r="I36" s="31"/>
      <c r="J36" s="32"/>
      <c r="K36" s="29">
        <f t="shared" si="4"/>
        <v>800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5"/>
        <v>800</v>
      </c>
      <c r="H37" s="30">
        <f t="shared" si="0"/>
        <v>0</v>
      </c>
      <c r="I37" s="31"/>
      <c r="J37" s="32"/>
      <c r="K37" s="29">
        <f t="shared" si="4"/>
        <v>800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5"/>
        <v>800</v>
      </c>
      <c r="H38" s="30">
        <f t="shared" si="0"/>
        <v>0</v>
      </c>
      <c r="I38" s="31"/>
      <c r="J38" s="32"/>
      <c r="K38" s="29">
        <f t="shared" si="4"/>
        <v>800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5"/>
        <v>800</v>
      </c>
      <c r="H39" s="30">
        <f t="shared" si="0"/>
        <v>0</v>
      </c>
      <c r="I39" s="31"/>
      <c r="J39" s="32"/>
      <c r="K39" s="29">
        <f t="shared" si="4"/>
        <v>800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SUM(H23:H39)</f>
        <v>50.269999999999989</v>
      </c>
      <c r="I40" s="44"/>
      <c r="J40" s="45"/>
      <c r="K40" s="46"/>
      <c r="L40" s="43">
        <f>SUM(L23:L39)</f>
        <v>48.879999999999995</v>
      </c>
      <c r="M40" s="44"/>
      <c r="N40" s="47">
        <f t="shared" si="2"/>
        <v>-1.3899999999999935</v>
      </c>
      <c r="O40" s="48">
        <f t="shared" si="3"/>
        <v>-2.7650686294012211E-2</v>
      </c>
    </row>
    <row r="41" spans="2:15" ht="38.25" x14ac:dyDescent="0.25">
      <c r="B41" s="50" t="str">
        <f>Rates!A11</f>
        <v>Rate Rider for the Disposition of Deferral/Variance Accounts (2014) - effective until December 31, 2015</v>
      </c>
      <c r="C41" s="25"/>
      <c r="D41" s="63" t="s">
        <v>76</v>
      </c>
      <c r="E41" s="27"/>
      <c r="F41" s="32">
        <f>Rates!D11</f>
        <v>-1.41E-2</v>
      </c>
      <c r="G41" s="29">
        <f>$F$18</f>
        <v>800</v>
      </c>
      <c r="H41" s="30">
        <f>G41*F41</f>
        <v>-11.28</v>
      </c>
      <c r="I41" s="31"/>
      <c r="J41" s="32">
        <f>Rates!F11</f>
        <v>0</v>
      </c>
      <c r="K41" s="29">
        <f>$F$18</f>
        <v>800</v>
      </c>
      <c r="L41" s="30">
        <f>K41*J41</f>
        <v>0</v>
      </c>
      <c r="M41" s="31"/>
      <c r="N41" s="34">
        <f>L41-H41</f>
        <v>11.28</v>
      </c>
      <c r="O41" s="35">
        <f>IF((H41)=0,"",(N41/H41))</f>
        <v>-1</v>
      </c>
    </row>
    <row r="42" spans="2:15" ht="38.25" x14ac:dyDescent="0.25">
      <c r="B42" s="50" t="str">
        <f>Rates!A12</f>
        <v>Rate Rider for the Disposition of Global Adjustment Sub-Account (2014) - effective until December 31, 2015</v>
      </c>
      <c r="C42" s="25"/>
      <c r="D42" s="63" t="s">
        <v>76</v>
      </c>
      <c r="E42" s="27"/>
      <c r="F42" s="32">
        <f>Rates!D12</f>
        <v>2.1899999999999999E-2</v>
      </c>
      <c r="G42" s="29">
        <f t="shared" ref="G42:G45" si="8">$F$18</f>
        <v>800</v>
      </c>
      <c r="H42" s="30">
        <f t="shared" ref="H42:H46" si="9">G42*F42</f>
        <v>17.52</v>
      </c>
      <c r="I42" s="51"/>
      <c r="J42" s="32">
        <f>Rates!F12</f>
        <v>0</v>
      </c>
      <c r="K42" s="29">
        <f t="shared" ref="K42:K45" si="10">$F$18</f>
        <v>800</v>
      </c>
      <c r="L42" s="30">
        <f t="shared" ref="L42:L46" si="11">K42*J42</f>
        <v>0</v>
      </c>
      <c r="M42" s="52"/>
      <c r="N42" s="34">
        <f t="shared" ref="N42:N46" si="12">L42-H42</f>
        <v>-17.52</v>
      </c>
      <c r="O42" s="35">
        <f t="shared" ref="O42:O46" si="13">IF((H42)=0,"",(N42/H42))</f>
        <v>-1</v>
      </c>
    </row>
    <row r="43" spans="2:15" ht="38.25" x14ac:dyDescent="0.25">
      <c r="B43" s="50" t="str">
        <f>Rates!A8</f>
        <v>Rate Rider for the Disposition of Deferral/Variance Accounts (2016) - effective until December 31, 2016</v>
      </c>
      <c r="C43" s="25"/>
      <c r="D43" s="26" t="s">
        <v>76</v>
      </c>
      <c r="E43" s="27"/>
      <c r="F43" s="28"/>
      <c r="G43" s="29">
        <f t="shared" si="8"/>
        <v>800</v>
      </c>
      <c r="H43" s="30">
        <f t="shared" si="9"/>
        <v>0</v>
      </c>
      <c r="I43" s="51"/>
      <c r="J43" s="32">
        <f>Rates!F8</f>
        <v>0</v>
      </c>
      <c r="K43" s="29">
        <f t="shared" si="10"/>
        <v>800</v>
      </c>
      <c r="L43" s="30">
        <f t="shared" si="11"/>
        <v>0</v>
      </c>
      <c r="M43" s="52"/>
      <c r="N43" s="34">
        <f t="shared" si="12"/>
        <v>0</v>
      </c>
      <c r="O43" s="35" t="str">
        <f t="shared" si="13"/>
        <v/>
      </c>
    </row>
    <row r="44" spans="2:15" ht="38.25" x14ac:dyDescent="0.25">
      <c r="B44" s="50" t="str">
        <f>Rates!A9</f>
        <v>Rate Rider for the Disposition of Global Adjustment Sub-Account (2016) - effective until December 31, 2016</v>
      </c>
      <c r="C44" s="25"/>
      <c r="D44" s="26" t="s">
        <v>76</v>
      </c>
      <c r="E44" s="27"/>
      <c r="F44" s="28"/>
      <c r="G44" s="29">
        <f t="shared" si="8"/>
        <v>800</v>
      </c>
      <c r="H44" s="30">
        <f t="shared" si="9"/>
        <v>0</v>
      </c>
      <c r="I44" s="51"/>
      <c r="J44" s="32">
        <f>Rates!F9</f>
        <v>0</v>
      </c>
      <c r="K44" s="29">
        <f t="shared" si="10"/>
        <v>800</v>
      </c>
      <c r="L44" s="30">
        <f t="shared" si="11"/>
        <v>0</v>
      </c>
      <c r="M44" s="52"/>
      <c r="N44" s="34">
        <f t="shared" si="12"/>
        <v>0</v>
      </c>
      <c r="O44" s="35" t="str">
        <f t="shared" si="13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8"/>
        <v>800</v>
      </c>
      <c r="H45" s="30">
        <f>G45*F45</f>
        <v>0</v>
      </c>
      <c r="I45" s="31"/>
      <c r="J45" s="32"/>
      <c r="K45" s="29">
        <f t="shared" si="10"/>
        <v>800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76</v>
      </c>
      <c r="E46" s="27"/>
      <c r="F46" s="54">
        <f>Rates!D92</f>
        <v>0.10214000000000001</v>
      </c>
      <c r="G46" s="29">
        <f>$F$18*(1+$F$64)-$F$18</f>
        <v>73.3599999999999</v>
      </c>
      <c r="H46" s="30">
        <f t="shared" si="9"/>
        <v>7.4929903999999903</v>
      </c>
      <c r="I46" s="31"/>
      <c r="J46" s="56">
        <f>Rates!F92</f>
        <v>0.10214000000000001</v>
      </c>
      <c r="K46" s="29">
        <f>$F$18*(1+$J$64)-$F$18</f>
        <v>73.3599999999999</v>
      </c>
      <c r="L46" s="30">
        <f t="shared" si="11"/>
        <v>7.4929903999999903</v>
      </c>
      <c r="M46" s="31"/>
      <c r="N46" s="34">
        <f t="shared" si="12"/>
        <v>0</v>
      </c>
      <c r="O46" s="35">
        <f t="shared" si="13"/>
        <v>0</v>
      </c>
    </row>
    <row r="47" spans="2:15" x14ac:dyDescent="0.25">
      <c r="B47" s="53" t="s">
        <v>31</v>
      </c>
      <c r="C47" s="25"/>
      <c r="D47" s="26" t="s">
        <v>75</v>
      </c>
      <c r="E47" s="27"/>
      <c r="F47" s="54">
        <f>Rates!D19</f>
        <v>0.79</v>
      </c>
      <c r="G47" s="29">
        <v>1</v>
      </c>
      <c r="H47" s="30">
        <f>G47*F47</f>
        <v>0.79</v>
      </c>
      <c r="I47" s="31"/>
      <c r="J47" s="54">
        <f>Rates!F19</f>
        <v>0.79</v>
      </c>
      <c r="K47" s="29">
        <v>1</v>
      </c>
      <c r="L47" s="30">
        <f>K47*J47</f>
        <v>0.79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64.792990399999979</v>
      </c>
      <c r="I48" s="44"/>
      <c r="J48" s="60"/>
      <c r="K48" s="62"/>
      <c r="L48" s="61">
        <f>SUM(L41:L47)+L40</f>
        <v>57.162990399999984</v>
      </c>
      <c r="M48" s="44"/>
      <c r="N48" s="47">
        <f t="shared" ref="N48:N62" si="14">L48-H48</f>
        <v>-7.6299999999999955</v>
      </c>
      <c r="O48" s="48">
        <f t="shared" ref="O48:O62" si="15">IF((H48)=0,"",(N48/H48))</f>
        <v>-0.11775965197618041</v>
      </c>
    </row>
    <row r="49" spans="2:19" x14ac:dyDescent="0.25">
      <c r="B49" s="31" t="s">
        <v>33</v>
      </c>
      <c r="C49" s="31"/>
      <c r="D49" s="63" t="s">
        <v>76</v>
      </c>
      <c r="E49" s="64"/>
      <c r="F49" s="32">
        <f>Rates!D15</f>
        <v>7.1000000000000004E-3</v>
      </c>
      <c r="G49" s="65">
        <f>F18*(1+F64)</f>
        <v>873.3599999999999</v>
      </c>
      <c r="H49" s="30">
        <f>G49*F49</f>
        <v>6.2008559999999999</v>
      </c>
      <c r="I49" s="31"/>
      <c r="J49" s="32">
        <f>Rates!F15</f>
        <v>7.0000000000000001E-3</v>
      </c>
      <c r="K49" s="66">
        <f>F18*(1+J64)</f>
        <v>873.3599999999999</v>
      </c>
      <c r="L49" s="30">
        <f>K49*J49</f>
        <v>6.1135199999999994</v>
      </c>
      <c r="M49" s="31"/>
      <c r="N49" s="34">
        <f t="shared" si="14"/>
        <v>-8.7336000000000524E-2</v>
      </c>
      <c r="O49" s="35">
        <f t="shared" si="15"/>
        <v>-1.4084507042253606E-2</v>
      </c>
    </row>
    <row r="50" spans="2:19" ht="30" x14ac:dyDescent="0.25">
      <c r="B50" s="67" t="s">
        <v>34</v>
      </c>
      <c r="C50" s="31"/>
      <c r="D50" s="63" t="s">
        <v>76</v>
      </c>
      <c r="E50" s="64"/>
      <c r="F50" s="32">
        <f>Rates!D16</f>
        <v>5.3E-3</v>
      </c>
      <c r="G50" s="65">
        <f>G49</f>
        <v>873.3599999999999</v>
      </c>
      <c r="H50" s="30">
        <f>G50*F50</f>
        <v>4.6288079999999994</v>
      </c>
      <c r="I50" s="31"/>
      <c r="J50" s="32">
        <f>Rates!F16</f>
        <v>5.1000000000000004E-3</v>
      </c>
      <c r="K50" s="66">
        <f>K49</f>
        <v>873.3599999999999</v>
      </c>
      <c r="L50" s="30">
        <f>K50*J50</f>
        <v>4.4541360000000001</v>
      </c>
      <c r="M50" s="31"/>
      <c r="N50" s="34">
        <f t="shared" si="14"/>
        <v>-0.17467199999999927</v>
      </c>
      <c r="O50" s="35">
        <f t="shared" si="15"/>
        <v>-3.7735849056603619E-2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75.622654399999988</v>
      </c>
      <c r="I51" s="69"/>
      <c r="J51" s="70"/>
      <c r="K51" s="71"/>
      <c r="L51" s="61">
        <f>SUM(L48:L50)</f>
        <v>67.730646399999983</v>
      </c>
      <c r="M51" s="69"/>
      <c r="N51" s="47">
        <f t="shared" si="14"/>
        <v>-7.8920080000000041</v>
      </c>
      <c r="O51" s="48">
        <f t="shared" si="15"/>
        <v>-0.10436036744036857</v>
      </c>
    </row>
    <row r="52" spans="2:19" ht="30" x14ac:dyDescent="0.25">
      <c r="B52" s="72" t="s">
        <v>36</v>
      </c>
      <c r="C52" s="25"/>
      <c r="D52" s="63" t="s">
        <v>76</v>
      </c>
      <c r="E52" s="27"/>
      <c r="F52" s="75">
        <f>Rates!D17</f>
        <v>4.4000000000000003E-3</v>
      </c>
      <c r="G52" s="65">
        <f>G50</f>
        <v>873.3599999999999</v>
      </c>
      <c r="H52" s="74">
        <f t="shared" ref="H52:H56" si="16">G52*F52</f>
        <v>3.842784</v>
      </c>
      <c r="I52" s="31"/>
      <c r="J52" s="75">
        <f>Rates!F17</f>
        <v>4.4000000000000003E-3</v>
      </c>
      <c r="K52" s="66">
        <f>K50</f>
        <v>873.3599999999999</v>
      </c>
      <c r="L52" s="74">
        <f t="shared" ref="L52:L56" si="17">K52*J52</f>
        <v>3.842784</v>
      </c>
      <c r="M52" s="31"/>
      <c r="N52" s="34">
        <f t="shared" si="14"/>
        <v>0</v>
      </c>
      <c r="O52" s="76">
        <f t="shared" si="15"/>
        <v>0</v>
      </c>
    </row>
    <row r="53" spans="2:19" ht="30" x14ac:dyDescent="0.25">
      <c r="B53" s="72" t="s">
        <v>37</v>
      </c>
      <c r="C53" s="25"/>
      <c r="D53" s="63" t="s">
        <v>76</v>
      </c>
      <c r="E53" s="27"/>
      <c r="F53" s="75">
        <f>Rates!D18</f>
        <v>1.2999999999999999E-3</v>
      </c>
      <c r="G53" s="65">
        <f>G50</f>
        <v>873.3599999999999</v>
      </c>
      <c r="H53" s="74">
        <f t="shared" si="16"/>
        <v>1.1353679999999997</v>
      </c>
      <c r="I53" s="31"/>
      <c r="J53" s="75">
        <f>Rates!F18</f>
        <v>1.2999999999999999E-3</v>
      </c>
      <c r="K53" s="66">
        <f>K50</f>
        <v>873.3599999999999</v>
      </c>
      <c r="L53" s="74">
        <f t="shared" si="17"/>
        <v>1.1353679999999997</v>
      </c>
      <c r="M53" s="31"/>
      <c r="N53" s="34">
        <f t="shared" si="14"/>
        <v>0</v>
      </c>
      <c r="O53" s="76">
        <f t="shared" si="15"/>
        <v>0</v>
      </c>
    </row>
    <row r="54" spans="2:19" x14ac:dyDescent="0.25">
      <c r="B54" s="25" t="s">
        <v>38</v>
      </c>
      <c r="C54" s="25"/>
      <c r="D54" s="26" t="s">
        <v>75</v>
      </c>
      <c r="E54" s="27"/>
      <c r="F54" s="73">
        <f>Rates!D20</f>
        <v>0.25</v>
      </c>
      <c r="G54" s="29">
        <v>1</v>
      </c>
      <c r="H54" s="74">
        <f t="shared" si="16"/>
        <v>0.25</v>
      </c>
      <c r="I54" s="31"/>
      <c r="J54" s="75">
        <f>Rates!F20</f>
        <v>0.25</v>
      </c>
      <c r="K54" s="33">
        <v>1</v>
      </c>
      <c r="L54" s="74">
        <f t="shared" si="17"/>
        <v>0.25</v>
      </c>
      <c r="M54" s="31"/>
      <c r="N54" s="34">
        <f t="shared" si="14"/>
        <v>0</v>
      </c>
      <c r="O54" s="76">
        <f t="shared" si="15"/>
        <v>0</v>
      </c>
    </row>
    <row r="55" spans="2:19" x14ac:dyDescent="0.25">
      <c r="B55" s="25" t="s">
        <v>39</v>
      </c>
      <c r="C55" s="25"/>
      <c r="D55" s="26" t="s">
        <v>76</v>
      </c>
      <c r="E55" s="27"/>
      <c r="F55" s="73">
        <f>Rates!D79</f>
        <v>0</v>
      </c>
      <c r="G55" s="77">
        <f>F18</f>
        <v>800</v>
      </c>
      <c r="H55" s="74">
        <f t="shared" si="16"/>
        <v>0</v>
      </c>
      <c r="I55" s="31"/>
      <c r="J55" s="75">
        <f>Rates!F79</f>
        <v>0</v>
      </c>
      <c r="K55" s="78">
        <f>F18</f>
        <v>800</v>
      </c>
      <c r="L55" s="74">
        <f t="shared" si="17"/>
        <v>0</v>
      </c>
      <c r="M55" s="31"/>
      <c r="N55" s="34">
        <f t="shared" si="14"/>
        <v>0</v>
      </c>
      <c r="O55" s="76" t="str">
        <f t="shared" si="15"/>
        <v/>
      </c>
    </row>
    <row r="56" spans="2:19" ht="15.75" thickBot="1" x14ac:dyDescent="0.3">
      <c r="B56" s="53" t="s">
        <v>96</v>
      </c>
      <c r="C56" s="25"/>
      <c r="D56" s="26" t="s">
        <v>76</v>
      </c>
      <c r="E56" s="27"/>
      <c r="F56" s="79">
        <f>Rates!D91</f>
        <v>0.10214000000000001</v>
      </c>
      <c r="G56" s="80">
        <f>F18</f>
        <v>800</v>
      </c>
      <c r="H56" s="74">
        <f t="shared" si="16"/>
        <v>81.712000000000003</v>
      </c>
      <c r="I56" s="31"/>
      <c r="J56" s="73">
        <f>Rates!F91</f>
        <v>0.10214000000000001</v>
      </c>
      <c r="K56" s="80">
        <f>G56</f>
        <v>800</v>
      </c>
      <c r="L56" s="74">
        <f t="shared" si="17"/>
        <v>81.712000000000003</v>
      </c>
      <c r="M56" s="31"/>
      <c r="N56" s="34">
        <f t="shared" si="14"/>
        <v>0</v>
      </c>
      <c r="O56" s="76">
        <f t="shared" si="15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93</v>
      </c>
      <c r="C58" s="25"/>
      <c r="D58" s="25"/>
      <c r="E58" s="25"/>
      <c r="F58" s="101"/>
      <c r="G58" s="102"/>
      <c r="H58" s="103">
        <f>SUM(H52:H56,H51)</f>
        <v>162.5628064</v>
      </c>
      <c r="I58" s="104"/>
      <c r="J58" s="105"/>
      <c r="K58" s="105"/>
      <c r="L58" s="143">
        <f>SUM(L52:L56,L51)</f>
        <v>154.67079839999997</v>
      </c>
      <c r="M58" s="106"/>
      <c r="N58" s="107">
        <f t="shared" ref="N58" si="18">L58-H58</f>
        <v>-7.8920080000000326</v>
      </c>
      <c r="O58" s="108">
        <f t="shared" ref="O58" si="19">IF((H58)=0,"",(N58/H58))</f>
        <v>-4.8547439446764082E-2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21.133164832000002</v>
      </c>
      <c r="I59" s="113"/>
      <c r="J59" s="114">
        <v>0.13</v>
      </c>
      <c r="K59" s="113"/>
      <c r="L59" s="115">
        <f>L58*J59</f>
        <v>20.107203791999996</v>
      </c>
      <c r="M59" s="116"/>
      <c r="N59" s="117">
        <f t="shared" si="14"/>
        <v>-1.0259610400000057</v>
      </c>
      <c r="O59" s="118">
        <f t="shared" si="15"/>
        <v>-4.8547439446764144E-2</v>
      </c>
      <c r="S59" s="81"/>
    </row>
    <row r="60" spans="2:19" x14ac:dyDescent="0.25">
      <c r="B60" s="119" t="s">
        <v>50</v>
      </c>
      <c r="C60" s="25"/>
      <c r="D60" s="25"/>
      <c r="E60" s="25"/>
      <c r="F60" s="120"/>
      <c r="G60" s="111"/>
      <c r="H60" s="112">
        <f>H58+H59</f>
        <v>183.69597123200001</v>
      </c>
      <c r="I60" s="113"/>
      <c r="J60" s="113"/>
      <c r="K60" s="113"/>
      <c r="L60" s="115">
        <f>L58+L59</f>
        <v>174.77800219199997</v>
      </c>
      <c r="M60" s="116"/>
      <c r="N60" s="117">
        <f t="shared" si="14"/>
        <v>-8.9179690400000311</v>
      </c>
      <c r="O60" s="118">
        <f t="shared" si="15"/>
        <v>-4.8547439446764047E-2</v>
      </c>
      <c r="S60" s="81"/>
    </row>
    <row r="61" spans="2:19" x14ac:dyDescent="0.25">
      <c r="B61" s="211" t="s">
        <v>51</v>
      </c>
      <c r="C61" s="211"/>
      <c r="D61" s="211"/>
      <c r="E61" s="25"/>
      <c r="F61" s="120"/>
      <c r="G61" s="111"/>
      <c r="H61" s="121">
        <f>ROUND(-H60*10%,2)</f>
        <v>-18.37</v>
      </c>
      <c r="I61" s="113"/>
      <c r="J61" s="113"/>
      <c r="K61" s="113"/>
      <c r="L61" s="122">
        <f>ROUND(-L60*10%,2)</f>
        <v>-17.48</v>
      </c>
      <c r="M61" s="116"/>
      <c r="N61" s="123">
        <f t="shared" si="14"/>
        <v>0.89000000000000057</v>
      </c>
      <c r="O61" s="124">
        <f t="shared" si="15"/>
        <v>-4.8448557430593384E-2</v>
      </c>
    </row>
    <row r="62" spans="2:19" x14ac:dyDescent="0.25">
      <c r="B62" s="212" t="s">
        <v>47</v>
      </c>
      <c r="C62" s="212"/>
      <c r="D62" s="212"/>
      <c r="E62" s="125"/>
      <c r="F62" s="126"/>
      <c r="G62" s="127"/>
      <c r="H62" s="128">
        <f>H60+H61</f>
        <v>165.325971232</v>
      </c>
      <c r="I62" s="129"/>
      <c r="J62" s="129"/>
      <c r="K62" s="129"/>
      <c r="L62" s="130">
        <f>L60+L61</f>
        <v>157.29800219199998</v>
      </c>
      <c r="M62" s="131"/>
      <c r="N62" s="132">
        <f t="shared" si="14"/>
        <v>-8.0279690400000163</v>
      </c>
      <c r="O62" s="133">
        <f t="shared" si="15"/>
        <v>-4.8558426605185105E-2</v>
      </c>
    </row>
    <row r="63" spans="2:19" x14ac:dyDescent="0.25">
      <c r="L63" s="81"/>
    </row>
    <row r="64" spans="2:19" x14ac:dyDescent="0.25">
      <c r="B64" s="16" t="s">
        <v>48</v>
      </c>
      <c r="F64" s="141">
        <f>Rates!D84</f>
        <v>9.1700000000000004E-2</v>
      </c>
      <c r="J64" s="141">
        <f>Rates!F84</f>
        <v>9.1700000000000004E-2</v>
      </c>
    </row>
    <row r="66" spans="1:2" x14ac:dyDescent="0.25">
      <c r="A66" s="142"/>
      <c r="B66" s="10" t="s">
        <v>49</v>
      </c>
    </row>
  </sheetData>
  <mergeCells count="12">
    <mergeCell ref="A3:K3"/>
    <mergeCell ref="B10:O10"/>
    <mergeCell ref="B11:O11"/>
    <mergeCell ref="D14:O14"/>
    <mergeCell ref="F20:H20"/>
    <mergeCell ref="J20:L20"/>
    <mergeCell ref="N20:O20"/>
    <mergeCell ref="D21:D22"/>
    <mergeCell ref="N21:N22"/>
    <mergeCell ref="O21:O22"/>
    <mergeCell ref="B61:D61"/>
    <mergeCell ref="B62:D62"/>
  </mergeCells>
  <dataValidations count="3">
    <dataValidation type="list" allowBlank="1" showInputMessage="1" showErrorMessage="1" prompt="Select Charge Unit - monthly, per kWh, per kW" sqref="D49:D50 D41:D47 D52:D57 D23:D39">
      <formula1>"Monthly, per kWh, per kW"</formula1>
    </dataValidation>
    <dataValidation type="list" allowBlank="1" showInputMessage="1" showErrorMessage="1" sqref="E49:E50 E41:E47 E52:E57 E23:E39">
      <formula1>#REF!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5"/>
  <sheetViews>
    <sheetView showGridLines="0" topLeftCell="A37" zoomScaleNormal="100" workbookViewId="0">
      <selection activeCell="H33" sqref="H33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00" t="s">
        <v>6</v>
      </c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/>
    </row>
    <row r="11" spans="1:20" ht="18.75" customHeight="1" x14ac:dyDescent="0.25">
      <c r="B11" s="200" t="s">
        <v>7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01" t="s">
        <v>64</v>
      </c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90000</v>
      </c>
      <c r="G17" s="16" t="s">
        <v>12</v>
      </c>
      <c r="I17" s="213" t="s">
        <v>79</v>
      </c>
      <c r="J17" s="213"/>
      <c r="K17" s="17">
        <v>225</v>
      </c>
      <c r="L17" s="145" t="s">
        <v>80</v>
      </c>
    </row>
    <row r="18" spans="2:15" x14ac:dyDescent="0.25">
      <c r="B18" s="15"/>
    </row>
    <row r="19" spans="2:15" x14ac:dyDescent="0.25">
      <c r="B19" s="15"/>
      <c r="D19" s="18"/>
      <c r="E19" s="18"/>
      <c r="F19" s="202" t="s">
        <v>13</v>
      </c>
      <c r="G19" s="203"/>
      <c r="H19" s="204"/>
      <c r="J19" s="202" t="s">
        <v>14</v>
      </c>
      <c r="K19" s="203"/>
      <c r="L19" s="204"/>
      <c r="N19" s="202" t="s">
        <v>15</v>
      </c>
      <c r="O19" s="204"/>
    </row>
    <row r="20" spans="2:15" x14ac:dyDescent="0.25">
      <c r="B20" s="15"/>
      <c r="D20" s="205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07" t="s">
        <v>20</v>
      </c>
      <c r="O20" s="209" t="s">
        <v>21</v>
      </c>
    </row>
    <row r="21" spans="2:15" x14ac:dyDescent="0.25">
      <c r="B21" s="15"/>
      <c r="D21" s="206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08"/>
      <c r="O21" s="210"/>
    </row>
    <row r="22" spans="2:15" x14ac:dyDescent="0.25">
      <c r="B22" s="25" t="s">
        <v>23</v>
      </c>
      <c r="C22" s="25"/>
      <c r="D22" s="26" t="s">
        <v>75</v>
      </c>
      <c r="E22" s="27"/>
      <c r="F22" s="28">
        <f>Rates!D23</f>
        <v>600.83000000000004</v>
      </c>
      <c r="G22" s="29">
        <v>1</v>
      </c>
      <c r="H22" s="30">
        <f>G22*F22</f>
        <v>600.83000000000004</v>
      </c>
      <c r="I22" s="31"/>
      <c r="J22" s="32">
        <f>Rates!F23</f>
        <v>605.58000000000004</v>
      </c>
      <c r="K22" s="33">
        <v>1</v>
      </c>
      <c r="L22" s="30">
        <f>K22*J22</f>
        <v>605.58000000000004</v>
      </c>
      <c r="M22" s="31"/>
      <c r="N22" s="34">
        <f>L22-H22</f>
        <v>4.75</v>
      </c>
      <c r="O22" s="35">
        <f>IF((H22)=0,"",(N22/H22))</f>
        <v>7.9057304062713236E-3</v>
      </c>
    </row>
    <row r="23" spans="2:15" x14ac:dyDescent="0.25">
      <c r="B23" s="25"/>
      <c r="C23" s="25"/>
      <c r="D23" s="26"/>
      <c r="E23" s="27"/>
      <c r="F23" s="28"/>
      <c r="G23" s="29">
        <v>1</v>
      </c>
      <c r="H23" s="30">
        <f t="shared" ref="H23:H39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9" si="1">K24*J24</f>
        <v>0</v>
      </c>
      <c r="M24" s="31"/>
      <c r="N24" s="34">
        <f t="shared" ref="N24:N40" si="2">L24-H24</f>
        <v>0</v>
      </c>
      <c r="O24" s="35" t="str">
        <f t="shared" ref="O24:O40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81</v>
      </c>
      <c r="E28" s="27"/>
      <c r="F28" s="28">
        <f>Rates!D24</f>
        <v>3.1131000000000002</v>
      </c>
      <c r="G28" s="29">
        <f>$K$17</f>
        <v>225</v>
      </c>
      <c r="H28" s="30">
        <f t="shared" si="0"/>
        <v>700.44749999999999</v>
      </c>
      <c r="I28" s="31"/>
      <c r="J28" s="32">
        <f>Rates!F24</f>
        <v>3.1377000000000002</v>
      </c>
      <c r="K28" s="29">
        <f>$K$17</f>
        <v>225</v>
      </c>
      <c r="L28" s="30">
        <f t="shared" si="1"/>
        <v>705.98250000000007</v>
      </c>
      <c r="M28" s="31"/>
      <c r="N28" s="34">
        <f t="shared" si="2"/>
        <v>5.5350000000000819</v>
      </c>
      <c r="O28" s="35">
        <f t="shared" si="3"/>
        <v>7.9020911631493898E-3</v>
      </c>
    </row>
    <row r="29" spans="2:15" x14ac:dyDescent="0.25">
      <c r="B29" s="25"/>
      <c r="C29" s="25"/>
      <c r="D29" s="26"/>
      <c r="E29" s="27"/>
      <c r="F29" s="28"/>
      <c r="G29" s="29"/>
      <c r="H29" s="30">
        <f t="shared" si="0"/>
        <v>0</v>
      </c>
      <c r="I29" s="31"/>
      <c r="J29" s="32"/>
      <c r="K29" s="29"/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Rates!A31</f>
        <v>Rate Rider for the Recovery of Lost Revenue Adjustment (LRAM) - effective until December 31, 2015</v>
      </c>
      <c r="C30" s="25"/>
      <c r="D30" s="63" t="s">
        <v>81</v>
      </c>
      <c r="E30" s="27"/>
      <c r="F30" s="32">
        <f>Rates!D31</f>
        <v>3.2000000000000002E-3</v>
      </c>
      <c r="G30" s="29">
        <f t="shared" ref="G30:G45" si="4">$K$17</f>
        <v>225</v>
      </c>
      <c r="H30" s="30">
        <f t="shared" si="0"/>
        <v>0.72000000000000008</v>
      </c>
      <c r="I30" s="31"/>
      <c r="J30" s="32">
        <f>Rates!F31</f>
        <v>0</v>
      </c>
      <c r="K30" s="29">
        <f t="shared" ref="K30:K45" si="5">$K$17</f>
        <v>225</v>
      </c>
      <c r="L30" s="30">
        <f t="shared" si="1"/>
        <v>0</v>
      </c>
      <c r="M30" s="31"/>
      <c r="N30" s="34">
        <f t="shared" si="2"/>
        <v>-0.72000000000000008</v>
      </c>
      <c r="O30" s="35">
        <f t="shared" si="3"/>
        <v>-1</v>
      </c>
    </row>
    <row r="31" spans="2:15" x14ac:dyDescent="0.25">
      <c r="B31" s="144"/>
      <c r="C31" s="25"/>
      <c r="D31" s="63"/>
      <c r="E31" s="27"/>
      <c r="F31" s="32"/>
      <c r="G31" s="29"/>
      <c r="H31" s="30">
        <f t="shared" si="0"/>
        <v>0</v>
      </c>
      <c r="I31" s="31"/>
      <c r="J31" s="32"/>
      <c r="K31" s="29"/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x14ac:dyDescent="0.25">
      <c r="B32" s="144"/>
      <c r="C32" s="25"/>
      <c r="D32" s="63"/>
      <c r="E32" s="27"/>
      <c r="F32" s="32"/>
      <c r="G32" s="29"/>
      <c r="H32" s="30">
        <f t="shared" ref="H32:H33" si="6">G32*F32</f>
        <v>0</v>
      </c>
      <c r="I32" s="31"/>
      <c r="J32" s="32"/>
      <c r="K32" s="29"/>
      <c r="L32" s="30">
        <f t="shared" ref="L32" si="7">K32*J32</f>
        <v>0</v>
      </c>
      <c r="M32" s="31"/>
      <c r="N32" s="34">
        <f t="shared" ref="N32" si="8">L32-H32</f>
        <v>0</v>
      </c>
      <c r="O32" s="35" t="str">
        <f t="shared" ref="O32" si="9">IF((H32)=0,"",(N32/H32))</f>
        <v/>
      </c>
    </row>
    <row r="33" spans="2:15" ht="30" x14ac:dyDescent="0.25">
      <c r="B33" s="144" t="str">
        <f>Rates!A27</f>
        <v>Foregone Revenue Recovery (2015) - effective until December 31, 2015 (2015)</v>
      </c>
      <c r="C33" s="25"/>
      <c r="D33" s="63" t="s">
        <v>81</v>
      </c>
      <c r="E33" s="27"/>
      <c r="F33" s="32">
        <f>Rates!D27</f>
        <v>3.5000000000000001E-3</v>
      </c>
      <c r="G33" s="29">
        <f t="shared" si="4"/>
        <v>225</v>
      </c>
      <c r="H33" s="30">
        <f t="shared" si="6"/>
        <v>0.78749999999999998</v>
      </c>
      <c r="I33" s="31"/>
      <c r="J33" s="32">
        <f>Rates!F27</f>
        <v>0</v>
      </c>
      <c r="K33" s="29">
        <f t="shared" si="5"/>
        <v>225</v>
      </c>
      <c r="L33" s="30">
        <f t="shared" ref="L33" si="10">K33*J33</f>
        <v>0</v>
      </c>
      <c r="M33" s="31"/>
      <c r="N33" s="34">
        <f t="shared" ref="N33" si="11">L33-H33</f>
        <v>-0.78749999999999998</v>
      </c>
      <c r="O33" s="35">
        <f t="shared" ref="O33" si="12">IF((H33)=0,"",(N33/H33))</f>
        <v>-1</v>
      </c>
    </row>
    <row r="34" spans="2:15" x14ac:dyDescent="0.25">
      <c r="B34" s="144"/>
      <c r="C34" s="25"/>
      <c r="D34" s="63"/>
      <c r="E34" s="27"/>
      <c r="F34" s="32">
        <f>Rates!D28</f>
        <v>0</v>
      </c>
      <c r="G34" s="29"/>
      <c r="H34" s="30">
        <f t="shared" si="0"/>
        <v>0</v>
      </c>
      <c r="I34" s="31"/>
      <c r="J34" s="32">
        <f>Rates!F28</f>
        <v>0</v>
      </c>
      <c r="K34" s="29"/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ht="45" x14ac:dyDescent="0.25">
      <c r="B35" s="144" t="str">
        <f>Rates!A32</f>
        <v>Rate Rider for the Disposition of Account 1575 &amp; 1576 - effective until December 31, 2019</v>
      </c>
      <c r="C35" s="25"/>
      <c r="D35" s="63" t="s">
        <v>81</v>
      </c>
      <c r="E35" s="27"/>
      <c r="F35" s="32">
        <f>Rates!D32</f>
        <v>-0.80100000000000005</v>
      </c>
      <c r="G35" s="29">
        <f t="shared" si="4"/>
        <v>225</v>
      </c>
      <c r="H35" s="30">
        <f t="shared" si="0"/>
        <v>-180.22500000000002</v>
      </c>
      <c r="I35" s="31"/>
      <c r="J35" s="32">
        <f>Rates!F32</f>
        <v>-0.80100000000000005</v>
      </c>
      <c r="K35" s="29">
        <f t="shared" si="5"/>
        <v>225</v>
      </c>
      <c r="L35" s="30">
        <f t="shared" si="1"/>
        <v>-180.22500000000002</v>
      </c>
      <c r="M35" s="31"/>
      <c r="N35" s="34">
        <f t="shared" si="2"/>
        <v>0</v>
      </c>
      <c r="O35" s="35">
        <f t="shared" si="3"/>
        <v>0</v>
      </c>
    </row>
    <row r="36" spans="2:15" x14ac:dyDescent="0.25">
      <c r="B36" s="37"/>
      <c r="C36" s="25"/>
      <c r="D36" s="26"/>
      <c r="E36" s="27"/>
      <c r="F36" s="28"/>
      <c r="G36" s="29">
        <f t="shared" si="4"/>
        <v>225</v>
      </c>
      <c r="H36" s="30">
        <f t="shared" si="0"/>
        <v>0</v>
      </c>
      <c r="I36" s="31"/>
      <c r="J36" s="32"/>
      <c r="K36" s="29">
        <f t="shared" si="5"/>
        <v>225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225</v>
      </c>
      <c r="H37" s="30">
        <f t="shared" si="0"/>
        <v>0</v>
      </c>
      <c r="I37" s="31"/>
      <c r="J37" s="32"/>
      <c r="K37" s="29">
        <f t="shared" si="5"/>
        <v>225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225</v>
      </c>
      <c r="H38" s="30">
        <f t="shared" si="0"/>
        <v>0</v>
      </c>
      <c r="I38" s="31"/>
      <c r="J38" s="32"/>
      <c r="K38" s="29">
        <f t="shared" si="5"/>
        <v>225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4"/>
        <v>225</v>
      </c>
      <c r="H39" s="30">
        <f t="shared" si="0"/>
        <v>0</v>
      </c>
      <c r="I39" s="31"/>
      <c r="J39" s="32"/>
      <c r="K39" s="29">
        <f t="shared" si="5"/>
        <v>225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SUM(H22:H39)</f>
        <v>1122.56</v>
      </c>
      <c r="I40" s="44"/>
      <c r="J40" s="45"/>
      <c r="K40" s="46"/>
      <c r="L40" s="43">
        <f>SUM(L22:L39)</f>
        <v>1131.3375000000001</v>
      </c>
      <c r="M40" s="44"/>
      <c r="N40" s="47">
        <f t="shared" si="2"/>
        <v>8.7775000000001455</v>
      </c>
      <c r="O40" s="48">
        <f t="shared" si="3"/>
        <v>7.8191811573547487E-3</v>
      </c>
    </row>
    <row r="41" spans="2:15" ht="38.25" x14ac:dyDescent="0.25">
      <c r="B41" s="50" t="str">
        <f>Rates!A29</f>
        <v>Rate Rider for the Disposition of Deferral/Variance Accounts (2014) - effective until December 31, 2015</v>
      </c>
      <c r="C41" s="25"/>
      <c r="D41" s="63" t="s">
        <v>81</v>
      </c>
      <c r="E41" s="27"/>
      <c r="F41" s="32">
        <f>Rates!D29</f>
        <v>-5.8936999999999999</v>
      </c>
      <c r="G41" s="29">
        <f t="shared" si="4"/>
        <v>225</v>
      </c>
      <c r="H41" s="30">
        <f>G41*F41</f>
        <v>-1326.0825</v>
      </c>
      <c r="I41" s="31"/>
      <c r="J41" s="32">
        <f>Rates!F29</f>
        <v>0</v>
      </c>
      <c r="K41" s="29">
        <f t="shared" si="5"/>
        <v>225</v>
      </c>
      <c r="L41" s="30">
        <f>K41*J41</f>
        <v>0</v>
      </c>
      <c r="M41" s="31"/>
      <c r="N41" s="34">
        <f>L41-H41</f>
        <v>1326.0825</v>
      </c>
      <c r="O41" s="35">
        <f>IF((H41)=0,"",(N41/H41))</f>
        <v>-1</v>
      </c>
    </row>
    <row r="42" spans="2:15" ht="38.25" x14ac:dyDescent="0.25">
      <c r="B42" s="50" t="str">
        <f>Rates!A30</f>
        <v>Rate Rider for the Disposition of Global Adjustment Sub-Account (2014) - effective until December 31, 2015</v>
      </c>
      <c r="C42" s="25"/>
      <c r="D42" s="63" t="s">
        <v>81</v>
      </c>
      <c r="E42" s="27"/>
      <c r="F42" s="32">
        <f>Rates!D30</f>
        <v>9.1750000000000007</v>
      </c>
      <c r="G42" s="29">
        <f t="shared" si="4"/>
        <v>225</v>
      </c>
      <c r="H42" s="30">
        <f t="shared" ref="H42:H46" si="13">G42*F42</f>
        <v>2064.375</v>
      </c>
      <c r="I42" s="51"/>
      <c r="J42" s="32">
        <v>0</v>
      </c>
      <c r="K42" s="29">
        <f t="shared" si="5"/>
        <v>225</v>
      </c>
      <c r="L42" s="30">
        <f t="shared" ref="L42:L46" si="14">K42*J42</f>
        <v>0</v>
      </c>
      <c r="M42" s="52"/>
      <c r="N42" s="34">
        <f t="shared" ref="N42:N46" si="15">L42-H42</f>
        <v>-2064.375</v>
      </c>
      <c r="O42" s="35">
        <f t="shared" ref="O42:O46" si="16">IF((H42)=0,"",(N42/H42))</f>
        <v>-1</v>
      </c>
    </row>
    <row r="43" spans="2:15" ht="38.25" x14ac:dyDescent="0.25">
      <c r="B43" s="50" t="str">
        <f>Rates!A25</f>
        <v>Rate Rider for the Disposition of Deferral/Variance Accounts (2016) - effective until December 31, 2016</v>
      </c>
      <c r="C43" s="25"/>
      <c r="D43" s="26" t="s">
        <v>81</v>
      </c>
      <c r="E43" s="27"/>
      <c r="F43" s="28">
        <f>Rates!D25</f>
        <v>0</v>
      </c>
      <c r="G43" s="29">
        <f t="shared" si="4"/>
        <v>225</v>
      </c>
      <c r="H43" s="30">
        <f t="shared" si="13"/>
        <v>0</v>
      </c>
      <c r="I43" s="51"/>
      <c r="J43" s="32">
        <f>Rates!F25</f>
        <v>0</v>
      </c>
      <c r="K43" s="29">
        <f t="shared" si="5"/>
        <v>225</v>
      </c>
      <c r="L43" s="30">
        <f t="shared" si="14"/>
        <v>0</v>
      </c>
      <c r="M43" s="52"/>
      <c r="N43" s="34">
        <f t="shared" si="15"/>
        <v>0</v>
      </c>
      <c r="O43" s="35" t="str">
        <f t="shared" si="16"/>
        <v/>
      </c>
    </row>
    <row r="44" spans="2:15" ht="38.25" x14ac:dyDescent="0.25">
      <c r="B44" s="50" t="str">
        <f>Rates!A26</f>
        <v>Rate Rider for the Disposition of Global Adjustment Sub-Account (2016) - effective until December 31, 2016</v>
      </c>
      <c r="C44" s="25"/>
      <c r="D44" s="26" t="s">
        <v>81</v>
      </c>
      <c r="E44" s="27"/>
      <c r="F44" s="28">
        <f>Rates!D26</f>
        <v>0</v>
      </c>
      <c r="G44" s="29">
        <f t="shared" si="4"/>
        <v>225</v>
      </c>
      <c r="H44" s="30">
        <f t="shared" si="13"/>
        <v>0</v>
      </c>
      <c r="I44" s="51"/>
      <c r="J44" s="32">
        <f>Rates!F26</f>
        <v>0</v>
      </c>
      <c r="K44" s="29">
        <f t="shared" si="5"/>
        <v>225</v>
      </c>
      <c r="L44" s="30">
        <f t="shared" si="14"/>
        <v>0</v>
      </c>
      <c r="M44" s="52"/>
      <c r="N44" s="34">
        <f t="shared" si="15"/>
        <v>0</v>
      </c>
      <c r="O44" s="35" t="str">
        <f t="shared" si="16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4"/>
        <v>225</v>
      </c>
      <c r="H45" s="30">
        <f>G45*F45</f>
        <v>0</v>
      </c>
      <c r="I45" s="31"/>
      <c r="J45" s="32"/>
      <c r="K45" s="29">
        <f t="shared" si="5"/>
        <v>225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76</v>
      </c>
      <c r="E46" s="27"/>
      <c r="F46" s="147">
        <f>Rates!D92</f>
        <v>0.10214000000000001</v>
      </c>
      <c r="G46" s="55">
        <f>$F$17*(1+$F$63)-$F$17</f>
        <v>8252.9999999999854</v>
      </c>
      <c r="H46" s="30">
        <f t="shared" si="13"/>
        <v>842.96141999999861</v>
      </c>
      <c r="I46" s="31"/>
      <c r="J46" s="149">
        <f>Rates!F92</f>
        <v>0.10214000000000001</v>
      </c>
      <c r="K46" s="55">
        <f>$F$17*(1+$J$63)-$F$17</f>
        <v>8252.9999999999854</v>
      </c>
      <c r="L46" s="30">
        <f t="shared" si="14"/>
        <v>842.96141999999861</v>
      </c>
      <c r="M46" s="31"/>
      <c r="N46" s="34">
        <f t="shared" si="15"/>
        <v>0</v>
      </c>
      <c r="O46" s="35">
        <f t="shared" si="16"/>
        <v>0</v>
      </c>
    </row>
    <row r="47" spans="2:15" x14ac:dyDescent="0.25">
      <c r="B47" s="53" t="s">
        <v>31</v>
      </c>
      <c r="C47" s="25"/>
      <c r="D47" s="26" t="s">
        <v>75</v>
      </c>
      <c r="E47" s="27"/>
      <c r="F47" s="54"/>
      <c r="G47" s="29">
        <v>1</v>
      </c>
      <c r="H47" s="30">
        <f>G47*F47</f>
        <v>0</v>
      </c>
      <c r="I47" s="31"/>
      <c r="J47" s="54"/>
      <c r="K47" s="29">
        <v>1</v>
      </c>
      <c r="L47" s="30">
        <f>K47*J47</f>
        <v>0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2703.8139199999987</v>
      </c>
      <c r="I48" s="44"/>
      <c r="J48" s="60"/>
      <c r="K48" s="62"/>
      <c r="L48" s="61">
        <f>SUM(L41:L47)+L40</f>
        <v>1974.2989199999988</v>
      </c>
      <c r="M48" s="44"/>
      <c r="N48" s="47">
        <f t="shared" ref="N48:N60" si="17">L48-H48</f>
        <v>-729.51499999999987</v>
      </c>
      <c r="O48" s="48">
        <f t="shared" ref="O48:O60" si="18">IF((H48)=0,"",(N48/H48))</f>
        <v>-0.26980961766777212</v>
      </c>
    </row>
    <row r="49" spans="2:19" x14ac:dyDescent="0.25">
      <c r="B49" s="31" t="s">
        <v>33</v>
      </c>
      <c r="C49" s="31"/>
      <c r="D49" s="63" t="s">
        <v>81</v>
      </c>
      <c r="E49" s="64"/>
      <c r="F49" s="32">
        <f>Rates!D33</f>
        <v>2.7479</v>
      </c>
      <c r="G49" s="65">
        <f>K17*(1+F63)</f>
        <v>245.63249999999996</v>
      </c>
      <c r="H49" s="30">
        <f>G49*F49</f>
        <v>674.97354674999985</v>
      </c>
      <c r="I49" s="31"/>
      <c r="J49" s="32">
        <f>Rates!F33</f>
        <v>2.6924000000000001</v>
      </c>
      <c r="K49" s="66">
        <f>K17*(1+J63)</f>
        <v>245.63249999999996</v>
      </c>
      <c r="L49" s="30">
        <f>K49*J49</f>
        <v>661.34094299999992</v>
      </c>
      <c r="M49" s="31"/>
      <c r="N49" s="34">
        <f t="shared" si="17"/>
        <v>-13.63260374999993</v>
      </c>
      <c r="O49" s="35">
        <f t="shared" si="18"/>
        <v>-2.0197241529895459E-2</v>
      </c>
    </row>
    <row r="50" spans="2:19" ht="30" x14ac:dyDescent="0.25">
      <c r="B50" s="67" t="s">
        <v>34</v>
      </c>
      <c r="C50" s="31"/>
      <c r="D50" s="63" t="s">
        <v>81</v>
      </c>
      <c r="E50" s="64"/>
      <c r="F50" s="32">
        <f>Rates!D34</f>
        <v>1.9867999999999999</v>
      </c>
      <c r="G50" s="65">
        <f>G49</f>
        <v>245.63249999999996</v>
      </c>
      <c r="H50" s="30">
        <f>G50*F50</f>
        <v>488.02265099999988</v>
      </c>
      <c r="I50" s="31"/>
      <c r="J50" s="32">
        <f>Rates!F34</f>
        <v>1.9084000000000001</v>
      </c>
      <c r="K50" s="66">
        <f>K49</f>
        <v>245.63249999999996</v>
      </c>
      <c r="L50" s="30">
        <f>K50*J50</f>
        <v>468.76506299999994</v>
      </c>
      <c r="M50" s="31"/>
      <c r="N50" s="34">
        <f t="shared" si="17"/>
        <v>-19.257587999999942</v>
      </c>
      <c r="O50" s="35">
        <f t="shared" si="18"/>
        <v>-3.9460438896718228E-2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3866.8101177499984</v>
      </c>
      <c r="I51" s="69"/>
      <c r="J51" s="70"/>
      <c r="K51" s="71"/>
      <c r="L51" s="61">
        <f>SUM(L48:L50)</f>
        <v>3104.4049259999983</v>
      </c>
      <c r="M51" s="69"/>
      <c r="N51" s="47">
        <f t="shared" si="17"/>
        <v>-762.40519175000009</v>
      </c>
      <c r="O51" s="48">
        <f t="shared" si="18"/>
        <v>-0.19716644172681147</v>
      </c>
    </row>
    <row r="52" spans="2:19" ht="30" x14ac:dyDescent="0.25">
      <c r="B52" s="72" t="s">
        <v>36</v>
      </c>
      <c r="C52" s="25"/>
      <c r="D52" s="63" t="s">
        <v>76</v>
      </c>
      <c r="E52" s="27"/>
      <c r="F52" s="75">
        <f>Rates!D35</f>
        <v>4.4000000000000003E-3</v>
      </c>
      <c r="G52" s="65">
        <f>F17*(1+F63)</f>
        <v>98252.999999999985</v>
      </c>
      <c r="H52" s="74">
        <f t="shared" ref="H52:H56" si="19">G52*F52</f>
        <v>432.31319999999994</v>
      </c>
      <c r="I52" s="31"/>
      <c r="J52" s="75">
        <f>Rates!F35</f>
        <v>4.4000000000000003E-3</v>
      </c>
      <c r="K52" s="66">
        <f>F17*(1+J63)</f>
        <v>98252.999999999985</v>
      </c>
      <c r="L52" s="74">
        <f t="shared" ref="L52:L56" si="20">K52*J52</f>
        <v>432.31319999999994</v>
      </c>
      <c r="M52" s="31"/>
      <c r="N52" s="34">
        <f t="shared" si="17"/>
        <v>0</v>
      </c>
      <c r="O52" s="76">
        <f t="shared" si="18"/>
        <v>0</v>
      </c>
    </row>
    <row r="53" spans="2:19" ht="30" x14ac:dyDescent="0.25">
      <c r="B53" s="72" t="s">
        <v>37</v>
      </c>
      <c r="C53" s="25"/>
      <c r="D53" s="63" t="s">
        <v>76</v>
      </c>
      <c r="E53" s="27"/>
      <c r="F53" s="75">
        <f>Rates!D36</f>
        <v>1.2999999999999999E-3</v>
      </c>
      <c r="G53" s="65">
        <f>G52</f>
        <v>98252.999999999985</v>
      </c>
      <c r="H53" s="74">
        <f t="shared" si="19"/>
        <v>127.72889999999998</v>
      </c>
      <c r="I53" s="31"/>
      <c r="J53" s="75">
        <f>Rates!F36</f>
        <v>1.2999999999999999E-3</v>
      </c>
      <c r="K53" s="66">
        <f>K52</f>
        <v>98252.999999999985</v>
      </c>
      <c r="L53" s="74">
        <f t="shared" si="20"/>
        <v>127.72889999999998</v>
      </c>
      <c r="M53" s="31"/>
      <c r="N53" s="34">
        <f t="shared" si="17"/>
        <v>0</v>
      </c>
      <c r="O53" s="76">
        <f t="shared" si="18"/>
        <v>0</v>
      </c>
    </row>
    <row r="54" spans="2:19" x14ac:dyDescent="0.25">
      <c r="B54" s="25" t="s">
        <v>38</v>
      </c>
      <c r="C54" s="25"/>
      <c r="D54" s="26" t="s">
        <v>75</v>
      </c>
      <c r="E54" s="27"/>
      <c r="F54" s="73">
        <f>Rates!D37</f>
        <v>0.25</v>
      </c>
      <c r="G54" s="29">
        <v>1</v>
      </c>
      <c r="H54" s="74">
        <f t="shared" si="19"/>
        <v>0.25</v>
      </c>
      <c r="I54" s="31"/>
      <c r="J54" s="75">
        <f>Rates!F37</f>
        <v>0.25</v>
      </c>
      <c r="K54" s="33">
        <v>1</v>
      </c>
      <c r="L54" s="74">
        <f t="shared" si="20"/>
        <v>0.25</v>
      </c>
      <c r="M54" s="31"/>
      <c r="N54" s="34">
        <f t="shared" si="17"/>
        <v>0</v>
      </c>
      <c r="O54" s="76">
        <f t="shared" si="18"/>
        <v>0</v>
      </c>
    </row>
    <row r="55" spans="2:19" x14ac:dyDescent="0.25">
      <c r="B55" s="25" t="s">
        <v>39</v>
      </c>
      <c r="C55" s="25"/>
      <c r="D55" s="26" t="s">
        <v>76</v>
      </c>
      <c r="E55" s="27"/>
      <c r="F55" s="73">
        <f>Rates!D79</f>
        <v>0</v>
      </c>
      <c r="G55" s="77">
        <f>F17</f>
        <v>90000</v>
      </c>
      <c r="H55" s="74">
        <f t="shared" si="19"/>
        <v>0</v>
      </c>
      <c r="I55" s="31"/>
      <c r="J55" s="75">
        <f>Rates!F79</f>
        <v>0</v>
      </c>
      <c r="K55" s="78">
        <f>F17</f>
        <v>90000</v>
      </c>
      <c r="L55" s="74">
        <f t="shared" si="20"/>
        <v>0</v>
      </c>
      <c r="M55" s="31"/>
      <c r="N55" s="34">
        <f t="shared" si="17"/>
        <v>0</v>
      </c>
      <c r="O55" s="76" t="str">
        <f t="shared" si="18"/>
        <v/>
      </c>
    </row>
    <row r="56" spans="2:19" ht="15.75" thickBot="1" x14ac:dyDescent="0.3">
      <c r="B56" s="53" t="s">
        <v>84</v>
      </c>
      <c r="C56" s="25"/>
      <c r="D56" s="26" t="s">
        <v>76</v>
      </c>
      <c r="E56" s="27"/>
      <c r="F56" s="148">
        <f>Rates!D91</f>
        <v>0.10214000000000001</v>
      </c>
      <c r="G56" s="80">
        <f>$F$17</f>
        <v>90000</v>
      </c>
      <c r="H56" s="74">
        <f t="shared" si="19"/>
        <v>9192.6</v>
      </c>
      <c r="I56" s="31"/>
      <c r="J56" s="150">
        <f>Rates!F91</f>
        <v>0.10214000000000001</v>
      </c>
      <c r="K56" s="80">
        <f>F17</f>
        <v>90000</v>
      </c>
      <c r="L56" s="74">
        <f t="shared" si="20"/>
        <v>9192.6</v>
      </c>
      <c r="M56" s="31"/>
      <c r="N56" s="34">
        <f t="shared" si="17"/>
        <v>0</v>
      </c>
      <c r="O56" s="76">
        <f t="shared" si="18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93</v>
      </c>
      <c r="C58" s="25"/>
      <c r="D58" s="25"/>
      <c r="E58" s="25"/>
      <c r="F58" s="101"/>
      <c r="G58" s="102"/>
      <c r="H58" s="103">
        <f>SUM(H52:H56,H51)</f>
        <v>13619.70221775</v>
      </c>
      <c r="I58" s="104"/>
      <c r="J58" s="105"/>
      <c r="K58" s="105"/>
      <c r="L58" s="143">
        <f>SUM(L52:L56,L51)</f>
        <v>12857.297026</v>
      </c>
      <c r="M58" s="106"/>
      <c r="N58" s="107">
        <f t="shared" ref="N58" si="21">L58-H58</f>
        <v>-762.40519175000009</v>
      </c>
      <c r="O58" s="108">
        <f t="shared" ref="O58" si="22">IF((H58)=0,"",(N58/H58))</f>
        <v>-5.5978110208341314E-2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1770.5612883075</v>
      </c>
      <c r="I59" s="113"/>
      <c r="J59" s="114">
        <v>0.13</v>
      </c>
      <c r="K59" s="113"/>
      <c r="L59" s="115">
        <f>L58*J59</f>
        <v>1671.4486133800001</v>
      </c>
      <c r="M59" s="116"/>
      <c r="N59" s="117">
        <f t="shared" si="17"/>
        <v>-99.112674927499938</v>
      </c>
      <c r="O59" s="118">
        <f t="shared" si="18"/>
        <v>-5.5978110208341272E-2</v>
      </c>
      <c r="S59" s="81"/>
    </row>
    <row r="60" spans="2:19" ht="15.75" thickBot="1" x14ac:dyDescent="0.3">
      <c r="B60" s="119" t="s">
        <v>50</v>
      </c>
      <c r="C60" s="25"/>
      <c r="D60" s="25"/>
      <c r="E60" s="25"/>
      <c r="F60" s="120"/>
      <c r="G60" s="111"/>
      <c r="H60" s="112">
        <f>H58+H59</f>
        <v>15390.263506057501</v>
      </c>
      <c r="I60" s="113"/>
      <c r="J60" s="113"/>
      <c r="K60" s="113"/>
      <c r="L60" s="115">
        <f>L58+L59</f>
        <v>14528.74563938</v>
      </c>
      <c r="M60" s="116"/>
      <c r="N60" s="117">
        <f t="shared" si="17"/>
        <v>-861.51786667750093</v>
      </c>
      <c r="O60" s="118">
        <f t="shared" si="18"/>
        <v>-5.5978110208341363E-2</v>
      </c>
      <c r="S60" s="81"/>
    </row>
    <row r="61" spans="2:19" s="89" customFormat="1" ht="15.75" thickBot="1" x14ac:dyDescent="0.25">
      <c r="B61" s="134"/>
      <c r="C61" s="135"/>
      <c r="D61" s="136"/>
      <c r="E61" s="135"/>
      <c r="F61" s="93"/>
      <c r="G61" s="137"/>
      <c r="H61" s="95"/>
      <c r="I61" s="138"/>
      <c r="J61" s="93"/>
      <c r="K61" s="139"/>
      <c r="L61" s="95"/>
      <c r="M61" s="138"/>
      <c r="N61" s="140"/>
      <c r="O61" s="99"/>
    </row>
    <row r="62" spans="2:19" x14ac:dyDescent="0.25">
      <c r="L62" s="81"/>
    </row>
    <row r="63" spans="2:19" x14ac:dyDescent="0.25">
      <c r="B63" s="16" t="s">
        <v>48</v>
      </c>
      <c r="F63" s="141">
        <f>Rates!D84</f>
        <v>9.1700000000000004E-2</v>
      </c>
      <c r="J63" s="141">
        <f>Rates!F84</f>
        <v>9.1700000000000004E-2</v>
      </c>
    </row>
    <row r="65" spans="1:2" x14ac:dyDescent="0.25">
      <c r="A65" s="142"/>
      <c r="B65" s="10" t="s">
        <v>49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9:E50 E41:E47 E22:E39 E61 E52:E57">
      <formula1>#REF!</formula1>
    </dataValidation>
    <dataValidation type="list" allowBlank="1" showInputMessage="1" showErrorMessage="1" prompt="Select Charge Unit - monthly, per kWh, per kW" sqref="D49:D50 D41:D47 D61 D22:D39 D52:D57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T71"/>
  <sheetViews>
    <sheetView showGridLines="0" topLeftCell="A49" zoomScaleNormal="100" workbookViewId="0">
      <selection activeCell="L67" sqref="L67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00" t="s">
        <v>6</v>
      </c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/>
    </row>
    <row r="11" spans="1:20" ht="18.75" customHeight="1" x14ac:dyDescent="0.25">
      <c r="B11" s="200" t="s">
        <v>7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01" t="s">
        <v>97</v>
      </c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1000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02" t="s">
        <v>13</v>
      </c>
      <c r="G20" s="203"/>
      <c r="H20" s="204"/>
      <c r="J20" s="202" t="s">
        <v>14</v>
      </c>
      <c r="K20" s="203"/>
      <c r="L20" s="204"/>
      <c r="N20" s="202" t="s">
        <v>15</v>
      </c>
      <c r="O20" s="204"/>
    </row>
    <row r="21" spans="2:15" x14ac:dyDescent="0.25">
      <c r="B21" s="15"/>
      <c r="D21" s="205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07" t="s">
        <v>20</v>
      </c>
      <c r="O21" s="209" t="s">
        <v>21</v>
      </c>
    </row>
    <row r="22" spans="2:15" x14ac:dyDescent="0.25">
      <c r="B22" s="15"/>
      <c r="D22" s="206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08"/>
      <c r="O22" s="210"/>
    </row>
    <row r="23" spans="2:15" x14ac:dyDescent="0.25">
      <c r="B23" s="25" t="s">
        <v>23</v>
      </c>
      <c r="C23" s="25"/>
      <c r="D23" s="26" t="s">
        <v>75</v>
      </c>
      <c r="E23" s="27"/>
      <c r="F23" s="28">
        <f>Rates!D40</f>
        <v>27.15</v>
      </c>
      <c r="G23" s="29">
        <v>1</v>
      </c>
      <c r="H23" s="30">
        <f>G23*F23</f>
        <v>27.15</v>
      </c>
      <c r="I23" s="31"/>
      <c r="J23" s="32">
        <f>Rates!F40</f>
        <v>30.27</v>
      </c>
      <c r="K23" s="33">
        <v>1</v>
      </c>
      <c r="L23" s="30">
        <f>K23*J23</f>
        <v>30.27</v>
      </c>
      <c r="M23" s="31"/>
      <c r="N23" s="34">
        <f>L23-H23</f>
        <v>3.120000000000001</v>
      </c>
      <c r="O23" s="35">
        <f>IF((H23)=0,"",(N23/H23))</f>
        <v>0.11491712707182325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40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45" x14ac:dyDescent="0.25">
      <c r="B25" s="144" t="str">
        <f>Rates!A46</f>
        <v>SME - Net Deferred Revenue Requirement, effective until December 31, 2016</v>
      </c>
      <c r="C25" s="25"/>
      <c r="D25" s="63" t="s">
        <v>75</v>
      </c>
      <c r="E25" s="27"/>
      <c r="F25" s="32">
        <f>Rates!D46</f>
        <v>3.57</v>
      </c>
      <c r="G25" s="29">
        <v>1</v>
      </c>
      <c r="H25" s="30">
        <f t="shared" si="0"/>
        <v>3.57</v>
      </c>
      <c r="I25" s="31"/>
      <c r="J25" s="32">
        <f>Rates!F46</f>
        <v>3.57</v>
      </c>
      <c r="K25" s="33">
        <v>1</v>
      </c>
      <c r="L25" s="30">
        <f t="shared" ref="L25:L40" si="1">K25*J25</f>
        <v>3.57</v>
      </c>
      <c r="M25" s="31"/>
      <c r="N25" s="34">
        <f t="shared" ref="N25:N41" si="2">L25-H25</f>
        <v>0</v>
      </c>
      <c r="O25" s="35">
        <f t="shared" ref="O25:O41" si="3">IF((H25)=0,"",(N25/H25))</f>
        <v>0</v>
      </c>
    </row>
    <row r="26" spans="2:15" x14ac:dyDescent="0.25">
      <c r="B26" s="144"/>
      <c r="C26" s="25"/>
      <c r="D26" s="63"/>
      <c r="E26" s="27"/>
      <c r="F26" s="32"/>
      <c r="G26" s="29"/>
      <c r="H26" s="30">
        <f t="shared" si="0"/>
        <v>0</v>
      </c>
      <c r="I26" s="31"/>
      <c r="J26" s="32"/>
      <c r="K26" s="33"/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ht="45" x14ac:dyDescent="0.25">
      <c r="B27" s="169" t="str">
        <f>Rates!A48</f>
        <v>Rate Rider for Recovery of Stranded Meter Assets (2014) - effective until December 31, 2015</v>
      </c>
      <c r="C27" s="25"/>
      <c r="D27" s="63" t="s">
        <v>75</v>
      </c>
      <c r="E27" s="27"/>
      <c r="F27" s="32">
        <f>Rates!D48</f>
        <v>2.5099999999999998</v>
      </c>
      <c r="G27" s="29">
        <v>1</v>
      </c>
      <c r="H27" s="30">
        <f t="shared" si="0"/>
        <v>2.5099999999999998</v>
      </c>
      <c r="I27" s="31"/>
      <c r="J27" s="32">
        <f>Rates!F48</f>
        <v>0</v>
      </c>
      <c r="K27" s="33">
        <v>1</v>
      </c>
      <c r="L27" s="30">
        <f t="shared" si="1"/>
        <v>0</v>
      </c>
      <c r="M27" s="31"/>
      <c r="N27" s="34">
        <f t="shared" si="2"/>
        <v>-2.5099999999999998</v>
      </c>
      <c r="O27" s="35">
        <f t="shared" si="3"/>
        <v>-1</v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76</v>
      </c>
      <c r="E29" s="27"/>
      <c r="F29" s="28">
        <f>Rates!D41</f>
        <v>0.1462</v>
      </c>
      <c r="G29" s="29">
        <f>$F$18</f>
        <v>1000</v>
      </c>
      <c r="H29" s="30">
        <f t="shared" si="0"/>
        <v>146.19999999999999</v>
      </c>
      <c r="I29" s="31"/>
      <c r="J29" s="32">
        <f>Rates!F41</f>
        <v>0.16289999999999999</v>
      </c>
      <c r="K29" s="29">
        <f>$F$18</f>
        <v>1000</v>
      </c>
      <c r="L29" s="30">
        <f t="shared" si="1"/>
        <v>162.89999999999998</v>
      </c>
      <c r="M29" s="31"/>
      <c r="N29" s="34">
        <f t="shared" si="2"/>
        <v>16.699999999999989</v>
      </c>
      <c r="O29" s="35">
        <f t="shared" si="3"/>
        <v>0.11422708618331047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1000</v>
      </c>
      <c r="H30" s="30">
        <f t="shared" si="0"/>
        <v>0</v>
      </c>
      <c r="I30" s="31"/>
      <c r="J30" s="32"/>
      <c r="K30" s="29">
        <f t="shared" ref="K30:K40" si="5">$F$18</f>
        <v>1000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25" t="s">
        <v>27</v>
      </c>
      <c r="C31" s="25"/>
      <c r="D31" s="26"/>
      <c r="E31" s="27"/>
      <c r="F31" s="28"/>
      <c r="G31" s="29">
        <f>$F$18</f>
        <v>1000</v>
      </c>
      <c r="H31" s="30">
        <f t="shared" si="0"/>
        <v>0</v>
      </c>
      <c r="I31" s="31"/>
      <c r="J31" s="32"/>
      <c r="K31" s="29">
        <f t="shared" si="5"/>
        <v>1000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x14ac:dyDescent="0.25">
      <c r="B32" s="144"/>
      <c r="C32" s="25"/>
      <c r="D32" s="63" t="s">
        <v>76</v>
      </c>
      <c r="E32" s="27"/>
      <c r="F32" s="32">
        <f>Rates!D42</f>
        <v>0</v>
      </c>
      <c r="G32" s="29">
        <f t="shared" ref="G32:G40" si="6">$F$18</f>
        <v>1000</v>
      </c>
      <c r="H32" s="30">
        <f t="shared" si="0"/>
        <v>0</v>
      </c>
      <c r="I32" s="31"/>
      <c r="J32" s="32">
        <f>Rates!F42</f>
        <v>0</v>
      </c>
      <c r="K32" s="29">
        <f t="shared" si="5"/>
        <v>1000</v>
      </c>
      <c r="L32" s="30">
        <f t="shared" si="1"/>
        <v>0</v>
      </c>
      <c r="M32" s="31"/>
      <c r="N32" s="34">
        <f t="shared" si="2"/>
        <v>0</v>
      </c>
      <c r="O32" s="35" t="str">
        <f t="shared" si="3"/>
        <v/>
      </c>
    </row>
    <row r="33" spans="2:15" x14ac:dyDescent="0.25">
      <c r="B33" s="144"/>
      <c r="C33" s="25"/>
      <c r="D33" s="63" t="s">
        <v>76</v>
      </c>
      <c r="E33" s="27"/>
      <c r="F33" s="32">
        <f>Rates!D43</f>
        <v>0</v>
      </c>
      <c r="G33" s="29">
        <f t="shared" si="6"/>
        <v>1000</v>
      </c>
      <c r="H33" s="30">
        <f t="shared" ref="H33" si="7">G33*F33</f>
        <v>0</v>
      </c>
      <c r="I33" s="31"/>
      <c r="J33" s="32">
        <f>Rates!F43</f>
        <v>0</v>
      </c>
      <c r="K33" s="29">
        <f t="shared" si="5"/>
        <v>1000</v>
      </c>
      <c r="L33" s="30">
        <f t="shared" ref="L33" si="8">K33*J33</f>
        <v>0</v>
      </c>
      <c r="M33" s="31"/>
      <c r="N33" s="34">
        <f t="shared" ref="N33" si="9">L33-H33</f>
        <v>0</v>
      </c>
      <c r="O33" s="35" t="str">
        <f t="shared" ref="O33" si="10">IF((H33)=0,"",(N33/H33))</f>
        <v/>
      </c>
    </row>
    <row r="34" spans="2:15" ht="30" x14ac:dyDescent="0.25">
      <c r="B34" s="144" t="str">
        <f>Rates!A44</f>
        <v>Foregone Revenue Recovery (2015) - effective until December 31, 2015 (2015)</v>
      </c>
      <c r="C34" s="25"/>
      <c r="D34" s="63" t="s">
        <v>76</v>
      </c>
      <c r="E34" s="27"/>
      <c r="F34" s="32">
        <f>Rates!D44</f>
        <v>4.1000000000000003E-3</v>
      </c>
      <c r="G34" s="29"/>
      <c r="H34" s="30"/>
      <c r="I34" s="31"/>
      <c r="J34" s="32">
        <f>Rates!F44</f>
        <v>0</v>
      </c>
      <c r="K34" s="29">
        <f t="shared" si="5"/>
        <v>1000</v>
      </c>
      <c r="L34" s="30">
        <f t="shared" ref="L34" si="11">K34*J34</f>
        <v>0</v>
      </c>
      <c r="M34" s="31"/>
      <c r="N34" s="34">
        <f t="shared" ref="N34" si="12">L34-H34</f>
        <v>0</v>
      </c>
      <c r="O34" s="35" t="str">
        <f t="shared" ref="O34" si="13">IF((H34)=0,"",(N34/H34))</f>
        <v/>
      </c>
    </row>
    <row r="35" spans="2:15" x14ac:dyDescent="0.25">
      <c r="B35" s="144"/>
      <c r="C35" s="25"/>
      <c r="D35" s="63" t="s">
        <v>76</v>
      </c>
      <c r="E35" s="27"/>
      <c r="F35" s="32">
        <f>Rates!D49</f>
        <v>0</v>
      </c>
      <c r="G35" s="29">
        <f t="shared" si="6"/>
        <v>1000</v>
      </c>
      <c r="H35" s="30">
        <f t="shared" si="0"/>
        <v>0</v>
      </c>
      <c r="I35" s="31"/>
      <c r="J35" s="32">
        <f>Rates!F49</f>
        <v>0</v>
      </c>
      <c r="K35" s="29">
        <f t="shared" si="5"/>
        <v>1000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ht="30" x14ac:dyDescent="0.25">
      <c r="B36" s="144" t="str">
        <f>Rates!A45</f>
        <v>Deferral/Variance Account Disposition - effective until June 30, 2019</v>
      </c>
      <c r="C36" s="25"/>
      <c r="D36" s="63" t="s">
        <v>76</v>
      </c>
      <c r="E36" s="27"/>
      <c r="F36" s="32">
        <f>Rates!D45</f>
        <v>3.0700000000000002E-2</v>
      </c>
      <c r="G36" s="29">
        <f t="shared" si="6"/>
        <v>1000</v>
      </c>
      <c r="H36" s="30">
        <f t="shared" si="0"/>
        <v>30.700000000000003</v>
      </c>
      <c r="I36" s="31"/>
      <c r="J36" s="32">
        <f>Rates!F45</f>
        <v>3.0700000000000002E-2</v>
      </c>
      <c r="K36" s="29">
        <f t="shared" si="5"/>
        <v>1000</v>
      </c>
      <c r="L36" s="30">
        <f t="shared" si="1"/>
        <v>30.700000000000003</v>
      </c>
      <c r="M36" s="31"/>
      <c r="N36" s="34">
        <f t="shared" si="2"/>
        <v>0</v>
      </c>
      <c r="O36" s="35">
        <f t="shared" si="3"/>
        <v>0</v>
      </c>
    </row>
    <row r="37" spans="2:15" ht="45" x14ac:dyDescent="0.25">
      <c r="B37" s="144" t="str">
        <f>Rates!A71</f>
        <v>Rate Rider for the Disposition of Account 1575 &amp; 1576 - effective until December 31, 2019</v>
      </c>
      <c r="C37" s="25"/>
      <c r="D37" s="63" t="s">
        <v>76</v>
      </c>
      <c r="E37" s="27"/>
      <c r="F37" s="32">
        <f>Rates!D53</f>
        <v>-1.9E-3</v>
      </c>
      <c r="G37" s="29">
        <f t="shared" si="6"/>
        <v>1000</v>
      </c>
      <c r="H37" s="30">
        <f t="shared" si="0"/>
        <v>-1.9</v>
      </c>
      <c r="I37" s="31"/>
      <c r="J37" s="32">
        <f>Rates!F53</f>
        <v>-1.9E-3</v>
      </c>
      <c r="K37" s="29">
        <f t="shared" si="5"/>
        <v>1000</v>
      </c>
      <c r="L37" s="30">
        <f t="shared" si="1"/>
        <v>-1.9</v>
      </c>
      <c r="M37" s="31"/>
      <c r="N37" s="34">
        <f t="shared" si="2"/>
        <v>0</v>
      </c>
      <c r="O37" s="35">
        <f t="shared" si="3"/>
        <v>0</v>
      </c>
    </row>
    <row r="38" spans="2:15" x14ac:dyDescent="0.25">
      <c r="B38" s="37"/>
      <c r="C38" s="25"/>
      <c r="D38" s="26"/>
      <c r="E38" s="27"/>
      <c r="F38" s="28"/>
      <c r="G38" s="29">
        <f t="shared" si="6"/>
        <v>1000</v>
      </c>
      <c r="H38" s="30">
        <f t="shared" si="0"/>
        <v>0</v>
      </c>
      <c r="I38" s="31"/>
      <c r="J38" s="32"/>
      <c r="K38" s="29">
        <f t="shared" si="5"/>
        <v>1000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1000</v>
      </c>
      <c r="H39" s="30">
        <f t="shared" si="0"/>
        <v>0</v>
      </c>
      <c r="I39" s="31"/>
      <c r="J39" s="32"/>
      <c r="K39" s="29">
        <f t="shared" si="5"/>
        <v>1000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x14ac:dyDescent="0.25">
      <c r="B40" s="37"/>
      <c r="C40" s="25"/>
      <c r="D40" s="26"/>
      <c r="E40" s="27"/>
      <c r="F40" s="28"/>
      <c r="G40" s="29">
        <f t="shared" si="6"/>
        <v>1000</v>
      </c>
      <c r="H40" s="30">
        <f t="shared" si="0"/>
        <v>0</v>
      </c>
      <c r="I40" s="31"/>
      <c r="J40" s="32"/>
      <c r="K40" s="29">
        <f t="shared" si="5"/>
        <v>1000</v>
      </c>
      <c r="L40" s="30">
        <f t="shared" si="1"/>
        <v>0</v>
      </c>
      <c r="M40" s="31"/>
      <c r="N40" s="34">
        <f t="shared" si="2"/>
        <v>0</v>
      </c>
      <c r="O40" s="35" t="str">
        <f t="shared" si="3"/>
        <v/>
      </c>
    </row>
    <row r="41" spans="2:15" s="49" customFormat="1" x14ac:dyDescent="0.25">
      <c r="B41" s="38" t="s">
        <v>28</v>
      </c>
      <c r="C41" s="39"/>
      <c r="D41" s="40"/>
      <c r="E41" s="39"/>
      <c r="F41" s="41"/>
      <c r="G41" s="42"/>
      <c r="H41" s="43">
        <f>SUM(H23:H40)</f>
        <v>208.23</v>
      </c>
      <c r="I41" s="44"/>
      <c r="J41" s="45"/>
      <c r="K41" s="46"/>
      <c r="L41" s="43">
        <f>SUM(L23:L40)</f>
        <v>225.54</v>
      </c>
      <c r="M41" s="44"/>
      <c r="N41" s="47">
        <f t="shared" si="2"/>
        <v>17.310000000000002</v>
      </c>
      <c r="O41" s="48">
        <f t="shared" si="3"/>
        <v>8.3129232099121181E-2</v>
      </c>
    </row>
    <row r="42" spans="2:15" ht="38.25" x14ac:dyDescent="0.25">
      <c r="B42" s="50" t="str">
        <f>Rates!A50</f>
        <v>Rate Rider for the Disposition of Deferral/Variance Accounts (2014) - effective until December 31, 2015</v>
      </c>
      <c r="C42" s="25"/>
      <c r="D42" s="63" t="s">
        <v>76</v>
      </c>
      <c r="E42" s="27"/>
      <c r="F42" s="32">
        <f>Rates!D50</f>
        <v>-1.41E-2</v>
      </c>
      <c r="G42" s="29">
        <f>$F$18</f>
        <v>1000</v>
      </c>
      <c r="H42" s="30">
        <f>G42*F42</f>
        <v>-14.1</v>
      </c>
      <c r="I42" s="31"/>
      <c r="J42" s="32">
        <f>Rates!F50</f>
        <v>0</v>
      </c>
      <c r="K42" s="29">
        <f>$F$18</f>
        <v>1000</v>
      </c>
      <c r="L42" s="30">
        <f>K42*J42</f>
        <v>0</v>
      </c>
      <c r="M42" s="31"/>
      <c r="N42" s="34">
        <f>L42-H42</f>
        <v>14.1</v>
      </c>
      <c r="O42" s="35">
        <f>IF((H42)=0,"",(N42/H42))</f>
        <v>-1</v>
      </c>
    </row>
    <row r="43" spans="2:15" ht="38.25" x14ac:dyDescent="0.25">
      <c r="B43" s="50" t="str">
        <f>Rates!A51</f>
        <v>Rate Rider for the Disposition of Global Adjustment Sub-Account (2014) - effective until December 31, 2015</v>
      </c>
      <c r="C43" s="25"/>
      <c r="D43" s="63" t="s">
        <v>76</v>
      </c>
      <c r="E43" s="27"/>
      <c r="F43" s="32">
        <f>Rates!D51</f>
        <v>2.1899999999999999E-2</v>
      </c>
      <c r="G43" s="29">
        <f t="shared" ref="G43:G46" si="14">$F$18</f>
        <v>1000</v>
      </c>
      <c r="H43" s="30">
        <f t="shared" ref="H43:H47" si="15">G43*F43</f>
        <v>21.9</v>
      </c>
      <c r="I43" s="51"/>
      <c r="J43" s="32">
        <v>0</v>
      </c>
      <c r="K43" s="29">
        <f t="shared" ref="K43:K46" si="16">$F$18</f>
        <v>1000</v>
      </c>
      <c r="L43" s="30">
        <f t="shared" ref="L43:L47" si="17">K43*J43</f>
        <v>0</v>
      </c>
      <c r="M43" s="52"/>
      <c r="N43" s="34">
        <f t="shared" ref="N43:N47" si="18">L43-H43</f>
        <v>-21.9</v>
      </c>
      <c r="O43" s="35">
        <f t="shared" ref="O43:O47" si="19">IF((H43)=0,"",(N43/H43))</f>
        <v>-1</v>
      </c>
    </row>
    <row r="44" spans="2:15" ht="38.25" x14ac:dyDescent="0.25">
      <c r="B44" s="50" t="str">
        <f>Rates!A42</f>
        <v>Rate Rider for the Disposition of Deferral/Variance Accounts (2016) - effective until December 31, 2016</v>
      </c>
      <c r="C44" s="25"/>
      <c r="D44" s="26" t="s">
        <v>76</v>
      </c>
      <c r="E44" s="27"/>
      <c r="F44" s="28">
        <f>Rates!D42</f>
        <v>0</v>
      </c>
      <c r="G44" s="29">
        <f t="shared" si="14"/>
        <v>1000</v>
      </c>
      <c r="H44" s="30">
        <f t="shared" si="15"/>
        <v>0</v>
      </c>
      <c r="I44" s="51"/>
      <c r="J44" s="32">
        <f>Rates!F42</f>
        <v>0</v>
      </c>
      <c r="K44" s="29">
        <f t="shared" si="16"/>
        <v>1000</v>
      </c>
      <c r="L44" s="30">
        <f t="shared" si="17"/>
        <v>0</v>
      </c>
      <c r="M44" s="52"/>
      <c r="N44" s="34">
        <f t="shared" si="18"/>
        <v>0</v>
      </c>
      <c r="O44" s="35" t="str">
        <f t="shared" si="19"/>
        <v/>
      </c>
    </row>
    <row r="45" spans="2:15" ht="38.25" x14ac:dyDescent="0.25">
      <c r="B45" s="50" t="str">
        <f>Rates!A43</f>
        <v>Rate Rider for the Disposition of Global Adjustment Sub-Account (2016) - effective until December 31, 2016</v>
      </c>
      <c r="C45" s="25"/>
      <c r="D45" s="26" t="s">
        <v>76</v>
      </c>
      <c r="E45" s="27"/>
      <c r="F45" s="28">
        <f>Rates!D43</f>
        <v>0</v>
      </c>
      <c r="G45" s="29">
        <f t="shared" si="14"/>
        <v>1000</v>
      </c>
      <c r="H45" s="30">
        <f t="shared" si="15"/>
        <v>0</v>
      </c>
      <c r="I45" s="51"/>
      <c r="J45" s="32">
        <f>Rates!F43</f>
        <v>0</v>
      </c>
      <c r="K45" s="29">
        <f t="shared" si="16"/>
        <v>1000</v>
      </c>
      <c r="L45" s="30">
        <f t="shared" si="17"/>
        <v>0</v>
      </c>
      <c r="M45" s="52"/>
      <c r="N45" s="34">
        <f t="shared" si="18"/>
        <v>0</v>
      </c>
      <c r="O45" s="35" t="str">
        <f t="shared" si="19"/>
        <v/>
      </c>
    </row>
    <row r="46" spans="2:15" x14ac:dyDescent="0.25">
      <c r="B46" s="53" t="s">
        <v>29</v>
      </c>
      <c r="C46" s="25"/>
      <c r="D46" s="26"/>
      <c r="E46" s="27"/>
      <c r="F46" s="28"/>
      <c r="G46" s="29">
        <f t="shared" si="14"/>
        <v>1000</v>
      </c>
      <c r="H46" s="30">
        <f>G46*F46</f>
        <v>0</v>
      </c>
      <c r="I46" s="31"/>
      <c r="J46" s="32"/>
      <c r="K46" s="29">
        <f t="shared" si="16"/>
        <v>1000</v>
      </c>
      <c r="L46" s="30">
        <f>K46*J46</f>
        <v>0</v>
      </c>
      <c r="M46" s="31"/>
      <c r="N46" s="34">
        <f>L46-H46</f>
        <v>0</v>
      </c>
      <c r="O46" s="35" t="str">
        <f>IF((H46)=0,"",(N46/H46))</f>
        <v/>
      </c>
    </row>
    <row r="47" spans="2:15" x14ac:dyDescent="0.25">
      <c r="B47" s="53" t="s">
        <v>30</v>
      </c>
      <c r="C47" s="25"/>
      <c r="D47" s="26" t="s">
        <v>76</v>
      </c>
      <c r="E47" s="27"/>
      <c r="F47" s="54">
        <f>IF(ISBLANK(D16)=TRUE, 0, IF(D16="TOU", 0.64*$F$57+0.18*$F$58+0.18*$F$59, IF(AND(D16="non-TOU", G61&gt;0), F61,F60)))</f>
        <v>0.10214000000000001</v>
      </c>
      <c r="G47" s="55">
        <f>$F$18*(1+$F$69)-$F$18</f>
        <v>91.699999999999818</v>
      </c>
      <c r="H47" s="30">
        <f t="shared" si="15"/>
        <v>9.3662379999999814</v>
      </c>
      <c r="I47" s="31"/>
      <c r="J47" s="56">
        <f>0.64*$F$57+0.18*$F$58+0.18*$F$59</f>
        <v>0.10214000000000001</v>
      </c>
      <c r="K47" s="55">
        <f>$F$18*(1+$J$69)-$F$18</f>
        <v>91.699999999999818</v>
      </c>
      <c r="L47" s="30">
        <f t="shared" si="17"/>
        <v>9.3662379999999814</v>
      </c>
      <c r="M47" s="31"/>
      <c r="N47" s="34">
        <f t="shared" si="18"/>
        <v>0</v>
      </c>
      <c r="O47" s="35">
        <f t="shared" si="19"/>
        <v>0</v>
      </c>
    </row>
    <row r="48" spans="2:15" x14ac:dyDescent="0.25">
      <c r="B48" s="53" t="s">
        <v>31</v>
      </c>
      <c r="C48" s="25"/>
      <c r="D48" s="26" t="s">
        <v>75</v>
      </c>
      <c r="E48" s="27"/>
      <c r="F48" s="54">
        <f>Rates!D58</f>
        <v>0.79</v>
      </c>
      <c r="G48" s="29">
        <v>1</v>
      </c>
      <c r="H48" s="30">
        <f>G48*F48</f>
        <v>0.79</v>
      </c>
      <c r="I48" s="31"/>
      <c r="J48" s="54">
        <f>Rates!F58</f>
        <v>0.79</v>
      </c>
      <c r="K48" s="29">
        <v>1</v>
      </c>
      <c r="L48" s="30">
        <f>K48*J48</f>
        <v>0.79</v>
      </c>
      <c r="M48" s="31"/>
      <c r="N48" s="34">
        <f>L48-H48</f>
        <v>0</v>
      </c>
      <c r="O48" s="35"/>
    </row>
    <row r="49" spans="2:19" ht="25.5" x14ac:dyDescent="0.25">
      <c r="B49" s="57" t="s">
        <v>32</v>
      </c>
      <c r="C49" s="58"/>
      <c r="D49" s="58"/>
      <c r="E49" s="58"/>
      <c r="F49" s="59"/>
      <c r="G49" s="60"/>
      <c r="H49" s="61">
        <f>SUM(H42:H48)+H41</f>
        <v>226.18623799999997</v>
      </c>
      <c r="I49" s="44"/>
      <c r="J49" s="60"/>
      <c r="K49" s="62"/>
      <c r="L49" s="61">
        <f>SUM(L42:L48)+L41</f>
        <v>235.69623799999997</v>
      </c>
      <c r="M49" s="44"/>
      <c r="N49" s="47">
        <f t="shared" ref="N49:N67" si="20">L49-H49</f>
        <v>9.5099999999999909</v>
      </c>
      <c r="O49" s="48">
        <f t="shared" ref="O49:O67" si="21">IF((H49)=0,"",(N49/H49))</f>
        <v>4.2044998334514021E-2</v>
      </c>
    </row>
    <row r="50" spans="2:19" x14ac:dyDescent="0.25">
      <c r="B50" s="31" t="s">
        <v>33</v>
      </c>
      <c r="C50" s="31"/>
      <c r="D50" s="63" t="s">
        <v>76</v>
      </c>
      <c r="E50" s="64"/>
      <c r="F50" s="32">
        <f>Rates!D54</f>
        <v>7.1000000000000004E-3</v>
      </c>
      <c r="G50" s="65">
        <f>F18*(1+F69)</f>
        <v>1091.6999999999998</v>
      </c>
      <c r="H50" s="30">
        <f>G50*F50</f>
        <v>7.7510699999999995</v>
      </c>
      <c r="I50" s="31"/>
      <c r="J50" s="32">
        <f>Rates!F54</f>
        <v>7.0000000000000001E-3</v>
      </c>
      <c r="K50" s="66">
        <f>F18*(1+J69)</f>
        <v>1091.6999999999998</v>
      </c>
      <c r="L50" s="30">
        <f>K50*J50</f>
        <v>7.6418999999999988</v>
      </c>
      <c r="M50" s="31"/>
      <c r="N50" s="34">
        <f t="shared" si="20"/>
        <v>-0.10917000000000066</v>
      </c>
      <c r="O50" s="35">
        <f t="shared" si="21"/>
        <v>-1.4084507042253606E-2</v>
      </c>
    </row>
    <row r="51" spans="2:19" ht="30" x14ac:dyDescent="0.25">
      <c r="B51" s="67" t="s">
        <v>34</v>
      </c>
      <c r="C51" s="31"/>
      <c r="D51" s="63" t="s">
        <v>76</v>
      </c>
      <c r="E51" s="64"/>
      <c r="F51" s="32">
        <f>Rates!D55</f>
        <v>5.3E-3</v>
      </c>
      <c r="G51" s="65">
        <f>G50</f>
        <v>1091.6999999999998</v>
      </c>
      <c r="H51" s="30">
        <f>G51*F51</f>
        <v>5.7860099999999992</v>
      </c>
      <c r="I51" s="31"/>
      <c r="J51" s="32">
        <f>Rates!F55</f>
        <v>5.1000000000000004E-3</v>
      </c>
      <c r="K51" s="66">
        <f>K50</f>
        <v>1091.6999999999998</v>
      </c>
      <c r="L51" s="30">
        <f>K51*J51</f>
        <v>5.5676699999999997</v>
      </c>
      <c r="M51" s="31"/>
      <c r="N51" s="34">
        <f t="shared" si="20"/>
        <v>-0.21833999999999953</v>
      </c>
      <c r="O51" s="35">
        <f t="shared" si="21"/>
        <v>-3.7735849056603696E-2</v>
      </c>
    </row>
    <row r="52" spans="2:19" ht="25.5" x14ac:dyDescent="0.25">
      <c r="B52" s="57" t="s">
        <v>35</v>
      </c>
      <c r="C52" s="39"/>
      <c r="D52" s="39"/>
      <c r="E52" s="39"/>
      <c r="F52" s="68"/>
      <c r="G52" s="60"/>
      <c r="H52" s="61">
        <f>SUM(H49:H51)</f>
        <v>239.72331799999998</v>
      </c>
      <c r="I52" s="69"/>
      <c r="J52" s="70"/>
      <c r="K52" s="71"/>
      <c r="L52" s="61">
        <f>SUM(L49:L51)</f>
        <v>248.90580799999995</v>
      </c>
      <c r="M52" s="69"/>
      <c r="N52" s="47">
        <f t="shared" si="20"/>
        <v>9.182489999999973</v>
      </c>
      <c r="O52" s="48">
        <f t="shared" si="21"/>
        <v>3.830453406288984E-2</v>
      </c>
    </row>
    <row r="53" spans="2:19" ht="30" x14ac:dyDescent="0.25">
      <c r="B53" s="72" t="s">
        <v>36</v>
      </c>
      <c r="C53" s="25"/>
      <c r="D53" s="63" t="s">
        <v>76</v>
      </c>
      <c r="E53" s="27"/>
      <c r="F53" s="75">
        <f>Rates!D56</f>
        <v>4.4000000000000003E-3</v>
      </c>
      <c r="G53" s="65">
        <f>G51</f>
        <v>1091.6999999999998</v>
      </c>
      <c r="H53" s="74">
        <f t="shared" ref="H53:H59" si="22">G53*F53</f>
        <v>4.8034799999999995</v>
      </c>
      <c r="I53" s="31"/>
      <c r="J53" s="75">
        <f>Rates!F56</f>
        <v>4.4000000000000003E-3</v>
      </c>
      <c r="K53" s="66">
        <f>K51</f>
        <v>1091.6999999999998</v>
      </c>
      <c r="L53" s="74">
        <f t="shared" ref="L53:L59" si="23">K53*J53</f>
        <v>4.8034799999999995</v>
      </c>
      <c r="M53" s="31"/>
      <c r="N53" s="34">
        <f t="shared" si="20"/>
        <v>0</v>
      </c>
      <c r="O53" s="76">
        <f t="shared" si="21"/>
        <v>0</v>
      </c>
    </row>
    <row r="54" spans="2:19" ht="30" x14ac:dyDescent="0.25">
      <c r="B54" s="72" t="s">
        <v>37</v>
      </c>
      <c r="C54" s="25"/>
      <c r="D54" s="63" t="s">
        <v>76</v>
      </c>
      <c r="E54" s="27"/>
      <c r="F54" s="75">
        <f>Rates!D57</f>
        <v>1.2999999999999999E-3</v>
      </c>
      <c r="G54" s="65">
        <f>G51</f>
        <v>1091.6999999999998</v>
      </c>
      <c r="H54" s="74">
        <f t="shared" si="22"/>
        <v>1.4192099999999996</v>
      </c>
      <c r="I54" s="31"/>
      <c r="J54" s="75">
        <f>Rates!F57</f>
        <v>1.2999999999999999E-3</v>
      </c>
      <c r="K54" s="66">
        <f>K51</f>
        <v>1091.6999999999998</v>
      </c>
      <c r="L54" s="74">
        <f t="shared" si="23"/>
        <v>1.4192099999999996</v>
      </c>
      <c r="M54" s="31"/>
      <c r="N54" s="34">
        <f t="shared" si="20"/>
        <v>0</v>
      </c>
      <c r="O54" s="76">
        <f t="shared" si="21"/>
        <v>0</v>
      </c>
    </row>
    <row r="55" spans="2:19" x14ac:dyDescent="0.25">
      <c r="B55" s="25" t="s">
        <v>38</v>
      </c>
      <c r="C55" s="25"/>
      <c r="D55" s="26" t="s">
        <v>75</v>
      </c>
      <c r="E55" s="27"/>
      <c r="F55" s="73">
        <f>Rates!D59</f>
        <v>0.25</v>
      </c>
      <c r="G55" s="29">
        <v>1</v>
      </c>
      <c r="H55" s="74">
        <f t="shared" si="22"/>
        <v>0.25</v>
      </c>
      <c r="I55" s="31"/>
      <c r="J55" s="75">
        <f>Rates!F59</f>
        <v>0.25</v>
      </c>
      <c r="K55" s="33">
        <v>1</v>
      </c>
      <c r="L55" s="74">
        <f t="shared" si="23"/>
        <v>0.25</v>
      </c>
      <c r="M55" s="31"/>
      <c r="N55" s="34">
        <f t="shared" si="20"/>
        <v>0</v>
      </c>
      <c r="O55" s="76">
        <f t="shared" si="21"/>
        <v>0</v>
      </c>
    </row>
    <row r="56" spans="2:19" x14ac:dyDescent="0.25">
      <c r="B56" s="25" t="s">
        <v>39</v>
      </c>
      <c r="C56" s="25"/>
      <c r="D56" s="26" t="s">
        <v>76</v>
      </c>
      <c r="E56" s="27"/>
      <c r="F56" s="73">
        <f>Rates!D79</f>
        <v>0</v>
      </c>
      <c r="G56" s="77">
        <f>F18</f>
        <v>1000</v>
      </c>
      <c r="H56" s="74">
        <f t="shared" si="22"/>
        <v>0</v>
      </c>
      <c r="I56" s="31"/>
      <c r="J56" s="75">
        <f>Rates!F79</f>
        <v>0</v>
      </c>
      <c r="K56" s="78">
        <f>F18</f>
        <v>1000</v>
      </c>
      <c r="L56" s="74">
        <f t="shared" si="23"/>
        <v>0</v>
      </c>
      <c r="M56" s="31"/>
      <c r="N56" s="34">
        <f t="shared" si="20"/>
        <v>0</v>
      </c>
      <c r="O56" s="76" t="str">
        <f t="shared" si="21"/>
        <v/>
      </c>
    </row>
    <row r="57" spans="2:19" x14ac:dyDescent="0.25">
      <c r="B57" s="53" t="s">
        <v>40</v>
      </c>
      <c r="C57" s="25"/>
      <c r="D57" s="26" t="s">
        <v>76</v>
      </c>
      <c r="E57" s="27"/>
      <c r="F57" s="79">
        <f>Rates!D87</f>
        <v>0.08</v>
      </c>
      <c r="G57" s="80">
        <f>0.64*$F$18</f>
        <v>640</v>
      </c>
      <c r="H57" s="74">
        <f t="shared" si="22"/>
        <v>51.2</v>
      </c>
      <c r="I57" s="31"/>
      <c r="J57" s="73">
        <f>Rates!F87</f>
        <v>0.08</v>
      </c>
      <c r="K57" s="80">
        <f>G57</f>
        <v>640</v>
      </c>
      <c r="L57" s="74">
        <f t="shared" si="23"/>
        <v>51.2</v>
      </c>
      <c r="M57" s="31"/>
      <c r="N57" s="34">
        <f t="shared" si="20"/>
        <v>0</v>
      </c>
      <c r="O57" s="76">
        <f t="shared" si="21"/>
        <v>0</v>
      </c>
      <c r="S57" s="81"/>
    </row>
    <row r="58" spans="2:19" x14ac:dyDescent="0.25">
      <c r="B58" s="53" t="s">
        <v>41</v>
      </c>
      <c r="C58" s="25"/>
      <c r="D58" s="26" t="s">
        <v>76</v>
      </c>
      <c r="E58" s="27"/>
      <c r="F58" s="79">
        <f>Rates!D88</f>
        <v>0.122</v>
      </c>
      <c r="G58" s="80">
        <f>0.18*$F$18</f>
        <v>180</v>
      </c>
      <c r="H58" s="74">
        <f t="shared" si="22"/>
        <v>21.96</v>
      </c>
      <c r="I58" s="31"/>
      <c r="J58" s="73">
        <f>Rates!F88</f>
        <v>0.122</v>
      </c>
      <c r="K58" s="80">
        <f>G58</f>
        <v>180</v>
      </c>
      <c r="L58" s="74">
        <f t="shared" si="23"/>
        <v>21.96</v>
      </c>
      <c r="M58" s="31"/>
      <c r="N58" s="34">
        <f t="shared" si="20"/>
        <v>0</v>
      </c>
      <c r="O58" s="76">
        <f t="shared" si="21"/>
        <v>0</v>
      </c>
      <c r="S58" s="81"/>
    </row>
    <row r="59" spans="2:19" x14ac:dyDescent="0.25">
      <c r="B59" s="15" t="s">
        <v>42</v>
      </c>
      <c r="C59" s="25"/>
      <c r="D59" s="26" t="s">
        <v>76</v>
      </c>
      <c r="E59" s="27"/>
      <c r="F59" s="79">
        <f>Rates!D89</f>
        <v>0.161</v>
      </c>
      <c r="G59" s="80">
        <f>0.18*$F$18</f>
        <v>180</v>
      </c>
      <c r="H59" s="74">
        <f t="shared" si="22"/>
        <v>28.98</v>
      </c>
      <c r="I59" s="31"/>
      <c r="J59" s="73">
        <f>Rates!F89</f>
        <v>0.161</v>
      </c>
      <c r="K59" s="80">
        <f>G59</f>
        <v>180</v>
      </c>
      <c r="L59" s="74">
        <f t="shared" si="23"/>
        <v>28.98</v>
      </c>
      <c r="M59" s="31"/>
      <c r="N59" s="34">
        <f t="shared" si="20"/>
        <v>0</v>
      </c>
      <c r="O59" s="76">
        <f t="shared" si="21"/>
        <v>0</v>
      </c>
      <c r="S59" s="81"/>
    </row>
    <row r="60" spans="2:19" s="89" customFormat="1" x14ac:dyDescent="0.2">
      <c r="B60" s="82" t="s">
        <v>43</v>
      </c>
      <c r="C60" s="83"/>
      <c r="D60" s="84" t="s">
        <v>76</v>
      </c>
      <c r="E60" s="85"/>
      <c r="F60" s="79">
        <f>Rates!D80</f>
        <v>8.3000000000000004E-2</v>
      </c>
      <c r="G60" s="86">
        <f>IF(AND($T$1=1, F18&gt;=600), 600, IF(AND($T$1=1, AND(F18&lt;600, F18&gt;=0)), F18, IF(AND($T$1=2, F18&gt;=1000), 1000, IF(AND($T$1=2, AND(F18&lt;1000, F18&gt;=0)), F18))))</f>
        <v>600</v>
      </c>
      <c r="H60" s="74">
        <f>G60*F60</f>
        <v>49.800000000000004</v>
      </c>
      <c r="I60" s="87"/>
      <c r="J60" s="73">
        <f>Rates!F80</f>
        <v>8.3000000000000004E-2</v>
      </c>
      <c r="K60" s="86">
        <f>G60</f>
        <v>600</v>
      </c>
      <c r="L60" s="74">
        <f>K60*J60</f>
        <v>49.800000000000004</v>
      </c>
      <c r="M60" s="87"/>
      <c r="N60" s="88">
        <f t="shared" si="20"/>
        <v>0</v>
      </c>
      <c r="O60" s="76">
        <f t="shared" si="21"/>
        <v>0</v>
      </c>
    </row>
    <row r="61" spans="2:19" s="89" customFormat="1" ht="15.75" thickBot="1" x14ac:dyDescent="0.25">
      <c r="B61" s="82" t="s">
        <v>44</v>
      </c>
      <c r="C61" s="83"/>
      <c r="D61" s="84" t="s">
        <v>76</v>
      </c>
      <c r="E61" s="85"/>
      <c r="F61" s="79">
        <f>Rates!D81</f>
        <v>9.7000000000000003E-2</v>
      </c>
      <c r="G61" s="86">
        <f>IF(AND($T$1=1, F18&gt;=600), F18-600, IF(AND($T$1=1, AND(F18&lt;600, F18&gt;=0)), 0, IF(AND($T$1=2, F18&gt;=1000), F18-1000, IF(AND($T$1=2, AND(F18&lt;1000, F18&gt;=0)), 0))))</f>
        <v>400</v>
      </c>
      <c r="H61" s="74">
        <f>G61*F61</f>
        <v>38.800000000000004</v>
      </c>
      <c r="I61" s="87"/>
      <c r="J61" s="73">
        <f>Rates!F81</f>
        <v>9.7000000000000003E-2</v>
      </c>
      <c r="K61" s="86">
        <f>G61</f>
        <v>400</v>
      </c>
      <c r="L61" s="74">
        <f>K61*J61</f>
        <v>38.800000000000004</v>
      </c>
      <c r="M61" s="87"/>
      <c r="N61" s="88">
        <f t="shared" si="20"/>
        <v>0</v>
      </c>
      <c r="O61" s="76">
        <f t="shared" si="21"/>
        <v>0</v>
      </c>
    </row>
    <row r="62" spans="2:19" ht="15.75" thickBot="1" x14ac:dyDescent="0.3">
      <c r="B62" s="90"/>
      <c r="C62" s="91"/>
      <c r="D62" s="92"/>
      <c r="E62" s="91"/>
      <c r="F62" s="93"/>
      <c r="G62" s="94"/>
      <c r="H62" s="95"/>
      <c r="I62" s="96"/>
      <c r="J62" s="93"/>
      <c r="K62" s="97"/>
      <c r="L62" s="95"/>
      <c r="M62" s="96"/>
      <c r="N62" s="98"/>
      <c r="O62" s="99"/>
    </row>
    <row r="63" spans="2:19" x14ac:dyDescent="0.25">
      <c r="B63" s="100" t="s">
        <v>45</v>
      </c>
      <c r="C63" s="25"/>
      <c r="D63" s="25"/>
      <c r="E63" s="25"/>
      <c r="F63" s="101"/>
      <c r="G63" s="102"/>
      <c r="H63" s="103">
        <f>SUM(H53:H59,H52)</f>
        <v>348.33600799999999</v>
      </c>
      <c r="I63" s="104"/>
      <c r="J63" s="105"/>
      <c r="K63" s="105"/>
      <c r="L63" s="143">
        <f>SUM(L53:L59,L52)</f>
        <v>357.51849799999997</v>
      </c>
      <c r="M63" s="106"/>
      <c r="N63" s="107">
        <f t="shared" ref="N63" si="24">L63-H63</f>
        <v>9.182489999999973</v>
      </c>
      <c r="O63" s="108">
        <f t="shared" ref="O63" si="25">IF((H63)=0,"",(N63/H63))</f>
        <v>2.6361012898787003E-2</v>
      </c>
      <c r="S63" s="81"/>
    </row>
    <row r="64" spans="2:19" x14ac:dyDescent="0.25">
      <c r="B64" s="109" t="s">
        <v>46</v>
      </c>
      <c r="C64" s="25"/>
      <c r="D64" s="25"/>
      <c r="E64" s="25"/>
      <c r="F64" s="110">
        <v>0.13</v>
      </c>
      <c r="G64" s="111"/>
      <c r="H64" s="112">
        <f>H63*F64</f>
        <v>45.283681039999998</v>
      </c>
      <c r="I64" s="113"/>
      <c r="J64" s="114">
        <v>0.13</v>
      </c>
      <c r="K64" s="113"/>
      <c r="L64" s="115">
        <f>L63*J64</f>
        <v>46.477404739999997</v>
      </c>
      <c r="M64" s="116"/>
      <c r="N64" s="117">
        <f t="shared" si="20"/>
        <v>1.1937236999999996</v>
      </c>
      <c r="O64" s="118">
        <f t="shared" si="21"/>
        <v>2.6361012898787076E-2</v>
      </c>
      <c r="S64" s="81"/>
    </row>
    <row r="65" spans="1:19" x14ac:dyDescent="0.25">
      <c r="B65" s="119" t="s">
        <v>50</v>
      </c>
      <c r="C65" s="25"/>
      <c r="D65" s="25"/>
      <c r="E65" s="25"/>
      <c r="F65" s="120"/>
      <c r="G65" s="111"/>
      <c r="H65" s="112">
        <f>H63+H64</f>
        <v>393.61968903999997</v>
      </c>
      <c r="I65" s="113"/>
      <c r="J65" s="113"/>
      <c r="K65" s="113"/>
      <c r="L65" s="115">
        <f>L63+L64</f>
        <v>403.99590273999996</v>
      </c>
      <c r="M65" s="116"/>
      <c r="N65" s="117">
        <f t="shared" si="20"/>
        <v>10.376213699999994</v>
      </c>
      <c r="O65" s="118">
        <f t="shared" si="21"/>
        <v>2.6361012898787069E-2</v>
      </c>
      <c r="S65" s="81"/>
    </row>
    <row r="66" spans="1:19" x14ac:dyDescent="0.25">
      <c r="B66" s="211" t="s">
        <v>51</v>
      </c>
      <c r="C66" s="211"/>
      <c r="D66" s="211"/>
      <c r="E66" s="25"/>
      <c r="F66" s="120"/>
      <c r="G66" s="111"/>
      <c r="H66" s="121">
        <v>0</v>
      </c>
      <c r="I66" s="113"/>
      <c r="J66" s="113"/>
      <c r="K66" s="113"/>
      <c r="L66" s="122">
        <v>0</v>
      </c>
      <c r="M66" s="116"/>
      <c r="N66" s="123">
        <f t="shared" si="20"/>
        <v>0</v>
      </c>
      <c r="O66" s="124" t="str">
        <f t="shared" si="21"/>
        <v/>
      </c>
    </row>
    <row r="67" spans="1:19" x14ac:dyDescent="0.25">
      <c r="B67" s="212" t="s">
        <v>47</v>
      </c>
      <c r="C67" s="212"/>
      <c r="D67" s="212"/>
      <c r="E67" s="125"/>
      <c r="F67" s="126"/>
      <c r="G67" s="127"/>
      <c r="H67" s="128">
        <f>H65+H66</f>
        <v>393.61968903999997</v>
      </c>
      <c r="I67" s="129"/>
      <c r="J67" s="129"/>
      <c r="K67" s="129"/>
      <c r="L67" s="130">
        <f>L65+L66</f>
        <v>403.99590273999996</v>
      </c>
      <c r="M67" s="131"/>
      <c r="N67" s="132">
        <f t="shared" si="20"/>
        <v>10.376213699999994</v>
      </c>
      <c r="O67" s="133">
        <f t="shared" si="21"/>
        <v>2.6361012898787069E-2</v>
      </c>
    </row>
    <row r="68" spans="1:19" x14ac:dyDescent="0.25">
      <c r="L68" s="81"/>
    </row>
    <row r="69" spans="1:19" x14ac:dyDescent="0.25">
      <c r="B69" s="16" t="s">
        <v>48</v>
      </c>
      <c r="F69" s="141">
        <f>Rates!D84</f>
        <v>9.1700000000000004E-2</v>
      </c>
      <c r="J69" s="141">
        <f>Rates!F84</f>
        <v>9.1700000000000004E-2</v>
      </c>
    </row>
    <row r="71" spans="1:19" x14ac:dyDescent="0.25">
      <c r="A71" s="142"/>
      <c r="B71" s="10" t="s">
        <v>49</v>
      </c>
    </row>
  </sheetData>
  <mergeCells count="12">
    <mergeCell ref="A3:K3"/>
    <mergeCell ref="B10:O10"/>
    <mergeCell ref="B11:O11"/>
    <mergeCell ref="D14:O14"/>
    <mergeCell ref="F20:H20"/>
    <mergeCell ref="J20:L20"/>
    <mergeCell ref="N20:O20"/>
    <mergeCell ref="D21:D22"/>
    <mergeCell ref="N21:N22"/>
    <mergeCell ref="O21:O22"/>
    <mergeCell ref="B66:D66"/>
    <mergeCell ref="B67:D67"/>
  </mergeCells>
  <dataValidations count="3">
    <dataValidation type="list" allowBlank="1" showInputMessage="1" showErrorMessage="1" sqref="E50:E51 E42:E48 E23:E40 E53:E62">
      <formula1>#REF!</formula1>
    </dataValidation>
    <dataValidation type="list" allowBlank="1" showInputMessage="1" showErrorMessage="1" prompt="Select Charge Unit - monthly, per kWh, per kW" sqref="D50:D51 D42:D48 D23:D40 D53:D62">
      <formula1>"Monthly, per kWh, per kW"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55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T70"/>
  <sheetViews>
    <sheetView showGridLines="0" topLeftCell="A49" zoomScaleNormal="100" workbookViewId="0">
      <selection activeCell="H76" sqref="H76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00" t="s">
        <v>6</v>
      </c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/>
    </row>
    <row r="11" spans="1:20" ht="18.75" customHeight="1" x14ac:dyDescent="0.25">
      <c r="B11" s="200" t="s">
        <v>7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01" t="s">
        <v>97</v>
      </c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1000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02" t="s">
        <v>13</v>
      </c>
      <c r="G20" s="203"/>
      <c r="H20" s="204"/>
      <c r="J20" s="202" t="s">
        <v>14</v>
      </c>
      <c r="K20" s="203"/>
      <c r="L20" s="204"/>
      <c r="N20" s="202" t="s">
        <v>15</v>
      </c>
      <c r="O20" s="204"/>
    </row>
    <row r="21" spans="2:15" x14ac:dyDescent="0.25">
      <c r="B21" s="15"/>
      <c r="D21" s="205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07" t="s">
        <v>20</v>
      </c>
      <c r="O21" s="209" t="s">
        <v>21</v>
      </c>
    </row>
    <row r="22" spans="2:15" x14ac:dyDescent="0.25">
      <c r="B22" s="15"/>
      <c r="D22" s="206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08"/>
      <c r="O22" s="210"/>
    </row>
    <row r="23" spans="2:15" x14ac:dyDescent="0.25">
      <c r="B23" s="25" t="s">
        <v>23</v>
      </c>
      <c r="C23" s="25"/>
      <c r="D23" s="26" t="s">
        <v>75</v>
      </c>
      <c r="E23" s="27"/>
      <c r="F23" s="28">
        <f>Rates!D40</f>
        <v>27.15</v>
      </c>
      <c r="G23" s="29">
        <v>1</v>
      </c>
      <c r="H23" s="30">
        <f>G23*F23</f>
        <v>27.15</v>
      </c>
      <c r="I23" s="31"/>
      <c r="J23" s="32">
        <f>Rates!F40</f>
        <v>30.27</v>
      </c>
      <c r="K23" s="33">
        <v>1</v>
      </c>
      <c r="L23" s="30">
        <f>K23*J23</f>
        <v>30.27</v>
      </c>
      <c r="M23" s="31"/>
      <c r="N23" s="34">
        <f>L23-H23</f>
        <v>3.120000000000001</v>
      </c>
      <c r="O23" s="35">
        <f>IF((H23)=0,"",(N23/H23))</f>
        <v>0.11491712707182325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40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45" x14ac:dyDescent="0.25">
      <c r="B25" s="144" t="str">
        <f>Rates!A46</f>
        <v>SME - Net Deferred Revenue Requirement, effective until December 31, 2016</v>
      </c>
      <c r="C25" s="25"/>
      <c r="D25" s="63" t="s">
        <v>75</v>
      </c>
      <c r="E25" s="27"/>
      <c r="F25" s="32">
        <f>Rates!D46</f>
        <v>3.57</v>
      </c>
      <c r="G25" s="29">
        <v>1</v>
      </c>
      <c r="H25" s="30">
        <f t="shared" si="0"/>
        <v>3.57</v>
      </c>
      <c r="I25" s="31"/>
      <c r="J25" s="32">
        <f>Rates!F46</f>
        <v>3.57</v>
      </c>
      <c r="K25" s="33">
        <v>1</v>
      </c>
      <c r="L25" s="30">
        <f t="shared" ref="L25:L40" si="1">K25*J25</f>
        <v>3.57</v>
      </c>
      <c r="M25" s="31"/>
      <c r="N25" s="34">
        <f t="shared" ref="N25:N41" si="2">L25-H25</f>
        <v>0</v>
      </c>
      <c r="O25" s="35">
        <f t="shared" ref="O25:O41" si="3">IF((H25)=0,"",(N25/H25))</f>
        <v>0</v>
      </c>
    </row>
    <row r="26" spans="2:15" x14ac:dyDescent="0.25">
      <c r="B26" s="144"/>
      <c r="C26" s="25"/>
      <c r="D26" s="63"/>
      <c r="E26" s="27"/>
      <c r="F26" s="32"/>
      <c r="G26" s="29"/>
      <c r="H26" s="30">
        <f t="shared" si="0"/>
        <v>0</v>
      </c>
      <c r="I26" s="31"/>
      <c r="J26" s="32"/>
      <c r="K26" s="33"/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ht="45" x14ac:dyDescent="0.25">
      <c r="B27" s="169" t="str">
        <f>Rates!A48</f>
        <v>Rate Rider for Recovery of Stranded Meter Assets (2014) - effective until December 31, 2015</v>
      </c>
      <c r="C27" s="25"/>
      <c r="D27" s="63" t="s">
        <v>75</v>
      </c>
      <c r="E27" s="27"/>
      <c r="F27" s="32">
        <f>Rates!D48</f>
        <v>2.5099999999999998</v>
      </c>
      <c r="G27" s="29">
        <v>1</v>
      </c>
      <c r="H27" s="30">
        <f t="shared" si="0"/>
        <v>2.5099999999999998</v>
      </c>
      <c r="I27" s="31"/>
      <c r="J27" s="32">
        <f>Rates!F48</f>
        <v>0</v>
      </c>
      <c r="K27" s="33">
        <v>1</v>
      </c>
      <c r="L27" s="30">
        <f t="shared" si="1"/>
        <v>0</v>
      </c>
      <c r="M27" s="31"/>
      <c r="N27" s="34">
        <f t="shared" si="2"/>
        <v>-2.5099999999999998</v>
      </c>
      <c r="O27" s="35">
        <f t="shared" si="3"/>
        <v>-1</v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76</v>
      </c>
      <c r="E29" s="27"/>
      <c r="F29" s="28">
        <f>Rates!D41</f>
        <v>0.1462</v>
      </c>
      <c r="G29" s="29">
        <f>$F$18</f>
        <v>1000</v>
      </c>
      <c r="H29" s="30">
        <f t="shared" si="0"/>
        <v>146.19999999999999</v>
      </c>
      <c r="I29" s="31"/>
      <c r="J29" s="32">
        <f>Rates!F41</f>
        <v>0.16289999999999999</v>
      </c>
      <c r="K29" s="29">
        <f>$F$18</f>
        <v>1000</v>
      </c>
      <c r="L29" s="30">
        <f t="shared" si="1"/>
        <v>162.89999999999998</v>
      </c>
      <c r="M29" s="31"/>
      <c r="N29" s="34">
        <f t="shared" si="2"/>
        <v>16.699999999999989</v>
      </c>
      <c r="O29" s="35">
        <f t="shared" si="3"/>
        <v>0.11422708618331047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1000</v>
      </c>
      <c r="H30" s="30">
        <f t="shared" si="0"/>
        <v>0</v>
      </c>
      <c r="I30" s="31"/>
      <c r="J30" s="32"/>
      <c r="K30" s="29">
        <f t="shared" ref="K30:K40" si="5">$F$18</f>
        <v>1000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25" t="s">
        <v>27</v>
      </c>
      <c r="C31" s="25"/>
      <c r="D31" s="26"/>
      <c r="E31" s="27"/>
      <c r="F31" s="28"/>
      <c r="G31" s="29">
        <f>$F$18</f>
        <v>1000</v>
      </c>
      <c r="H31" s="30">
        <f t="shared" si="0"/>
        <v>0</v>
      </c>
      <c r="I31" s="31"/>
      <c r="J31" s="32"/>
      <c r="K31" s="29">
        <f t="shared" si="5"/>
        <v>1000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x14ac:dyDescent="0.25">
      <c r="B32" s="144"/>
      <c r="C32" s="25"/>
      <c r="D32" s="63" t="s">
        <v>76</v>
      </c>
      <c r="E32" s="27"/>
      <c r="F32" s="32">
        <f>Rates!D42</f>
        <v>0</v>
      </c>
      <c r="G32" s="29">
        <f t="shared" ref="G32:G40" si="6">$F$18</f>
        <v>1000</v>
      </c>
      <c r="H32" s="30">
        <f t="shared" si="0"/>
        <v>0</v>
      </c>
      <c r="I32" s="31"/>
      <c r="J32" s="32">
        <f>Rates!F42</f>
        <v>0</v>
      </c>
      <c r="K32" s="29">
        <f t="shared" si="5"/>
        <v>1000</v>
      </c>
      <c r="L32" s="30">
        <f t="shared" si="1"/>
        <v>0</v>
      </c>
      <c r="M32" s="31"/>
      <c r="N32" s="34">
        <f t="shared" si="2"/>
        <v>0</v>
      </c>
      <c r="O32" s="35" t="str">
        <f t="shared" si="3"/>
        <v/>
      </c>
    </row>
    <row r="33" spans="2:15" x14ac:dyDescent="0.25">
      <c r="B33" s="144"/>
      <c r="C33" s="25"/>
      <c r="D33" s="63" t="s">
        <v>76</v>
      </c>
      <c r="E33" s="27"/>
      <c r="F33" s="32">
        <f>Rates!D43</f>
        <v>0</v>
      </c>
      <c r="G33" s="29">
        <f t="shared" si="6"/>
        <v>1000</v>
      </c>
      <c r="H33" s="30">
        <f t="shared" si="0"/>
        <v>0</v>
      </c>
      <c r="I33" s="31"/>
      <c r="J33" s="32">
        <f>Rates!F43</f>
        <v>0</v>
      </c>
      <c r="K33" s="29">
        <f t="shared" si="5"/>
        <v>1000</v>
      </c>
      <c r="L33" s="30">
        <f t="shared" si="1"/>
        <v>0</v>
      </c>
      <c r="M33" s="31"/>
      <c r="N33" s="34">
        <f t="shared" si="2"/>
        <v>0</v>
      </c>
      <c r="O33" s="35" t="str">
        <f t="shared" si="3"/>
        <v/>
      </c>
    </row>
    <row r="34" spans="2:15" ht="30" x14ac:dyDescent="0.25">
      <c r="B34" s="144" t="str">
        <f>Rates!A44</f>
        <v>Foregone Revenue Recovery (2015) - effective until December 31, 2015 (2015)</v>
      </c>
      <c r="C34" s="25"/>
      <c r="D34" s="63" t="s">
        <v>76</v>
      </c>
      <c r="E34" s="27"/>
      <c r="F34" s="32">
        <f>Rates!D44</f>
        <v>4.1000000000000003E-3</v>
      </c>
      <c r="G34" s="29"/>
      <c r="H34" s="30"/>
      <c r="I34" s="31"/>
      <c r="J34" s="32">
        <f>Rates!F44</f>
        <v>0</v>
      </c>
      <c r="K34" s="29">
        <f t="shared" si="5"/>
        <v>1000</v>
      </c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x14ac:dyDescent="0.25">
      <c r="B35" s="144"/>
      <c r="C35" s="25"/>
      <c r="D35" s="63" t="s">
        <v>76</v>
      </c>
      <c r="E35" s="27"/>
      <c r="F35" s="32">
        <f>Rates!D49</f>
        <v>0</v>
      </c>
      <c r="G35" s="29">
        <f t="shared" si="6"/>
        <v>1000</v>
      </c>
      <c r="H35" s="30">
        <f t="shared" si="0"/>
        <v>0</v>
      </c>
      <c r="I35" s="31"/>
      <c r="J35" s="32">
        <f>Rates!F49</f>
        <v>0</v>
      </c>
      <c r="K35" s="29">
        <f t="shared" si="5"/>
        <v>1000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ht="30" x14ac:dyDescent="0.25">
      <c r="B36" s="144" t="str">
        <f>Rates!A45</f>
        <v>Deferral/Variance Account Disposition - effective until June 30, 2019</v>
      </c>
      <c r="C36" s="25"/>
      <c r="D36" s="63" t="s">
        <v>76</v>
      </c>
      <c r="E36" s="27"/>
      <c r="F36" s="32">
        <f>Rates!D45</f>
        <v>3.0700000000000002E-2</v>
      </c>
      <c r="G36" s="29">
        <f t="shared" si="6"/>
        <v>1000</v>
      </c>
      <c r="H36" s="30">
        <f t="shared" si="0"/>
        <v>30.700000000000003</v>
      </c>
      <c r="I36" s="31"/>
      <c r="J36" s="32">
        <f>Rates!F45</f>
        <v>3.0700000000000002E-2</v>
      </c>
      <c r="K36" s="29">
        <f t="shared" si="5"/>
        <v>1000</v>
      </c>
      <c r="L36" s="30">
        <f t="shared" si="1"/>
        <v>30.700000000000003</v>
      </c>
      <c r="M36" s="31"/>
      <c r="N36" s="34">
        <f t="shared" si="2"/>
        <v>0</v>
      </c>
      <c r="O36" s="35">
        <f t="shared" si="3"/>
        <v>0</v>
      </c>
    </row>
    <row r="37" spans="2:15" ht="45" x14ac:dyDescent="0.25">
      <c r="B37" s="144" t="str">
        <f>Rates!A71</f>
        <v>Rate Rider for the Disposition of Account 1575 &amp; 1576 - effective until December 31, 2019</v>
      </c>
      <c r="C37" s="25"/>
      <c r="D37" s="63" t="s">
        <v>76</v>
      </c>
      <c r="E37" s="27"/>
      <c r="F37" s="32">
        <f>Rates!D53</f>
        <v>-1.9E-3</v>
      </c>
      <c r="G37" s="29">
        <f t="shared" si="6"/>
        <v>1000</v>
      </c>
      <c r="H37" s="30">
        <f t="shared" si="0"/>
        <v>-1.9</v>
      </c>
      <c r="I37" s="31"/>
      <c r="J37" s="32">
        <f>Rates!F53</f>
        <v>-1.9E-3</v>
      </c>
      <c r="K37" s="29">
        <f t="shared" si="5"/>
        <v>1000</v>
      </c>
      <c r="L37" s="30">
        <f t="shared" si="1"/>
        <v>-1.9</v>
      </c>
      <c r="M37" s="31"/>
      <c r="N37" s="34">
        <f t="shared" si="2"/>
        <v>0</v>
      </c>
      <c r="O37" s="35">
        <f t="shared" si="3"/>
        <v>0</v>
      </c>
    </row>
    <row r="38" spans="2:15" x14ac:dyDescent="0.25">
      <c r="B38" s="37"/>
      <c r="C38" s="25"/>
      <c r="D38" s="26"/>
      <c r="E38" s="27"/>
      <c r="F38" s="28"/>
      <c r="G38" s="29">
        <f t="shared" si="6"/>
        <v>1000</v>
      </c>
      <c r="H38" s="30">
        <f t="shared" si="0"/>
        <v>0</v>
      </c>
      <c r="I38" s="31"/>
      <c r="J38" s="32"/>
      <c r="K38" s="29">
        <f t="shared" si="5"/>
        <v>1000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1000</v>
      </c>
      <c r="H39" s="30">
        <f t="shared" si="0"/>
        <v>0</v>
      </c>
      <c r="I39" s="31"/>
      <c r="J39" s="32"/>
      <c r="K39" s="29">
        <f t="shared" si="5"/>
        <v>1000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x14ac:dyDescent="0.25">
      <c r="B40" s="37"/>
      <c r="C40" s="25"/>
      <c r="D40" s="26"/>
      <c r="E40" s="27"/>
      <c r="F40" s="28"/>
      <c r="G40" s="29">
        <f t="shared" si="6"/>
        <v>1000</v>
      </c>
      <c r="H40" s="30">
        <f t="shared" si="0"/>
        <v>0</v>
      </c>
      <c r="I40" s="31"/>
      <c r="J40" s="32"/>
      <c r="K40" s="29">
        <f t="shared" si="5"/>
        <v>1000</v>
      </c>
      <c r="L40" s="30">
        <f t="shared" si="1"/>
        <v>0</v>
      </c>
      <c r="M40" s="31"/>
      <c r="N40" s="34">
        <f t="shared" si="2"/>
        <v>0</v>
      </c>
      <c r="O40" s="35" t="str">
        <f t="shared" si="3"/>
        <v/>
      </c>
    </row>
    <row r="41" spans="2:15" s="49" customFormat="1" x14ac:dyDescent="0.25">
      <c r="B41" s="38" t="s">
        <v>28</v>
      </c>
      <c r="C41" s="39"/>
      <c r="D41" s="40"/>
      <c r="E41" s="39"/>
      <c r="F41" s="41"/>
      <c r="G41" s="42"/>
      <c r="H41" s="43">
        <f>SUM(H23:H40)</f>
        <v>208.23</v>
      </c>
      <c r="I41" s="44"/>
      <c r="J41" s="45"/>
      <c r="K41" s="46"/>
      <c r="L41" s="43">
        <f>SUM(L23:L40)</f>
        <v>225.54</v>
      </c>
      <c r="M41" s="44"/>
      <c r="N41" s="47">
        <f t="shared" si="2"/>
        <v>17.310000000000002</v>
      </c>
      <c r="O41" s="48">
        <f t="shared" si="3"/>
        <v>8.3129232099121181E-2</v>
      </c>
    </row>
    <row r="42" spans="2:15" ht="38.25" x14ac:dyDescent="0.25">
      <c r="B42" s="50" t="str">
        <f>Rates!A50</f>
        <v>Rate Rider for the Disposition of Deferral/Variance Accounts (2014) - effective until December 31, 2015</v>
      </c>
      <c r="C42" s="25"/>
      <c r="D42" s="63" t="s">
        <v>76</v>
      </c>
      <c r="E42" s="27"/>
      <c r="F42" s="32">
        <f>Rates!D50</f>
        <v>-1.41E-2</v>
      </c>
      <c r="G42" s="29">
        <f>$F$18</f>
        <v>1000</v>
      </c>
      <c r="H42" s="30">
        <f>G42*F42</f>
        <v>-14.1</v>
      </c>
      <c r="I42" s="31"/>
      <c r="J42" s="32">
        <f>Rates!F50</f>
        <v>0</v>
      </c>
      <c r="K42" s="29">
        <f>$F$18</f>
        <v>1000</v>
      </c>
      <c r="L42" s="30">
        <f>K42*J42</f>
        <v>0</v>
      </c>
      <c r="M42" s="31"/>
      <c r="N42" s="34">
        <f>L42-H42</f>
        <v>14.1</v>
      </c>
      <c r="O42" s="35">
        <f>IF((H42)=0,"",(N42/H42))</f>
        <v>-1</v>
      </c>
    </row>
    <row r="43" spans="2:15" ht="38.25" x14ac:dyDescent="0.25">
      <c r="B43" s="50" t="str">
        <f>Rates!A51</f>
        <v>Rate Rider for the Disposition of Global Adjustment Sub-Account (2014) - effective until December 31, 2015</v>
      </c>
      <c r="C43" s="25"/>
      <c r="D43" s="63" t="s">
        <v>76</v>
      </c>
      <c r="E43" s="27"/>
      <c r="F43" s="32">
        <f>Rates!D51</f>
        <v>2.1899999999999999E-2</v>
      </c>
      <c r="G43" s="29">
        <f t="shared" ref="G43:G46" si="7">$F$18</f>
        <v>1000</v>
      </c>
      <c r="H43" s="30">
        <f t="shared" ref="H43:H47" si="8">G43*F43</f>
        <v>21.9</v>
      </c>
      <c r="I43" s="51"/>
      <c r="J43" s="32">
        <v>0</v>
      </c>
      <c r="K43" s="29">
        <f t="shared" ref="K43:K46" si="9">$F$18</f>
        <v>1000</v>
      </c>
      <c r="L43" s="30">
        <f t="shared" ref="L43:L47" si="10">K43*J43</f>
        <v>0</v>
      </c>
      <c r="M43" s="52"/>
      <c r="N43" s="34">
        <f t="shared" ref="N43:N47" si="11">L43-H43</f>
        <v>-21.9</v>
      </c>
      <c r="O43" s="35">
        <f t="shared" ref="O43:O47" si="12">IF((H43)=0,"",(N43/H43))</f>
        <v>-1</v>
      </c>
    </row>
    <row r="44" spans="2:15" ht="38.25" x14ac:dyDescent="0.25">
      <c r="B44" s="50" t="str">
        <f>Rates!A42</f>
        <v>Rate Rider for the Disposition of Deferral/Variance Accounts (2016) - effective until December 31, 2016</v>
      </c>
      <c r="C44" s="25"/>
      <c r="D44" s="26" t="s">
        <v>76</v>
      </c>
      <c r="E44" s="27"/>
      <c r="F44" s="28">
        <f>Rates!D42</f>
        <v>0</v>
      </c>
      <c r="G44" s="29">
        <f t="shared" si="7"/>
        <v>1000</v>
      </c>
      <c r="H44" s="30">
        <f t="shared" si="8"/>
        <v>0</v>
      </c>
      <c r="I44" s="51"/>
      <c r="J44" s="32">
        <f>Rates!F42</f>
        <v>0</v>
      </c>
      <c r="K44" s="29">
        <f t="shared" si="9"/>
        <v>1000</v>
      </c>
      <c r="L44" s="30">
        <f t="shared" si="10"/>
        <v>0</v>
      </c>
      <c r="M44" s="52"/>
      <c r="N44" s="34">
        <f t="shared" si="11"/>
        <v>0</v>
      </c>
      <c r="O44" s="35" t="str">
        <f t="shared" si="12"/>
        <v/>
      </c>
    </row>
    <row r="45" spans="2:15" ht="38.25" x14ac:dyDescent="0.25">
      <c r="B45" s="50" t="str">
        <f>Rates!A43</f>
        <v>Rate Rider for the Disposition of Global Adjustment Sub-Account (2016) - effective until December 31, 2016</v>
      </c>
      <c r="C45" s="25"/>
      <c r="D45" s="26" t="s">
        <v>76</v>
      </c>
      <c r="E45" s="27"/>
      <c r="F45" s="28">
        <f>Rates!D43</f>
        <v>0</v>
      </c>
      <c r="G45" s="29">
        <f t="shared" si="7"/>
        <v>1000</v>
      </c>
      <c r="H45" s="30">
        <f t="shared" si="8"/>
        <v>0</v>
      </c>
      <c r="I45" s="51"/>
      <c r="J45" s="32">
        <f>Rates!F43</f>
        <v>0</v>
      </c>
      <c r="K45" s="29">
        <f t="shared" si="9"/>
        <v>1000</v>
      </c>
      <c r="L45" s="30">
        <f t="shared" si="10"/>
        <v>0</v>
      </c>
      <c r="M45" s="52"/>
      <c r="N45" s="34">
        <f t="shared" si="11"/>
        <v>0</v>
      </c>
      <c r="O45" s="35" t="str">
        <f t="shared" si="12"/>
        <v/>
      </c>
    </row>
    <row r="46" spans="2:15" x14ac:dyDescent="0.25">
      <c r="B46" s="53" t="s">
        <v>29</v>
      </c>
      <c r="C46" s="25"/>
      <c r="D46" s="26"/>
      <c r="E46" s="27"/>
      <c r="F46" s="28"/>
      <c r="G46" s="29">
        <f t="shared" si="7"/>
        <v>1000</v>
      </c>
      <c r="H46" s="30">
        <f>G46*F46</f>
        <v>0</v>
      </c>
      <c r="I46" s="31"/>
      <c r="J46" s="32"/>
      <c r="K46" s="29">
        <f t="shared" si="9"/>
        <v>1000</v>
      </c>
      <c r="L46" s="30">
        <f>K46*J46</f>
        <v>0</v>
      </c>
      <c r="M46" s="31"/>
      <c r="N46" s="34">
        <f>L46-H46</f>
        <v>0</v>
      </c>
      <c r="O46" s="35" t="str">
        <f>IF((H46)=0,"",(N46/H46))</f>
        <v/>
      </c>
    </row>
    <row r="47" spans="2:15" x14ac:dyDescent="0.25">
      <c r="B47" s="53" t="s">
        <v>30</v>
      </c>
      <c r="C47" s="25"/>
      <c r="D47" s="26" t="s">
        <v>76</v>
      </c>
      <c r="E47" s="27"/>
      <c r="F47" s="54">
        <f>IF(ISBLANK(D16)=TRUE, 0, IF(D16="TOU", 0.64*$F$57+0.18*$F$58+0.18*$F$59, IF(AND(D16="non-TOU",#REF!&gt; 0),#REF!, F60)))</f>
        <v>0.10214000000000001</v>
      </c>
      <c r="G47" s="55">
        <f>$F$18*(1+$F$68)-$F$18</f>
        <v>91.699999999999818</v>
      </c>
      <c r="H47" s="30">
        <f t="shared" si="8"/>
        <v>9.3662379999999814</v>
      </c>
      <c r="I47" s="31"/>
      <c r="J47" s="56">
        <f>0.64*$F$57+0.18*$F$58+0.18*$F$59</f>
        <v>0.10214000000000001</v>
      </c>
      <c r="K47" s="55">
        <f>$F$18*(1+$J$68)-$F$18</f>
        <v>91.699999999999818</v>
      </c>
      <c r="L47" s="30">
        <f t="shared" si="10"/>
        <v>9.3662379999999814</v>
      </c>
      <c r="M47" s="31"/>
      <c r="N47" s="34">
        <f t="shared" si="11"/>
        <v>0</v>
      </c>
      <c r="O47" s="35">
        <f t="shared" si="12"/>
        <v>0</v>
      </c>
    </row>
    <row r="48" spans="2:15" x14ac:dyDescent="0.25">
      <c r="B48" s="53" t="s">
        <v>31</v>
      </c>
      <c r="C48" s="25"/>
      <c r="D48" s="26" t="s">
        <v>75</v>
      </c>
      <c r="E48" s="27"/>
      <c r="F48" s="54">
        <f>Rates!D58</f>
        <v>0.79</v>
      </c>
      <c r="G48" s="29">
        <v>1</v>
      </c>
      <c r="H48" s="30">
        <f>G48*F48</f>
        <v>0.79</v>
      </c>
      <c r="I48" s="31"/>
      <c r="J48" s="54">
        <f>Rates!F58</f>
        <v>0.79</v>
      </c>
      <c r="K48" s="29">
        <v>1</v>
      </c>
      <c r="L48" s="30">
        <f>K48*J48</f>
        <v>0.79</v>
      </c>
      <c r="M48" s="31"/>
      <c r="N48" s="34">
        <f>L48-H48</f>
        <v>0</v>
      </c>
      <c r="O48" s="35"/>
    </row>
    <row r="49" spans="2:19" ht="25.5" x14ac:dyDescent="0.25">
      <c r="B49" s="57" t="s">
        <v>32</v>
      </c>
      <c r="C49" s="58"/>
      <c r="D49" s="58"/>
      <c r="E49" s="58"/>
      <c r="F49" s="59"/>
      <c r="G49" s="60"/>
      <c r="H49" s="61">
        <f>SUM(H42:H48)+H41</f>
        <v>226.18623799999997</v>
      </c>
      <c r="I49" s="44"/>
      <c r="J49" s="60"/>
      <c r="K49" s="62"/>
      <c r="L49" s="61">
        <f>SUM(L42:L48)+L41</f>
        <v>235.69623799999997</v>
      </c>
      <c r="M49" s="44"/>
      <c r="N49" s="47">
        <f t="shared" ref="N49:N66" si="13">L49-H49</f>
        <v>9.5099999999999909</v>
      </c>
      <c r="O49" s="48">
        <f t="shared" ref="O49:O66" si="14">IF((H49)=0,"",(N49/H49))</f>
        <v>4.2044998334514021E-2</v>
      </c>
    </row>
    <row r="50" spans="2:19" x14ac:dyDescent="0.25">
      <c r="B50" s="31" t="s">
        <v>33</v>
      </c>
      <c r="C50" s="31"/>
      <c r="D50" s="63" t="s">
        <v>76</v>
      </c>
      <c r="E50" s="64"/>
      <c r="F50" s="32">
        <f>Rates!D54</f>
        <v>7.1000000000000004E-3</v>
      </c>
      <c r="G50" s="65">
        <f>F18*(1+F68)</f>
        <v>1091.6999999999998</v>
      </c>
      <c r="H50" s="30">
        <f>G50*F50</f>
        <v>7.7510699999999995</v>
      </c>
      <c r="I50" s="31"/>
      <c r="J50" s="32">
        <f>Rates!F54</f>
        <v>7.0000000000000001E-3</v>
      </c>
      <c r="K50" s="66">
        <f>F18*(1+J68)</f>
        <v>1091.6999999999998</v>
      </c>
      <c r="L50" s="30">
        <f>K50*J50</f>
        <v>7.6418999999999988</v>
      </c>
      <c r="M50" s="31"/>
      <c r="N50" s="34">
        <f t="shared" si="13"/>
        <v>-0.10917000000000066</v>
      </c>
      <c r="O50" s="35">
        <f t="shared" si="14"/>
        <v>-1.4084507042253606E-2</v>
      </c>
    </row>
    <row r="51" spans="2:19" ht="30" x14ac:dyDescent="0.25">
      <c r="B51" s="67" t="s">
        <v>34</v>
      </c>
      <c r="C51" s="31"/>
      <c r="D51" s="63" t="s">
        <v>76</v>
      </c>
      <c r="E51" s="64"/>
      <c r="F51" s="32">
        <f>Rates!D55</f>
        <v>5.3E-3</v>
      </c>
      <c r="G51" s="65">
        <f>G50</f>
        <v>1091.6999999999998</v>
      </c>
      <c r="H51" s="30">
        <f>G51*F51</f>
        <v>5.7860099999999992</v>
      </c>
      <c r="I51" s="31"/>
      <c r="J51" s="32">
        <f>Rates!F55</f>
        <v>5.1000000000000004E-3</v>
      </c>
      <c r="K51" s="66">
        <f>K50</f>
        <v>1091.6999999999998</v>
      </c>
      <c r="L51" s="30">
        <f>K51*J51</f>
        <v>5.5676699999999997</v>
      </c>
      <c r="M51" s="31"/>
      <c r="N51" s="34">
        <f t="shared" si="13"/>
        <v>-0.21833999999999953</v>
      </c>
      <c r="O51" s="35">
        <f t="shared" si="14"/>
        <v>-3.7735849056603696E-2</v>
      </c>
    </row>
    <row r="52" spans="2:19" ht="25.5" x14ac:dyDescent="0.25">
      <c r="B52" s="57" t="s">
        <v>35</v>
      </c>
      <c r="C52" s="39"/>
      <c r="D52" s="39"/>
      <c r="E52" s="39"/>
      <c r="F52" s="68"/>
      <c r="G52" s="60"/>
      <c r="H52" s="61">
        <f>SUM(H49:H51)</f>
        <v>239.72331799999998</v>
      </c>
      <c r="I52" s="69"/>
      <c r="J52" s="70"/>
      <c r="K52" s="71"/>
      <c r="L52" s="61">
        <f>SUM(L49:L51)</f>
        <v>248.90580799999995</v>
      </c>
      <c r="M52" s="69"/>
      <c r="N52" s="47">
        <f t="shared" si="13"/>
        <v>9.182489999999973</v>
      </c>
      <c r="O52" s="48">
        <f t="shared" si="14"/>
        <v>3.830453406288984E-2</v>
      </c>
    </row>
    <row r="53" spans="2:19" ht="30" x14ac:dyDescent="0.25">
      <c r="B53" s="72" t="s">
        <v>36</v>
      </c>
      <c r="C53" s="25"/>
      <c r="D53" s="63" t="s">
        <v>76</v>
      </c>
      <c r="E53" s="27"/>
      <c r="F53" s="75">
        <f>Rates!D56</f>
        <v>4.4000000000000003E-3</v>
      </c>
      <c r="G53" s="65">
        <f>G51</f>
        <v>1091.6999999999998</v>
      </c>
      <c r="H53" s="74">
        <f t="shared" ref="H53:H59" si="15">G53*F53</f>
        <v>4.8034799999999995</v>
      </c>
      <c r="I53" s="31"/>
      <c r="J53" s="75">
        <f>Rates!F56</f>
        <v>4.4000000000000003E-3</v>
      </c>
      <c r="K53" s="66">
        <f>K51</f>
        <v>1091.6999999999998</v>
      </c>
      <c r="L53" s="74">
        <f t="shared" ref="L53:L59" si="16">K53*J53</f>
        <v>4.8034799999999995</v>
      </c>
      <c r="M53" s="31"/>
      <c r="N53" s="34">
        <f t="shared" si="13"/>
        <v>0</v>
      </c>
      <c r="O53" s="76">
        <f t="shared" si="14"/>
        <v>0</v>
      </c>
    </row>
    <row r="54" spans="2:19" ht="30" x14ac:dyDescent="0.25">
      <c r="B54" s="72" t="s">
        <v>37</v>
      </c>
      <c r="C54" s="25"/>
      <c r="D54" s="63" t="s">
        <v>76</v>
      </c>
      <c r="E54" s="27"/>
      <c r="F54" s="75">
        <f>Rates!D57</f>
        <v>1.2999999999999999E-3</v>
      </c>
      <c r="G54" s="65">
        <f>G51</f>
        <v>1091.6999999999998</v>
      </c>
      <c r="H54" s="74">
        <f t="shared" si="15"/>
        <v>1.4192099999999996</v>
      </c>
      <c r="I54" s="31"/>
      <c r="J54" s="75">
        <f>Rates!F57</f>
        <v>1.2999999999999999E-3</v>
      </c>
      <c r="K54" s="66">
        <f>K51</f>
        <v>1091.6999999999998</v>
      </c>
      <c r="L54" s="74">
        <f t="shared" si="16"/>
        <v>1.4192099999999996</v>
      </c>
      <c r="M54" s="31"/>
      <c r="N54" s="34">
        <f t="shared" si="13"/>
        <v>0</v>
      </c>
      <c r="O54" s="76">
        <f t="shared" si="14"/>
        <v>0</v>
      </c>
    </row>
    <row r="55" spans="2:19" x14ac:dyDescent="0.25">
      <c r="B55" s="25" t="s">
        <v>38</v>
      </c>
      <c r="C55" s="25"/>
      <c r="D55" s="26" t="s">
        <v>75</v>
      </c>
      <c r="E55" s="27"/>
      <c r="F55" s="73">
        <f>Rates!D59</f>
        <v>0.25</v>
      </c>
      <c r="G55" s="29">
        <v>1</v>
      </c>
      <c r="H55" s="74">
        <f t="shared" si="15"/>
        <v>0.25</v>
      </c>
      <c r="I55" s="31"/>
      <c r="J55" s="75">
        <f>Rates!F59</f>
        <v>0.25</v>
      </c>
      <c r="K55" s="33">
        <v>1</v>
      </c>
      <c r="L55" s="74">
        <f t="shared" si="16"/>
        <v>0.25</v>
      </c>
      <c r="M55" s="31"/>
      <c r="N55" s="34">
        <f t="shared" si="13"/>
        <v>0</v>
      </c>
      <c r="O55" s="76">
        <f t="shared" si="14"/>
        <v>0</v>
      </c>
    </row>
    <row r="56" spans="2:19" x14ac:dyDescent="0.25">
      <c r="B56" s="25" t="s">
        <v>39</v>
      </c>
      <c r="C56" s="25"/>
      <c r="D56" s="26" t="s">
        <v>76</v>
      </c>
      <c r="E56" s="27"/>
      <c r="F56" s="73">
        <f>Rates!D79</f>
        <v>0</v>
      </c>
      <c r="G56" s="77">
        <f>F18</f>
        <v>1000</v>
      </c>
      <c r="H56" s="74">
        <f t="shared" si="15"/>
        <v>0</v>
      </c>
      <c r="I56" s="31"/>
      <c r="J56" s="75">
        <f>Rates!F79</f>
        <v>0</v>
      </c>
      <c r="K56" s="78">
        <f>F18</f>
        <v>1000</v>
      </c>
      <c r="L56" s="74">
        <f t="shared" si="16"/>
        <v>0</v>
      </c>
      <c r="M56" s="31"/>
      <c r="N56" s="34">
        <f t="shared" si="13"/>
        <v>0</v>
      </c>
      <c r="O56" s="76" t="str">
        <f t="shared" si="14"/>
        <v/>
      </c>
    </row>
    <row r="57" spans="2:19" x14ac:dyDescent="0.25">
      <c r="B57" s="53" t="s">
        <v>40</v>
      </c>
      <c r="C57" s="25"/>
      <c r="D57" s="26" t="s">
        <v>76</v>
      </c>
      <c r="E57" s="27"/>
      <c r="F57" s="79">
        <f>Rates!D87</f>
        <v>0.08</v>
      </c>
      <c r="G57" s="80">
        <f>0.64*$F$18</f>
        <v>640</v>
      </c>
      <c r="H57" s="74">
        <f t="shared" si="15"/>
        <v>51.2</v>
      </c>
      <c r="I57" s="31"/>
      <c r="J57" s="73">
        <f>Rates!F87</f>
        <v>0.08</v>
      </c>
      <c r="K57" s="80">
        <f>G57</f>
        <v>640</v>
      </c>
      <c r="L57" s="74">
        <f t="shared" si="16"/>
        <v>51.2</v>
      </c>
      <c r="M57" s="31"/>
      <c r="N57" s="34">
        <f t="shared" si="13"/>
        <v>0</v>
      </c>
      <c r="O57" s="76">
        <f t="shared" si="14"/>
        <v>0</v>
      </c>
      <c r="S57" s="81"/>
    </row>
    <row r="58" spans="2:19" x14ac:dyDescent="0.25">
      <c r="B58" s="53" t="s">
        <v>41</v>
      </c>
      <c r="C58" s="25"/>
      <c r="D58" s="26" t="s">
        <v>76</v>
      </c>
      <c r="E58" s="27"/>
      <c r="F58" s="79">
        <f>Rates!D88</f>
        <v>0.122</v>
      </c>
      <c r="G58" s="80">
        <f>0.18*$F$18</f>
        <v>180</v>
      </c>
      <c r="H58" s="74">
        <f t="shared" si="15"/>
        <v>21.96</v>
      </c>
      <c r="I58" s="31"/>
      <c r="J58" s="73">
        <f>Rates!F88</f>
        <v>0.122</v>
      </c>
      <c r="K58" s="80">
        <f>G58</f>
        <v>180</v>
      </c>
      <c r="L58" s="74">
        <f t="shared" si="16"/>
        <v>21.96</v>
      </c>
      <c r="M58" s="31"/>
      <c r="N58" s="34">
        <f t="shared" si="13"/>
        <v>0</v>
      </c>
      <c r="O58" s="76">
        <f t="shared" si="14"/>
        <v>0</v>
      </c>
      <c r="S58" s="81"/>
    </row>
    <row r="59" spans="2:19" x14ac:dyDescent="0.25">
      <c r="B59" s="15" t="s">
        <v>42</v>
      </c>
      <c r="C59" s="25"/>
      <c r="D59" s="26" t="s">
        <v>76</v>
      </c>
      <c r="E59" s="27"/>
      <c r="F59" s="79">
        <f>Rates!D89</f>
        <v>0.161</v>
      </c>
      <c r="G59" s="80">
        <f>0.18*$F$18</f>
        <v>180</v>
      </c>
      <c r="H59" s="74">
        <f t="shared" si="15"/>
        <v>28.98</v>
      </c>
      <c r="I59" s="31"/>
      <c r="J59" s="73">
        <f>Rates!F89</f>
        <v>0.161</v>
      </c>
      <c r="K59" s="80">
        <f>G59</f>
        <v>180</v>
      </c>
      <c r="L59" s="74">
        <f t="shared" si="16"/>
        <v>28.98</v>
      </c>
      <c r="M59" s="31"/>
      <c r="N59" s="34">
        <f t="shared" si="13"/>
        <v>0</v>
      </c>
      <c r="O59" s="76">
        <f t="shared" si="14"/>
        <v>0</v>
      </c>
      <c r="S59" s="81"/>
    </row>
    <row r="60" spans="2:19" s="89" customFormat="1" ht="15.75" thickBot="1" x14ac:dyDescent="0.25">
      <c r="B60" s="53" t="s">
        <v>96</v>
      </c>
      <c r="C60" s="83"/>
      <c r="D60" s="84" t="s">
        <v>76</v>
      </c>
      <c r="E60" s="85"/>
      <c r="F60" s="79">
        <f>Rates!D91</f>
        <v>0.10214000000000001</v>
      </c>
      <c r="G60" s="86">
        <f>IF(AND($T$1=1, F18&gt;=600), 600, IF(AND($T$1=1, AND(F18&lt;600, F18&gt;=0)), F18, IF(AND($T$1=2, F18&gt;=1000), 1000, IF(AND($T$1=2, AND(F18&lt;1000, F18&gt;=0)), F18))))</f>
        <v>600</v>
      </c>
      <c r="H60" s="74">
        <f>G60*F60</f>
        <v>61.284000000000006</v>
      </c>
      <c r="I60" s="87"/>
      <c r="J60" s="73">
        <f>Rates!F91</f>
        <v>0.10214000000000001</v>
      </c>
      <c r="K60" s="86">
        <f>G60</f>
        <v>600</v>
      </c>
      <c r="L60" s="74">
        <f>K60*J60</f>
        <v>61.284000000000006</v>
      </c>
      <c r="M60" s="87"/>
      <c r="N60" s="88">
        <f t="shared" si="13"/>
        <v>0</v>
      </c>
      <c r="O60" s="76">
        <f t="shared" si="14"/>
        <v>0</v>
      </c>
    </row>
    <row r="61" spans="2:19" ht="15.75" thickBot="1" x14ac:dyDescent="0.3">
      <c r="B61" s="90"/>
      <c r="C61" s="91"/>
      <c r="D61" s="92"/>
      <c r="E61" s="91"/>
      <c r="F61" s="93"/>
      <c r="G61" s="94"/>
      <c r="H61" s="95"/>
      <c r="I61" s="96"/>
      <c r="J61" s="93"/>
      <c r="K61" s="97"/>
      <c r="L61" s="95"/>
      <c r="M61" s="96"/>
      <c r="N61" s="98"/>
      <c r="O61" s="99"/>
    </row>
    <row r="62" spans="2:19" x14ac:dyDescent="0.25">
      <c r="B62" s="100" t="s">
        <v>45</v>
      </c>
      <c r="C62" s="25"/>
      <c r="D62" s="25"/>
      <c r="E62" s="25"/>
      <c r="F62" s="101"/>
      <c r="G62" s="102"/>
      <c r="H62" s="103">
        <f>SUM(H53:H59,H52)</f>
        <v>348.33600799999999</v>
      </c>
      <c r="I62" s="104"/>
      <c r="J62" s="105"/>
      <c r="K62" s="105"/>
      <c r="L62" s="143">
        <f>SUM(L53:L59,L52)</f>
        <v>357.51849799999997</v>
      </c>
      <c r="M62" s="106"/>
      <c r="N62" s="107">
        <f t="shared" ref="N62" si="17">L62-H62</f>
        <v>9.182489999999973</v>
      </c>
      <c r="O62" s="108">
        <f t="shared" ref="O62" si="18">IF((H62)=0,"",(N62/H62))</f>
        <v>2.6361012898787003E-2</v>
      </c>
      <c r="S62" s="81"/>
    </row>
    <row r="63" spans="2:19" x14ac:dyDescent="0.25">
      <c r="B63" s="109" t="s">
        <v>46</v>
      </c>
      <c r="C63" s="25"/>
      <c r="D63" s="25"/>
      <c r="E63" s="25"/>
      <c r="F63" s="110">
        <v>0.13</v>
      </c>
      <c r="G63" s="111"/>
      <c r="H63" s="112">
        <f>H62*F63</f>
        <v>45.283681039999998</v>
      </c>
      <c r="I63" s="113"/>
      <c r="J63" s="114">
        <v>0.13</v>
      </c>
      <c r="K63" s="113"/>
      <c r="L63" s="115">
        <f>L62*J63</f>
        <v>46.477404739999997</v>
      </c>
      <c r="M63" s="116"/>
      <c r="N63" s="117">
        <f t="shared" si="13"/>
        <v>1.1937236999999996</v>
      </c>
      <c r="O63" s="118">
        <f t="shared" si="14"/>
        <v>2.6361012898787076E-2</v>
      </c>
      <c r="S63" s="81"/>
    </row>
    <row r="64" spans="2:19" x14ac:dyDescent="0.25">
      <c r="B64" s="119" t="s">
        <v>50</v>
      </c>
      <c r="C64" s="25"/>
      <c r="D64" s="25"/>
      <c r="E64" s="25"/>
      <c r="F64" s="120"/>
      <c r="G64" s="111"/>
      <c r="H64" s="112">
        <f>H62+H63</f>
        <v>393.61968903999997</v>
      </c>
      <c r="I64" s="113"/>
      <c r="J64" s="113"/>
      <c r="K64" s="113"/>
      <c r="L64" s="115">
        <f>L62+L63</f>
        <v>403.99590273999996</v>
      </c>
      <c r="M64" s="116"/>
      <c r="N64" s="117">
        <f t="shared" si="13"/>
        <v>10.376213699999994</v>
      </c>
      <c r="O64" s="118">
        <f t="shared" si="14"/>
        <v>2.6361012898787069E-2</v>
      </c>
      <c r="S64" s="81"/>
    </row>
    <row r="65" spans="1:15" x14ac:dyDescent="0.25">
      <c r="B65" s="211" t="s">
        <v>51</v>
      </c>
      <c r="C65" s="211"/>
      <c r="D65" s="211"/>
      <c r="E65" s="25"/>
      <c r="F65" s="120"/>
      <c r="G65" s="111"/>
      <c r="H65" s="121">
        <v>0</v>
      </c>
      <c r="I65" s="113"/>
      <c r="J65" s="113"/>
      <c r="K65" s="113"/>
      <c r="L65" s="122">
        <v>0</v>
      </c>
      <c r="M65" s="116"/>
      <c r="N65" s="123">
        <f t="shared" si="13"/>
        <v>0</v>
      </c>
      <c r="O65" s="124" t="str">
        <f t="shared" si="14"/>
        <v/>
      </c>
    </row>
    <row r="66" spans="1:15" x14ac:dyDescent="0.25">
      <c r="B66" s="212" t="s">
        <v>47</v>
      </c>
      <c r="C66" s="212"/>
      <c r="D66" s="212"/>
      <c r="E66" s="125"/>
      <c r="F66" s="126"/>
      <c r="G66" s="127"/>
      <c r="H66" s="128">
        <f>H64+H65</f>
        <v>393.61968903999997</v>
      </c>
      <c r="I66" s="129"/>
      <c r="J66" s="129"/>
      <c r="K66" s="129"/>
      <c r="L66" s="130">
        <f>L64+L65</f>
        <v>403.99590273999996</v>
      </c>
      <c r="M66" s="131"/>
      <c r="N66" s="132">
        <f t="shared" si="13"/>
        <v>10.376213699999994</v>
      </c>
      <c r="O66" s="133">
        <f t="shared" si="14"/>
        <v>2.6361012898787069E-2</v>
      </c>
    </row>
    <row r="67" spans="1:15" x14ac:dyDescent="0.25">
      <c r="L67" s="81"/>
    </row>
    <row r="68" spans="1:15" x14ac:dyDescent="0.25">
      <c r="B68" s="16" t="s">
        <v>48</v>
      </c>
      <c r="F68" s="141">
        <f>Rates!D84</f>
        <v>9.1700000000000004E-2</v>
      </c>
      <c r="J68" s="141">
        <f>Rates!F84</f>
        <v>9.1700000000000004E-2</v>
      </c>
    </row>
    <row r="70" spans="1:15" x14ac:dyDescent="0.25">
      <c r="A70" s="142"/>
      <c r="B70" s="10" t="s">
        <v>49</v>
      </c>
    </row>
  </sheetData>
  <mergeCells count="12">
    <mergeCell ref="A3:K3"/>
    <mergeCell ref="B10:O10"/>
    <mergeCell ref="B11:O11"/>
    <mergeCell ref="D14:O14"/>
    <mergeCell ref="F20:H20"/>
    <mergeCell ref="J20:L20"/>
    <mergeCell ref="N20:O20"/>
    <mergeCell ref="D21:D22"/>
    <mergeCell ref="N21:N22"/>
    <mergeCell ref="O21:O22"/>
    <mergeCell ref="B65:D65"/>
    <mergeCell ref="B66:D66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prompt="Select Charge Unit - monthly, per kWh, per kW" sqref="D50:D51 D42:D48 D23:D40 D53:D61">
      <formula1>"Monthly, per kWh, per kW"</formula1>
    </dataValidation>
    <dataValidation type="list" allowBlank="1" showInputMessage="1" showErrorMessage="1" sqref="E50:E51 E42:E48 E23:E40 E53:E61">
      <formula1>#REF!</formula1>
    </dataValidation>
  </dataValidations>
  <pageMargins left="0.7" right="0.7" top="0.75" bottom="0.75" header="0.3" footer="0.3"/>
  <pageSetup scale="55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65"/>
  <sheetViews>
    <sheetView showGridLines="0" topLeftCell="A46" zoomScaleNormal="100" workbookViewId="0">
      <selection activeCell="T62" sqref="T62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00" t="s">
        <v>6</v>
      </c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/>
    </row>
    <row r="11" spans="1:20" ht="18.75" customHeight="1" x14ac:dyDescent="0.25">
      <c r="B11" s="200" t="s">
        <v>7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01" t="s">
        <v>85</v>
      </c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19056</v>
      </c>
      <c r="G17" s="16" t="s">
        <v>12</v>
      </c>
      <c r="I17" s="213" t="s">
        <v>79</v>
      </c>
      <c r="J17" s="213"/>
      <c r="K17" s="17">
        <v>62</v>
      </c>
      <c r="L17" s="145" t="s">
        <v>80</v>
      </c>
    </row>
    <row r="18" spans="2:15" x14ac:dyDescent="0.25">
      <c r="B18" s="15"/>
    </row>
    <row r="19" spans="2:15" x14ac:dyDescent="0.25">
      <c r="B19" s="15"/>
      <c r="D19" s="18"/>
      <c r="E19" s="18"/>
      <c r="F19" s="202" t="s">
        <v>13</v>
      </c>
      <c r="G19" s="203"/>
      <c r="H19" s="204"/>
      <c r="J19" s="202" t="s">
        <v>14</v>
      </c>
      <c r="K19" s="203"/>
      <c r="L19" s="204"/>
      <c r="N19" s="202" t="s">
        <v>15</v>
      </c>
      <c r="O19" s="204"/>
    </row>
    <row r="20" spans="2:15" x14ac:dyDescent="0.25">
      <c r="B20" s="15"/>
      <c r="D20" s="205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07" t="s">
        <v>20</v>
      </c>
      <c r="O20" s="209" t="s">
        <v>21</v>
      </c>
    </row>
    <row r="21" spans="2:15" x14ac:dyDescent="0.25">
      <c r="B21" s="15"/>
      <c r="D21" s="206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08"/>
      <c r="O21" s="210"/>
    </row>
    <row r="22" spans="2:15" x14ac:dyDescent="0.25">
      <c r="B22" s="25" t="s">
        <v>23</v>
      </c>
      <c r="C22" s="25"/>
      <c r="D22" s="26" t="s">
        <v>75</v>
      </c>
      <c r="E22" s="27"/>
      <c r="F22" s="28">
        <f>Rates!D62</f>
        <v>1.1000000000000001</v>
      </c>
      <c r="G22" s="29">
        <v>391</v>
      </c>
      <c r="H22" s="30">
        <f>G22*F22</f>
        <v>430.1</v>
      </c>
      <c r="I22" s="31"/>
      <c r="J22" s="32">
        <f>Rates!F62</f>
        <v>1.33</v>
      </c>
      <c r="K22" s="33">
        <v>391</v>
      </c>
      <c r="L22" s="30">
        <f>K22*J22</f>
        <v>520.03</v>
      </c>
      <c r="M22" s="31"/>
      <c r="N22" s="34">
        <f>L22-H22</f>
        <v>89.92999999999995</v>
      </c>
      <c r="O22" s="35">
        <f>IF((H22)=0,"",(N22/H22))</f>
        <v>0.20909090909090897</v>
      </c>
    </row>
    <row r="23" spans="2:15" x14ac:dyDescent="0.25">
      <c r="B23" s="25"/>
      <c r="C23" s="25"/>
      <c r="D23" s="26"/>
      <c r="E23" s="27"/>
      <c r="F23" s="28"/>
      <c r="G23" s="29">
        <v>1</v>
      </c>
      <c r="H23" s="30">
        <f t="shared" ref="H23:H39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9" si="1">K24*J24</f>
        <v>0</v>
      </c>
      <c r="M24" s="31"/>
      <c r="N24" s="34">
        <f t="shared" ref="N24:N40" si="2">L24-H24</f>
        <v>0</v>
      </c>
      <c r="O24" s="35" t="str">
        <f t="shared" ref="O24:O40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76</v>
      </c>
      <c r="E28" s="27"/>
      <c r="F28" s="28">
        <f>Rates!D63</f>
        <v>0.1767</v>
      </c>
      <c r="G28" s="146">
        <f>$F$17</f>
        <v>19056</v>
      </c>
      <c r="H28" s="30">
        <f t="shared" si="0"/>
        <v>3367.1952000000001</v>
      </c>
      <c r="I28" s="31"/>
      <c r="J28" s="32">
        <f>Rates!F63</f>
        <v>0.21540000000000001</v>
      </c>
      <c r="K28" s="146">
        <f>$F$17</f>
        <v>19056</v>
      </c>
      <c r="L28" s="30">
        <f t="shared" si="1"/>
        <v>4104.6624000000002</v>
      </c>
      <c r="M28" s="31"/>
      <c r="N28" s="34">
        <f t="shared" si="2"/>
        <v>737.46720000000005</v>
      </c>
      <c r="O28" s="35">
        <f t="shared" si="3"/>
        <v>0.21901528013582344</v>
      </c>
    </row>
    <row r="29" spans="2:15" x14ac:dyDescent="0.25">
      <c r="B29" s="25"/>
      <c r="C29" s="25"/>
      <c r="D29" s="26"/>
      <c r="E29" s="27"/>
      <c r="F29" s="28"/>
      <c r="G29" s="29">
        <f t="shared" ref="G29:G45" si="4">$K$17</f>
        <v>62</v>
      </c>
      <c r="H29" s="30">
        <f t="shared" si="0"/>
        <v>0</v>
      </c>
      <c r="I29" s="31"/>
      <c r="J29" s="32"/>
      <c r="K29" s="29">
        <f t="shared" ref="K29:K45" si="5">$K$17</f>
        <v>62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x14ac:dyDescent="0.25">
      <c r="B30" s="25" t="s">
        <v>27</v>
      </c>
      <c r="C30" s="25"/>
      <c r="D30" s="26"/>
      <c r="E30" s="27"/>
      <c r="F30" s="28"/>
      <c r="G30" s="29">
        <f t="shared" si="4"/>
        <v>62</v>
      </c>
      <c r="H30" s="30">
        <f t="shared" si="0"/>
        <v>0</v>
      </c>
      <c r="I30" s="31"/>
      <c r="J30" s="32"/>
      <c r="K30" s="29">
        <f t="shared" si="5"/>
        <v>62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144"/>
      <c r="C31" s="25"/>
      <c r="D31" s="63"/>
      <c r="E31" s="27"/>
      <c r="F31" s="32"/>
      <c r="G31" s="146">
        <f>$F$17</f>
        <v>19056</v>
      </c>
      <c r="H31" s="30">
        <f t="shared" si="0"/>
        <v>0</v>
      </c>
      <c r="I31" s="31"/>
      <c r="J31" s="32"/>
      <c r="K31" s="146">
        <f>$F$17</f>
        <v>19056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x14ac:dyDescent="0.25">
      <c r="B32" s="144"/>
      <c r="C32" s="25"/>
      <c r="D32" s="63"/>
      <c r="E32" s="27"/>
      <c r="F32" s="32"/>
      <c r="G32" s="146">
        <f>$F$17</f>
        <v>19056</v>
      </c>
      <c r="H32" s="30">
        <f t="shared" ref="H32:H33" si="6">G32*F32</f>
        <v>0</v>
      </c>
      <c r="I32" s="31"/>
      <c r="J32" s="32"/>
      <c r="K32" s="146">
        <f>$F$17</f>
        <v>19056</v>
      </c>
      <c r="L32" s="30">
        <f t="shared" ref="L32" si="7">K32*J32</f>
        <v>0</v>
      </c>
      <c r="M32" s="31"/>
      <c r="N32" s="34">
        <f t="shared" ref="N32" si="8">L32-H32</f>
        <v>0</v>
      </c>
      <c r="O32" s="35" t="str">
        <f t="shared" ref="O32" si="9">IF((H32)=0,"",(N32/H32))</f>
        <v/>
      </c>
    </row>
    <row r="33" spans="2:15" ht="30" x14ac:dyDescent="0.25">
      <c r="B33" s="144" t="str">
        <f>Rates!A66</f>
        <v>Foregone Revenue Recovery (2015) - effective until December 31, 2015 (2015)</v>
      </c>
      <c r="C33" s="25"/>
      <c r="D33" s="63" t="s">
        <v>76</v>
      </c>
      <c r="E33" s="27"/>
      <c r="F33" s="32">
        <f>Rates!D66</f>
        <v>1.9E-3</v>
      </c>
      <c r="G33" s="146">
        <f>$F$17</f>
        <v>19056</v>
      </c>
      <c r="H33" s="30">
        <f t="shared" si="6"/>
        <v>36.206400000000002</v>
      </c>
      <c r="I33" s="31"/>
      <c r="J33" s="32">
        <f>Rates!F66</f>
        <v>0</v>
      </c>
      <c r="K33" s="146">
        <f>$F$17</f>
        <v>19056</v>
      </c>
      <c r="L33" s="30">
        <f t="shared" ref="L33" si="10">K33*J33</f>
        <v>0</v>
      </c>
      <c r="M33" s="31"/>
      <c r="N33" s="34">
        <f t="shared" ref="N33" si="11">L33-H33</f>
        <v>-36.206400000000002</v>
      </c>
      <c r="O33" s="35">
        <f t="shared" ref="O33" si="12">IF((H33)=0,"",(N33/H33))</f>
        <v>-1</v>
      </c>
    </row>
    <row r="34" spans="2:15" x14ac:dyDescent="0.25">
      <c r="B34" s="144"/>
      <c r="C34" s="25"/>
      <c r="D34" s="63" t="s">
        <v>76</v>
      </c>
      <c r="E34" s="27"/>
      <c r="F34" s="32"/>
      <c r="G34" s="146">
        <f>$F$17</f>
        <v>19056</v>
      </c>
      <c r="H34" s="30">
        <f t="shared" si="0"/>
        <v>0</v>
      </c>
      <c r="I34" s="31"/>
      <c r="J34" s="32"/>
      <c r="K34" s="146">
        <f>$F$17</f>
        <v>19056</v>
      </c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ht="45" x14ac:dyDescent="0.25">
      <c r="B35" s="144" t="str">
        <f>Rates!A71</f>
        <v>Rate Rider for the Disposition of Account 1575 &amp; 1576 - effective until December 31, 2019</v>
      </c>
      <c r="C35" s="25"/>
      <c r="D35" s="63" t="s">
        <v>76</v>
      </c>
      <c r="E35" s="27"/>
      <c r="F35" s="32">
        <f>Rates!D71</f>
        <v>-1.9E-3</v>
      </c>
      <c r="G35" s="146">
        <f>$F$17</f>
        <v>19056</v>
      </c>
      <c r="H35" s="30">
        <f t="shared" si="0"/>
        <v>-36.206400000000002</v>
      </c>
      <c r="I35" s="31"/>
      <c r="J35" s="32">
        <f>Rates!F71</f>
        <v>-1.9E-3</v>
      </c>
      <c r="K35" s="146">
        <f>$F$17</f>
        <v>19056</v>
      </c>
      <c r="L35" s="30">
        <f t="shared" si="1"/>
        <v>-36.206400000000002</v>
      </c>
      <c r="M35" s="31"/>
      <c r="N35" s="34">
        <f t="shared" si="2"/>
        <v>0</v>
      </c>
      <c r="O35" s="35">
        <f t="shared" si="3"/>
        <v>0</v>
      </c>
    </row>
    <row r="36" spans="2:15" x14ac:dyDescent="0.25">
      <c r="B36" s="37"/>
      <c r="C36" s="25"/>
      <c r="D36" s="26"/>
      <c r="E36" s="27"/>
      <c r="F36" s="28"/>
      <c r="G36" s="29">
        <f t="shared" si="4"/>
        <v>62</v>
      </c>
      <c r="H36" s="30">
        <f t="shared" si="0"/>
        <v>0</v>
      </c>
      <c r="I36" s="31"/>
      <c r="J36" s="32"/>
      <c r="K36" s="29">
        <f t="shared" si="5"/>
        <v>62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62</v>
      </c>
      <c r="H37" s="30">
        <f t="shared" si="0"/>
        <v>0</v>
      </c>
      <c r="I37" s="31"/>
      <c r="J37" s="32"/>
      <c r="K37" s="29">
        <f t="shared" si="5"/>
        <v>62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62</v>
      </c>
      <c r="H38" s="30">
        <f t="shared" si="0"/>
        <v>0</v>
      </c>
      <c r="I38" s="31"/>
      <c r="J38" s="32"/>
      <c r="K38" s="29">
        <f t="shared" si="5"/>
        <v>62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4"/>
        <v>62</v>
      </c>
      <c r="H39" s="30">
        <f t="shared" si="0"/>
        <v>0</v>
      </c>
      <c r="I39" s="31"/>
      <c r="J39" s="32"/>
      <c r="K39" s="29">
        <f t="shared" si="5"/>
        <v>62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SUM(H22:H39)</f>
        <v>3797.2952</v>
      </c>
      <c r="I40" s="44"/>
      <c r="J40" s="45"/>
      <c r="K40" s="46"/>
      <c r="L40" s="43">
        <f>SUM(L22:L39)</f>
        <v>4588.4859999999999</v>
      </c>
      <c r="M40" s="44"/>
      <c r="N40" s="47">
        <f t="shared" si="2"/>
        <v>791.19079999999985</v>
      </c>
      <c r="O40" s="48">
        <f t="shared" si="3"/>
        <v>0.20835641116339859</v>
      </c>
    </row>
    <row r="41" spans="2:15" ht="38.25" x14ac:dyDescent="0.25">
      <c r="B41" s="50" t="str">
        <f>Rates!A68</f>
        <v>Rate Rider for the Disposition of Deferral/Variance Accounts (2014) - effective until December 31, 2015</v>
      </c>
      <c r="C41" s="25"/>
      <c r="D41" s="63" t="s">
        <v>76</v>
      </c>
      <c r="E41" s="27"/>
      <c r="F41" s="32">
        <f>Rates!D68</f>
        <v>-1.41E-2</v>
      </c>
      <c r="G41" s="146">
        <f>$F$17</f>
        <v>19056</v>
      </c>
      <c r="H41" s="30">
        <f>G41*F41</f>
        <v>-268.68959999999998</v>
      </c>
      <c r="I41" s="31"/>
      <c r="J41" s="32">
        <f>Rates!F68</f>
        <v>0</v>
      </c>
      <c r="K41" s="146">
        <f>$F$17</f>
        <v>19056</v>
      </c>
      <c r="L41" s="30">
        <f>K41*J41</f>
        <v>0</v>
      </c>
      <c r="M41" s="31"/>
      <c r="N41" s="34">
        <f>L41-H41</f>
        <v>268.68959999999998</v>
      </c>
      <c r="O41" s="35">
        <f>IF((H41)=0,"",(N41/H41))</f>
        <v>-1</v>
      </c>
    </row>
    <row r="42" spans="2:15" ht="38.25" x14ac:dyDescent="0.25">
      <c r="B42" s="50" t="str">
        <f>Rates!A69</f>
        <v>Rate Rider for the Disposition of Global Adjustment Sub-Account (2014) - effective until December 31, 2015</v>
      </c>
      <c r="C42" s="25"/>
      <c r="D42" s="63" t="s">
        <v>76</v>
      </c>
      <c r="E42" s="27"/>
      <c r="F42" s="28">
        <f>Rates!D69</f>
        <v>2.1899999999999999E-2</v>
      </c>
      <c r="G42" s="146">
        <f>$F$17</f>
        <v>19056</v>
      </c>
      <c r="H42" s="30">
        <f t="shared" ref="H42:H46" si="13">G42*F42</f>
        <v>417.32639999999998</v>
      </c>
      <c r="I42" s="51"/>
      <c r="J42" s="32">
        <f>Rates!F69</f>
        <v>0</v>
      </c>
      <c r="K42" s="146">
        <f>$F$17</f>
        <v>19056</v>
      </c>
      <c r="L42" s="30">
        <f t="shared" ref="L42:L46" si="14">K42*J42</f>
        <v>0</v>
      </c>
      <c r="M42" s="52"/>
      <c r="N42" s="34">
        <f t="shared" ref="N42:N46" si="15">L42-H42</f>
        <v>-417.32639999999998</v>
      </c>
      <c r="O42" s="35">
        <f t="shared" ref="O42:O46" si="16">IF((H42)=0,"",(N42/H42))</f>
        <v>-1</v>
      </c>
    </row>
    <row r="43" spans="2:15" ht="38.25" x14ac:dyDescent="0.25">
      <c r="B43" s="50" t="str">
        <f>Rates!A64</f>
        <v>Rate Rider for the Disposition of Deferral/Variance Accounts (2016) - effective until December 31, 2016</v>
      </c>
      <c r="C43" s="25"/>
      <c r="D43" s="26"/>
      <c r="E43" s="27"/>
      <c r="F43" s="28">
        <f>Rates!D64</f>
        <v>0</v>
      </c>
      <c r="G43" s="29">
        <f t="shared" si="4"/>
        <v>62</v>
      </c>
      <c r="H43" s="30">
        <f t="shared" si="13"/>
        <v>0</v>
      </c>
      <c r="I43" s="51"/>
      <c r="J43" s="32">
        <f>Rates!F64</f>
        <v>0</v>
      </c>
      <c r="K43" s="29">
        <f t="shared" si="5"/>
        <v>62</v>
      </c>
      <c r="L43" s="30">
        <f t="shared" si="14"/>
        <v>0</v>
      </c>
      <c r="M43" s="52"/>
      <c r="N43" s="34">
        <f t="shared" si="15"/>
        <v>0</v>
      </c>
      <c r="O43" s="35" t="str">
        <f t="shared" si="16"/>
        <v/>
      </c>
    </row>
    <row r="44" spans="2:15" ht="38.25" x14ac:dyDescent="0.25">
      <c r="B44" s="50" t="str">
        <f>Rates!A65</f>
        <v>Rate Rider for the Disposition of Global Adjustment Sub-Account (2016) - effective until December 31, 2016</v>
      </c>
      <c r="C44" s="25"/>
      <c r="D44" s="26"/>
      <c r="E44" s="27"/>
      <c r="F44" s="28">
        <f>Rates!D65</f>
        <v>0</v>
      </c>
      <c r="G44" s="29">
        <f t="shared" si="4"/>
        <v>62</v>
      </c>
      <c r="H44" s="30">
        <f t="shared" si="13"/>
        <v>0</v>
      </c>
      <c r="I44" s="51"/>
      <c r="J44" s="32">
        <f>Rates!F65</f>
        <v>0</v>
      </c>
      <c r="K44" s="29">
        <f t="shared" si="5"/>
        <v>62</v>
      </c>
      <c r="L44" s="30">
        <f t="shared" si="14"/>
        <v>0</v>
      </c>
      <c r="M44" s="52"/>
      <c r="N44" s="34">
        <f t="shared" si="15"/>
        <v>0</v>
      </c>
      <c r="O44" s="35" t="str">
        <f t="shared" si="16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4"/>
        <v>62</v>
      </c>
      <c r="H45" s="30">
        <f>G45*F45</f>
        <v>0</v>
      </c>
      <c r="I45" s="31"/>
      <c r="J45" s="32"/>
      <c r="K45" s="29">
        <f t="shared" si="5"/>
        <v>62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76</v>
      </c>
      <c r="E46" s="27"/>
      <c r="F46" s="147">
        <f>Rates!D91</f>
        <v>0.10214000000000001</v>
      </c>
      <c r="G46" s="55">
        <f>$F$17*(1+$F$63)-$F$17</f>
        <v>1747.4351999999963</v>
      </c>
      <c r="H46" s="30">
        <f t="shared" si="13"/>
        <v>178.48303132799964</v>
      </c>
      <c r="I46" s="31"/>
      <c r="J46" s="149">
        <f>Rates!F91</f>
        <v>0.10214000000000001</v>
      </c>
      <c r="K46" s="55">
        <f>$F$17*(1+$J$63)-$F$17</f>
        <v>1747.4351999999963</v>
      </c>
      <c r="L46" s="30">
        <f t="shared" si="14"/>
        <v>178.48303132799964</v>
      </c>
      <c r="M46" s="31"/>
      <c r="N46" s="34">
        <f t="shared" si="15"/>
        <v>0</v>
      </c>
      <c r="O46" s="35">
        <f t="shared" si="16"/>
        <v>0</v>
      </c>
    </row>
    <row r="47" spans="2:15" x14ac:dyDescent="0.25">
      <c r="B47" s="53" t="s">
        <v>31</v>
      </c>
      <c r="C47" s="25"/>
      <c r="D47" s="26" t="s">
        <v>75</v>
      </c>
      <c r="E47" s="27"/>
      <c r="F47" s="54"/>
      <c r="G47" s="29">
        <v>1</v>
      </c>
      <c r="H47" s="30">
        <f>G47*F47</f>
        <v>0</v>
      </c>
      <c r="I47" s="31"/>
      <c r="J47" s="54"/>
      <c r="K47" s="29">
        <v>1</v>
      </c>
      <c r="L47" s="30">
        <f>K47*J47</f>
        <v>0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4124.4150313279997</v>
      </c>
      <c r="I48" s="44"/>
      <c r="J48" s="60"/>
      <c r="K48" s="62"/>
      <c r="L48" s="61">
        <f>SUM(L41:L47)+L40</f>
        <v>4766.9690313279998</v>
      </c>
      <c r="M48" s="44"/>
      <c r="N48" s="47">
        <f t="shared" ref="N48:N60" si="17">L48-H48</f>
        <v>642.55400000000009</v>
      </c>
      <c r="O48" s="48">
        <f t="shared" ref="O48:O60" si="18">IF((H48)=0,"",(N48/H48))</f>
        <v>0.15579275972939788</v>
      </c>
    </row>
    <row r="49" spans="2:19" x14ac:dyDescent="0.25">
      <c r="B49" s="31" t="s">
        <v>33</v>
      </c>
      <c r="C49" s="31"/>
      <c r="D49" s="63" t="s">
        <v>81</v>
      </c>
      <c r="E49" s="64"/>
      <c r="F49" s="32">
        <f>Rates!D72</f>
        <v>1.9898</v>
      </c>
      <c r="G49" s="65">
        <f>K17*(1+F63)</f>
        <v>67.685399999999987</v>
      </c>
      <c r="H49" s="30">
        <f>G49*F49</f>
        <v>134.68040891999996</v>
      </c>
      <c r="I49" s="31"/>
      <c r="J49" s="32">
        <f>Rates!F72</f>
        <v>1.9496</v>
      </c>
      <c r="K49" s="66">
        <f>K17*(1+J63)</f>
        <v>67.685399999999987</v>
      </c>
      <c r="L49" s="30">
        <f>K49*J49</f>
        <v>131.95945583999998</v>
      </c>
      <c r="M49" s="31"/>
      <c r="N49" s="34">
        <f t="shared" si="17"/>
        <v>-2.7209530799999868</v>
      </c>
      <c r="O49" s="35">
        <f t="shared" si="18"/>
        <v>-2.0203035480952768E-2</v>
      </c>
    </row>
    <row r="50" spans="2:19" ht="30" x14ac:dyDescent="0.25">
      <c r="B50" s="67" t="s">
        <v>34</v>
      </c>
      <c r="C50" s="31"/>
      <c r="D50" s="63" t="s">
        <v>81</v>
      </c>
      <c r="E50" s="64"/>
      <c r="F50" s="32">
        <f>Rates!D73</f>
        <v>1.4332</v>
      </c>
      <c r="G50" s="65">
        <f>G49</f>
        <v>67.685399999999987</v>
      </c>
      <c r="H50" s="30">
        <f>G50*F50</f>
        <v>97.00671527999998</v>
      </c>
      <c r="I50" s="31"/>
      <c r="J50" s="32">
        <f>Rates!F73</f>
        <v>1.3767</v>
      </c>
      <c r="K50" s="66">
        <f>K49</f>
        <v>67.685399999999987</v>
      </c>
      <c r="L50" s="30">
        <f>K50*J50</f>
        <v>93.182490179999988</v>
      </c>
      <c r="M50" s="31"/>
      <c r="N50" s="34">
        <f t="shared" si="17"/>
        <v>-3.8242250999999925</v>
      </c>
      <c r="O50" s="35">
        <f t="shared" si="18"/>
        <v>-3.942227183924079E-2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4356.1021555279995</v>
      </c>
      <c r="I51" s="69"/>
      <c r="J51" s="70"/>
      <c r="K51" s="71"/>
      <c r="L51" s="61">
        <f>SUM(L48:L50)</f>
        <v>4992.1109773480002</v>
      </c>
      <c r="M51" s="69"/>
      <c r="N51" s="47">
        <f t="shared" si="17"/>
        <v>636.00882182000078</v>
      </c>
      <c r="O51" s="48">
        <f t="shared" si="18"/>
        <v>0.14600411081105849</v>
      </c>
    </row>
    <row r="52" spans="2:19" ht="30" x14ac:dyDescent="0.25">
      <c r="B52" s="72" t="s">
        <v>36</v>
      </c>
      <c r="C52" s="25"/>
      <c r="D52" s="63" t="s">
        <v>76</v>
      </c>
      <c r="E52" s="27"/>
      <c r="F52" s="75">
        <f>Rates!D74</f>
        <v>4.4000000000000003E-3</v>
      </c>
      <c r="G52" s="65">
        <f>F17*(1+F63)</f>
        <v>20803.435199999996</v>
      </c>
      <c r="H52" s="74">
        <f t="shared" ref="H52:H56" si="19">G52*F52</f>
        <v>91.535114879999995</v>
      </c>
      <c r="I52" s="31"/>
      <c r="J52" s="75">
        <f>Rates!F74</f>
        <v>4.4000000000000003E-3</v>
      </c>
      <c r="K52" s="66">
        <f>F17*(1+J63)</f>
        <v>20803.435199999996</v>
      </c>
      <c r="L52" s="74">
        <f t="shared" ref="L52:L56" si="20">K52*J52</f>
        <v>91.535114879999995</v>
      </c>
      <c r="M52" s="31"/>
      <c r="N52" s="34">
        <f t="shared" si="17"/>
        <v>0</v>
      </c>
      <c r="O52" s="76">
        <f t="shared" si="18"/>
        <v>0</v>
      </c>
    </row>
    <row r="53" spans="2:19" ht="30" x14ac:dyDescent="0.25">
      <c r="B53" s="72" t="s">
        <v>37</v>
      </c>
      <c r="C53" s="25"/>
      <c r="D53" s="63" t="s">
        <v>76</v>
      </c>
      <c r="E53" s="27"/>
      <c r="F53" s="75">
        <f>Rates!D75</f>
        <v>1.2999999999999999E-3</v>
      </c>
      <c r="G53" s="65">
        <f>G52</f>
        <v>20803.435199999996</v>
      </c>
      <c r="H53" s="74">
        <f t="shared" si="19"/>
        <v>27.044465759999994</v>
      </c>
      <c r="I53" s="31"/>
      <c r="J53" s="75">
        <f>Rates!F75</f>
        <v>1.2999999999999999E-3</v>
      </c>
      <c r="K53" s="66">
        <f>K52</f>
        <v>20803.435199999996</v>
      </c>
      <c r="L53" s="74">
        <f t="shared" si="20"/>
        <v>27.044465759999994</v>
      </c>
      <c r="M53" s="31"/>
      <c r="N53" s="34">
        <f t="shared" si="17"/>
        <v>0</v>
      </c>
      <c r="O53" s="76">
        <f t="shared" si="18"/>
        <v>0</v>
      </c>
    </row>
    <row r="54" spans="2:19" x14ac:dyDescent="0.25">
      <c r="B54" s="25" t="s">
        <v>38</v>
      </c>
      <c r="C54" s="25"/>
      <c r="D54" s="26" t="s">
        <v>75</v>
      </c>
      <c r="E54" s="27"/>
      <c r="F54" s="73">
        <f>Rates!D76</f>
        <v>0.25</v>
      </c>
      <c r="G54" s="29">
        <v>1</v>
      </c>
      <c r="H54" s="74">
        <f t="shared" si="19"/>
        <v>0.25</v>
      </c>
      <c r="I54" s="31"/>
      <c r="J54" s="75">
        <f>Rates!F76</f>
        <v>0.25</v>
      </c>
      <c r="K54" s="33">
        <v>1</v>
      </c>
      <c r="L54" s="74">
        <f t="shared" si="20"/>
        <v>0.25</v>
      </c>
      <c r="M54" s="31"/>
      <c r="N54" s="34">
        <f t="shared" si="17"/>
        <v>0</v>
      </c>
      <c r="O54" s="76">
        <f t="shared" si="18"/>
        <v>0</v>
      </c>
    </row>
    <row r="55" spans="2:19" x14ac:dyDescent="0.25">
      <c r="B55" s="25" t="s">
        <v>39</v>
      </c>
      <c r="C55" s="25"/>
      <c r="D55" s="26" t="s">
        <v>76</v>
      </c>
      <c r="E55" s="27"/>
      <c r="F55" s="73">
        <f>Rates!D79</f>
        <v>0</v>
      </c>
      <c r="G55" s="77">
        <f>F17</f>
        <v>19056</v>
      </c>
      <c r="H55" s="74">
        <f t="shared" si="19"/>
        <v>0</v>
      </c>
      <c r="I55" s="31"/>
      <c r="J55" s="75">
        <f>Rates!F79</f>
        <v>0</v>
      </c>
      <c r="K55" s="78">
        <f>F17</f>
        <v>19056</v>
      </c>
      <c r="L55" s="74">
        <f t="shared" si="20"/>
        <v>0</v>
      </c>
      <c r="M55" s="31"/>
      <c r="N55" s="34">
        <f t="shared" si="17"/>
        <v>0</v>
      </c>
      <c r="O55" s="76" t="str">
        <f t="shared" si="18"/>
        <v/>
      </c>
    </row>
    <row r="56" spans="2:19" ht="15.75" thickBot="1" x14ac:dyDescent="0.3">
      <c r="B56" s="53" t="s">
        <v>84</v>
      </c>
      <c r="C56" s="25"/>
      <c r="D56" s="26" t="s">
        <v>76</v>
      </c>
      <c r="E56" s="27"/>
      <c r="F56" s="79">
        <f>Rates!D91</f>
        <v>0.10214000000000001</v>
      </c>
      <c r="G56" s="80">
        <f>$F$17</f>
        <v>19056</v>
      </c>
      <c r="H56" s="74">
        <f t="shared" si="19"/>
        <v>1946.3798400000001</v>
      </c>
      <c r="I56" s="31"/>
      <c r="J56" s="73">
        <f>Rates!F91</f>
        <v>0.10214000000000001</v>
      </c>
      <c r="K56" s="80">
        <f>F17</f>
        <v>19056</v>
      </c>
      <c r="L56" s="74">
        <f t="shared" si="20"/>
        <v>1946.3798400000001</v>
      </c>
      <c r="M56" s="31"/>
      <c r="N56" s="34">
        <f t="shared" si="17"/>
        <v>0</v>
      </c>
      <c r="O56" s="76">
        <f t="shared" si="18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93</v>
      </c>
      <c r="C58" s="25"/>
      <c r="D58" s="25"/>
      <c r="E58" s="25"/>
      <c r="F58" s="101"/>
      <c r="G58" s="102"/>
      <c r="H58" s="103">
        <f>SUM(H52:H56,H51)</f>
        <v>6421.3115761680001</v>
      </c>
      <c r="I58" s="104"/>
      <c r="J58" s="105"/>
      <c r="K58" s="105"/>
      <c r="L58" s="143">
        <f>SUM(L52:L56,L51)</f>
        <v>7057.320397988</v>
      </c>
      <c r="M58" s="106"/>
      <c r="N58" s="107">
        <f t="shared" ref="N58" si="21">L58-H58</f>
        <v>636.00882181999987</v>
      </c>
      <c r="O58" s="108">
        <f t="shared" ref="O58" si="22">IF((H58)=0,"",(N58/H58))</f>
        <v>9.9046559924062472E-2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834.77050490184001</v>
      </c>
      <c r="I59" s="113"/>
      <c r="J59" s="114">
        <v>0.13</v>
      </c>
      <c r="K59" s="113"/>
      <c r="L59" s="115">
        <f>L58*J59</f>
        <v>917.45165173843998</v>
      </c>
      <c r="M59" s="116"/>
      <c r="N59" s="117">
        <f t="shared" si="17"/>
        <v>82.681146836599964</v>
      </c>
      <c r="O59" s="118">
        <f t="shared" si="18"/>
        <v>9.9046559924062444E-2</v>
      </c>
      <c r="S59" s="81"/>
    </row>
    <row r="60" spans="2:19" ht="15.75" thickBot="1" x14ac:dyDescent="0.3">
      <c r="B60" s="119" t="s">
        <v>50</v>
      </c>
      <c r="C60" s="25"/>
      <c r="D60" s="25"/>
      <c r="E60" s="25"/>
      <c r="F60" s="120"/>
      <c r="G60" s="111"/>
      <c r="H60" s="112">
        <f>H58+H59</f>
        <v>7256.0820810698406</v>
      </c>
      <c r="I60" s="113"/>
      <c r="J60" s="113"/>
      <c r="K60" s="113"/>
      <c r="L60" s="115">
        <f>L58+L59</f>
        <v>7974.7720497264399</v>
      </c>
      <c r="M60" s="116"/>
      <c r="N60" s="117">
        <f t="shared" si="17"/>
        <v>718.68996865659938</v>
      </c>
      <c r="O60" s="118">
        <f t="shared" si="18"/>
        <v>9.9046559924062402E-2</v>
      </c>
      <c r="S60" s="81"/>
    </row>
    <row r="61" spans="2:19" s="89" customFormat="1" ht="15.75" thickBot="1" x14ac:dyDescent="0.25">
      <c r="B61" s="134"/>
      <c r="C61" s="135"/>
      <c r="D61" s="136"/>
      <c r="E61" s="135"/>
      <c r="F61" s="93"/>
      <c r="G61" s="137"/>
      <c r="H61" s="95"/>
      <c r="I61" s="138"/>
      <c r="J61" s="93"/>
      <c r="K61" s="139"/>
      <c r="L61" s="95"/>
      <c r="M61" s="138"/>
      <c r="N61" s="140"/>
      <c r="O61" s="99"/>
    </row>
    <row r="62" spans="2:19" x14ac:dyDescent="0.25">
      <c r="L62" s="81"/>
    </row>
    <row r="63" spans="2:19" x14ac:dyDescent="0.25">
      <c r="B63" s="16" t="s">
        <v>48</v>
      </c>
      <c r="F63" s="141">
        <f>Rates!D84</f>
        <v>9.1700000000000004E-2</v>
      </c>
      <c r="J63" s="141">
        <f>Rates!F84</f>
        <v>9.1700000000000004E-2</v>
      </c>
    </row>
    <row r="65" spans="1:2" x14ac:dyDescent="0.25">
      <c r="A65" s="142"/>
      <c r="B65" s="10" t="s">
        <v>49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prompt="Select Charge Unit - monthly, per kWh, per kW" sqref="D49:D50 D41:D47 D61 D22:D39 D52:D57">
      <formula1>"Monthly, per kWh, per kW"</formula1>
    </dataValidation>
    <dataValidation type="list" allowBlank="1" showInputMessage="1" showErrorMessage="1" sqref="E49:E50 E41:E47 E22:E39 E61 E52:E57">
      <formula1>#REF!</formula1>
    </dataValidation>
  </dataValidations>
  <pageMargins left="0.7" right="0.7" top="0.75" bottom="0.75" header="0.3" footer="0.3"/>
  <pageSetup scale="6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Cover</vt:lpstr>
      <vt:lpstr>Rates</vt:lpstr>
      <vt:lpstr>Residential - R1 RPP</vt:lpstr>
      <vt:lpstr>Residential - R1 GS RPP</vt:lpstr>
      <vt:lpstr>Residential - R1 Non-RPP</vt:lpstr>
      <vt:lpstr>Residential - R2</vt:lpstr>
      <vt:lpstr>Seasonal RPP</vt:lpstr>
      <vt:lpstr>Seasonal Non-RPP</vt:lpstr>
      <vt:lpstr>Street Lighting Non-RPP</vt:lpstr>
      <vt:lpstr>Street Lighting Non-RPP (2)</vt:lpstr>
      <vt:lpstr>Summary</vt:lpstr>
      <vt:lpstr>'Residential - R1 GS RPP'!Print_Area</vt:lpstr>
      <vt:lpstr>'Residential - R1 Non-RPP'!Print_Area</vt:lpstr>
      <vt:lpstr>'Residential - R1 RPP'!Print_Area</vt:lpstr>
      <vt:lpstr>'Residential - R2'!Print_Area</vt:lpstr>
      <vt:lpstr>'Seasonal Non-RPP'!Print_Area</vt:lpstr>
      <vt:lpstr>'Seasonal RPP'!Print_Area</vt:lpstr>
      <vt:lpstr>'Street Lighting Non-RPP'!Print_Area</vt:lpstr>
      <vt:lpstr>'Street Lighting Non-RPP (2)'!Print_Area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Bradbury, Doug</cp:lastModifiedBy>
  <cp:lastPrinted>2015-08-10T18:46:07Z</cp:lastPrinted>
  <dcterms:created xsi:type="dcterms:W3CDTF">2014-04-09T13:49:52Z</dcterms:created>
  <dcterms:modified xsi:type="dcterms:W3CDTF">2015-08-13T15:47:27Z</dcterms:modified>
</cp:coreProperties>
</file>