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60" windowWidth="24915" windowHeight="12540" tabRatio="919" firstSheet="2" activeTab="2"/>
  </bookViews>
  <sheets>
    <sheet name="January 01, 2016 Rates" sheetId="1" state="hidden" r:id="rId1"/>
    <sheet name="Rate Comparison" sheetId="2" state="hidden" r:id="rId2"/>
    <sheet name="Bill Impact Summary" sheetId="16" r:id="rId3"/>
    <sheet name="Bill Impact- Res RPP" sheetId="3" r:id="rId4"/>
    <sheet name="Bill Impact- Res RPP (10th Per)" sheetId="17" state="hidden" r:id="rId5"/>
    <sheet name="Bill Impact- Res Non RPP" sheetId="4" r:id="rId6"/>
    <sheet name="Bill Impact- Res Non RPP (10th)" sheetId="18" state="hidden" r:id="rId7"/>
    <sheet name="Bill Impact- GS &lt;50kW RPP" sheetId="5" r:id="rId8"/>
    <sheet name="Bill Impact- GS &lt;50kW Non RPP" sheetId="6" r:id="rId9"/>
    <sheet name="USL RPP" sheetId="7" r:id="rId10"/>
    <sheet name="USL Non RPP" sheetId="8" r:id="rId11"/>
    <sheet name="Bill Impact-GS50-499 NonRPP Int" sheetId="9" r:id="rId12"/>
    <sheet name="BI GS50-499 NonRPP Interval WMP" sheetId="20" state="hidden" r:id="rId13"/>
    <sheet name="BI- GS50-499 Non RPP Non Interv" sheetId="10" r:id="rId14"/>
    <sheet name="BI- GS500-4999 Non RPP Interval" sheetId="11" r:id="rId15"/>
    <sheet name="BI- GS500-4999 Non RPP Int WMP" sheetId="19" state="hidden" r:id="rId16"/>
    <sheet name="BI- GS500-4999 Non RPP Non Int" sheetId="12" r:id="rId17"/>
    <sheet name="BI- Large Use Class A" sheetId="13" r:id="rId18"/>
    <sheet name="BI- Large Use Class B" sheetId="14" r:id="rId19"/>
    <sheet name="BI- Street Light Non RPP" sheetId="15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AllHistory" localSheetId="0">'[1]Work Units'!$B$2:$R$48,'[1]Work Units'!$B$51:$R$86</definedName>
    <definedName name="AllHistory">'[1]Work Units'!$B$2:$R$48,'[1]Work Units'!$B$51:$R$86</definedName>
    <definedName name="AllPages" localSheetId="0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 localSheetId="0">[3]SUM2001!$A$6:$K$45,[3]SUM2001!$A$46:$K$79,[3]SUM2001!$A$80:$K$135</definedName>
    <definedName name="AllSum98">[3]SUM2001!$A$6:$K$45,[3]SUM2001!$A$46:$K$79,[3]SUM2001!$A$80:$K$135</definedName>
    <definedName name="area1" localSheetId="0">[4]CALC1!$AH$1:$AO$50,[4]CALC1!$CB$1:$CH$23,[4]CALC1!$AR$1:$AW$47,[4]CALC1!$AZ$1:$BH$51,[4]CALC1!$BK$1:$BS$49,[4]CALC1!$BV$1:$BY$33</definedName>
    <definedName name="area1">[4]CALC1!$AH$1:$AO$50,[4]CALC1!$CB$1:$CH$23,[4]CALC1!$AR$1:$AW$47,[4]CALC1!$AZ$1:$BH$51,[4]CALC1!$BK$1:$BS$49,[4]CALC1!$BV$1:$BY$33</definedName>
    <definedName name="area2" localSheetId="0">[4]CALC1!$CB$1:$CH$23,[4]CALC1!$S$1:$Z$33</definedName>
    <definedName name="area2">[4]CALC1!$CB$1:$CH$23,[4]CALC1!$S$1:$Z$33</definedName>
    <definedName name="AS2DocOpenMode" hidden="1">"AS2DocumentEdit"</definedName>
    <definedName name="asasd" localSheetId="15">[2]List99!$A$288:$F$346,[2]List99!#REF!,[2]List99!$A$350:$F$466</definedName>
    <definedName name="asasd" localSheetId="12">[2]List99!$A$288:$F$346,[2]List99!#REF!,[2]List99!$A$350:$F$466</definedName>
    <definedName name="asasd" localSheetId="8">[2]List99!$A$288:$F$346,[2]List99!#REF!,[2]List99!$A$350:$F$466</definedName>
    <definedName name="asasd" localSheetId="6">[2]List99!$A$288:$F$346,[2]List99!#REF!,[2]List99!$A$350:$F$466</definedName>
    <definedName name="asasd" localSheetId="4">[2]List99!$A$288:$F$346,[2]List99!#REF!,[2]List99!$A$350:$F$466</definedName>
    <definedName name="asasd" localSheetId="2">[2]List99!$A$288:$F$346,[2]List99!#REF!,[2]List99!$A$350:$F$466</definedName>
    <definedName name="asasd" localSheetId="0">[2]List99!$A$288:$F$346,[2]List99!#REF!,[2]List99!$A$350:$F$466</definedName>
    <definedName name="asasd">[2]List99!$A$288:$F$346,[2]List99!#REF!,[2]List99!$A$350:$F$466</definedName>
    <definedName name="BI_LDCLIST">'[5]3. Rate Class Selection'!$B$19:$B$26</definedName>
    <definedName name="budget" localSheetId="15">'[6]E&amp;O Comparison'!#REF!</definedName>
    <definedName name="budget" localSheetId="12">'[6]E&amp;O Comparison'!#REF!</definedName>
    <definedName name="budget" localSheetId="8">'[6]E&amp;O Comparison'!#REF!</definedName>
    <definedName name="budget" localSheetId="6">'[6]E&amp;O Comparison'!#REF!</definedName>
    <definedName name="budget" localSheetId="4">'[6]E&amp;O Comparison'!#REF!</definedName>
    <definedName name="budget" localSheetId="2">'[6]E&amp;O Comparison'!#REF!</definedName>
    <definedName name="budget" localSheetId="0">'[6]E&amp;O Comparison'!#REF!</definedName>
    <definedName name="budget">'[6]E&amp;O Comparison'!#REF!</definedName>
    <definedName name="Budget3" localSheetId="15">'[6]E&amp;O Comparison'!#REF!</definedName>
    <definedName name="Budget3" localSheetId="12">'[6]E&amp;O Comparison'!#REF!</definedName>
    <definedName name="Budget3" localSheetId="8">'[6]E&amp;O Comparison'!#REF!</definedName>
    <definedName name="Budget3" localSheetId="6">'[6]E&amp;O Comparison'!#REF!</definedName>
    <definedName name="Budget3" localSheetId="4">'[6]E&amp;O Comparison'!#REF!</definedName>
    <definedName name="Budget3" localSheetId="0">'[6]E&amp;O Comparison'!#REF!</definedName>
    <definedName name="Budget3">'[6]E&amp;O Comparison'!#REF!</definedName>
    <definedName name="Budget4" localSheetId="15">'[6]E&amp;O Comparison'!#REF!</definedName>
    <definedName name="Budget4" localSheetId="12">'[6]E&amp;O Comparison'!#REF!</definedName>
    <definedName name="Budget4" localSheetId="8">'[6]E&amp;O Comparison'!#REF!</definedName>
    <definedName name="Budget4" localSheetId="6">'[6]E&amp;O Comparison'!#REF!</definedName>
    <definedName name="Budget4" localSheetId="4">'[6]E&amp;O Comparison'!#REF!</definedName>
    <definedName name="Budget4" localSheetId="0">'[6]E&amp;O Comparison'!#REF!</definedName>
    <definedName name="Budget4">'[6]E&amp;O Comparison'!#REF!</definedName>
    <definedName name="Budget5" localSheetId="15">'[6]E&amp;O Comparison'!#REF!</definedName>
    <definedName name="Budget5" localSheetId="12">'[6]E&amp;O Comparison'!#REF!</definedName>
    <definedName name="Budget5" localSheetId="8">'[6]E&amp;O Comparison'!#REF!</definedName>
    <definedName name="Budget5" localSheetId="6">'[6]E&amp;O Comparison'!#REF!</definedName>
    <definedName name="Budget5" localSheetId="4">'[6]E&amp;O Comparison'!#REF!</definedName>
    <definedName name="Budget5" localSheetId="0">'[6]E&amp;O Comparison'!#REF!</definedName>
    <definedName name="Budget5">'[6]E&amp;O Comparison'!#REF!</definedName>
    <definedName name="BudgetBook" localSheetId="0">[7]Budget!$B$3:$P$33,[7]Budget!$B$37:$N$86,[7]Budget!$B$142:$K$195,[7]Budget!$B$198:$K$237</definedName>
    <definedName name="BudgetBook">[7]Budget!$B$3:$P$33,[7]Budget!$B$37:$N$86,[7]Budget!$B$142:$K$195,[7]Budget!$B$198:$K$237</definedName>
    <definedName name="CDM_2007" localSheetId="15">#REF!</definedName>
    <definedName name="CDM_2007" localSheetId="12">#REF!</definedName>
    <definedName name="CDM_2007" localSheetId="8">#REF!</definedName>
    <definedName name="CDM_2007" localSheetId="6">#REF!</definedName>
    <definedName name="CDM_2007" localSheetId="4">#REF!</definedName>
    <definedName name="CDM_2007" localSheetId="2">#REF!</definedName>
    <definedName name="CDM_2007" localSheetId="0">#REF!</definedName>
    <definedName name="CDM_2007">#REF!</definedName>
    <definedName name="contactf" localSheetId="15">#REF!</definedName>
    <definedName name="contactf" localSheetId="12">#REF!</definedName>
    <definedName name="contactf" localSheetId="8">#REF!</definedName>
    <definedName name="contactf" localSheetId="6">#REF!</definedName>
    <definedName name="contactf" localSheetId="4">#REF!</definedName>
    <definedName name="contactf" localSheetId="2">#REF!</definedName>
    <definedName name="contactf" localSheetId="0">#REF!</definedName>
    <definedName name="contactf">#REF!</definedName>
    <definedName name="COVER" localSheetId="0">[7]SUM95!$AV$14:$BF$37,[7]SUM95!$AV$40:$BF$58</definedName>
    <definedName name="COVER">[7]SUM95!$AV$14:$BF$37,[7]SUM95!$AV$40:$BF$58</definedName>
    <definedName name="d" localSheetId="15">#REF!</definedName>
    <definedName name="d" localSheetId="12">#REF!</definedName>
    <definedName name="d" localSheetId="8">#REF!</definedName>
    <definedName name="d" localSheetId="6">#REF!</definedName>
    <definedName name="d" localSheetId="4">#REF!</definedName>
    <definedName name="d" localSheetId="2">#REF!</definedName>
    <definedName name="d">#REF!</definedName>
    <definedName name="distribution" localSheetId="15">[2]List99!$A$288:$F$346,[2]List99!#REF!,[2]List99!$A$350:$F$466</definedName>
    <definedName name="distribution" localSheetId="12">[2]List99!$A$288:$F$346,[2]List99!#REF!,[2]List99!$A$350:$F$466</definedName>
    <definedName name="distribution" localSheetId="8">[2]List99!$A$288:$F$346,[2]List99!#REF!,[2]List99!$A$350:$F$466</definedName>
    <definedName name="distribution" localSheetId="6">[2]List99!$A$288:$F$346,[2]List99!#REF!,[2]List99!$A$350:$F$466</definedName>
    <definedName name="distribution" localSheetId="4">[2]List99!$A$288:$F$346,[2]List99!#REF!,[2]List99!$A$350:$F$466</definedName>
    <definedName name="distribution" localSheetId="2">[2]List99!$A$288:$F$346,[2]List99!#REF!,[2]List99!$A$350:$F$466</definedName>
    <definedName name="distribution" localSheetId="0">[2]List99!$A$288:$F$346,[2]List99!#REF!,[2]List99!$A$350:$F$466</definedName>
    <definedName name="distribution">[2]List99!$A$288:$F$346,[2]List99!#REF!,[2]List99!$A$350:$F$466</definedName>
    <definedName name="EDR_06_OthInfo" localSheetId="15">'[8]4. 2006 Smart Meter Information'!#REF!</definedName>
    <definedName name="EDR_06_OthInfo" localSheetId="12">'[8]4. 2006 Smart Meter Information'!#REF!</definedName>
    <definedName name="EDR_06_OthInfo" localSheetId="8">'[8]4. 2006 Smart Meter Information'!#REF!</definedName>
    <definedName name="EDR_06_OthInfo" localSheetId="6">'[8]4. 2006 Smart Meter Information'!#REF!</definedName>
    <definedName name="EDR_06_OthInfo" localSheetId="4">'[8]4. 2006 Smart Meter Information'!#REF!</definedName>
    <definedName name="EDR_06_OthInfo" localSheetId="2">'[8]4. 2006 Smart Meter Information'!#REF!</definedName>
    <definedName name="EDR_06_OthInfo" localSheetId="0">'[8]4. 2006 Smart Meter Information'!#REF!</definedName>
    <definedName name="EDR_06_OthInfo">'[8]4. 2006 Smart Meter Information'!#REF!</definedName>
    <definedName name="EDR06Tariffs" localSheetId="15">'[8]3. 2006 Tariff Sheet'!#REF!</definedName>
    <definedName name="EDR06Tariffs" localSheetId="12">'[8]3. 2006 Tariff Sheet'!#REF!</definedName>
    <definedName name="EDR06Tariffs" localSheetId="8">'[8]3. 2006 Tariff Sheet'!#REF!</definedName>
    <definedName name="EDR06Tariffs" localSheetId="6">'[8]3. 2006 Tariff Sheet'!#REF!</definedName>
    <definedName name="EDR06Tariffs" localSheetId="4">'[8]3. 2006 Tariff Sheet'!#REF!</definedName>
    <definedName name="EDR06Tariffs" localSheetId="0">'[8]3. 2006 Tariff Sheet'!#REF!</definedName>
    <definedName name="EDR06Tariffs">'[8]3. 2006 Tariff Sheet'!#REF!</definedName>
    <definedName name="Final98" localSheetId="0">[9]Items98!$A$1:$G$58,[9]Items98!$A$62:$G$120,[9]Items98!$A$123:$G$181,[9]Items98!$A$184:$G$242,[9]Items98!$A$245:$G$303,[9]Items98!$A$306:$G$364,[9]Items98!$A$367:$G$425,[9]Items98!$A$428:$G$486,[9]Items98!$A$489:$G$545,[9]Items98!$A$548:$G$604,[9]Items98!$A$607:$G$657,[9]Items98!$A$662:$G$716</definedName>
    <definedName name="Final98">[9]Items98!$A$1:$G$58,[9]Items98!$A$62:$G$120,[9]Items98!$A$123:$G$181,[9]Items98!$A$184:$G$242,[9]Items98!$A$245:$G$303,[9]Items98!$A$306:$G$364,[9]Items98!$A$367:$G$425,[9]Items98!$A$428:$G$486,[9]Items98!$A$489:$G$545,[9]Items98!$A$548:$G$604,[9]Items98!$A$607:$G$657,[9]Items98!$A$662:$G$716</definedName>
    <definedName name="FinalList" localSheetId="15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2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8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6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4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2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0">[2]List99!$A$1:$F$59,[2]List99!$A$60:$F$111,[2]List99!#REF!,[2]List99!$A$112:$F$164,[2]List99!$A$165:$F$228,[2]List99!$A$288:$F$346,[2]List99!#REF!,[2]List99!$A$350:$F$466,[2]List99!$A$229:$F$287,[2]List99!$A$467:$F$519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 localSheetId="15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2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8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6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4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2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0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 localSheetId="0">[10]Forecast97!$S$3:$V$32,[10]Forecast97!$X$3:$AC$32</definedName>
    <definedName name="forecast97">[10]Forecast97!$S$3:$V$32,[10]Forecast97!$X$3:$AC$32</definedName>
    <definedName name="Group1" localSheetId="0">[7]SUM96!$A$203:$K$252,[7]SUM96!$A$253:$K$299,[7]SUM96!$A$300:$K$342,[7]SUM96!$A$343:$L$391</definedName>
    <definedName name="Group1">[7]SUM96!$A$203:$K$252,[7]SUM96!$A$253:$K$299,[7]SUM96!$A$300:$K$342,[7]SUM96!$A$343:$L$391</definedName>
    <definedName name="hello" localSheetId="15">#REF!</definedName>
    <definedName name="hello" localSheetId="12">#REF!</definedName>
    <definedName name="hello" localSheetId="8">#REF!</definedName>
    <definedName name="hello" localSheetId="6">#REF!</definedName>
    <definedName name="hello" localSheetId="4">#REF!</definedName>
    <definedName name="hello" localSheetId="2">#REF!</definedName>
    <definedName name="hello" localSheetId="0">#REF!</definedName>
    <definedName name="hello">#REF!</definedName>
    <definedName name="histdate">[11]Financials!$E$76</definedName>
    <definedName name="HOEPApr" localSheetId="0">[12]Hoep!$E$6</definedName>
    <definedName name="HOEPApr">[12]Hoep!$E$6</definedName>
    <definedName name="HOEPAug" localSheetId="0">[12]Hoep!$E$10</definedName>
    <definedName name="HOEPAug">[12]Hoep!$E$10</definedName>
    <definedName name="HOEPDec" localSheetId="0">[12]Hoep!$E$14</definedName>
    <definedName name="HOEPDec">[12]Hoep!$E$14</definedName>
    <definedName name="HOEPFeb" localSheetId="0">[12]Hoep!$E$4</definedName>
    <definedName name="HOEPFeb">[12]Hoep!$E$4</definedName>
    <definedName name="HOEPJan" localSheetId="0">[12]Hoep!$E$3</definedName>
    <definedName name="HOEPJan">[12]Hoep!$E$3</definedName>
    <definedName name="HOEPJul" localSheetId="0">[12]Hoep!$E$9</definedName>
    <definedName name="HOEPJul">[12]Hoep!$E$9</definedName>
    <definedName name="HOEPJun" localSheetId="0">[12]Hoep!$E$8</definedName>
    <definedName name="HOEPJun">[12]Hoep!$E$8</definedName>
    <definedName name="HOEPMar" localSheetId="0">[12]Hoep!$E$5</definedName>
    <definedName name="HOEPMar">[12]Hoep!$E$5</definedName>
    <definedName name="HOEPMay" localSheetId="0">[12]Hoep!$E$7</definedName>
    <definedName name="HOEPMay">[12]Hoep!$E$7</definedName>
    <definedName name="HOEPNov" localSheetId="0">[12]Hoep!$E$13</definedName>
    <definedName name="HOEPNov">[12]Hoep!$E$13</definedName>
    <definedName name="HOEPOct" localSheetId="0">[12]Hoep!$E$12</definedName>
    <definedName name="HOEPOct">[12]Hoep!$E$12</definedName>
    <definedName name="HOEPSep" localSheetId="0">[12]Hoep!$E$11</definedName>
    <definedName name="HOEPSep">[12]Hoep!$E$11</definedName>
    <definedName name="impactdata" localSheetId="0">'[13]8-7 OTHER CHGS, COMMOD (Input)'!$B$15:$AS$118</definedName>
    <definedName name="impactdata">'[14]8-7 OTHER CHGS, COMMOD (Input)'!$B$15:$AS$118</definedName>
    <definedName name="Incr2000" localSheetId="15">#REF!</definedName>
    <definedName name="Incr2000" localSheetId="12">#REF!</definedName>
    <definedName name="Incr2000" localSheetId="8">#REF!</definedName>
    <definedName name="Incr2000" localSheetId="6">#REF!</definedName>
    <definedName name="Incr2000" localSheetId="4">#REF!</definedName>
    <definedName name="Incr2000" localSheetId="2">#REF!</definedName>
    <definedName name="Incr2000" localSheetId="0">#REF!</definedName>
    <definedName name="Incr2000">#REF!</definedName>
    <definedName name="increase" localSheetId="15">#REF!</definedName>
    <definedName name="increase" localSheetId="12">#REF!</definedName>
    <definedName name="increase" localSheetId="8">#REF!</definedName>
    <definedName name="increase" localSheetId="6">#REF!</definedName>
    <definedName name="increase" localSheetId="4">#REF!</definedName>
    <definedName name="increase" localSheetId="2">#REF!</definedName>
    <definedName name="increase" localSheetId="0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 localSheetId="0">[15]Items!$C$4:$E$29,[15]Items!$C$30:$E$59,[15]Items!$C$62:$E$95,[15]Items!$C$102:$E$137,[15]Items!$C$145:$E$169</definedName>
    <definedName name="Items1997">[15]Items!$C$4:$E$29,[15]Items!$C$30:$E$59,[15]Items!$C$62:$E$95,[15]Items!$C$102:$E$137,[15]Items!$C$145:$E$169</definedName>
    <definedName name="Items98" localSheetId="0">[9]Items98!$A$2:$F$58,[9]Items98!$A$62:$F$120,[9]Items98!$A$123:$F$181,[9]Items98!$A$184:$F$242,[9]Items98!$A$245:$F$303,[9]Items98!$A$306:$F$364,[9]Items98!$A$367:$F$486,[9]Items98!$A$489:$F$545,[9]Items98!$A$548:$F$604,[9]Items98!$A$607:$F$657,[9]Items98!$A$662:$F$716</definedName>
    <definedName name="Items98">[9]Items98!$A$2:$F$58,[9]Items98!$A$62:$F$120,[9]Items98!$A$123:$F$181,[9]Items98!$A$184:$F$242,[9]Items98!$A$245:$F$303,[9]Items98!$A$306:$F$364,[9]Items98!$A$367:$F$486,[9]Items98!$A$489:$F$545,[9]Items98!$A$548:$F$604,[9]Items98!$A$607:$F$657,[9]Items98!$A$662:$F$716</definedName>
    <definedName name="jjj" localSheetId="15">'[6]E&amp;O Comparison'!#REF!</definedName>
    <definedName name="jjj" localSheetId="12">'[6]E&amp;O Comparison'!#REF!</definedName>
    <definedName name="jjj" localSheetId="8">'[6]E&amp;O Comparison'!#REF!</definedName>
    <definedName name="jjj" localSheetId="6">'[6]E&amp;O Comparison'!#REF!</definedName>
    <definedName name="jjj" localSheetId="4">'[6]E&amp;O Comparison'!#REF!</definedName>
    <definedName name="jjj" localSheetId="2">'[6]E&amp;O Comparison'!#REF!</definedName>
    <definedName name="jjj" localSheetId="0">'[6]E&amp;O Comparison'!#REF!</definedName>
    <definedName name="jjj">'[6]E&amp;O Comparison'!#REF!</definedName>
    <definedName name="john" localSheetId="15">'[6]E&amp;O Comparison'!#REF!</definedName>
    <definedName name="john" localSheetId="12">'[6]E&amp;O Comparison'!#REF!</definedName>
    <definedName name="john" localSheetId="8">'[6]E&amp;O Comparison'!#REF!</definedName>
    <definedName name="john" localSheetId="6">'[6]E&amp;O Comparison'!#REF!</definedName>
    <definedName name="john" localSheetId="4">'[6]E&amp;O Comparison'!#REF!</definedName>
    <definedName name="john" localSheetId="0">'[6]E&amp;O Comparison'!#REF!</definedName>
    <definedName name="john">'[6]E&amp;O Comparison'!#REF!</definedName>
    <definedName name="LastSheet" localSheetId="0" hidden="1">"Details"</definedName>
    <definedName name="LastSheet" hidden="1">"Total Bill Impacts_All Customer"</definedName>
    <definedName name="LIMIT" localSheetId="15">#REF!</definedName>
    <definedName name="LIMIT" localSheetId="12">#REF!</definedName>
    <definedName name="LIMIT" localSheetId="8">#REF!</definedName>
    <definedName name="LIMIT" localSheetId="6">#REF!</definedName>
    <definedName name="LIMIT" localSheetId="4">#REF!</definedName>
    <definedName name="LIMIT" localSheetId="2">#REF!</definedName>
    <definedName name="LIMIT" localSheetId="0">#REF!</definedName>
    <definedName name="LIMIT">#REF!</definedName>
    <definedName name="list" localSheetId="15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2">[2]List99!$A$1:$F$59,[2]List99!$A$60:$F$111,[2]List99!#REF!,[2]List99!$A$112:$F$164,[2]List99!$A$165:$F$228,[2]List99!$A$229:$F$287,[2]List99!$A$467:$F$519,[2]List99!$A$288:$F$346,[2]List99!#REF!,[2]List99!$A$350:$F$466</definedName>
    <definedName name="list" localSheetId="8">[2]List99!$A$1:$F$59,[2]List99!$A$60:$F$111,[2]List99!#REF!,[2]List99!$A$112:$F$164,[2]List99!$A$165:$F$228,[2]List99!$A$229:$F$287,[2]List99!$A$467:$F$519,[2]List99!$A$288:$F$346,[2]List99!#REF!,[2]List99!$A$350:$F$466</definedName>
    <definedName name="list" localSheetId="6">[2]List99!$A$1:$F$59,[2]List99!$A$60:$F$111,[2]List99!#REF!,[2]List99!$A$112:$F$164,[2]List99!$A$165:$F$228,[2]List99!$A$229:$F$287,[2]List99!$A$467:$F$519,[2]List99!$A$288:$F$346,[2]List99!#REF!,[2]List99!$A$350:$F$466</definedName>
    <definedName name="list" localSheetId="4">[2]List99!$A$1:$F$59,[2]List99!$A$60:$F$111,[2]List99!#REF!,[2]List99!$A$112:$F$164,[2]List99!$A$165:$F$228,[2]List99!$A$229:$F$287,[2]List99!$A$467:$F$519,[2]List99!$A$288:$F$346,[2]List99!#REF!,[2]List99!$A$350:$F$466</definedName>
    <definedName name="list" localSheetId="2">[2]List99!$A$1:$F$59,[2]List99!$A$60:$F$111,[2]List99!#REF!,[2]List99!$A$112:$F$164,[2]List99!$A$165:$F$228,[2]List99!$A$229:$F$287,[2]List99!$A$467:$F$519,[2]List99!$A$288:$F$346,[2]List99!#REF!,[2]List99!$A$350:$F$466</definedName>
    <definedName name="list" localSheetId="0">[2]List99!$A$1:$F$59,[2]List99!$A$60:$F$111,[2]List99!#REF!,[2]List99!$A$112:$F$164,[2]List99!$A$165:$F$228,[2]List99!$A$229:$F$287,[2]List99!$A$467:$F$519,[2]List99!$A$288:$F$346,[2]List99!#REF!,[2]List99!$A$350:$F$466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 localSheetId="0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15">#REF!</definedName>
    <definedName name="man_beg_bud" localSheetId="12">#REF!</definedName>
    <definedName name="man_beg_bud" localSheetId="8">#REF!</definedName>
    <definedName name="man_beg_bud" localSheetId="6">#REF!</definedName>
    <definedName name="man_beg_bud" localSheetId="4">#REF!</definedName>
    <definedName name="man_beg_bud" localSheetId="2">#REF!</definedName>
    <definedName name="man_beg_bud" localSheetId="0">#REF!</definedName>
    <definedName name="man_beg_bud">#REF!</definedName>
    <definedName name="man_end_bud" localSheetId="15">#REF!</definedName>
    <definedName name="man_end_bud" localSheetId="12">#REF!</definedName>
    <definedName name="man_end_bud" localSheetId="8">#REF!</definedName>
    <definedName name="man_end_bud" localSheetId="6">#REF!</definedName>
    <definedName name="man_end_bud" localSheetId="4">#REF!</definedName>
    <definedName name="man_end_bud" localSheetId="2">#REF!</definedName>
    <definedName name="man_end_bud" localSheetId="0">#REF!</definedName>
    <definedName name="man_end_bud">#REF!</definedName>
    <definedName name="man12ACT" localSheetId="15">#REF!</definedName>
    <definedName name="man12ACT" localSheetId="12">#REF!</definedName>
    <definedName name="man12ACT" localSheetId="8">#REF!</definedName>
    <definedName name="man12ACT" localSheetId="6">#REF!</definedName>
    <definedName name="man12ACT" localSheetId="4">#REF!</definedName>
    <definedName name="man12ACT" localSheetId="2">#REF!</definedName>
    <definedName name="man12ACT" localSheetId="0">#REF!</definedName>
    <definedName name="man12ACT">#REF!</definedName>
    <definedName name="MANBUD" localSheetId="15">#REF!</definedName>
    <definedName name="MANBUD" localSheetId="12">#REF!</definedName>
    <definedName name="MANBUD" localSheetId="8">#REF!</definedName>
    <definedName name="MANBUD" localSheetId="6">#REF!</definedName>
    <definedName name="MANBUD" localSheetId="4">#REF!</definedName>
    <definedName name="MANBUD" localSheetId="2">#REF!</definedName>
    <definedName name="MANBUD" localSheetId="0">#REF!</definedName>
    <definedName name="MANBUD">#REF!</definedName>
    <definedName name="manCYACT" localSheetId="15">#REF!</definedName>
    <definedName name="manCYACT" localSheetId="12">#REF!</definedName>
    <definedName name="manCYACT" localSheetId="8">#REF!</definedName>
    <definedName name="manCYACT" localSheetId="6">#REF!</definedName>
    <definedName name="manCYACT" localSheetId="4">#REF!</definedName>
    <definedName name="manCYACT" localSheetId="2">#REF!</definedName>
    <definedName name="manCYACT" localSheetId="0">#REF!</definedName>
    <definedName name="manCYACT">#REF!</definedName>
    <definedName name="manCYBUD" localSheetId="15">#REF!</definedName>
    <definedName name="manCYBUD" localSheetId="12">#REF!</definedName>
    <definedName name="manCYBUD" localSheetId="8">#REF!</definedName>
    <definedName name="manCYBUD" localSheetId="6">#REF!</definedName>
    <definedName name="manCYBUD" localSheetId="4">#REF!</definedName>
    <definedName name="manCYBUD" localSheetId="2">#REF!</definedName>
    <definedName name="manCYBUD" localSheetId="0">#REF!</definedName>
    <definedName name="manCYBUD">#REF!</definedName>
    <definedName name="manCYF" localSheetId="15">#REF!</definedName>
    <definedName name="manCYF" localSheetId="12">#REF!</definedName>
    <definedName name="manCYF" localSheetId="8">#REF!</definedName>
    <definedName name="manCYF" localSheetId="6">#REF!</definedName>
    <definedName name="manCYF" localSheetId="4">#REF!</definedName>
    <definedName name="manCYF" localSheetId="2">#REF!</definedName>
    <definedName name="manCYF" localSheetId="0">#REF!</definedName>
    <definedName name="manCYF">#REF!</definedName>
    <definedName name="MANEND" localSheetId="15">#REF!</definedName>
    <definedName name="MANEND" localSheetId="12">#REF!</definedName>
    <definedName name="MANEND" localSheetId="8">#REF!</definedName>
    <definedName name="MANEND" localSheetId="6">#REF!</definedName>
    <definedName name="MANEND" localSheetId="4">#REF!</definedName>
    <definedName name="MANEND" localSheetId="2">#REF!</definedName>
    <definedName name="MANEND" localSheetId="0">#REF!</definedName>
    <definedName name="MANEND">#REF!</definedName>
    <definedName name="manNYbud" localSheetId="15">#REF!</definedName>
    <definedName name="manNYbud" localSheetId="12">#REF!</definedName>
    <definedName name="manNYbud" localSheetId="8">#REF!</definedName>
    <definedName name="manNYbud" localSheetId="6">#REF!</definedName>
    <definedName name="manNYbud" localSheetId="4">#REF!</definedName>
    <definedName name="manNYbud" localSheetId="2">#REF!</definedName>
    <definedName name="manNYbud" localSheetId="0">#REF!</definedName>
    <definedName name="manNYbud">#REF!</definedName>
    <definedName name="manpower_costs" localSheetId="15">#REF!</definedName>
    <definedName name="manpower_costs" localSheetId="12">#REF!</definedName>
    <definedName name="manpower_costs" localSheetId="8">#REF!</definedName>
    <definedName name="manpower_costs" localSheetId="6">#REF!</definedName>
    <definedName name="manpower_costs" localSheetId="4">#REF!</definedName>
    <definedName name="manpower_costs" localSheetId="2">#REF!</definedName>
    <definedName name="manpower_costs" localSheetId="0">#REF!</definedName>
    <definedName name="manpower_costs">#REF!</definedName>
    <definedName name="manPYACT" localSheetId="15">#REF!</definedName>
    <definedName name="manPYACT" localSheetId="12">#REF!</definedName>
    <definedName name="manPYACT" localSheetId="8">#REF!</definedName>
    <definedName name="manPYACT" localSheetId="6">#REF!</definedName>
    <definedName name="manPYACT" localSheetId="4">#REF!</definedName>
    <definedName name="manPYACT" localSheetId="2">#REF!</definedName>
    <definedName name="manPYACT" localSheetId="0">#REF!</definedName>
    <definedName name="manPYACT">#REF!</definedName>
    <definedName name="MANSTART" localSheetId="15">#REF!</definedName>
    <definedName name="MANSTART" localSheetId="12">#REF!</definedName>
    <definedName name="MANSTART" localSheetId="8">#REF!</definedName>
    <definedName name="MANSTART" localSheetId="6">#REF!</definedName>
    <definedName name="MANSTART" localSheetId="4">#REF!</definedName>
    <definedName name="MANSTART" localSheetId="2">#REF!</definedName>
    <definedName name="MANSTART" localSheetId="0">#REF!</definedName>
    <definedName name="MANSTART">#REF!</definedName>
    <definedName name="mat_beg_bud" localSheetId="15">#REF!</definedName>
    <definedName name="mat_beg_bud" localSheetId="12">#REF!</definedName>
    <definedName name="mat_beg_bud" localSheetId="8">#REF!</definedName>
    <definedName name="mat_beg_bud" localSheetId="6">#REF!</definedName>
    <definedName name="mat_beg_bud" localSheetId="4">#REF!</definedName>
    <definedName name="mat_beg_bud" localSheetId="2">#REF!</definedName>
    <definedName name="mat_beg_bud" localSheetId="0">#REF!</definedName>
    <definedName name="mat_beg_bud">#REF!</definedName>
    <definedName name="mat_end_bud" localSheetId="15">#REF!</definedName>
    <definedName name="mat_end_bud" localSheetId="12">#REF!</definedName>
    <definedName name="mat_end_bud" localSheetId="8">#REF!</definedName>
    <definedName name="mat_end_bud" localSheetId="6">#REF!</definedName>
    <definedName name="mat_end_bud" localSheetId="4">#REF!</definedName>
    <definedName name="mat_end_bud" localSheetId="2">#REF!</definedName>
    <definedName name="mat_end_bud" localSheetId="0">#REF!</definedName>
    <definedName name="mat_end_bud">#REF!</definedName>
    <definedName name="mat12ACT" localSheetId="15">#REF!</definedName>
    <definedName name="mat12ACT" localSheetId="12">#REF!</definedName>
    <definedName name="mat12ACT" localSheetId="8">#REF!</definedName>
    <definedName name="mat12ACT" localSheetId="6">#REF!</definedName>
    <definedName name="mat12ACT" localSheetId="4">#REF!</definedName>
    <definedName name="mat12ACT" localSheetId="2">#REF!</definedName>
    <definedName name="mat12ACT" localSheetId="0">#REF!</definedName>
    <definedName name="mat12ACT">#REF!</definedName>
    <definedName name="MATBUD" localSheetId="15">#REF!</definedName>
    <definedName name="MATBUD" localSheetId="12">#REF!</definedName>
    <definedName name="MATBUD" localSheetId="8">#REF!</definedName>
    <definedName name="MATBUD" localSheetId="6">#REF!</definedName>
    <definedName name="MATBUD" localSheetId="4">#REF!</definedName>
    <definedName name="MATBUD" localSheetId="2">#REF!</definedName>
    <definedName name="MATBUD" localSheetId="0">#REF!</definedName>
    <definedName name="MATBUD">#REF!</definedName>
    <definedName name="matCYACT" localSheetId="15">#REF!</definedName>
    <definedName name="matCYACT" localSheetId="12">#REF!</definedName>
    <definedName name="matCYACT" localSheetId="8">#REF!</definedName>
    <definedName name="matCYACT" localSheetId="6">#REF!</definedName>
    <definedName name="matCYACT" localSheetId="4">#REF!</definedName>
    <definedName name="matCYACT" localSheetId="2">#REF!</definedName>
    <definedName name="matCYACT" localSheetId="0">#REF!</definedName>
    <definedName name="matCYACT">#REF!</definedName>
    <definedName name="matCYBUD" localSheetId="15">#REF!</definedName>
    <definedName name="matCYBUD" localSheetId="12">#REF!</definedName>
    <definedName name="matCYBUD" localSheetId="8">#REF!</definedName>
    <definedName name="matCYBUD" localSheetId="6">#REF!</definedName>
    <definedName name="matCYBUD" localSheetId="4">#REF!</definedName>
    <definedName name="matCYBUD" localSheetId="2">#REF!</definedName>
    <definedName name="matCYBUD" localSheetId="0">#REF!</definedName>
    <definedName name="matCYBUD">#REF!</definedName>
    <definedName name="matCYF" localSheetId="15">#REF!</definedName>
    <definedName name="matCYF" localSheetId="12">#REF!</definedName>
    <definedName name="matCYF" localSheetId="8">#REF!</definedName>
    <definedName name="matCYF" localSheetId="6">#REF!</definedName>
    <definedName name="matCYF" localSheetId="4">#REF!</definedName>
    <definedName name="matCYF" localSheetId="2">#REF!</definedName>
    <definedName name="matCYF" localSheetId="0">#REF!</definedName>
    <definedName name="matCYF">#REF!</definedName>
    <definedName name="MATEND" localSheetId="15">#REF!</definedName>
    <definedName name="MATEND" localSheetId="12">#REF!</definedName>
    <definedName name="MATEND" localSheetId="8">#REF!</definedName>
    <definedName name="MATEND" localSheetId="6">#REF!</definedName>
    <definedName name="MATEND" localSheetId="4">#REF!</definedName>
    <definedName name="MATEND" localSheetId="2">#REF!</definedName>
    <definedName name="MATEND" localSheetId="0">#REF!</definedName>
    <definedName name="MATEND">#REF!</definedName>
    <definedName name="material_costs" localSheetId="15">#REF!</definedName>
    <definedName name="material_costs" localSheetId="12">#REF!</definedName>
    <definedName name="material_costs" localSheetId="8">#REF!</definedName>
    <definedName name="material_costs" localSheetId="6">#REF!</definedName>
    <definedName name="material_costs" localSheetId="4">#REF!</definedName>
    <definedName name="material_costs" localSheetId="2">#REF!</definedName>
    <definedName name="material_costs" localSheetId="0">#REF!</definedName>
    <definedName name="material_costs">#REF!</definedName>
    <definedName name="matNYbud" localSheetId="15">#REF!</definedName>
    <definedName name="matNYbud" localSheetId="12">#REF!</definedName>
    <definedName name="matNYbud" localSheetId="8">#REF!</definedName>
    <definedName name="matNYbud" localSheetId="6">#REF!</definedName>
    <definedName name="matNYbud" localSheetId="4">#REF!</definedName>
    <definedName name="matNYbud" localSheetId="2">#REF!</definedName>
    <definedName name="matNYbud" localSheetId="0">#REF!</definedName>
    <definedName name="matNYbud">#REF!</definedName>
    <definedName name="matPYACT" localSheetId="15">#REF!</definedName>
    <definedName name="matPYACT" localSheetId="12">#REF!</definedName>
    <definedName name="matPYACT" localSheetId="8">#REF!</definedName>
    <definedName name="matPYACT" localSheetId="6">#REF!</definedName>
    <definedName name="matPYACT" localSheetId="4">#REF!</definedName>
    <definedName name="matPYACT" localSheetId="2">#REF!</definedName>
    <definedName name="matPYACT" localSheetId="0">#REF!</definedName>
    <definedName name="matPYACT">#REF!</definedName>
    <definedName name="MATSTART" localSheetId="15">#REF!</definedName>
    <definedName name="MATSTART" localSheetId="12">#REF!</definedName>
    <definedName name="MATSTART" localSheetId="8">#REF!</definedName>
    <definedName name="MATSTART" localSheetId="6">#REF!</definedName>
    <definedName name="MATSTART" localSheetId="4">#REF!</definedName>
    <definedName name="MATSTART" localSheetId="2">#REF!</definedName>
    <definedName name="MATSTART" localSheetId="0">#REF!</definedName>
    <definedName name="MATSTART">#REF!</definedName>
    <definedName name="Model_Organization" localSheetId="15">#REF!</definedName>
    <definedName name="Model_Organization" localSheetId="12">#REF!</definedName>
    <definedName name="Model_Organization" localSheetId="8">#REF!</definedName>
    <definedName name="Model_Organization" localSheetId="6">#REF!</definedName>
    <definedName name="Model_Organization" localSheetId="4">#REF!</definedName>
    <definedName name="Model_Organization" localSheetId="2">#REF!</definedName>
    <definedName name="Model_Organization" localSheetId="0">#REF!</definedName>
    <definedName name="Model_Organization">#REF!</definedName>
    <definedName name="MofF" localSheetId="15">#REF!</definedName>
    <definedName name="MofF" localSheetId="12">#REF!</definedName>
    <definedName name="MofF" localSheetId="8">#REF!</definedName>
    <definedName name="MofF" localSheetId="6">#REF!</definedName>
    <definedName name="MofF" localSheetId="4">#REF!</definedName>
    <definedName name="MofF" localSheetId="2">#REF!</definedName>
    <definedName name="MofF" localSheetId="0">#REF!</definedName>
    <definedName name="MofF">#REF!</definedName>
    <definedName name="NONBENF" localSheetId="15">#REF!</definedName>
    <definedName name="NONBENF" localSheetId="12">#REF!</definedName>
    <definedName name="NONBENF" localSheetId="8">#REF!</definedName>
    <definedName name="NONBENF" localSheetId="6">#REF!</definedName>
    <definedName name="NONBENF" localSheetId="4">#REF!</definedName>
    <definedName name="NONBENF" localSheetId="2">#REF!</definedName>
    <definedName name="NONBENF" localSheetId="0">#REF!</definedName>
    <definedName name="NONBENF">#REF!</definedName>
    <definedName name="nonreg" localSheetId="15">#REF!</definedName>
    <definedName name="nonreg" localSheetId="12">#REF!</definedName>
    <definedName name="nonreg" localSheetId="8">#REF!</definedName>
    <definedName name="nonreg" localSheetId="6">#REF!</definedName>
    <definedName name="nonreg" localSheetId="4">#REF!</definedName>
    <definedName name="nonreg" localSheetId="2">#REF!</definedName>
    <definedName name="nonreg" localSheetId="0">#REF!</definedName>
    <definedName name="nonreg">#REF!</definedName>
    <definedName name="nonregf" localSheetId="15">#REF!</definedName>
    <definedName name="nonregf" localSheetId="12">#REF!</definedName>
    <definedName name="nonregf" localSheetId="8">#REF!</definedName>
    <definedName name="nonregf" localSheetId="6">#REF!</definedName>
    <definedName name="nonregf" localSheetId="4">#REF!</definedName>
    <definedName name="nonregf" localSheetId="2">#REF!</definedName>
    <definedName name="nonregf" localSheetId="0">#REF!</definedName>
    <definedName name="nonregf">#REF!</definedName>
    <definedName name="note5d" localSheetId="15">#REF!</definedName>
    <definedName name="note5d" localSheetId="12">#REF!</definedName>
    <definedName name="note5d" localSheetId="8">#REF!</definedName>
    <definedName name="note5d" localSheetId="6">#REF!</definedName>
    <definedName name="note5d" localSheetId="4">#REF!</definedName>
    <definedName name="note5d" localSheetId="2">#REF!</definedName>
    <definedName name="note5d" localSheetId="0">#REF!</definedName>
    <definedName name="note5d">#REF!</definedName>
    <definedName name="oth_beg_bud" localSheetId="15">#REF!</definedName>
    <definedName name="oth_beg_bud" localSheetId="12">#REF!</definedName>
    <definedName name="oth_beg_bud" localSheetId="8">#REF!</definedName>
    <definedName name="oth_beg_bud" localSheetId="6">#REF!</definedName>
    <definedName name="oth_beg_bud" localSheetId="4">#REF!</definedName>
    <definedName name="oth_beg_bud" localSheetId="2">#REF!</definedName>
    <definedName name="oth_beg_bud" localSheetId="0">#REF!</definedName>
    <definedName name="oth_beg_bud">#REF!</definedName>
    <definedName name="oth_end_bud" localSheetId="15">#REF!</definedName>
    <definedName name="oth_end_bud" localSheetId="12">#REF!</definedName>
    <definedName name="oth_end_bud" localSheetId="8">#REF!</definedName>
    <definedName name="oth_end_bud" localSheetId="6">#REF!</definedName>
    <definedName name="oth_end_bud" localSheetId="4">#REF!</definedName>
    <definedName name="oth_end_bud" localSheetId="2">#REF!</definedName>
    <definedName name="oth_end_bud" localSheetId="0">#REF!</definedName>
    <definedName name="oth_end_bud">#REF!</definedName>
    <definedName name="oth12ACT" localSheetId="15">#REF!</definedName>
    <definedName name="oth12ACT" localSheetId="12">#REF!</definedName>
    <definedName name="oth12ACT" localSheetId="8">#REF!</definedName>
    <definedName name="oth12ACT" localSheetId="6">#REF!</definedName>
    <definedName name="oth12ACT" localSheetId="4">#REF!</definedName>
    <definedName name="oth12ACT" localSheetId="2">#REF!</definedName>
    <definedName name="oth12ACT" localSheetId="0">#REF!</definedName>
    <definedName name="oth12ACT">#REF!</definedName>
    <definedName name="othCYACT" localSheetId="15">#REF!</definedName>
    <definedName name="othCYACT" localSheetId="12">#REF!</definedName>
    <definedName name="othCYACT" localSheetId="8">#REF!</definedName>
    <definedName name="othCYACT" localSheetId="6">#REF!</definedName>
    <definedName name="othCYACT" localSheetId="4">#REF!</definedName>
    <definedName name="othCYACT" localSheetId="2">#REF!</definedName>
    <definedName name="othCYACT" localSheetId="0">#REF!</definedName>
    <definedName name="othCYACT">#REF!</definedName>
    <definedName name="othCYBUD" localSheetId="15">#REF!</definedName>
    <definedName name="othCYBUD" localSheetId="12">#REF!</definedName>
    <definedName name="othCYBUD" localSheetId="8">#REF!</definedName>
    <definedName name="othCYBUD" localSheetId="6">#REF!</definedName>
    <definedName name="othCYBUD" localSheetId="4">#REF!</definedName>
    <definedName name="othCYBUD" localSheetId="2">#REF!</definedName>
    <definedName name="othCYBUD" localSheetId="0">#REF!</definedName>
    <definedName name="othCYBUD">#REF!</definedName>
    <definedName name="othCYF" localSheetId="15">#REF!</definedName>
    <definedName name="othCYF" localSheetId="12">#REF!</definedName>
    <definedName name="othCYF" localSheetId="8">#REF!</definedName>
    <definedName name="othCYF" localSheetId="6">#REF!</definedName>
    <definedName name="othCYF" localSheetId="4">#REF!</definedName>
    <definedName name="othCYF" localSheetId="2">#REF!</definedName>
    <definedName name="othCYF" localSheetId="0">#REF!</definedName>
    <definedName name="othCYF">#REF!</definedName>
    <definedName name="OTHEND" localSheetId="15">#REF!</definedName>
    <definedName name="OTHEND" localSheetId="12">#REF!</definedName>
    <definedName name="OTHEND" localSheetId="8">#REF!</definedName>
    <definedName name="OTHEND" localSheetId="6">#REF!</definedName>
    <definedName name="OTHEND" localSheetId="4">#REF!</definedName>
    <definedName name="OTHEND" localSheetId="2">#REF!</definedName>
    <definedName name="OTHEND" localSheetId="0">#REF!</definedName>
    <definedName name="OTHEND">#REF!</definedName>
    <definedName name="other_costs" localSheetId="15">#REF!</definedName>
    <definedName name="other_costs" localSheetId="12">#REF!</definedName>
    <definedName name="other_costs" localSheetId="8">#REF!</definedName>
    <definedName name="other_costs" localSheetId="6">#REF!</definedName>
    <definedName name="other_costs" localSheetId="4">#REF!</definedName>
    <definedName name="other_costs" localSheetId="2">#REF!</definedName>
    <definedName name="other_costs" localSheetId="0">#REF!</definedName>
    <definedName name="other_costs">#REF!</definedName>
    <definedName name="OTHERBUD" localSheetId="15">#REF!</definedName>
    <definedName name="OTHERBUD" localSheetId="12">#REF!</definedName>
    <definedName name="OTHERBUD" localSheetId="8">#REF!</definedName>
    <definedName name="OTHERBUD" localSheetId="6">#REF!</definedName>
    <definedName name="OTHERBUD" localSheetId="4">#REF!</definedName>
    <definedName name="OTHERBUD" localSheetId="2">#REF!</definedName>
    <definedName name="OTHERBUD" localSheetId="0">#REF!</definedName>
    <definedName name="OTHERBUD">#REF!</definedName>
    <definedName name="OtherRateCharges" localSheetId="15">#REF!</definedName>
    <definedName name="OtherRateCharges" localSheetId="12">#REF!</definedName>
    <definedName name="OtherRateCharges" localSheetId="8">#REF!</definedName>
    <definedName name="OtherRateCharges" localSheetId="6">#REF!</definedName>
    <definedName name="OtherRateCharges" localSheetId="4">#REF!</definedName>
    <definedName name="OtherRateCharges" localSheetId="2">#REF!</definedName>
    <definedName name="OtherRateCharges" localSheetId="0">#REF!</definedName>
    <definedName name="OtherRateCharges">#REF!</definedName>
    <definedName name="othNYbud" localSheetId="15">#REF!</definedName>
    <definedName name="othNYbud" localSheetId="12">#REF!</definedName>
    <definedName name="othNYbud" localSheetId="8">#REF!</definedName>
    <definedName name="othNYbud" localSheetId="6">#REF!</definedName>
    <definedName name="othNYbud" localSheetId="4">#REF!</definedName>
    <definedName name="othNYbud" localSheetId="2">#REF!</definedName>
    <definedName name="othNYbud" localSheetId="0">#REF!</definedName>
    <definedName name="othNYbud">#REF!</definedName>
    <definedName name="othPYACT" localSheetId="15">#REF!</definedName>
    <definedName name="othPYACT" localSheetId="12">#REF!</definedName>
    <definedName name="othPYACT" localSheetId="8">#REF!</definedName>
    <definedName name="othPYACT" localSheetId="6">#REF!</definedName>
    <definedName name="othPYACT" localSheetId="4">#REF!</definedName>
    <definedName name="othPYACT" localSheetId="2">#REF!</definedName>
    <definedName name="othPYACT" localSheetId="0">#REF!</definedName>
    <definedName name="othPYACT">#REF!</definedName>
    <definedName name="OTHSTART" localSheetId="15">#REF!</definedName>
    <definedName name="OTHSTART" localSheetId="12">#REF!</definedName>
    <definedName name="OTHSTART" localSheetId="8">#REF!</definedName>
    <definedName name="OTHSTART" localSheetId="6">#REF!</definedName>
    <definedName name="OTHSTART" localSheetId="4">#REF!</definedName>
    <definedName name="OTHSTART" localSheetId="2">#REF!</definedName>
    <definedName name="OTHSTART" localSheetId="0">#REF!</definedName>
    <definedName name="OTHSTART">#REF!</definedName>
    <definedName name="page3" localSheetId="15">[9]RPCAP97!#REF!</definedName>
    <definedName name="page3" localSheetId="12">[9]RPCAP97!#REF!</definedName>
    <definedName name="page3" localSheetId="8">[9]RPCAP97!#REF!</definedName>
    <definedName name="page3" localSheetId="6">[9]RPCAP97!#REF!</definedName>
    <definedName name="page3" localSheetId="4">[9]RPCAP97!#REF!</definedName>
    <definedName name="page3" localSheetId="2">[9]RPCAP97!#REF!</definedName>
    <definedName name="page3" localSheetId="0">[9]RPCAP97!#REF!</definedName>
    <definedName name="page3">[9]RPCAP97!#REF!</definedName>
    <definedName name="page7a" localSheetId="15">[9]RPCAP97!#REF!</definedName>
    <definedName name="page7a" localSheetId="12">[9]RPCAP97!#REF!</definedName>
    <definedName name="page7a" localSheetId="8">[9]RPCAP97!#REF!</definedName>
    <definedName name="page7a" localSheetId="6">[9]RPCAP97!#REF!</definedName>
    <definedName name="page7a" localSheetId="4">[9]RPCAP97!#REF!</definedName>
    <definedName name="page7a" localSheetId="0">[9]RPCAP97!#REF!</definedName>
    <definedName name="page7a">[9]RPCAP97!#REF!</definedName>
    <definedName name="PageAll" localSheetId="0">[9]RPCAP97!$A$1:$F$59,[9]RPCAP97!$A$60:$F$111,[9]RPCAP97!$A$112:$F$164,[9]RPCAP97!$A$165:$F$223,[9]RPCAP97!$A$283:$F$341,[9]RPCAP97!$A$345:$F$403,[9]RPCAP97!$A$224:$F$282,[9]RPCAP97!$A$404:$F$456,[9]RPCAP97!$A$459:$F$511</definedName>
    <definedName name="PageAll">[9]RPCAP97!$A$1:$F$59,[9]RPCAP97!$A$60:$F$111,[9]RPCAP97!$A$112:$F$164,[9]RPCAP97!$A$165:$F$223,[9]RPCAP97!$A$283:$F$341,[9]RPCAP97!$A$345:$F$403,[9]RPCAP97!$A$224:$F$282,[9]RPCAP97!$A$404:$F$456,[9]RPCAP97!$A$459:$F$511</definedName>
    <definedName name="PagePart" localSheetId="0">[9]RPCAP97!$A$1:$F$59,[9]RPCAP97!$A$60:$F$111,[9]RPCAP97!$A$112:$F$164,[9]RPCAP97!$A$165:$F$223</definedName>
    <definedName name="PagePart">[9]RPCAP97!$A$1:$F$59,[9]RPCAP97!$A$60:$F$111,[9]RPCAP97!$A$112:$F$164,[9]RPCAP97!$A$165:$F$223</definedName>
    <definedName name="Pages2000a" localSheetId="0">[2]List99!$A$1:$F$58,[2]List99!$A$62:$F$120,[2]List99!$A$123:$F$186,[2]List99!$A$189:$F$247,[2]List99!$A$250:$F$308,[2]List99!$A$311:$F$370</definedName>
    <definedName name="Pages2000a">[2]List99!$A$1:$F$58,[2]List99!$A$62:$F$120,[2]List99!$A$123:$F$186,[2]List99!$A$189:$F$247,[2]List99!$A$250:$F$308,[2]List99!$A$311:$F$370</definedName>
    <definedName name="Pages2000b" localSheetId="0">[2]List99!$A$373:$F$427,[2]List99!$A$430:$F$488,[2]List99!$A$491:$F$549,[2]List99!$A$551:$F$608,[2]List99!$A$610:$F$667,[2]List99!$A$669:$F$720,[2]List99!$A$724:$F$779</definedName>
    <definedName name="Pages2000b">[2]List99!$A$373:$F$427,[2]List99!$A$430:$F$488,[2]List99!$A$491:$F$549,[2]List99!$A$551:$F$608,[2]List99!$A$610:$F$667,[2]List99!$A$669:$F$720,[2]List99!$A$724:$F$779</definedName>
    <definedName name="PagesAll" localSheetId="0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 localSheetId="15">#REF!</definedName>
    <definedName name="PriceCapParams" localSheetId="12">#REF!</definedName>
    <definedName name="PriceCapParams" localSheetId="8">#REF!</definedName>
    <definedName name="PriceCapParams" localSheetId="6">#REF!</definedName>
    <definedName name="PriceCapParams" localSheetId="4">#REF!</definedName>
    <definedName name="PriceCapParams" localSheetId="2">#REF!</definedName>
    <definedName name="PriceCapParams" localSheetId="0">#REF!</definedName>
    <definedName name="PriceCapParams">#REF!</definedName>
    <definedName name="primary" localSheetId="15">[2]List99!$A$288:$F$346,[2]List99!#REF!,[2]List99!$A$350:$F$466</definedName>
    <definedName name="primary" localSheetId="12">[2]List99!$A$288:$F$346,[2]List99!#REF!,[2]List99!$A$350:$F$466</definedName>
    <definedName name="primary" localSheetId="8">[2]List99!$A$288:$F$346,[2]List99!#REF!,[2]List99!$A$350:$F$466</definedName>
    <definedName name="primary" localSheetId="6">[2]List99!$A$288:$F$346,[2]List99!#REF!,[2]List99!$A$350:$F$466</definedName>
    <definedName name="primary" localSheetId="4">[2]List99!$A$288:$F$346,[2]List99!#REF!,[2]List99!$A$350:$F$466</definedName>
    <definedName name="primary" localSheetId="0">[2]List99!$A$288:$F$346,[2]List99!#REF!,[2]List99!$A$350:$F$466</definedName>
    <definedName name="primary">[2]List99!$A$288:$F$346,[2]List99!#REF!,[2]List99!$A$350:$F$466</definedName>
    <definedName name="Print" localSheetId="0">'[16]Nov DEGDAYS'!$A$1:$N$36</definedName>
    <definedName name="Print">'[16]Nov DEGDAYS'!$A$1:$N$36</definedName>
    <definedName name="_xlnm.Print_Area" localSheetId="15">#REF!</definedName>
    <definedName name="_xlnm.Print_Area" localSheetId="12">#REF!</definedName>
    <definedName name="_xlnm.Print_Area" localSheetId="8">#REF!</definedName>
    <definedName name="_xlnm.Print_Area" localSheetId="6">#REF!</definedName>
    <definedName name="_xlnm.Print_Area" localSheetId="4">#REF!</definedName>
    <definedName name="_xlnm.Print_Area" localSheetId="2">'Bill Impact Summary'!$A$1:$E$28,'Bill Impact Summary'!#REF!</definedName>
    <definedName name="_xlnm.Print_Area" localSheetId="0">'January 01, 2016 Rates'!$B$1:$M$133</definedName>
    <definedName name="_xlnm.Print_Area" localSheetId="1">'Rate Comparison'!$A$1:$M$87</definedName>
    <definedName name="_xlnm.Print_Area">#REF!</definedName>
    <definedName name="print_end" localSheetId="15">#REF!</definedName>
    <definedName name="print_end" localSheetId="12">#REF!</definedName>
    <definedName name="print_end" localSheetId="8">#REF!</definedName>
    <definedName name="print_end" localSheetId="6">#REF!</definedName>
    <definedName name="print_end" localSheetId="4">#REF!</definedName>
    <definedName name="print_end" localSheetId="2">#REF!</definedName>
    <definedName name="print_end" localSheetId="0">#REF!</definedName>
    <definedName name="print_end">#REF!</definedName>
    <definedName name="_xlnm.Print_Titles" localSheetId="0">'January 01, 2016 Rates'!$1:$2</definedName>
    <definedName name="Qend" localSheetId="0">'[17]RSVA &amp; Other'!$A$3</definedName>
    <definedName name="Qend">'[17]RSVA &amp; Other'!$A$3</definedName>
    <definedName name="Rate_Riders" localSheetId="15">#REF!</definedName>
    <definedName name="Rate_Riders" localSheetId="12">#REF!</definedName>
    <definedName name="Rate_Riders" localSheetId="8">#REF!</definedName>
    <definedName name="Rate_Riders" localSheetId="6">#REF!</definedName>
    <definedName name="Rate_Riders" localSheetId="4">#REF!</definedName>
    <definedName name="Rate_Riders" localSheetId="2">#REF!</definedName>
    <definedName name="Rate_Riders" localSheetId="0">#REF!</definedName>
    <definedName name="Rate_Riders">#REF!</definedName>
    <definedName name="Ratebase" localSheetId="15">#REF!</definedName>
    <definedName name="Ratebase" localSheetId="12">#REF!</definedName>
    <definedName name="Ratebase" localSheetId="8">#REF!</definedName>
    <definedName name="Ratebase" localSheetId="6">#REF!</definedName>
    <definedName name="Ratebase" localSheetId="4">#REF!</definedName>
    <definedName name="Ratebase" localSheetId="2">#REF!</definedName>
    <definedName name="Ratebase" localSheetId="0">#REF!</definedName>
    <definedName name="Ratebase">#REF!</definedName>
    <definedName name="rearrange95" localSheetId="0">[7]SUM95!$A$75:$I$109,[7]SUM95!$A$110:$I$141,[7]SUM95!$A$142:$I$177</definedName>
    <definedName name="rearrange95">[7]SUM95!$A$75:$I$109,[7]SUM95!$A$110:$I$141,[7]SUM95!$A$142:$I$177</definedName>
    <definedName name="RPP_Data" localSheetId="15">#REF!</definedName>
    <definedName name="RPP_Data" localSheetId="12">#REF!</definedName>
    <definedName name="RPP_Data" localSheetId="8">#REF!</definedName>
    <definedName name="RPP_Data" localSheetId="6">#REF!</definedName>
    <definedName name="RPP_Data" localSheetId="4">#REF!</definedName>
    <definedName name="RPP_Data" localSheetId="2">#REF!</definedName>
    <definedName name="RPP_Data" localSheetId="0">#REF!</definedName>
    <definedName name="RPP_Data">#REF!</definedName>
    <definedName name="SALBENF" localSheetId="15">#REF!</definedName>
    <definedName name="SALBENF" localSheetId="12">#REF!</definedName>
    <definedName name="SALBENF" localSheetId="8">#REF!</definedName>
    <definedName name="SALBENF" localSheetId="6">#REF!</definedName>
    <definedName name="SALBENF" localSheetId="4">#REF!</definedName>
    <definedName name="SALBENF" localSheetId="2">#REF!</definedName>
    <definedName name="SALBENF" localSheetId="0">#REF!</definedName>
    <definedName name="SALBENF">#REF!</definedName>
    <definedName name="salreg" localSheetId="15">#REF!</definedName>
    <definedName name="salreg" localSheetId="12">#REF!</definedName>
    <definedName name="salreg" localSheetId="8">#REF!</definedName>
    <definedName name="salreg" localSheetId="6">#REF!</definedName>
    <definedName name="salreg" localSheetId="4">#REF!</definedName>
    <definedName name="salreg" localSheetId="2">#REF!</definedName>
    <definedName name="salreg" localSheetId="0">#REF!</definedName>
    <definedName name="salreg">#REF!</definedName>
    <definedName name="SALREGF" localSheetId="15">#REF!</definedName>
    <definedName name="SALREGF" localSheetId="12">#REF!</definedName>
    <definedName name="SALREGF" localSheetId="8">#REF!</definedName>
    <definedName name="SALREGF" localSheetId="6">#REF!</definedName>
    <definedName name="SALREGF" localSheetId="4">#REF!</definedName>
    <definedName name="SALREGF" localSheetId="2">#REF!</definedName>
    <definedName name="SALREGF" localSheetId="0">#REF!</definedName>
    <definedName name="SALREGF">#REF!</definedName>
    <definedName name="subtrans" localSheetId="15">[2]List99!$A$1:$F$59,[2]List99!$A$60:$F$111,[2]List99!#REF!,[2]List99!$A$112:$F$164,[2]List99!$A$165:$F$228</definedName>
    <definedName name="subtrans" localSheetId="12">[2]List99!$A$1:$F$59,[2]List99!$A$60:$F$111,[2]List99!#REF!,[2]List99!$A$112:$F$164,[2]List99!$A$165:$F$228</definedName>
    <definedName name="subtrans" localSheetId="8">[2]List99!$A$1:$F$59,[2]List99!$A$60:$F$111,[2]List99!#REF!,[2]List99!$A$112:$F$164,[2]List99!$A$165:$F$228</definedName>
    <definedName name="subtrans" localSheetId="6">[2]List99!$A$1:$F$59,[2]List99!$A$60:$F$111,[2]List99!#REF!,[2]List99!$A$112:$F$164,[2]List99!$A$165:$F$228</definedName>
    <definedName name="subtrans" localSheetId="4">[2]List99!$A$1:$F$59,[2]List99!$A$60:$F$111,[2]List99!#REF!,[2]List99!$A$112:$F$164,[2]List99!$A$165:$F$228</definedName>
    <definedName name="subtrans" localSheetId="2">[2]List99!$A$1:$F$59,[2]List99!$A$60:$F$111,[2]List99!#REF!,[2]List99!$A$112:$F$164,[2]List99!$A$165:$F$228</definedName>
    <definedName name="subtrans" localSheetId="0">[2]List99!$A$1:$F$59,[2]List99!$A$60:$F$111,[2]List99!#REF!,[2]List99!$A$112:$F$164,[2]List99!$A$165:$F$228</definedName>
    <definedName name="subtrans">[2]List99!$A$1:$F$59,[2]List99!$A$60:$F$111,[2]List99!#REF!,[2]List99!$A$112:$F$164,[2]List99!$A$165:$F$228</definedName>
    <definedName name="Surtax" localSheetId="15">#REF!</definedName>
    <definedName name="Surtax" localSheetId="12">#REF!</definedName>
    <definedName name="Surtax" localSheetId="8">#REF!</definedName>
    <definedName name="Surtax" localSheetId="6">#REF!</definedName>
    <definedName name="Surtax" localSheetId="4">#REF!</definedName>
    <definedName name="Surtax" localSheetId="2">#REF!</definedName>
    <definedName name="Surtax" localSheetId="0">#REF!</definedName>
    <definedName name="Surtax">#REF!</definedName>
    <definedName name="SysPageAll" localSheetId="0">'[15]MSCalc (2)'!$H$14:$AF$42,'[15]MSCalc (2)'!$H$43:$AF$85,'[15]MSCalc (2)'!$H$86:$AF$129,'[15]MSCalc (2)'!$H$130:$AF$201,'[15]MSCalc (2)'!$H$202:$AF$256,'[15]MSCalc (2)'!$H$257:$AF$279</definedName>
    <definedName name="SysPageAll">'[15]MSCalc (2)'!$H$14:$AF$42,'[15]MSCalc (2)'!$H$43:$AF$85,'[15]MSCalc (2)'!$H$86:$AF$129,'[15]MSCalc (2)'!$H$130:$AF$201,'[15]MSCalc (2)'!$H$202:$AF$256,'[15]MSCalc (2)'!$H$257:$AF$279</definedName>
    <definedName name="SYSTEM" localSheetId="0">[18]OPTTABLE!$A$2:$E$15,[18]OPTTABLE!$Q$2:$T$15,[18]OPTTABLE!$AA$2:$AE$15,[18]OPTTABLE!$AG$2:$AK$15,[18]OPTTABLE!$AW$2:$AZ$15,[18]OPTTABLE!$BB$2:$BF$15,[18]OPTTABLE!$U$2:$Y$15,[18]OPTTABLE!$BH$2:$BH$15</definedName>
    <definedName name="SYSTEM">[18]OPTTABLE!$A$2:$E$15,[18]OPTTABLE!$Q$2:$T$15,[18]OPTTABLE!$AA$2:$AE$15,[18]OPTTABLE!$AG$2:$AK$15,[18]OPTTABLE!$AW$2:$AZ$15,[18]OPTTABLE!$BB$2:$BF$15,[18]OPTTABLE!$U$2:$Y$15,[18]OPTTABLE!$BH$2:$BH$15</definedName>
    <definedName name="TableLarge" localSheetId="0">[7]SUM96!$A$203:$K$252,[7]SUM96!$A$253:$K$297,[7]SUM96!$A$300:$K$370,[7]SUM96!$A$371:$K$392</definedName>
    <definedName name="TableLarge">[7]SUM96!$A$203:$K$252,[7]SUM96!$A$253:$K$297,[7]SUM96!$A$300:$K$370,[7]SUM96!$A$371:$K$392</definedName>
    <definedName name="TableReportAll" localSheetId="0">[7]SUM96!$A$203:$K$299,[7]SUM96!$A$300:$K$342,[7]SUM96!$A$343:$K$390</definedName>
    <definedName name="TableReportAll">[7]SUM96!$A$203:$K$299,[7]SUM96!$A$300:$K$342,[7]SUM96!$A$343:$K$390</definedName>
    <definedName name="TEMPA" localSheetId="15">#REF!</definedName>
    <definedName name="TEMPA" localSheetId="12">#REF!</definedName>
    <definedName name="TEMPA" localSheetId="8">#REF!</definedName>
    <definedName name="TEMPA" localSheetId="6">#REF!</definedName>
    <definedName name="TEMPA" localSheetId="4">#REF!</definedName>
    <definedName name="TEMPA" localSheetId="2">#REF!</definedName>
    <definedName name="TEMPA" localSheetId="0">#REF!</definedName>
    <definedName name="TEMPA">#REF!</definedName>
    <definedName name="terr_name">'[19]1-1 GENERAL (Input)'!$C$56:$D$59</definedName>
    <definedName name="total" localSheetId="0">[18]OPTTABLE!$A$2:$E$15,[18]OPTTABLE!$Q$2:$T$15,[18]OPTTABLE!$AA$2:$AE$15,[18]OPTTABLE!$AG$2:$AK$15,[18]OPTTABLE!$AW$2:$AZ$15,[18]OPTTABLE!$BB$2:$BF$15,[18]OPTTABLE!$BH$2:$BH$15,[18]OPTTABLE!$U$2:$Y$15</definedName>
    <definedName name="total">[18]OPTTABLE!$A$2:$E$15,[18]OPTTABLE!$Q$2:$T$15,[18]OPTTABLE!$AA$2:$AE$15,[18]OPTTABLE!$AG$2:$AK$15,[18]OPTTABLE!$AW$2:$AZ$15,[18]OPTTABLE!$BB$2:$BF$15,[18]OPTTABLE!$BH$2:$BH$15,[18]OPTTABLE!$U$2:$Y$15</definedName>
    <definedName name="total_dept" localSheetId="15">#REF!</definedName>
    <definedName name="total_dept" localSheetId="12">#REF!</definedName>
    <definedName name="total_dept" localSheetId="8">#REF!</definedName>
    <definedName name="total_dept" localSheetId="6">#REF!</definedName>
    <definedName name="total_dept" localSheetId="4">#REF!</definedName>
    <definedName name="total_dept" localSheetId="2">#REF!</definedName>
    <definedName name="total_dept" localSheetId="0">#REF!</definedName>
    <definedName name="total_dept">#REF!</definedName>
    <definedName name="total_manpower" localSheetId="15">#REF!</definedName>
    <definedName name="total_manpower" localSheetId="12">#REF!</definedName>
    <definedName name="total_manpower" localSheetId="8">#REF!</definedName>
    <definedName name="total_manpower" localSheetId="6">#REF!</definedName>
    <definedName name="total_manpower" localSheetId="4">#REF!</definedName>
    <definedName name="total_manpower" localSheetId="2">#REF!</definedName>
    <definedName name="total_manpower" localSheetId="0">#REF!</definedName>
    <definedName name="total_manpower">#REF!</definedName>
    <definedName name="total_material" localSheetId="15">#REF!</definedName>
    <definedName name="total_material" localSheetId="12">#REF!</definedName>
    <definedName name="total_material" localSheetId="8">#REF!</definedName>
    <definedName name="total_material" localSheetId="6">#REF!</definedName>
    <definedName name="total_material" localSheetId="4">#REF!</definedName>
    <definedName name="total_material" localSheetId="2">#REF!</definedName>
    <definedName name="total_material" localSheetId="0">#REF!</definedName>
    <definedName name="total_material">#REF!</definedName>
    <definedName name="total_other" localSheetId="15">#REF!</definedName>
    <definedName name="total_other" localSheetId="12">#REF!</definedName>
    <definedName name="total_other" localSheetId="8">#REF!</definedName>
    <definedName name="total_other" localSheetId="6">#REF!</definedName>
    <definedName name="total_other" localSheetId="4">#REF!</definedName>
    <definedName name="total_other" localSheetId="2">#REF!</definedName>
    <definedName name="total_other" localSheetId="0">#REF!</definedName>
    <definedName name="total_other">#REF!</definedName>
    <definedName name="total_transportation" localSheetId="15">#REF!</definedName>
    <definedName name="total_transportation" localSheetId="12">#REF!</definedName>
    <definedName name="total_transportation" localSheetId="8">#REF!</definedName>
    <definedName name="total_transportation" localSheetId="6">#REF!</definedName>
    <definedName name="total_transportation" localSheetId="4">#REF!</definedName>
    <definedName name="total_transportation" localSheetId="2">#REF!</definedName>
    <definedName name="total_transportation" localSheetId="0">#REF!</definedName>
    <definedName name="total_transportation">#REF!</definedName>
    <definedName name="TRANBUD" localSheetId="15">#REF!</definedName>
    <definedName name="TRANBUD" localSheetId="12">#REF!</definedName>
    <definedName name="TRANBUD" localSheetId="8">#REF!</definedName>
    <definedName name="TRANBUD" localSheetId="6">#REF!</definedName>
    <definedName name="TRANBUD" localSheetId="4">#REF!</definedName>
    <definedName name="TRANBUD" localSheetId="2">#REF!</definedName>
    <definedName name="TRANBUD" localSheetId="0">#REF!</definedName>
    <definedName name="TRANBUD">#REF!</definedName>
    <definedName name="TRANEND" localSheetId="15">#REF!</definedName>
    <definedName name="TRANEND" localSheetId="12">#REF!</definedName>
    <definedName name="TRANEND" localSheetId="8">#REF!</definedName>
    <definedName name="TRANEND" localSheetId="6">#REF!</definedName>
    <definedName name="TRANEND" localSheetId="4">#REF!</definedName>
    <definedName name="TRANEND" localSheetId="2">#REF!</definedName>
    <definedName name="TRANEND" localSheetId="0">#REF!</definedName>
    <definedName name="TRANEND">#REF!</definedName>
    <definedName name="transportation_costs" localSheetId="15">#REF!</definedName>
    <definedName name="transportation_costs" localSheetId="12">#REF!</definedName>
    <definedName name="transportation_costs" localSheetId="8">#REF!</definedName>
    <definedName name="transportation_costs" localSheetId="6">#REF!</definedName>
    <definedName name="transportation_costs" localSheetId="4">#REF!</definedName>
    <definedName name="transportation_costs" localSheetId="2">#REF!</definedName>
    <definedName name="transportation_costs" localSheetId="0">#REF!</definedName>
    <definedName name="transportation_costs">#REF!</definedName>
    <definedName name="TRANSTART" localSheetId="15">#REF!</definedName>
    <definedName name="TRANSTART" localSheetId="12">#REF!</definedName>
    <definedName name="TRANSTART" localSheetId="8">#REF!</definedName>
    <definedName name="TRANSTART" localSheetId="6">#REF!</definedName>
    <definedName name="TRANSTART" localSheetId="4">#REF!</definedName>
    <definedName name="TRANSTART" localSheetId="2">#REF!</definedName>
    <definedName name="TRANSTART" localSheetId="0">#REF!</definedName>
    <definedName name="TRANSTART">#REF!</definedName>
    <definedName name="trn_beg_bud" localSheetId="15">#REF!</definedName>
    <definedName name="trn_beg_bud" localSheetId="12">#REF!</definedName>
    <definedName name="trn_beg_bud" localSheetId="8">#REF!</definedName>
    <definedName name="trn_beg_bud" localSheetId="6">#REF!</definedName>
    <definedName name="trn_beg_bud" localSheetId="4">#REF!</definedName>
    <definedName name="trn_beg_bud" localSheetId="2">#REF!</definedName>
    <definedName name="trn_beg_bud" localSheetId="0">#REF!</definedName>
    <definedName name="trn_beg_bud">#REF!</definedName>
    <definedName name="trn_end_bud" localSheetId="15">#REF!</definedName>
    <definedName name="trn_end_bud" localSheetId="12">#REF!</definedName>
    <definedName name="trn_end_bud" localSheetId="8">#REF!</definedName>
    <definedName name="trn_end_bud" localSheetId="6">#REF!</definedName>
    <definedName name="trn_end_bud" localSheetId="4">#REF!</definedName>
    <definedName name="trn_end_bud" localSheetId="2">#REF!</definedName>
    <definedName name="trn_end_bud" localSheetId="0">#REF!</definedName>
    <definedName name="trn_end_bud">#REF!</definedName>
    <definedName name="trn12ACT" localSheetId="15">#REF!</definedName>
    <definedName name="trn12ACT" localSheetId="12">#REF!</definedName>
    <definedName name="trn12ACT" localSheetId="8">#REF!</definedName>
    <definedName name="trn12ACT" localSheetId="6">#REF!</definedName>
    <definedName name="trn12ACT" localSheetId="4">#REF!</definedName>
    <definedName name="trn12ACT" localSheetId="2">#REF!</definedName>
    <definedName name="trn12ACT" localSheetId="0">#REF!</definedName>
    <definedName name="trn12ACT">#REF!</definedName>
    <definedName name="trnCYACT" localSheetId="15">#REF!</definedName>
    <definedName name="trnCYACT" localSheetId="12">#REF!</definedName>
    <definedName name="trnCYACT" localSheetId="8">#REF!</definedName>
    <definedName name="trnCYACT" localSheetId="6">#REF!</definedName>
    <definedName name="trnCYACT" localSheetId="4">#REF!</definedName>
    <definedName name="trnCYACT" localSheetId="2">#REF!</definedName>
    <definedName name="trnCYACT" localSheetId="0">#REF!</definedName>
    <definedName name="trnCYACT">#REF!</definedName>
    <definedName name="trnCYBUD" localSheetId="15">#REF!</definedName>
    <definedName name="trnCYBUD" localSheetId="12">#REF!</definedName>
    <definedName name="trnCYBUD" localSheetId="8">#REF!</definedName>
    <definedName name="trnCYBUD" localSheetId="6">#REF!</definedName>
    <definedName name="trnCYBUD" localSheetId="4">#REF!</definedName>
    <definedName name="trnCYBUD" localSheetId="2">#REF!</definedName>
    <definedName name="trnCYBUD" localSheetId="0">#REF!</definedName>
    <definedName name="trnCYBUD">#REF!</definedName>
    <definedName name="trnCYF" localSheetId="15">#REF!</definedName>
    <definedName name="trnCYF" localSheetId="12">#REF!</definedName>
    <definedName name="trnCYF" localSheetId="8">#REF!</definedName>
    <definedName name="trnCYF" localSheetId="6">#REF!</definedName>
    <definedName name="trnCYF" localSheetId="4">#REF!</definedName>
    <definedName name="trnCYF" localSheetId="2">#REF!</definedName>
    <definedName name="trnCYF" localSheetId="0">#REF!</definedName>
    <definedName name="trnCYF">#REF!</definedName>
    <definedName name="trnNYbud" localSheetId="15">#REF!</definedName>
    <definedName name="trnNYbud" localSheetId="12">#REF!</definedName>
    <definedName name="trnNYbud" localSheetId="8">#REF!</definedName>
    <definedName name="trnNYbud" localSheetId="6">#REF!</definedName>
    <definedName name="trnNYbud" localSheetId="4">#REF!</definedName>
    <definedName name="trnNYbud" localSheetId="2">#REF!</definedName>
    <definedName name="trnNYbud" localSheetId="0">#REF!</definedName>
    <definedName name="trnNYbud">#REF!</definedName>
    <definedName name="trnPYACT" localSheetId="15">#REF!</definedName>
    <definedName name="trnPYACT" localSheetId="12">#REF!</definedName>
    <definedName name="trnPYACT" localSheetId="8">#REF!</definedName>
    <definedName name="trnPYACT" localSheetId="6">#REF!</definedName>
    <definedName name="trnPYACT" localSheetId="4">#REF!</definedName>
    <definedName name="trnPYACT" localSheetId="2">#REF!</definedName>
    <definedName name="trnPYACT" localSheetId="0">#REF!</definedName>
    <definedName name="trnPYACT">#REF!</definedName>
    <definedName name="Utility">[11]Financials!$A$1</definedName>
    <definedName name="UtilityInfo" localSheetId="15">#REF!</definedName>
    <definedName name="UtilityInfo" localSheetId="12">#REF!</definedName>
    <definedName name="UtilityInfo" localSheetId="8">#REF!</definedName>
    <definedName name="UtilityInfo" localSheetId="6">#REF!</definedName>
    <definedName name="UtilityInfo" localSheetId="4">#REF!</definedName>
    <definedName name="UtilityInfo" localSheetId="2">#REF!</definedName>
    <definedName name="UtilityInfo" localSheetId="0">#REF!</definedName>
    <definedName name="UtilityInfo">#REF!</definedName>
    <definedName name="utitliy1">[20]Financials!$A$1</definedName>
    <definedName name="WAGBENF" localSheetId="15">#REF!</definedName>
    <definedName name="WAGBENF" localSheetId="12">#REF!</definedName>
    <definedName name="WAGBENF" localSheetId="8">#REF!</definedName>
    <definedName name="WAGBENF" localSheetId="6">#REF!</definedName>
    <definedName name="WAGBENF" localSheetId="4">#REF!</definedName>
    <definedName name="WAGBENF" localSheetId="2">#REF!</definedName>
    <definedName name="WAGBENF" localSheetId="0">#REF!</definedName>
    <definedName name="WAGBENF">#REF!</definedName>
    <definedName name="wagdob" localSheetId="15">#REF!</definedName>
    <definedName name="wagdob" localSheetId="12">#REF!</definedName>
    <definedName name="wagdob" localSheetId="8">#REF!</definedName>
    <definedName name="wagdob" localSheetId="6">#REF!</definedName>
    <definedName name="wagdob" localSheetId="4">#REF!</definedName>
    <definedName name="wagdob" localSheetId="2">#REF!</definedName>
    <definedName name="wagdob" localSheetId="0">#REF!</definedName>
    <definedName name="wagdob">#REF!</definedName>
    <definedName name="wagdobf" localSheetId="15">#REF!</definedName>
    <definedName name="wagdobf" localSheetId="12">#REF!</definedName>
    <definedName name="wagdobf" localSheetId="8">#REF!</definedName>
    <definedName name="wagdobf" localSheetId="6">#REF!</definedName>
    <definedName name="wagdobf" localSheetId="4">#REF!</definedName>
    <definedName name="wagdobf" localSheetId="2">#REF!</definedName>
    <definedName name="wagdobf" localSheetId="0">#REF!</definedName>
    <definedName name="wagdobf">#REF!</definedName>
    <definedName name="wagreg" localSheetId="15">#REF!</definedName>
    <definedName name="wagreg" localSheetId="12">#REF!</definedName>
    <definedName name="wagreg" localSheetId="8">#REF!</definedName>
    <definedName name="wagreg" localSheetId="6">#REF!</definedName>
    <definedName name="wagreg" localSheetId="4">#REF!</definedName>
    <definedName name="wagreg" localSheetId="2">#REF!</definedName>
    <definedName name="wagreg" localSheetId="0">#REF!</definedName>
    <definedName name="wagreg">#REF!</definedName>
    <definedName name="wagregf" localSheetId="15">#REF!</definedName>
    <definedName name="wagregf" localSheetId="12">#REF!</definedName>
    <definedName name="wagregf" localSheetId="8">#REF!</definedName>
    <definedName name="wagregf" localSheetId="6">#REF!</definedName>
    <definedName name="wagregf" localSheetId="4">#REF!</definedName>
    <definedName name="wagregf" localSheetId="2">#REF!</definedName>
    <definedName name="wagregf" localSheetId="0">#REF!</definedName>
    <definedName name="wagregf">#REF!</definedName>
    <definedName name="Z_Factor_Analysis" localSheetId="15">#REF!</definedName>
    <definedName name="Z_Factor_Analysis" localSheetId="12">#REF!</definedName>
    <definedName name="Z_Factor_Analysis" localSheetId="8">#REF!</definedName>
    <definedName name="Z_Factor_Analysis" localSheetId="6">#REF!</definedName>
    <definedName name="Z_Factor_Analysis" localSheetId="4">#REF!</definedName>
    <definedName name="Z_Factor_Analysis" localSheetId="2">#REF!</definedName>
    <definedName name="Z_Factor_Analysis" localSheetId="0">#REF!</definedName>
    <definedName name="Z_Factor_Analysis">#REF!</definedName>
  </definedNames>
  <calcPr calcId="145621"/>
</workbook>
</file>

<file path=xl/calcChain.xml><?xml version="1.0" encoding="utf-8"?>
<calcChain xmlns="http://schemas.openxmlformats.org/spreadsheetml/2006/main">
  <c r="F17" i="7" l="1"/>
  <c r="F9" i="7"/>
  <c r="F17" i="8"/>
  <c r="F9" i="8"/>
  <c r="B24" i="15"/>
  <c r="B23" i="15"/>
  <c r="B22" i="15"/>
  <c r="B21" i="15"/>
  <c r="B19" i="15"/>
  <c r="B18" i="15"/>
  <c r="B14" i="15"/>
  <c r="B13" i="15"/>
  <c r="B10" i="15"/>
  <c r="B9" i="15"/>
  <c r="F16" i="15"/>
  <c r="B25" i="14"/>
  <c r="B24" i="14"/>
  <c r="B23" i="14"/>
  <c r="B22" i="14"/>
  <c r="B20" i="14"/>
  <c r="B19" i="14"/>
  <c r="B18" i="14"/>
  <c r="B14" i="14"/>
  <c r="B13" i="14"/>
  <c r="B11" i="14"/>
  <c r="B10" i="14"/>
  <c r="B9" i="14"/>
  <c r="B25" i="13"/>
  <c r="B24" i="13"/>
  <c r="B23" i="13"/>
  <c r="B22" i="13"/>
  <c r="B20" i="13"/>
  <c r="B19" i="13"/>
  <c r="B18" i="13"/>
  <c r="B14" i="13"/>
  <c r="B13" i="13"/>
  <c r="B11" i="13"/>
  <c r="B10" i="13"/>
  <c r="B9" i="13"/>
  <c r="B25" i="12"/>
  <c r="B24" i="12"/>
  <c r="B23" i="12"/>
  <c r="B22" i="12"/>
  <c r="B20" i="12"/>
  <c r="B19" i="12"/>
  <c r="B18" i="12"/>
  <c r="B14" i="12"/>
  <c r="B13" i="12"/>
  <c r="B11" i="12"/>
  <c r="B10" i="12"/>
  <c r="B9" i="12"/>
  <c r="B25" i="19"/>
  <c r="B24" i="19"/>
  <c r="B23" i="19"/>
  <c r="B22" i="19"/>
  <c r="B20" i="19"/>
  <c r="B19" i="19"/>
  <c r="B18" i="19"/>
  <c r="B14" i="19"/>
  <c r="B13" i="19"/>
  <c r="B11" i="19"/>
  <c r="B10" i="19"/>
  <c r="B9" i="19"/>
  <c r="B11" i="11"/>
  <c r="B25" i="11"/>
  <c r="B24" i="11"/>
  <c r="B23" i="11"/>
  <c r="B22" i="11"/>
  <c r="B20" i="11"/>
  <c r="B19" i="11"/>
  <c r="B18" i="11"/>
  <c r="B14" i="11"/>
  <c r="B13" i="11"/>
  <c r="B10" i="11"/>
  <c r="B9" i="11"/>
  <c r="B25" i="10"/>
  <c r="B24" i="10"/>
  <c r="B23" i="10"/>
  <c r="B22" i="10"/>
  <c r="B20" i="10"/>
  <c r="B19" i="10"/>
  <c r="B18" i="10"/>
  <c r="B14" i="10"/>
  <c r="B13" i="10"/>
  <c r="B11" i="10"/>
  <c r="B10" i="10"/>
  <c r="B9" i="10"/>
  <c r="B25" i="20"/>
  <c r="B24" i="20"/>
  <c r="B23" i="20"/>
  <c r="B22" i="20"/>
  <c r="B20" i="20"/>
  <c r="B19" i="20"/>
  <c r="B18" i="20"/>
  <c r="B14" i="20"/>
  <c r="B13" i="20"/>
  <c r="B11" i="20"/>
  <c r="B10" i="20"/>
  <c r="B9" i="20"/>
  <c r="B24" i="9"/>
  <c r="B23" i="9"/>
  <c r="B22" i="9"/>
  <c r="B20" i="9"/>
  <c r="B25" i="9"/>
  <c r="B19" i="9"/>
  <c r="B18" i="9"/>
  <c r="B14" i="9"/>
  <c r="B13" i="9"/>
  <c r="B11" i="9"/>
  <c r="B10" i="9"/>
  <c r="B9" i="9"/>
  <c r="B26" i="8"/>
  <c r="B25" i="8"/>
  <c r="B24" i="8"/>
  <c r="B23" i="8"/>
  <c r="B22" i="8"/>
  <c r="B20" i="8"/>
  <c r="B19" i="8"/>
  <c r="B15" i="8"/>
  <c r="B14" i="8"/>
  <c r="B10" i="8"/>
  <c r="B9" i="8"/>
  <c r="B25" i="7"/>
  <c r="B24" i="7"/>
  <c r="B23" i="7"/>
  <c r="B22" i="7"/>
  <c r="B20" i="7"/>
  <c r="B19" i="7"/>
  <c r="B15" i="7"/>
  <c r="B14" i="7"/>
  <c r="B13" i="6"/>
  <c r="B10" i="7"/>
  <c r="B9" i="7"/>
  <c r="B25" i="6"/>
  <c r="B24" i="6"/>
  <c r="B23" i="6"/>
  <c r="B22" i="6"/>
  <c r="B20" i="6"/>
  <c r="B19" i="6"/>
  <c r="B16" i="6"/>
  <c r="B15" i="6"/>
  <c r="B14" i="6"/>
  <c r="B11" i="6"/>
  <c r="B10" i="6"/>
  <c r="B9" i="6"/>
  <c r="F17" i="18"/>
  <c r="F9" i="18"/>
  <c r="F17" i="4"/>
  <c r="F9" i="4"/>
  <c r="F17" i="17"/>
  <c r="F9" i="17"/>
  <c r="F9" i="3"/>
  <c r="F17" i="3"/>
  <c r="B25" i="5"/>
  <c r="B24" i="5"/>
  <c r="B23" i="5"/>
  <c r="B22" i="5"/>
  <c r="B20" i="5"/>
  <c r="B19" i="5"/>
  <c r="B16" i="5"/>
  <c r="B15" i="5"/>
  <c r="B14" i="5"/>
  <c r="B11" i="5"/>
  <c r="B10" i="5"/>
  <c r="B9" i="5"/>
  <c r="B25" i="18"/>
  <c r="B24" i="18"/>
  <c r="B23" i="18"/>
  <c r="B22" i="18"/>
  <c r="B20" i="18"/>
  <c r="B19" i="18"/>
  <c r="B16" i="18"/>
  <c r="B15" i="18"/>
  <c r="B14" i="18"/>
  <c r="B13" i="18"/>
  <c r="B11" i="18"/>
  <c r="B10" i="18"/>
  <c r="B9" i="18"/>
  <c r="B25" i="4"/>
  <c r="B24" i="4"/>
  <c r="B23" i="4"/>
  <c r="B22" i="4"/>
  <c r="B20" i="4"/>
  <c r="B19" i="4"/>
  <c r="B16" i="4"/>
  <c r="B15" i="4"/>
  <c r="B14" i="4"/>
  <c r="B13" i="4"/>
  <c r="B11" i="4"/>
  <c r="B10" i="4"/>
  <c r="B9" i="4"/>
  <c r="B25" i="17"/>
  <c r="B24" i="17"/>
  <c r="B23" i="17"/>
  <c r="B22" i="17"/>
  <c r="B20" i="17"/>
  <c r="B19" i="17"/>
  <c r="B16" i="17"/>
  <c r="B15" i="17"/>
  <c r="B14" i="17"/>
  <c r="B13" i="17"/>
  <c r="B11" i="17"/>
  <c r="B10" i="17"/>
  <c r="B9" i="17"/>
  <c r="B25" i="3"/>
  <c r="B24" i="3"/>
  <c r="B23" i="3"/>
  <c r="B22" i="3"/>
  <c r="B20" i="3"/>
  <c r="B19" i="3"/>
  <c r="B16" i="3"/>
  <c r="B15" i="3"/>
  <c r="B14" i="3"/>
  <c r="F13" i="3"/>
  <c r="B13" i="3"/>
  <c r="B10" i="3"/>
  <c r="F24" i="15" l="1"/>
  <c r="F23" i="15"/>
  <c r="F22" i="15"/>
  <c r="F21" i="15"/>
  <c r="F19" i="15"/>
  <c r="F18" i="15"/>
  <c r="F14" i="15"/>
  <c r="F13" i="15"/>
  <c r="F10" i="15"/>
  <c r="F9" i="15"/>
  <c r="F25" i="14"/>
  <c r="F24" i="14"/>
  <c r="F23" i="14"/>
  <c r="F22" i="14"/>
  <c r="F20" i="14"/>
  <c r="F19" i="14"/>
  <c r="F18" i="14"/>
  <c r="F16" i="14"/>
  <c r="F14" i="14"/>
  <c r="F13" i="14"/>
  <c r="F10" i="14"/>
  <c r="F9" i="14"/>
  <c r="F25" i="13"/>
  <c r="F24" i="13"/>
  <c r="F23" i="13"/>
  <c r="F22" i="13"/>
  <c r="F20" i="13"/>
  <c r="F19" i="13"/>
  <c r="F18" i="13"/>
  <c r="F16" i="13"/>
  <c r="F14" i="13"/>
  <c r="F13" i="13"/>
  <c r="F10" i="13"/>
  <c r="F9" i="13"/>
  <c r="F10" i="19"/>
  <c r="F9" i="19"/>
  <c r="F13" i="19"/>
  <c r="F25" i="19"/>
  <c r="F24" i="19"/>
  <c r="F23" i="19"/>
  <c r="F22" i="19"/>
  <c r="F20" i="19"/>
  <c r="F19" i="19"/>
  <c r="F18" i="19"/>
  <c r="F16" i="19"/>
  <c r="F14" i="19"/>
  <c r="F25" i="12"/>
  <c r="F24" i="12"/>
  <c r="F23" i="12"/>
  <c r="F22" i="12"/>
  <c r="F20" i="12"/>
  <c r="F19" i="12"/>
  <c r="F18" i="12"/>
  <c r="F16" i="12"/>
  <c r="F14" i="12"/>
  <c r="F13" i="12"/>
  <c r="F10" i="12"/>
  <c r="F9" i="12"/>
  <c r="F25" i="11"/>
  <c r="F24" i="11"/>
  <c r="F23" i="11"/>
  <c r="F22" i="11"/>
  <c r="F20" i="11"/>
  <c r="F19" i="11"/>
  <c r="F18" i="11"/>
  <c r="F16" i="11"/>
  <c r="F14" i="11"/>
  <c r="F13" i="11"/>
  <c r="F10" i="11"/>
  <c r="F9" i="11"/>
  <c r="F25" i="10"/>
  <c r="F24" i="10"/>
  <c r="F23" i="10"/>
  <c r="F22" i="10"/>
  <c r="F20" i="10"/>
  <c r="F19" i="10"/>
  <c r="F18" i="10"/>
  <c r="F16" i="10"/>
  <c r="F14" i="10"/>
  <c r="F13" i="10"/>
  <c r="F10" i="10"/>
  <c r="F9" i="10"/>
  <c r="F25" i="20"/>
  <c r="F24" i="20"/>
  <c r="F23" i="20"/>
  <c r="F22" i="20"/>
  <c r="F20" i="20"/>
  <c r="F19" i="20"/>
  <c r="F18" i="20"/>
  <c r="F16" i="20"/>
  <c r="F14" i="20"/>
  <c r="F13" i="20"/>
  <c r="F10" i="20"/>
  <c r="F9" i="20"/>
  <c r="F25" i="9"/>
  <c r="F24" i="9"/>
  <c r="F23" i="9"/>
  <c r="F22" i="9"/>
  <c r="F20" i="9"/>
  <c r="F19" i="9"/>
  <c r="F18" i="9"/>
  <c r="F16" i="9"/>
  <c r="F14" i="9"/>
  <c r="F13" i="9"/>
  <c r="F10" i="9"/>
  <c r="F9" i="9"/>
  <c r="F26" i="8"/>
  <c r="F25" i="8"/>
  <c r="F24" i="8"/>
  <c r="F23" i="8"/>
  <c r="F22" i="8"/>
  <c r="F20" i="8"/>
  <c r="F19" i="8"/>
  <c r="F15" i="8"/>
  <c r="F14" i="8"/>
  <c r="F10" i="8"/>
  <c r="F25" i="7"/>
  <c r="F24" i="7"/>
  <c r="F23" i="7"/>
  <c r="F22" i="7"/>
  <c r="F20" i="7"/>
  <c r="F19" i="7"/>
  <c r="F15" i="7"/>
  <c r="F14" i="7"/>
  <c r="F10" i="7"/>
  <c r="F25" i="6"/>
  <c r="F24" i="6"/>
  <c r="F23" i="6"/>
  <c r="F22" i="6"/>
  <c r="F20" i="6"/>
  <c r="F19" i="6"/>
  <c r="F17" i="6"/>
  <c r="F16" i="6"/>
  <c r="F15" i="6"/>
  <c r="F14" i="6"/>
  <c r="F13" i="6"/>
  <c r="F10" i="6"/>
  <c r="F9" i="6"/>
  <c r="F9" i="5"/>
  <c r="F17" i="5"/>
  <c r="F25" i="5"/>
  <c r="F24" i="5"/>
  <c r="F23" i="5"/>
  <c r="F22" i="5"/>
  <c r="F20" i="5"/>
  <c r="F19" i="5"/>
  <c r="F16" i="5"/>
  <c r="F15" i="5"/>
  <c r="B13" i="5"/>
  <c r="F13" i="5"/>
  <c r="F14" i="5"/>
  <c r="F10" i="5"/>
  <c r="F24" i="18"/>
  <c r="F23" i="18"/>
  <c r="F22" i="18"/>
  <c r="F20" i="18"/>
  <c r="F19" i="18"/>
  <c r="F16" i="18"/>
  <c r="F15" i="18"/>
  <c r="F14" i="18"/>
  <c r="F10" i="18"/>
  <c r="F14" i="4"/>
  <c r="F28" i="4"/>
  <c r="F27" i="4"/>
  <c r="F26" i="4"/>
  <c r="F25" i="4"/>
  <c r="F24" i="4"/>
  <c r="F23" i="4"/>
  <c r="F22" i="4"/>
  <c r="F20" i="4"/>
  <c r="F19" i="4"/>
  <c r="F16" i="4"/>
  <c r="F15" i="4"/>
  <c r="F10" i="4"/>
  <c r="F28" i="17"/>
  <c r="F27" i="17"/>
  <c r="F13" i="17" s="1"/>
  <c r="F26" i="17"/>
  <c r="F25" i="17"/>
  <c r="F24" i="17"/>
  <c r="F23" i="17"/>
  <c r="F22" i="17"/>
  <c r="F20" i="17"/>
  <c r="F19" i="17"/>
  <c r="F16" i="17"/>
  <c r="F15" i="17"/>
  <c r="F14" i="17"/>
  <c r="F11" i="17"/>
  <c r="F10" i="17"/>
  <c r="F28" i="3"/>
  <c r="F27" i="3"/>
  <c r="F26" i="3"/>
  <c r="F25" i="3"/>
  <c r="F24" i="3"/>
  <c r="F23" i="3"/>
  <c r="F22" i="3"/>
  <c r="F20" i="3"/>
  <c r="F19" i="3"/>
  <c r="F16" i="3"/>
  <c r="F15" i="3"/>
  <c r="F14" i="3"/>
  <c r="F10" i="3"/>
  <c r="B9" i="3"/>
  <c r="K32" i="20" l="1"/>
  <c r="J32" i="20"/>
  <c r="C27" i="20"/>
  <c r="G27" i="20" s="1"/>
  <c r="H27" i="20" s="1"/>
  <c r="H26" i="20"/>
  <c r="G26" i="20"/>
  <c r="D26" i="20"/>
  <c r="G25" i="20"/>
  <c r="H25" i="20"/>
  <c r="D25" i="20"/>
  <c r="C25" i="20"/>
  <c r="G24" i="20"/>
  <c r="D24" i="20"/>
  <c r="G22" i="20"/>
  <c r="D22" i="20"/>
  <c r="C22" i="20"/>
  <c r="C23" i="20" s="1"/>
  <c r="C20" i="20"/>
  <c r="D20" i="20" s="1"/>
  <c r="C19" i="20"/>
  <c r="D19" i="20" s="1"/>
  <c r="C18" i="20"/>
  <c r="D18" i="20" s="1"/>
  <c r="G16" i="20"/>
  <c r="D16" i="20"/>
  <c r="H15" i="20"/>
  <c r="G15" i="20"/>
  <c r="D15" i="20"/>
  <c r="K15" i="20" s="1"/>
  <c r="G14" i="20"/>
  <c r="D14" i="20"/>
  <c r="C14" i="20"/>
  <c r="G13" i="20"/>
  <c r="D13" i="20"/>
  <c r="K13" i="20" s="1"/>
  <c r="C13" i="20"/>
  <c r="C11" i="20"/>
  <c r="G11" i="20" s="1"/>
  <c r="H11" i="20" s="1"/>
  <c r="D11" i="20"/>
  <c r="K11" i="20" s="1"/>
  <c r="C10" i="20"/>
  <c r="G10" i="20" s="1"/>
  <c r="D10" i="20"/>
  <c r="G9" i="20"/>
  <c r="D9" i="20"/>
  <c r="J25" i="20" l="1"/>
  <c r="K25" i="20" s="1"/>
  <c r="J15" i="20"/>
  <c r="D12" i="20"/>
  <c r="J26" i="20"/>
  <c r="K26" i="20" s="1"/>
  <c r="J11" i="20"/>
  <c r="K18" i="20"/>
  <c r="D23" i="20"/>
  <c r="G23" i="20"/>
  <c r="D17" i="20"/>
  <c r="D27" i="20"/>
  <c r="G18" i="20"/>
  <c r="H18" i="20" s="1"/>
  <c r="J18" i="20" s="1"/>
  <c r="G19" i="20"/>
  <c r="G20" i="20"/>
  <c r="H20" i="20" s="1"/>
  <c r="J20" i="20" s="1"/>
  <c r="K20" i="20" s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5" i="1"/>
  <c r="F114" i="1"/>
  <c r="F113" i="1"/>
  <c r="F112" i="1"/>
  <c r="F111" i="1"/>
  <c r="F110" i="1"/>
  <c r="F109" i="1"/>
  <c r="F108" i="1"/>
  <c r="F107" i="1"/>
  <c r="F106" i="1"/>
  <c r="F104" i="1"/>
  <c r="F103" i="1"/>
  <c r="F102" i="1"/>
  <c r="F101" i="1"/>
  <c r="F100" i="1"/>
  <c r="F96" i="1"/>
  <c r="F95" i="1"/>
  <c r="F94" i="1"/>
  <c r="F93" i="1"/>
  <c r="F92" i="1"/>
  <c r="F91" i="1"/>
  <c r="F90" i="1"/>
  <c r="F89" i="1"/>
  <c r="F88" i="1"/>
  <c r="F87" i="1"/>
  <c r="F85" i="1"/>
  <c r="F84" i="1"/>
  <c r="F83" i="1"/>
  <c r="F82" i="1"/>
  <c r="F81" i="1"/>
  <c r="F77" i="1"/>
  <c r="H24" i="20" s="1"/>
  <c r="J24" i="20" s="1"/>
  <c r="K24" i="20" s="1"/>
  <c r="F76" i="1"/>
  <c r="F75" i="1"/>
  <c r="H22" i="20" s="1"/>
  <c r="J22" i="20" s="1"/>
  <c r="K22" i="20" s="1"/>
  <c r="F74" i="1"/>
  <c r="F73" i="1"/>
  <c r="F72" i="1"/>
  <c r="F71" i="1"/>
  <c r="F70" i="1"/>
  <c r="H14" i="20" s="1"/>
  <c r="J14" i="20" s="1"/>
  <c r="K14" i="20" s="1"/>
  <c r="F69" i="1"/>
  <c r="F68" i="1"/>
  <c r="F67" i="1"/>
  <c r="F66" i="1"/>
  <c r="F65" i="1"/>
  <c r="F64" i="1"/>
  <c r="F63" i="1"/>
  <c r="H10" i="20" s="1"/>
  <c r="J10" i="20" s="1"/>
  <c r="K10" i="20" s="1"/>
  <c r="F62" i="1"/>
  <c r="H16" i="20" s="1"/>
  <c r="F61" i="1"/>
  <c r="H9" i="20" s="1"/>
  <c r="J9" i="20" s="1"/>
  <c r="K9" i="20" s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9" i="1"/>
  <c r="F38" i="1"/>
  <c r="F37" i="1"/>
  <c r="F36" i="1"/>
  <c r="F35" i="1"/>
  <c r="F34" i="1"/>
  <c r="F31" i="1"/>
  <c r="F30" i="1"/>
  <c r="F29" i="1"/>
  <c r="F28" i="1"/>
  <c r="F27" i="1"/>
  <c r="F26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H13" i="20" l="1"/>
  <c r="J13" i="20" s="1"/>
  <c r="H23" i="20"/>
  <c r="J23" i="20" s="1"/>
  <c r="K23" i="20" s="1"/>
  <c r="H19" i="20"/>
  <c r="J19" i="20" s="1"/>
  <c r="K19" i="20" s="1"/>
  <c r="H12" i="20"/>
  <c r="J12" i="20" s="1"/>
  <c r="K12" i="20" s="1"/>
  <c r="J27" i="20"/>
  <c r="K27" i="20" s="1"/>
  <c r="D21" i="20"/>
  <c r="K32" i="19"/>
  <c r="J32" i="19"/>
  <c r="G26" i="19"/>
  <c r="H26" i="19" s="1"/>
  <c r="D26" i="19"/>
  <c r="C25" i="19"/>
  <c r="G25" i="19" s="1"/>
  <c r="H25" i="19" s="1"/>
  <c r="G24" i="19"/>
  <c r="D24" i="19"/>
  <c r="C22" i="19"/>
  <c r="D22" i="19" s="1"/>
  <c r="G20" i="19"/>
  <c r="D20" i="19"/>
  <c r="C20" i="19"/>
  <c r="G19" i="19"/>
  <c r="D19" i="19"/>
  <c r="C19" i="19"/>
  <c r="G18" i="19"/>
  <c r="H18" i="19" s="1"/>
  <c r="D18" i="19"/>
  <c r="C18" i="19"/>
  <c r="G16" i="19"/>
  <c r="D16" i="19"/>
  <c r="G15" i="19"/>
  <c r="H15" i="19" s="1"/>
  <c r="J15" i="19" s="1"/>
  <c r="D15" i="19"/>
  <c r="K15" i="19" s="1"/>
  <c r="C14" i="19"/>
  <c r="G14" i="19" s="1"/>
  <c r="C13" i="19"/>
  <c r="G13" i="19" s="1"/>
  <c r="G11" i="19"/>
  <c r="H11" i="19" s="1"/>
  <c r="D11" i="19"/>
  <c r="K11" i="19" s="1"/>
  <c r="C11" i="19"/>
  <c r="G10" i="19"/>
  <c r="D10" i="19"/>
  <c r="C10" i="19"/>
  <c r="G9" i="19"/>
  <c r="D9" i="19"/>
  <c r="C28" i="18"/>
  <c r="D28" i="18" s="1"/>
  <c r="C28" i="4"/>
  <c r="F28" i="18"/>
  <c r="F27" i="18"/>
  <c r="C27" i="18"/>
  <c r="D27" i="18" s="1"/>
  <c r="F26" i="18"/>
  <c r="F13" i="18" s="1"/>
  <c r="C26" i="18"/>
  <c r="D26" i="18" s="1"/>
  <c r="F25" i="18"/>
  <c r="C25" i="18"/>
  <c r="G25" i="18" s="1"/>
  <c r="H25" i="18" s="1"/>
  <c r="G24" i="18"/>
  <c r="D24" i="18"/>
  <c r="C22" i="18"/>
  <c r="D22" i="18" s="1"/>
  <c r="C20" i="18"/>
  <c r="D20" i="18" s="1"/>
  <c r="C19" i="18"/>
  <c r="D19" i="18" s="1"/>
  <c r="G17" i="18"/>
  <c r="D17" i="18"/>
  <c r="G16" i="18"/>
  <c r="D16" i="18"/>
  <c r="C15" i="18"/>
  <c r="G15" i="18" s="1"/>
  <c r="C14" i="18"/>
  <c r="G14" i="18" s="1"/>
  <c r="C13" i="18"/>
  <c r="G13" i="18" s="1"/>
  <c r="D13" i="18"/>
  <c r="F11" i="18"/>
  <c r="C11" i="18"/>
  <c r="D11" i="18" s="1"/>
  <c r="K11" i="18" s="1"/>
  <c r="C10" i="18"/>
  <c r="D10" i="18" s="1"/>
  <c r="G9" i="18"/>
  <c r="D9" i="18"/>
  <c r="J26" i="19" l="1"/>
  <c r="K26" i="19" s="1"/>
  <c r="J11" i="19"/>
  <c r="D12" i="19"/>
  <c r="J18" i="19"/>
  <c r="K18" i="19" s="1"/>
  <c r="H17" i="20"/>
  <c r="H21" i="20" s="1"/>
  <c r="D29" i="20"/>
  <c r="C27" i="19"/>
  <c r="G22" i="19"/>
  <c r="D13" i="19"/>
  <c r="K13" i="19" s="1"/>
  <c r="D14" i="19"/>
  <c r="C23" i="19"/>
  <c r="D25" i="19"/>
  <c r="J25" i="19" s="1"/>
  <c r="G28" i="18"/>
  <c r="H28" i="18" s="1"/>
  <c r="J28" i="18"/>
  <c r="K28" i="18" s="1"/>
  <c r="D25" i="18"/>
  <c r="G27" i="18"/>
  <c r="H27" i="18" s="1"/>
  <c r="J27" i="18" s="1"/>
  <c r="K27" i="18" s="1"/>
  <c r="G26" i="18"/>
  <c r="H26" i="18" s="1"/>
  <c r="J26" i="18" s="1"/>
  <c r="K26" i="18" s="1"/>
  <c r="D12" i="18"/>
  <c r="H13" i="18"/>
  <c r="J13" i="18" s="1"/>
  <c r="K13" i="18" s="1"/>
  <c r="G10" i="18"/>
  <c r="G11" i="18"/>
  <c r="H11" i="18" s="1"/>
  <c r="J11" i="18" s="1"/>
  <c r="D14" i="18"/>
  <c r="K14" i="18" s="1"/>
  <c r="G22" i="18"/>
  <c r="D15" i="18"/>
  <c r="G19" i="18"/>
  <c r="G20" i="18"/>
  <c r="C23" i="18"/>
  <c r="J17" i="20" l="1"/>
  <c r="K17" i="20" s="1"/>
  <c r="H29" i="20"/>
  <c r="J21" i="20"/>
  <c r="K21" i="20" s="1"/>
  <c r="D30" i="20"/>
  <c r="G27" i="19"/>
  <c r="H27" i="19" s="1"/>
  <c r="D27" i="19"/>
  <c r="K25" i="19"/>
  <c r="D17" i="19"/>
  <c r="D23" i="19"/>
  <c r="G23" i="19"/>
  <c r="J25" i="18"/>
  <c r="K25" i="18" s="1"/>
  <c r="D18" i="18"/>
  <c r="D23" i="18"/>
  <c r="G23" i="18"/>
  <c r="D31" i="20" l="1"/>
  <c r="H30" i="20"/>
  <c r="J30" i="20" s="1"/>
  <c r="K30" i="20" s="1"/>
  <c r="J29" i="20"/>
  <c r="K29" i="20" s="1"/>
  <c r="D21" i="19"/>
  <c r="J27" i="19"/>
  <c r="K27" i="19" s="1"/>
  <c r="D21" i="18"/>
  <c r="H31" i="20" l="1"/>
  <c r="D33" i="20"/>
  <c r="D29" i="19"/>
  <c r="D30" i="18"/>
  <c r="H33" i="20" l="1"/>
  <c r="J33" i="20" s="1"/>
  <c r="K33" i="20" s="1"/>
  <c r="J31" i="20"/>
  <c r="K31" i="20" s="1"/>
  <c r="D30" i="19"/>
  <c r="D31" i="18"/>
  <c r="D31" i="19" l="1"/>
  <c r="D32" i="18"/>
  <c r="D33" i="19" l="1"/>
  <c r="D33" i="18"/>
  <c r="D34" i="18" s="1"/>
  <c r="H24" i="19" l="1"/>
  <c r="J24" i="19" s="1"/>
  <c r="K24" i="19" s="1"/>
  <c r="H23" i="19"/>
  <c r="J23" i="19" s="1"/>
  <c r="K23" i="19" s="1"/>
  <c r="H22" i="19"/>
  <c r="J22" i="19" s="1"/>
  <c r="K22" i="19" s="1"/>
  <c r="H14" i="19"/>
  <c r="J14" i="19" s="1"/>
  <c r="K14" i="19" s="1"/>
  <c r="H24" i="18"/>
  <c r="J24" i="18" s="1"/>
  <c r="K24" i="18" s="1"/>
  <c r="H23" i="18"/>
  <c r="J23" i="18" s="1"/>
  <c r="K23" i="18" s="1"/>
  <c r="H22" i="18"/>
  <c r="J22" i="18" s="1"/>
  <c r="K22" i="18" s="1"/>
  <c r="H15" i="18" l="1"/>
  <c r="J15" i="18" s="1"/>
  <c r="K15" i="18" s="1"/>
  <c r="H16" i="18"/>
  <c r="J16" i="18" s="1"/>
  <c r="K16" i="18" s="1"/>
  <c r="H16" i="19" l="1"/>
  <c r="H17" i="18" l="1"/>
  <c r="H10" i="19" l="1"/>
  <c r="J10" i="19" s="1"/>
  <c r="K10" i="19" s="1"/>
  <c r="H9" i="19"/>
  <c r="H12" i="19" l="1"/>
  <c r="J9" i="19"/>
  <c r="K9" i="19" s="1"/>
  <c r="J12" i="19" l="1"/>
  <c r="K12" i="19" s="1"/>
  <c r="H9" i="18" l="1"/>
  <c r="J9" i="18" l="1"/>
  <c r="K9" i="18" s="1"/>
  <c r="H10" i="18"/>
  <c r="J10" i="18" s="1"/>
  <c r="K10" i="18" s="1"/>
  <c r="H12" i="18" l="1"/>
  <c r="J12" i="18" l="1"/>
  <c r="K12" i="18" s="1"/>
  <c r="H13" i="19" l="1"/>
  <c r="H14" i="18"/>
  <c r="J13" i="19" l="1"/>
  <c r="H17" i="19"/>
  <c r="J14" i="18"/>
  <c r="H18" i="18"/>
  <c r="J17" i="19" l="1"/>
  <c r="K17" i="19" s="1"/>
  <c r="J18" i="18"/>
  <c r="K18" i="18" s="1"/>
  <c r="H19" i="19" l="1"/>
  <c r="J19" i="19" l="1"/>
  <c r="K19" i="19" s="1"/>
  <c r="H20" i="19"/>
  <c r="J20" i="19" s="1"/>
  <c r="K20" i="19" s="1"/>
  <c r="H19" i="18"/>
  <c r="J19" i="18" l="1"/>
  <c r="K19" i="18" s="1"/>
  <c r="H21" i="19"/>
  <c r="H20" i="18"/>
  <c r="J20" i="18" s="1"/>
  <c r="K20" i="18" s="1"/>
  <c r="H21" i="18" l="1"/>
  <c r="H29" i="19"/>
  <c r="J21" i="19"/>
  <c r="K21" i="19" s="1"/>
  <c r="C10" i="15"/>
  <c r="H30" i="19" l="1"/>
  <c r="J30" i="19" s="1"/>
  <c r="K30" i="19" s="1"/>
  <c r="J29" i="19"/>
  <c r="K29" i="19" s="1"/>
  <c r="H31" i="19"/>
  <c r="J21" i="18"/>
  <c r="K21" i="18" s="1"/>
  <c r="H30" i="18"/>
  <c r="C27" i="4"/>
  <c r="C26" i="4"/>
  <c r="C25" i="4"/>
  <c r="C20" i="4"/>
  <c r="C19" i="4"/>
  <c r="C15" i="4"/>
  <c r="C14" i="4"/>
  <c r="C11" i="4"/>
  <c r="C10" i="4"/>
  <c r="J30" i="18" l="1"/>
  <c r="K30" i="18" s="1"/>
  <c r="H31" i="18"/>
  <c r="J31" i="18" s="1"/>
  <c r="K31" i="18" s="1"/>
  <c r="H33" i="19"/>
  <c r="J33" i="19" s="1"/>
  <c r="K33" i="19" s="1"/>
  <c r="J31" i="19"/>
  <c r="K31" i="19" s="1"/>
  <c r="D25" i="3"/>
  <c r="H32" i="18" l="1"/>
  <c r="G27" i="13"/>
  <c r="G26" i="13"/>
  <c r="G25" i="13"/>
  <c r="G24" i="13"/>
  <c r="G23" i="13"/>
  <c r="G22" i="13"/>
  <c r="G20" i="13"/>
  <c r="G19" i="13"/>
  <c r="G18" i="13"/>
  <c r="G16" i="13"/>
  <c r="G15" i="13"/>
  <c r="G14" i="13"/>
  <c r="G13" i="13"/>
  <c r="G11" i="13"/>
  <c r="G10" i="13"/>
  <c r="G9" i="13"/>
  <c r="G27" i="14"/>
  <c r="G26" i="14"/>
  <c r="G25" i="14"/>
  <c r="G24" i="14"/>
  <c r="G23" i="14"/>
  <c r="G22" i="14"/>
  <c r="G9" i="14"/>
  <c r="C27" i="14"/>
  <c r="C25" i="14"/>
  <c r="C23" i="14"/>
  <c r="C22" i="14"/>
  <c r="C20" i="14"/>
  <c r="C19" i="14"/>
  <c r="C18" i="14"/>
  <c r="C14" i="14"/>
  <c r="C13" i="14"/>
  <c r="C11" i="14"/>
  <c r="C10" i="14"/>
  <c r="G27" i="12"/>
  <c r="G26" i="12"/>
  <c r="G25" i="12"/>
  <c r="G24" i="12"/>
  <c r="G23" i="12"/>
  <c r="G22" i="12"/>
  <c r="G20" i="12"/>
  <c r="G19" i="12"/>
  <c r="G18" i="12"/>
  <c r="G16" i="12"/>
  <c r="G15" i="12"/>
  <c r="G14" i="12"/>
  <c r="G13" i="12"/>
  <c r="G11" i="12"/>
  <c r="G10" i="12"/>
  <c r="G9" i="12"/>
  <c r="G25" i="11"/>
  <c r="G24" i="11"/>
  <c r="G9" i="11"/>
  <c r="C27" i="11"/>
  <c r="C25" i="11"/>
  <c r="C23" i="11"/>
  <c r="C22" i="11"/>
  <c r="C20" i="11"/>
  <c r="C19" i="11"/>
  <c r="C18" i="11"/>
  <c r="C14" i="11"/>
  <c r="C13" i="11"/>
  <c r="C11" i="11"/>
  <c r="C10" i="11"/>
  <c r="G27" i="10"/>
  <c r="G26" i="10"/>
  <c r="G25" i="10"/>
  <c r="G24" i="10"/>
  <c r="G23" i="10"/>
  <c r="G22" i="10"/>
  <c r="G20" i="10"/>
  <c r="G19" i="10"/>
  <c r="G18" i="10"/>
  <c r="G16" i="10"/>
  <c r="G15" i="10"/>
  <c r="G14" i="10"/>
  <c r="G13" i="10"/>
  <c r="G11" i="10"/>
  <c r="G10" i="10"/>
  <c r="G9" i="10"/>
  <c r="C27" i="10"/>
  <c r="C25" i="10"/>
  <c r="C23" i="10"/>
  <c r="C22" i="10"/>
  <c r="G25" i="9"/>
  <c r="G24" i="9"/>
  <c r="G9" i="9"/>
  <c r="C27" i="9"/>
  <c r="C25" i="9"/>
  <c r="C23" i="9"/>
  <c r="C22" i="9"/>
  <c r="C20" i="9"/>
  <c r="C19" i="9"/>
  <c r="C18" i="9"/>
  <c r="C14" i="9"/>
  <c r="C13" i="9"/>
  <c r="C11" i="9"/>
  <c r="C10" i="9"/>
  <c r="G26" i="8"/>
  <c r="G25" i="8"/>
  <c r="G24" i="8"/>
  <c r="G23" i="8"/>
  <c r="G22" i="8"/>
  <c r="G20" i="8"/>
  <c r="G19" i="8"/>
  <c r="G17" i="8"/>
  <c r="G16" i="8"/>
  <c r="G15" i="8"/>
  <c r="G14" i="8"/>
  <c r="G13" i="8"/>
  <c r="G11" i="8"/>
  <c r="G10" i="8"/>
  <c r="G9" i="8"/>
  <c r="G26" i="7"/>
  <c r="G25" i="7"/>
  <c r="G24" i="7"/>
  <c r="G17" i="7"/>
  <c r="G9" i="7"/>
  <c r="C26" i="7"/>
  <c r="C25" i="7"/>
  <c r="C23" i="7"/>
  <c r="C22" i="7"/>
  <c r="C20" i="7"/>
  <c r="C19" i="7"/>
  <c r="C15" i="7"/>
  <c r="C14" i="7"/>
  <c r="C13" i="7"/>
  <c r="C11" i="7"/>
  <c r="C10" i="7"/>
  <c r="G25" i="6"/>
  <c r="G24" i="6"/>
  <c r="G17" i="6"/>
  <c r="G9" i="6"/>
  <c r="C28" i="6"/>
  <c r="C27" i="6"/>
  <c r="C26" i="6"/>
  <c r="C25" i="6"/>
  <c r="G28" i="5"/>
  <c r="G27" i="5"/>
  <c r="G26" i="5"/>
  <c r="G25" i="5"/>
  <c r="G24" i="5"/>
  <c r="G23" i="5"/>
  <c r="G22" i="5"/>
  <c r="G20" i="5"/>
  <c r="G19" i="5"/>
  <c r="G17" i="5"/>
  <c r="G16" i="5"/>
  <c r="G15" i="5"/>
  <c r="G14" i="5"/>
  <c r="G13" i="5"/>
  <c r="G11" i="5"/>
  <c r="G10" i="5"/>
  <c r="G9" i="5"/>
  <c r="C28" i="5"/>
  <c r="C27" i="5"/>
  <c r="C26" i="5"/>
  <c r="C25" i="5"/>
  <c r="C23" i="5"/>
  <c r="C22" i="5"/>
  <c r="C20" i="5"/>
  <c r="C19" i="5"/>
  <c r="J32" i="18" l="1"/>
  <c r="K32" i="18" s="1"/>
  <c r="H33" i="18"/>
  <c r="J33" i="18" s="1"/>
  <c r="K33" i="18" s="1"/>
  <c r="C15" i="5"/>
  <c r="C14" i="5"/>
  <c r="C13" i="5"/>
  <c r="C11" i="5"/>
  <c r="C10" i="5"/>
  <c r="G28" i="4"/>
  <c r="G27" i="4"/>
  <c r="G26" i="4"/>
  <c r="G24" i="4"/>
  <c r="G20" i="4"/>
  <c r="G19" i="4"/>
  <c r="G17" i="4"/>
  <c r="G16" i="4"/>
  <c r="G15" i="4"/>
  <c r="G14" i="4"/>
  <c r="G11" i="4"/>
  <c r="G10" i="4"/>
  <c r="G9" i="4"/>
  <c r="G26" i="17"/>
  <c r="H26" i="17" s="1"/>
  <c r="G24" i="17"/>
  <c r="G17" i="17"/>
  <c r="G16" i="17"/>
  <c r="G9" i="17"/>
  <c r="G28" i="3"/>
  <c r="G27" i="3"/>
  <c r="G26" i="3"/>
  <c r="G25" i="3"/>
  <c r="G24" i="3"/>
  <c r="G23" i="3"/>
  <c r="G22" i="3"/>
  <c r="G9" i="3"/>
  <c r="G10" i="3"/>
  <c r="G17" i="3"/>
  <c r="G16" i="3"/>
  <c r="G15" i="3"/>
  <c r="G14" i="3"/>
  <c r="G13" i="3"/>
  <c r="G20" i="3"/>
  <c r="G19" i="3"/>
  <c r="C28" i="3"/>
  <c r="C27" i="3"/>
  <c r="C26" i="3"/>
  <c r="C28" i="17"/>
  <c r="G28" i="17" s="1"/>
  <c r="H28" i="17" s="1"/>
  <c r="C27" i="17"/>
  <c r="D27" i="17" s="1"/>
  <c r="C26" i="17"/>
  <c r="C20" i="17"/>
  <c r="C19" i="17"/>
  <c r="D19" i="17" s="1"/>
  <c r="C15" i="17"/>
  <c r="G15" i="17" s="1"/>
  <c r="C14" i="17"/>
  <c r="G14" i="17" s="1"/>
  <c r="C11" i="17"/>
  <c r="C10" i="17"/>
  <c r="G10" i="17" s="1"/>
  <c r="C20" i="3"/>
  <c r="C19" i="3"/>
  <c r="C15" i="3"/>
  <c r="C14" i="3"/>
  <c r="C11" i="3"/>
  <c r="C10" i="3"/>
  <c r="C25" i="3"/>
  <c r="C23" i="3"/>
  <c r="C22" i="3"/>
  <c r="D26" i="17"/>
  <c r="C25" i="17"/>
  <c r="D25" i="17" s="1"/>
  <c r="D24" i="17"/>
  <c r="C23" i="17"/>
  <c r="D23" i="17" s="1"/>
  <c r="C22" i="17"/>
  <c r="D22" i="17" s="1"/>
  <c r="D20" i="17"/>
  <c r="D17" i="17"/>
  <c r="K17" i="17" s="1"/>
  <c r="D16" i="17"/>
  <c r="C13" i="17"/>
  <c r="G13" i="17" s="1"/>
  <c r="D13" i="17"/>
  <c r="D9" i="17"/>
  <c r="H34" i="18" l="1"/>
  <c r="J34" i="18" s="1"/>
  <c r="K34" i="18" s="1"/>
  <c r="G23" i="17"/>
  <c r="G25" i="17"/>
  <c r="H25" i="17" s="1"/>
  <c r="J25" i="17" s="1"/>
  <c r="K25" i="17" s="1"/>
  <c r="G27" i="17"/>
  <c r="H27" i="17" s="1"/>
  <c r="J27" i="17" s="1"/>
  <c r="K27" i="17" s="1"/>
  <c r="G19" i="17"/>
  <c r="G20" i="17"/>
  <c r="G11" i="17"/>
  <c r="H11" i="17" s="1"/>
  <c r="G22" i="17"/>
  <c r="D10" i="17"/>
  <c r="D28" i="17"/>
  <c r="J28" i="17" s="1"/>
  <c r="K28" i="17" s="1"/>
  <c r="J26" i="17"/>
  <c r="K26" i="17" s="1"/>
  <c r="D14" i="17"/>
  <c r="K14" i="17" s="1"/>
  <c r="D15" i="17"/>
  <c r="D11" i="17"/>
  <c r="K11" i="17" s="1"/>
  <c r="H13" i="17"/>
  <c r="J13" i="17" s="1"/>
  <c r="K13" i="17" s="1"/>
  <c r="J11" i="17" l="1"/>
  <c r="D12" i="17"/>
  <c r="D18" i="17" s="1"/>
  <c r="D21" i="17" l="1"/>
  <c r="D30" i="17" l="1"/>
  <c r="D31" i="17" l="1"/>
  <c r="D32" i="17" s="1"/>
  <c r="D33" i="17" l="1"/>
  <c r="D34" i="17" l="1"/>
  <c r="G16" i="15" l="1"/>
  <c r="D16" i="15"/>
  <c r="G16" i="14"/>
  <c r="D16" i="14"/>
  <c r="D15" i="14"/>
  <c r="D16" i="13"/>
  <c r="D16" i="12"/>
  <c r="G16" i="11"/>
  <c r="D16" i="11"/>
  <c r="D16" i="10"/>
  <c r="G16" i="9"/>
  <c r="D16" i="9"/>
  <c r="D17" i="8"/>
  <c r="D17" i="7"/>
  <c r="D17" i="6"/>
  <c r="D17" i="5"/>
  <c r="H16" i="10"/>
  <c r="H17" i="8"/>
  <c r="H17" i="6"/>
  <c r="H16" i="14" l="1"/>
  <c r="H17" i="5"/>
  <c r="H17" i="7"/>
  <c r="H16" i="9"/>
  <c r="H16" i="11"/>
  <c r="H16" i="13"/>
  <c r="H16" i="12"/>
  <c r="H16" i="15"/>
  <c r="H24" i="17"/>
  <c r="J24" i="17" s="1"/>
  <c r="K24" i="17" s="1"/>
  <c r="H23" i="17"/>
  <c r="J23" i="17" s="1"/>
  <c r="K23" i="17" s="1"/>
  <c r="H22" i="17"/>
  <c r="J22" i="17" s="1"/>
  <c r="K22" i="17" s="1"/>
  <c r="H15" i="17"/>
  <c r="J15" i="17" s="1"/>
  <c r="K15" i="17" s="1"/>
  <c r="H16" i="17"/>
  <c r="J16" i="17" s="1"/>
  <c r="K16" i="17" s="1"/>
  <c r="D17" i="4" l="1"/>
  <c r="K17" i="3"/>
  <c r="D17" i="3"/>
  <c r="H14" i="13" l="1"/>
  <c r="D13" i="13"/>
  <c r="K13" i="13" s="1"/>
  <c r="D11" i="13"/>
  <c r="K11" i="13" s="1"/>
  <c r="D13" i="12"/>
  <c r="K13" i="12" s="1"/>
  <c r="D11" i="12"/>
  <c r="K11" i="12" s="1"/>
  <c r="D11" i="9"/>
  <c r="K11" i="9" s="1"/>
  <c r="D13" i="9"/>
  <c r="K13" i="9" s="1"/>
  <c r="D11" i="10"/>
  <c r="K11" i="10" s="1"/>
  <c r="D14" i="8"/>
  <c r="K14" i="8" s="1"/>
  <c r="D14" i="7"/>
  <c r="K14" i="7" s="1"/>
  <c r="D14" i="6"/>
  <c r="K14" i="6" s="1"/>
  <c r="H11" i="6"/>
  <c r="H11" i="5"/>
  <c r="D11" i="5"/>
  <c r="K11" i="5" s="1"/>
  <c r="D14" i="4"/>
  <c r="K14" i="4" s="1"/>
  <c r="F11" i="4"/>
  <c r="H11" i="4" s="1"/>
  <c r="D11" i="4"/>
  <c r="K11" i="4" s="1"/>
  <c r="D14" i="3"/>
  <c r="K14" i="3" s="1"/>
  <c r="F11" i="3"/>
  <c r="B11" i="3"/>
  <c r="D11" i="3" s="1"/>
  <c r="K11" i="3" s="1"/>
  <c r="B26" i="7"/>
  <c r="D27" i="6"/>
  <c r="J35" i="2"/>
  <c r="J27" i="2"/>
  <c r="D9" i="3"/>
  <c r="D10" i="3"/>
  <c r="D15" i="3"/>
  <c r="D16" i="3"/>
  <c r="D19" i="3"/>
  <c r="D20" i="3"/>
  <c r="D26" i="3"/>
  <c r="D27" i="3"/>
  <c r="D28" i="3"/>
  <c r="D24" i="3"/>
  <c r="H24" i="3"/>
  <c r="D26" i="14"/>
  <c r="D27" i="14"/>
  <c r="D9" i="14"/>
  <c r="D10" i="14"/>
  <c r="D11" i="14"/>
  <c r="D14" i="14"/>
  <c r="D13" i="14"/>
  <c r="K13" i="14" s="1"/>
  <c r="D18" i="14"/>
  <c r="D19" i="14"/>
  <c r="D20" i="14"/>
  <c r="D22" i="14"/>
  <c r="D23" i="14"/>
  <c r="D24" i="14"/>
  <c r="D25" i="14"/>
  <c r="H14" i="14"/>
  <c r="H18" i="14"/>
  <c r="J18" i="14" s="1"/>
  <c r="K18" i="14" s="1"/>
  <c r="H22" i="14"/>
  <c r="H23" i="14"/>
  <c r="H24" i="14"/>
  <c r="H25" i="14"/>
  <c r="J17" i="2"/>
  <c r="C13" i="8"/>
  <c r="C23" i="8"/>
  <c r="C21" i="15"/>
  <c r="G21" i="15"/>
  <c r="D24" i="9"/>
  <c r="D20" i="9"/>
  <c r="D19" i="9"/>
  <c r="D18" i="9"/>
  <c r="D10" i="9"/>
  <c r="D9" i="9"/>
  <c r="H24" i="7"/>
  <c r="H25" i="7"/>
  <c r="J74" i="2"/>
  <c r="J75" i="2"/>
  <c r="J76" i="2"/>
  <c r="J77" i="2"/>
  <c r="J78" i="2"/>
  <c r="J79" i="2"/>
  <c r="J80" i="2"/>
  <c r="J81" i="2"/>
  <c r="J64" i="2"/>
  <c r="J65" i="2"/>
  <c r="J66" i="2"/>
  <c r="J67" i="2"/>
  <c r="J68" i="2"/>
  <c r="J69" i="2"/>
  <c r="J70" i="2"/>
  <c r="J71" i="2"/>
  <c r="J72" i="2"/>
  <c r="J54" i="2"/>
  <c r="J55" i="2"/>
  <c r="J56" i="2"/>
  <c r="J57" i="2"/>
  <c r="J58" i="2"/>
  <c r="J59" i="2"/>
  <c r="J60" i="2"/>
  <c r="J61" i="2"/>
  <c r="J62" i="2"/>
  <c r="J44" i="2"/>
  <c r="J45" i="2"/>
  <c r="J46" i="2"/>
  <c r="J47" i="2"/>
  <c r="J48" i="2"/>
  <c r="J49" i="2"/>
  <c r="J50" i="2"/>
  <c r="J51" i="2"/>
  <c r="J52" i="2"/>
  <c r="J36" i="2"/>
  <c r="J37" i="2"/>
  <c r="J38" i="2"/>
  <c r="J39" i="2"/>
  <c r="J40" i="2"/>
  <c r="J41" i="2"/>
  <c r="J42" i="2"/>
  <c r="J26" i="2"/>
  <c r="J28" i="2"/>
  <c r="J29" i="2"/>
  <c r="J30" i="2"/>
  <c r="J31" i="2"/>
  <c r="J32" i="2"/>
  <c r="J33" i="2"/>
  <c r="J18" i="2"/>
  <c r="J19" i="2"/>
  <c r="J20" i="2"/>
  <c r="J21" i="2"/>
  <c r="J22" i="2"/>
  <c r="J23" i="2"/>
  <c r="J24" i="2"/>
  <c r="H18" i="9"/>
  <c r="G18" i="9"/>
  <c r="C18" i="10"/>
  <c r="H18" i="10"/>
  <c r="D18" i="10"/>
  <c r="G18" i="11"/>
  <c r="C18" i="12"/>
  <c r="H18" i="12"/>
  <c r="D18" i="12"/>
  <c r="G18" i="14"/>
  <c r="H18" i="13"/>
  <c r="D18" i="13"/>
  <c r="C18" i="13"/>
  <c r="B2" i="15"/>
  <c r="C22" i="15"/>
  <c r="B2" i="14"/>
  <c r="B2" i="13"/>
  <c r="C22" i="13"/>
  <c r="C23" i="13"/>
  <c r="C22" i="12"/>
  <c r="C23" i="12"/>
  <c r="G23" i="11"/>
  <c r="C25" i="15"/>
  <c r="C26" i="15"/>
  <c r="C27" i="13"/>
  <c r="C27" i="12"/>
  <c r="G10" i="15"/>
  <c r="C11" i="15"/>
  <c r="G11" i="15"/>
  <c r="H11" i="15"/>
  <c r="D9" i="15"/>
  <c r="D10" i="15"/>
  <c r="D11" i="15"/>
  <c r="G10" i="14"/>
  <c r="G11" i="14"/>
  <c r="K11" i="14"/>
  <c r="C10" i="13"/>
  <c r="C11" i="13"/>
  <c r="D9" i="13"/>
  <c r="D10" i="13"/>
  <c r="C10" i="12"/>
  <c r="C11" i="12"/>
  <c r="D9" i="12"/>
  <c r="D10" i="12"/>
  <c r="G10" i="11"/>
  <c r="G11" i="11"/>
  <c r="D9" i="11"/>
  <c r="D10" i="11"/>
  <c r="C10" i="10"/>
  <c r="C11" i="10"/>
  <c r="D9" i="10"/>
  <c r="D10" i="10"/>
  <c r="G10" i="9"/>
  <c r="G11" i="9"/>
  <c r="D25" i="15"/>
  <c r="D26" i="15"/>
  <c r="C13" i="15"/>
  <c r="D13" i="15"/>
  <c r="K13" i="15" s="1"/>
  <c r="C14" i="15"/>
  <c r="D14" i="15"/>
  <c r="D15" i="15"/>
  <c r="C18" i="15"/>
  <c r="D18" i="15"/>
  <c r="C19" i="15"/>
  <c r="D19" i="15"/>
  <c r="D21" i="15"/>
  <c r="D22" i="15"/>
  <c r="H22" i="15"/>
  <c r="D23" i="15"/>
  <c r="H23" i="15"/>
  <c r="C24" i="15"/>
  <c r="D24" i="15"/>
  <c r="G25" i="15"/>
  <c r="H25" i="15"/>
  <c r="J25" i="15"/>
  <c r="K25" i="15"/>
  <c r="G26" i="15"/>
  <c r="H26" i="15"/>
  <c r="J26" i="15"/>
  <c r="K26" i="15"/>
  <c r="G13" i="15"/>
  <c r="G14" i="15"/>
  <c r="H14" i="15"/>
  <c r="G15" i="15"/>
  <c r="H15" i="15"/>
  <c r="G18" i="15"/>
  <c r="G19" i="15"/>
  <c r="H21" i="15"/>
  <c r="G22" i="15"/>
  <c r="G24" i="15"/>
  <c r="H24" i="15"/>
  <c r="H26" i="14"/>
  <c r="J26" i="14" s="1"/>
  <c r="K26" i="14" s="1"/>
  <c r="H27" i="14"/>
  <c r="G13" i="14"/>
  <c r="G14" i="14"/>
  <c r="G15" i="14"/>
  <c r="H15" i="14" s="1"/>
  <c r="J15" i="14" s="1"/>
  <c r="G19" i="14"/>
  <c r="G20" i="14"/>
  <c r="D26" i="13"/>
  <c r="D27" i="13"/>
  <c r="C13" i="13"/>
  <c r="C14" i="13"/>
  <c r="D14" i="13"/>
  <c r="D15" i="13"/>
  <c r="C19" i="13"/>
  <c r="D19" i="13"/>
  <c r="C20" i="13"/>
  <c r="D20" i="13"/>
  <c r="D22" i="13"/>
  <c r="H22" i="13"/>
  <c r="D23" i="13"/>
  <c r="D24" i="13"/>
  <c r="H24" i="13"/>
  <c r="C25" i="13"/>
  <c r="D25" i="13"/>
  <c r="H26" i="13"/>
  <c r="J26" i="13"/>
  <c r="K26" i="13"/>
  <c r="H27" i="13"/>
  <c r="J27" i="13" s="1"/>
  <c r="K27" i="13" s="1"/>
  <c r="H15" i="13"/>
  <c r="H23" i="13"/>
  <c r="H25" i="13"/>
  <c r="D26" i="12"/>
  <c r="D27" i="12"/>
  <c r="C13" i="12"/>
  <c r="C14" i="12"/>
  <c r="D14" i="12"/>
  <c r="H14" i="12"/>
  <c r="D15" i="12"/>
  <c r="K15" i="12" s="1"/>
  <c r="C19" i="12"/>
  <c r="D19" i="12"/>
  <c r="C20" i="12"/>
  <c r="D20" i="12"/>
  <c r="D22" i="12"/>
  <c r="D23" i="12"/>
  <c r="D24" i="12"/>
  <c r="C25" i="12"/>
  <c r="D25" i="12"/>
  <c r="H25" i="12"/>
  <c r="H26" i="12"/>
  <c r="J26" i="12" s="1"/>
  <c r="K26" i="12" s="1"/>
  <c r="H27" i="12"/>
  <c r="H15" i="12"/>
  <c r="H22" i="12"/>
  <c r="H23" i="12"/>
  <c r="H24" i="12"/>
  <c r="D26" i="11"/>
  <c r="G14" i="11"/>
  <c r="D15" i="11"/>
  <c r="K15" i="11" s="1"/>
  <c r="G19" i="11"/>
  <c r="D20" i="11"/>
  <c r="D24" i="11"/>
  <c r="G26" i="11"/>
  <c r="H26" i="11"/>
  <c r="J26" i="11" s="1"/>
  <c r="K26" i="11" s="1"/>
  <c r="G13" i="11"/>
  <c r="G15" i="11"/>
  <c r="H15" i="11"/>
  <c r="G20" i="11"/>
  <c r="H24" i="11"/>
  <c r="H25" i="11"/>
  <c r="D26" i="10"/>
  <c r="D27" i="10"/>
  <c r="C13" i="10"/>
  <c r="D13" i="10"/>
  <c r="K13" i="10" s="1"/>
  <c r="C14" i="10"/>
  <c r="D14" i="10"/>
  <c r="H14" i="10"/>
  <c r="D15" i="10"/>
  <c r="C19" i="10"/>
  <c r="D19" i="10"/>
  <c r="C20" i="10"/>
  <c r="D20" i="10"/>
  <c r="D22" i="10"/>
  <c r="D23" i="10"/>
  <c r="H23" i="10"/>
  <c r="D24" i="10"/>
  <c r="D25" i="10"/>
  <c r="H25" i="10"/>
  <c r="H15" i="10"/>
  <c r="J15" i="10" s="1"/>
  <c r="H26" i="10"/>
  <c r="H27" i="10"/>
  <c r="J27" i="10" s="1"/>
  <c r="K27" i="10" s="1"/>
  <c r="H22" i="10"/>
  <c r="H24" i="10"/>
  <c r="D26" i="9"/>
  <c r="D27" i="9"/>
  <c r="D14" i="9"/>
  <c r="H14" i="9"/>
  <c r="D15" i="9"/>
  <c r="D22" i="9"/>
  <c r="D23" i="9"/>
  <c r="H23" i="9"/>
  <c r="H24" i="9"/>
  <c r="D25" i="9"/>
  <c r="H25" i="9"/>
  <c r="J25" i="9" s="1"/>
  <c r="K25" i="9" s="1"/>
  <c r="G13" i="9"/>
  <c r="G14" i="9"/>
  <c r="G15" i="9"/>
  <c r="H15" i="9"/>
  <c r="G19" i="9"/>
  <c r="G20" i="9"/>
  <c r="G26" i="9"/>
  <c r="H26" i="9"/>
  <c r="J26" i="9"/>
  <c r="K26" i="9"/>
  <c r="G27" i="9"/>
  <c r="H27" i="9"/>
  <c r="G22" i="9"/>
  <c r="H22" i="9"/>
  <c r="G23" i="9"/>
  <c r="D13" i="8"/>
  <c r="D26" i="8"/>
  <c r="H13" i="8"/>
  <c r="J13" i="8" s="1"/>
  <c r="K13" i="8" s="1"/>
  <c r="H26" i="8"/>
  <c r="J26" i="8" s="1"/>
  <c r="K26" i="8" s="1"/>
  <c r="D13" i="7"/>
  <c r="D26" i="7"/>
  <c r="D28" i="6"/>
  <c r="H27" i="6"/>
  <c r="H28" i="6"/>
  <c r="J28" i="6" s="1"/>
  <c r="D13" i="5"/>
  <c r="D26" i="5"/>
  <c r="K26" i="5" s="1"/>
  <c r="D27" i="5"/>
  <c r="D28" i="5"/>
  <c r="D26" i="4"/>
  <c r="D27" i="4"/>
  <c r="D28" i="4"/>
  <c r="F13" i="4"/>
  <c r="H26" i="4"/>
  <c r="H27" i="4"/>
  <c r="H28" i="4"/>
  <c r="K31" i="15"/>
  <c r="J31" i="15"/>
  <c r="K15" i="15"/>
  <c r="J15" i="15"/>
  <c r="K11" i="15"/>
  <c r="J11" i="15"/>
  <c r="K32" i="14"/>
  <c r="J32" i="14"/>
  <c r="J27" i="14"/>
  <c r="K27" i="14" s="1"/>
  <c r="K15" i="14"/>
  <c r="K32" i="13"/>
  <c r="J32" i="13"/>
  <c r="K15" i="13"/>
  <c r="J15" i="13"/>
  <c r="K32" i="12"/>
  <c r="J32" i="12"/>
  <c r="J27" i="12"/>
  <c r="K27" i="12" s="1"/>
  <c r="K32" i="11"/>
  <c r="J32" i="11"/>
  <c r="K32" i="10"/>
  <c r="J32" i="10"/>
  <c r="K15" i="10"/>
  <c r="K32" i="9"/>
  <c r="J32" i="9"/>
  <c r="J27" i="9"/>
  <c r="K27" i="9"/>
  <c r="K15" i="9"/>
  <c r="J15" i="9"/>
  <c r="D9" i="8"/>
  <c r="C10" i="8"/>
  <c r="D10" i="8"/>
  <c r="C11" i="8"/>
  <c r="D11" i="8"/>
  <c r="C14" i="8"/>
  <c r="C15" i="8"/>
  <c r="D15" i="8"/>
  <c r="H15" i="8"/>
  <c r="D16" i="8"/>
  <c r="K16" i="8" s="1"/>
  <c r="C19" i="8"/>
  <c r="D19" i="8"/>
  <c r="C20" i="8"/>
  <c r="D20" i="8"/>
  <c r="C22" i="8"/>
  <c r="D22" i="8"/>
  <c r="D23" i="8"/>
  <c r="D24" i="8"/>
  <c r="H24" i="8"/>
  <c r="J24" i="8" s="1"/>
  <c r="K24" i="8" s="1"/>
  <c r="C25" i="8"/>
  <c r="D25" i="8"/>
  <c r="C26" i="8"/>
  <c r="H11" i="8"/>
  <c r="H16" i="8"/>
  <c r="H22" i="8"/>
  <c r="H23" i="8"/>
  <c r="H25" i="8"/>
  <c r="K11" i="8"/>
  <c r="D9" i="7"/>
  <c r="D10" i="7"/>
  <c r="D11" i="7"/>
  <c r="D15" i="7"/>
  <c r="D16" i="7"/>
  <c r="D19" i="7"/>
  <c r="D20" i="7"/>
  <c r="D22" i="7"/>
  <c r="H22" i="7"/>
  <c r="D23" i="7"/>
  <c r="H23" i="7"/>
  <c r="D24" i="7"/>
  <c r="D25" i="7"/>
  <c r="G10" i="7"/>
  <c r="G11" i="7"/>
  <c r="H11" i="7"/>
  <c r="G13" i="7"/>
  <c r="G14" i="7"/>
  <c r="G15" i="7"/>
  <c r="H15" i="7"/>
  <c r="G16" i="7"/>
  <c r="H16" i="7"/>
  <c r="G19" i="7"/>
  <c r="G20" i="7"/>
  <c r="G22" i="7"/>
  <c r="G23" i="7"/>
  <c r="K16" i="7"/>
  <c r="J16" i="7"/>
  <c r="K11" i="7"/>
  <c r="J11" i="7"/>
  <c r="D9" i="6"/>
  <c r="C10" i="6"/>
  <c r="D10" i="6"/>
  <c r="C11" i="6"/>
  <c r="D11" i="6"/>
  <c r="K11" i="6" s="1"/>
  <c r="C13" i="6"/>
  <c r="C22" i="6" s="1"/>
  <c r="C14" i="6"/>
  <c r="C15" i="6"/>
  <c r="D15" i="6"/>
  <c r="D16" i="6"/>
  <c r="H16" i="6"/>
  <c r="C19" i="6"/>
  <c r="D19" i="6"/>
  <c r="C20" i="6"/>
  <c r="D20" i="6"/>
  <c r="D24" i="6"/>
  <c r="D25" i="6"/>
  <c r="H25" i="6"/>
  <c r="G10" i="6"/>
  <c r="G11" i="6"/>
  <c r="G14" i="6"/>
  <c r="G15" i="6"/>
  <c r="H15" i="6"/>
  <c r="G16" i="6"/>
  <c r="G19" i="6"/>
  <c r="G20" i="6"/>
  <c r="H24" i="6"/>
  <c r="G26" i="6"/>
  <c r="H26" i="6" s="1"/>
  <c r="G27" i="6"/>
  <c r="G28" i="6"/>
  <c r="D9" i="5"/>
  <c r="D10" i="5"/>
  <c r="D14" i="5"/>
  <c r="K14" i="5" s="1"/>
  <c r="D15" i="5"/>
  <c r="H15" i="5"/>
  <c r="D16" i="5"/>
  <c r="D19" i="5"/>
  <c r="D20" i="5"/>
  <c r="D23" i="5"/>
  <c r="D24" i="5"/>
  <c r="D25" i="5"/>
  <c r="H13" i="5"/>
  <c r="H16" i="5"/>
  <c r="H22" i="5"/>
  <c r="H24" i="5"/>
  <c r="H25" i="5"/>
  <c r="H26" i="5"/>
  <c r="J26" i="5" s="1"/>
  <c r="H27" i="5"/>
  <c r="J27" i="5" s="1"/>
  <c r="K27" i="5" s="1"/>
  <c r="H28" i="5"/>
  <c r="J28" i="5" s="1"/>
  <c r="K28" i="5" s="1"/>
  <c r="D9" i="4"/>
  <c r="D10" i="4"/>
  <c r="C13" i="4"/>
  <c r="G13" i="4" s="1"/>
  <c r="D15" i="4"/>
  <c r="H15" i="4"/>
  <c r="D16" i="4"/>
  <c r="D19" i="4"/>
  <c r="D20" i="4"/>
  <c r="C22" i="4"/>
  <c r="G22" i="4" s="1"/>
  <c r="D24" i="4"/>
  <c r="G25" i="4"/>
  <c r="H25" i="4" s="1"/>
  <c r="D25" i="4"/>
  <c r="H16" i="4"/>
  <c r="H24" i="4"/>
  <c r="C13" i="3"/>
  <c r="H13" i="3" s="1"/>
  <c r="D23" i="3"/>
  <c r="G11" i="3"/>
  <c r="H16" i="3"/>
  <c r="H26" i="3"/>
  <c r="J26" i="3" s="1"/>
  <c r="H27" i="3"/>
  <c r="H28" i="3"/>
  <c r="L85" i="2"/>
  <c r="M85" i="2"/>
  <c r="L84" i="2"/>
  <c r="M84" i="2"/>
  <c r="L83" i="2"/>
  <c r="M83" i="2"/>
  <c r="I81" i="2"/>
  <c r="L81" i="2" s="1"/>
  <c r="M81" i="2" s="1"/>
  <c r="H81" i="2"/>
  <c r="I80" i="2"/>
  <c r="K80" i="2"/>
  <c r="H80" i="2"/>
  <c r="I79" i="2"/>
  <c r="K79" i="2"/>
  <c r="H79" i="2"/>
  <c r="K78" i="2"/>
  <c r="H78" i="2"/>
  <c r="K77" i="2"/>
  <c r="H77" i="2"/>
  <c r="K75" i="2"/>
  <c r="K76" i="2"/>
  <c r="H75" i="2"/>
  <c r="H76" i="2" s="1"/>
  <c r="K74" i="2"/>
  <c r="H74" i="2"/>
  <c r="I72" i="2"/>
  <c r="L72" i="2" s="1"/>
  <c r="M72" i="2" s="1"/>
  <c r="K72" i="2"/>
  <c r="H72" i="2"/>
  <c r="I71" i="2"/>
  <c r="L71" i="2" s="1"/>
  <c r="M71" i="2" s="1"/>
  <c r="K71" i="2"/>
  <c r="H71" i="2"/>
  <c r="I70" i="2"/>
  <c r="K70" i="2"/>
  <c r="H70" i="2"/>
  <c r="K69" i="2"/>
  <c r="H69" i="2"/>
  <c r="K68" i="2"/>
  <c r="H68" i="2"/>
  <c r="K65" i="2"/>
  <c r="K66" i="2"/>
  <c r="H65" i="2"/>
  <c r="H66" i="2" s="1"/>
  <c r="K64" i="2"/>
  <c r="H64" i="2"/>
  <c r="I62" i="2"/>
  <c r="L62" i="2" s="1"/>
  <c r="M62" i="2" s="1"/>
  <c r="K62" i="2"/>
  <c r="H62" i="2"/>
  <c r="I61" i="2"/>
  <c r="L61" i="2" s="1"/>
  <c r="M61" i="2" s="1"/>
  <c r="K61" i="2"/>
  <c r="H61" i="2"/>
  <c r="I60" i="2"/>
  <c r="L60" i="2" s="1"/>
  <c r="M60" i="2" s="1"/>
  <c r="K60" i="2"/>
  <c r="H60" i="2"/>
  <c r="K59" i="2"/>
  <c r="H59" i="2"/>
  <c r="K58" i="2"/>
  <c r="H58" i="2"/>
  <c r="K55" i="2"/>
  <c r="K56" i="2"/>
  <c r="H55" i="2"/>
  <c r="H56" i="2"/>
  <c r="K54" i="2"/>
  <c r="H54" i="2"/>
  <c r="I52" i="2"/>
  <c r="K52" i="2"/>
  <c r="H52" i="2"/>
  <c r="I51" i="2"/>
  <c r="L51" i="2" s="1"/>
  <c r="M51" i="2" s="1"/>
  <c r="K51" i="2"/>
  <c r="H51" i="2"/>
  <c r="I50" i="2"/>
  <c r="L50" i="2" s="1"/>
  <c r="M50" i="2" s="1"/>
  <c r="K50" i="2"/>
  <c r="H50" i="2"/>
  <c r="K49" i="2"/>
  <c r="H49" i="2"/>
  <c r="K48" i="2"/>
  <c r="H48" i="2"/>
  <c r="K45" i="2"/>
  <c r="K46" i="2" s="1"/>
  <c r="H45" i="2"/>
  <c r="H46" i="2"/>
  <c r="K44" i="2"/>
  <c r="H44" i="2"/>
  <c r="I42" i="2"/>
  <c r="L42" i="2" s="1"/>
  <c r="M42" i="2" s="1"/>
  <c r="K42" i="2"/>
  <c r="H42" i="2"/>
  <c r="I41" i="2"/>
  <c r="L41" i="2" s="1"/>
  <c r="M41" i="2" s="1"/>
  <c r="K41" i="2"/>
  <c r="H41" i="2"/>
  <c r="I40" i="2"/>
  <c r="L40" i="2" s="1"/>
  <c r="M40" i="2" s="1"/>
  <c r="K40" i="2"/>
  <c r="H40" i="2"/>
  <c r="K39" i="2"/>
  <c r="H39" i="2"/>
  <c r="K38" i="2"/>
  <c r="H38" i="2"/>
  <c r="K36" i="2"/>
  <c r="K37" i="2" s="1"/>
  <c r="H36" i="2"/>
  <c r="H37" i="2"/>
  <c r="K35" i="2"/>
  <c r="H35" i="2"/>
  <c r="I33" i="2"/>
  <c r="L33" i="2" s="1"/>
  <c r="M33" i="2" s="1"/>
  <c r="K33" i="2"/>
  <c r="H33" i="2"/>
  <c r="I32" i="2"/>
  <c r="K32" i="2"/>
  <c r="H32" i="2"/>
  <c r="I31" i="2"/>
  <c r="L31" i="2" s="1"/>
  <c r="M31" i="2" s="1"/>
  <c r="K31" i="2"/>
  <c r="H31" i="2"/>
  <c r="K30" i="2"/>
  <c r="H30" i="2"/>
  <c r="K29" i="2"/>
  <c r="H29" i="2"/>
  <c r="K27" i="2"/>
  <c r="K28" i="2"/>
  <c r="H27" i="2"/>
  <c r="H28" i="2" s="1"/>
  <c r="K26" i="2"/>
  <c r="H26" i="2"/>
  <c r="I24" i="2"/>
  <c r="L24" i="2" s="1"/>
  <c r="M24" i="2" s="1"/>
  <c r="K24" i="2"/>
  <c r="H24" i="2"/>
  <c r="I23" i="2"/>
  <c r="K23" i="2"/>
  <c r="H23" i="2"/>
  <c r="I22" i="2"/>
  <c r="K22" i="2"/>
  <c r="H22" i="2"/>
  <c r="K21" i="2"/>
  <c r="H21" i="2"/>
  <c r="K20" i="2"/>
  <c r="H20" i="2"/>
  <c r="K18" i="2"/>
  <c r="K19" i="2" s="1"/>
  <c r="H18" i="2"/>
  <c r="H19" i="2"/>
  <c r="K17" i="2"/>
  <c r="H17" i="2"/>
  <c r="J11" i="2"/>
  <c r="I11" i="2"/>
  <c r="V117" i="1"/>
  <c r="V98" i="1"/>
  <c r="V79" i="1"/>
  <c r="W24" i="1"/>
  <c r="U24" i="1"/>
  <c r="J15" i="12" l="1"/>
  <c r="J26" i="10"/>
  <c r="K26" i="10" s="1"/>
  <c r="J22" i="8"/>
  <c r="K22" i="8" s="1"/>
  <c r="J16" i="8"/>
  <c r="J11" i="8"/>
  <c r="J28" i="4"/>
  <c r="K28" i="4" s="1"/>
  <c r="C23" i="4"/>
  <c r="G23" i="4" s="1"/>
  <c r="J25" i="4"/>
  <c r="H23" i="4"/>
  <c r="H22" i="4"/>
  <c r="H13" i="4"/>
  <c r="D22" i="4"/>
  <c r="D13" i="4"/>
  <c r="J13" i="4" s="1"/>
  <c r="K13" i="4" s="1"/>
  <c r="D23" i="4"/>
  <c r="K28" i="6"/>
  <c r="D22" i="6"/>
  <c r="G22" i="6"/>
  <c r="C23" i="6"/>
  <c r="G23" i="6" s="1"/>
  <c r="G13" i="6"/>
  <c r="H22" i="6"/>
  <c r="H23" i="6"/>
  <c r="H13" i="6"/>
  <c r="H23" i="5"/>
  <c r="J23" i="5" s="1"/>
  <c r="K23" i="5" s="1"/>
  <c r="D22" i="5"/>
  <c r="J27" i="4"/>
  <c r="K27" i="4" s="1"/>
  <c r="H15" i="3"/>
  <c r="J15" i="3" s="1"/>
  <c r="K15" i="3" s="1"/>
  <c r="H11" i="3"/>
  <c r="J26" i="4"/>
  <c r="K26" i="4" s="1"/>
  <c r="J28" i="3"/>
  <c r="H22" i="3"/>
  <c r="D22" i="3"/>
  <c r="G22" i="11"/>
  <c r="J15" i="11"/>
  <c r="D23" i="11"/>
  <c r="H14" i="11"/>
  <c r="H22" i="11"/>
  <c r="D14" i="11"/>
  <c r="D22" i="11"/>
  <c r="D25" i="11"/>
  <c r="J25" i="11" s="1"/>
  <c r="K25" i="11" s="1"/>
  <c r="D18" i="11"/>
  <c r="D11" i="11"/>
  <c r="K11" i="11" s="1"/>
  <c r="H23" i="11"/>
  <c r="J23" i="11" s="1"/>
  <c r="K23" i="11" s="1"/>
  <c r="D19" i="11"/>
  <c r="H18" i="11"/>
  <c r="D13" i="11"/>
  <c r="K13" i="11" s="1"/>
  <c r="J24" i="7"/>
  <c r="K24" i="7" s="1"/>
  <c r="L52" i="2"/>
  <c r="M52" i="2" s="1"/>
  <c r="J14" i="14"/>
  <c r="K14" i="14" s="1"/>
  <c r="N50" i="2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J24" i="15"/>
  <c r="K24" i="15" s="1"/>
  <c r="J18" i="9"/>
  <c r="K18" i="9" s="1"/>
  <c r="J25" i="14"/>
  <c r="K25" i="14" s="1"/>
  <c r="J18" i="10"/>
  <c r="K18" i="10" s="1"/>
  <c r="J25" i="13"/>
  <c r="K25" i="13" s="1"/>
  <c r="J24" i="12"/>
  <c r="K24" i="12" s="1"/>
  <c r="L23" i="2"/>
  <c r="M23" i="2" s="1"/>
  <c r="L70" i="2"/>
  <c r="M70" i="2" s="1"/>
  <c r="L79" i="2"/>
  <c r="M79" i="2" s="1"/>
  <c r="J22" i="15"/>
  <c r="K22" i="15" s="1"/>
  <c r="J14" i="13"/>
  <c r="K14" i="13" s="1"/>
  <c r="L80" i="2"/>
  <c r="M80" i="2" s="1"/>
  <c r="J24" i="11"/>
  <c r="K24" i="11" s="1"/>
  <c r="D13" i="6"/>
  <c r="J15" i="6"/>
  <c r="K15" i="6" s="1"/>
  <c r="J24" i="6"/>
  <c r="K24" i="6" s="1"/>
  <c r="J27" i="6"/>
  <c r="K27" i="6" s="1"/>
  <c r="J13" i="6"/>
  <c r="K13" i="6" s="1"/>
  <c r="D26" i="6"/>
  <c r="D13" i="3"/>
  <c r="J13" i="3" s="1"/>
  <c r="K13" i="3" s="1"/>
  <c r="H25" i="3"/>
  <c r="H23" i="3"/>
  <c r="J23" i="3" s="1"/>
  <c r="K23" i="3" s="1"/>
  <c r="J13" i="5"/>
  <c r="K13" i="5" s="1"/>
  <c r="J22" i="10"/>
  <c r="K22" i="10" s="1"/>
  <c r="J25" i="12"/>
  <c r="K25" i="12" s="1"/>
  <c r="J25" i="5"/>
  <c r="K25" i="5" s="1"/>
  <c r="J15" i="7"/>
  <c r="K15" i="7" s="1"/>
  <c r="J22" i="7"/>
  <c r="K22" i="7" s="1"/>
  <c r="J23" i="10"/>
  <c r="K23" i="10" s="1"/>
  <c r="J23" i="12"/>
  <c r="K23" i="12" s="1"/>
  <c r="J14" i="12"/>
  <c r="K14" i="12" s="1"/>
  <c r="J21" i="15"/>
  <c r="K21" i="15" s="1"/>
  <c r="J14" i="15"/>
  <c r="K14" i="15" s="1"/>
  <c r="J22" i="14"/>
  <c r="K22" i="14" s="1"/>
  <c r="N51" i="2"/>
  <c r="O51" i="2" s="1"/>
  <c r="P51" i="2" s="1"/>
  <c r="Q51" i="2" s="1"/>
  <c r="R51" i="2" s="1"/>
  <c r="S51" i="2" s="1"/>
  <c r="T51" i="2" s="1"/>
  <c r="U51" i="2" s="1"/>
  <c r="V51" i="2" s="1"/>
  <c r="W51" i="2" s="1"/>
  <c r="X51" i="2" s="1"/>
  <c r="Y51" i="2" s="1"/>
  <c r="Z51" i="2" s="1"/>
  <c r="AA51" i="2" s="1"/>
  <c r="AB51" i="2" s="1"/>
  <c r="J15" i="5"/>
  <c r="K15" i="5" s="1"/>
  <c r="J22" i="9"/>
  <c r="K22" i="9" s="1"/>
  <c r="J22" i="13"/>
  <c r="K22" i="13" s="1"/>
  <c r="J24" i="5"/>
  <c r="K24" i="5" s="1"/>
  <c r="J24" i="9"/>
  <c r="K24" i="9" s="1"/>
  <c r="J25" i="10"/>
  <c r="K25" i="10" s="1"/>
  <c r="J22" i="12"/>
  <c r="K22" i="12" s="1"/>
  <c r="L22" i="2"/>
  <c r="M22" i="2" s="1"/>
  <c r="J25" i="6"/>
  <c r="K25" i="6" s="1"/>
  <c r="J23" i="13"/>
  <c r="K23" i="13" s="1"/>
  <c r="J23" i="15"/>
  <c r="K23" i="15" s="1"/>
  <c r="J18" i="12"/>
  <c r="K18" i="12" s="1"/>
  <c r="J24" i="14"/>
  <c r="K24" i="14" s="1"/>
  <c r="J24" i="3"/>
  <c r="K24" i="3" s="1"/>
  <c r="J23" i="7"/>
  <c r="K23" i="7" s="1"/>
  <c r="J23" i="8"/>
  <c r="K23" i="8" s="1"/>
  <c r="J15" i="8"/>
  <c r="K15" i="8" s="1"/>
  <c r="J23" i="9"/>
  <c r="K23" i="9" s="1"/>
  <c r="J14" i="9"/>
  <c r="K14" i="9" s="1"/>
  <c r="J24" i="10"/>
  <c r="K24" i="10" s="1"/>
  <c r="J14" i="10"/>
  <c r="K14" i="10" s="1"/>
  <c r="J24" i="13"/>
  <c r="K24" i="13" s="1"/>
  <c r="J18" i="13"/>
  <c r="K18" i="13" s="1"/>
  <c r="J23" i="14"/>
  <c r="K23" i="14" s="1"/>
  <c r="D12" i="15"/>
  <c r="D12" i="13"/>
  <c r="D12" i="14"/>
  <c r="D12" i="8"/>
  <c r="D12" i="7"/>
  <c r="J25" i="7"/>
  <c r="K25" i="7" s="1"/>
  <c r="J25" i="8"/>
  <c r="K25" i="8" s="1"/>
  <c r="K25" i="4"/>
  <c r="J15" i="4"/>
  <c r="K15" i="4" s="1"/>
  <c r="J24" i="4"/>
  <c r="K24" i="4" s="1"/>
  <c r="K28" i="3"/>
  <c r="J27" i="3"/>
  <c r="K27" i="3" s="1"/>
  <c r="K26" i="3"/>
  <c r="J11" i="3"/>
  <c r="D12" i="12"/>
  <c r="D12" i="10"/>
  <c r="D12" i="9"/>
  <c r="L32" i="2"/>
  <c r="M32" i="2" s="1"/>
  <c r="J16" i="6"/>
  <c r="K16" i="6" s="1"/>
  <c r="J22" i="5"/>
  <c r="K22" i="5" s="1"/>
  <c r="D12" i="6"/>
  <c r="D18" i="6" s="1"/>
  <c r="J11" i="5"/>
  <c r="D12" i="5"/>
  <c r="J11" i="6"/>
  <c r="J16" i="5"/>
  <c r="K16" i="5" s="1"/>
  <c r="J11" i="4"/>
  <c r="D12" i="3"/>
  <c r="D12" i="4"/>
  <c r="J16" i="3"/>
  <c r="K16" i="3" s="1"/>
  <c r="J16" i="4"/>
  <c r="K16" i="4" s="1"/>
  <c r="D17" i="15" l="1"/>
  <c r="D20" i="15" s="1"/>
  <c r="D28" i="15" s="1"/>
  <c r="D29" i="15" s="1"/>
  <c r="D30" i="15" s="1"/>
  <c r="D32" i="15" s="1"/>
  <c r="D17" i="14"/>
  <c r="D21" i="14" s="1"/>
  <c r="D29" i="14" s="1"/>
  <c r="D30" i="14" s="1"/>
  <c r="D31" i="14" s="1"/>
  <c r="D33" i="14" s="1"/>
  <c r="D17" i="13"/>
  <c r="D21" i="13" s="1"/>
  <c r="D29" i="13" s="1"/>
  <c r="D30" i="13" s="1"/>
  <c r="D31" i="13" s="1"/>
  <c r="D33" i="13" s="1"/>
  <c r="D17" i="12"/>
  <c r="D21" i="12" s="1"/>
  <c r="D29" i="12" s="1"/>
  <c r="D30" i="12" s="1"/>
  <c r="D31" i="12" s="1"/>
  <c r="D33" i="12" s="1"/>
  <c r="D17" i="10"/>
  <c r="D21" i="10" s="1"/>
  <c r="D29" i="10" s="1"/>
  <c r="D30" i="10" s="1"/>
  <c r="D31" i="10" s="1"/>
  <c r="D33" i="10" s="1"/>
  <c r="D18" i="8"/>
  <c r="D21" i="8" s="1"/>
  <c r="D28" i="8" s="1"/>
  <c r="D29" i="8" s="1"/>
  <c r="D30" i="8" s="1"/>
  <c r="D31" i="8" s="1"/>
  <c r="D32" i="8" s="1"/>
  <c r="D18" i="7"/>
  <c r="D21" i="7" s="1"/>
  <c r="D28" i="7" s="1"/>
  <c r="D29" i="7" s="1"/>
  <c r="D30" i="7" s="1"/>
  <c r="J22" i="6"/>
  <c r="K22" i="6" s="1"/>
  <c r="J23" i="4"/>
  <c r="K23" i="4" s="1"/>
  <c r="J22" i="4"/>
  <c r="K22" i="4" s="1"/>
  <c r="D18" i="4"/>
  <c r="D21" i="4" s="1"/>
  <c r="D30" i="4" s="1"/>
  <c r="D31" i="4" s="1"/>
  <c r="D32" i="4" s="1"/>
  <c r="D17" i="9"/>
  <c r="D21" i="9" s="1"/>
  <c r="D29" i="9" s="1"/>
  <c r="D23" i="6"/>
  <c r="J23" i="6"/>
  <c r="K23" i="6" s="1"/>
  <c r="J25" i="3"/>
  <c r="K25" i="3" s="1"/>
  <c r="D18" i="3"/>
  <c r="D21" i="3" s="1"/>
  <c r="D30" i="3" s="1"/>
  <c r="D31" i="3" s="1"/>
  <c r="D32" i="3" s="1"/>
  <c r="D33" i="3" s="1"/>
  <c r="J22" i="3"/>
  <c r="K22" i="3" s="1"/>
  <c r="J14" i="11"/>
  <c r="K14" i="11" s="1"/>
  <c r="J22" i="11"/>
  <c r="K22" i="11" s="1"/>
  <c r="J18" i="11"/>
  <c r="K18" i="11" s="1"/>
  <c r="D27" i="11"/>
  <c r="G27" i="11"/>
  <c r="H27" i="11" s="1"/>
  <c r="J27" i="11" s="1"/>
  <c r="D12" i="11"/>
  <c r="D18" i="5"/>
  <c r="D21" i="5" s="1"/>
  <c r="D30" i="5" s="1"/>
  <c r="D31" i="5" s="1"/>
  <c r="D32" i="5" s="1"/>
  <c r="D33" i="5" s="1"/>
  <c r="D34" i="5" s="1"/>
  <c r="D21" i="6"/>
  <c r="J26" i="6"/>
  <c r="K26" i="6" s="1"/>
  <c r="D17" i="11" l="1"/>
  <c r="D21" i="11" s="1"/>
  <c r="D29" i="11" s="1"/>
  <c r="D30" i="11" s="1"/>
  <c r="D31" i="11" s="1"/>
  <c r="D33" i="11" s="1"/>
  <c r="D30" i="6"/>
  <c r="D31" i="6" s="1"/>
  <c r="D32" i="6" s="1"/>
  <c r="D33" i="6" s="1"/>
  <c r="D34" i="6" s="1"/>
  <c r="D30" i="9"/>
  <c r="D31" i="9" s="1"/>
  <c r="D33" i="9" s="1"/>
  <c r="K27" i="11"/>
  <c r="D31" i="7"/>
  <c r="D32" i="7" s="1"/>
  <c r="D34" i="3"/>
  <c r="D33" i="4"/>
  <c r="D34" i="4" s="1"/>
  <c r="H11" i="9" l="1"/>
  <c r="J11" i="9" s="1"/>
  <c r="H11" i="10"/>
  <c r="J11" i="10" s="1"/>
  <c r="H11" i="12"/>
  <c r="J11" i="12" s="1"/>
  <c r="H11" i="11"/>
  <c r="J11" i="11" s="1"/>
  <c r="H11" i="14"/>
  <c r="J11" i="14" s="1"/>
  <c r="H11" i="13"/>
  <c r="J11" i="13" s="1"/>
  <c r="H20" i="17" l="1"/>
  <c r="J20" i="17" s="1"/>
  <c r="K20" i="17" s="1"/>
  <c r="H19" i="17"/>
  <c r="J19" i="17" s="1"/>
  <c r="K19" i="17" s="1"/>
  <c r="H17" i="17"/>
  <c r="J17" i="17" s="1"/>
  <c r="H17" i="3" l="1"/>
  <c r="J17" i="3" s="1"/>
  <c r="H19" i="14"/>
  <c r="J19" i="14" s="1"/>
  <c r="K19" i="14" s="1"/>
  <c r="I68" i="2"/>
  <c r="L68" i="2" s="1"/>
  <c r="M68" i="2" s="1"/>
  <c r="H19" i="13"/>
  <c r="J19" i="13" s="1"/>
  <c r="K19" i="13" s="1"/>
  <c r="H17" i="4"/>
  <c r="H20" i="10"/>
  <c r="J20" i="10" s="1"/>
  <c r="K20" i="10" s="1"/>
  <c r="I49" i="2"/>
  <c r="L49" i="2" s="1"/>
  <c r="M49" i="2" s="1"/>
  <c r="N49" i="2" s="1"/>
  <c r="O49" i="2" s="1"/>
  <c r="P49" i="2" s="1"/>
  <c r="Q49" i="2" s="1"/>
  <c r="R49" i="2" s="1"/>
  <c r="S49" i="2" s="1"/>
  <c r="T49" i="2" s="1"/>
  <c r="U49" i="2" s="1"/>
  <c r="V49" i="2" s="1"/>
  <c r="W49" i="2" s="1"/>
  <c r="X49" i="2" s="1"/>
  <c r="Y49" i="2" s="1"/>
  <c r="Z49" i="2" s="1"/>
  <c r="AA49" i="2" s="1"/>
  <c r="AB49" i="2" s="1"/>
  <c r="H20" i="9"/>
  <c r="J20" i="9" s="1"/>
  <c r="K20" i="9" s="1"/>
  <c r="H19" i="7"/>
  <c r="J19" i="7" s="1"/>
  <c r="K19" i="7" s="1"/>
  <c r="H19" i="8"/>
  <c r="J19" i="8" s="1"/>
  <c r="K19" i="8" s="1"/>
  <c r="I38" i="2"/>
  <c r="L38" i="2" s="1"/>
  <c r="M38" i="2" s="1"/>
  <c r="I39" i="2"/>
  <c r="L39" i="2" s="1"/>
  <c r="M39" i="2" s="1"/>
  <c r="H20" i="8"/>
  <c r="J20" i="8" s="1"/>
  <c r="K20" i="8" s="1"/>
  <c r="H20" i="7"/>
  <c r="J20" i="7" s="1"/>
  <c r="K20" i="7" s="1"/>
  <c r="H20" i="14"/>
  <c r="J20" i="14" s="1"/>
  <c r="K20" i="14" s="1"/>
  <c r="H20" i="13"/>
  <c r="J20" i="13" s="1"/>
  <c r="K20" i="13" s="1"/>
  <c r="I69" i="2"/>
  <c r="L69" i="2" s="1"/>
  <c r="M69" i="2" s="1"/>
  <c r="I29" i="2"/>
  <c r="L29" i="2" s="1"/>
  <c r="M29" i="2" s="1"/>
  <c r="H19" i="6"/>
  <c r="J19" i="6" s="1"/>
  <c r="K19" i="6" s="1"/>
  <c r="H19" i="5"/>
  <c r="J19" i="5" s="1"/>
  <c r="K19" i="5" s="1"/>
  <c r="H19" i="12"/>
  <c r="J19" i="12" s="1"/>
  <c r="K19" i="12" s="1"/>
  <c r="H19" i="11"/>
  <c r="J19" i="11" s="1"/>
  <c r="K19" i="11" s="1"/>
  <c r="I58" i="2"/>
  <c r="L58" i="2" s="1"/>
  <c r="M58" i="2" s="1"/>
  <c r="H19" i="10"/>
  <c r="J19" i="10" s="1"/>
  <c r="K19" i="10" s="1"/>
  <c r="I48" i="2"/>
  <c r="L48" i="2" s="1"/>
  <c r="M48" i="2" s="1"/>
  <c r="N48" i="2" s="1"/>
  <c r="O48" i="2" s="1"/>
  <c r="P48" i="2" s="1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H19" i="9"/>
  <c r="J19" i="9" s="1"/>
  <c r="K19" i="9" s="1"/>
  <c r="H19" i="3"/>
  <c r="J19" i="3" s="1"/>
  <c r="K19" i="3" s="1"/>
  <c r="I20" i="2"/>
  <c r="L20" i="2" s="1"/>
  <c r="M20" i="2" s="1"/>
  <c r="H19" i="4"/>
  <c r="J19" i="4" s="1"/>
  <c r="K19" i="4" s="1"/>
  <c r="H20" i="4"/>
  <c r="J20" i="4" s="1"/>
  <c r="K20" i="4" s="1"/>
  <c r="I21" i="2"/>
  <c r="L21" i="2" s="1"/>
  <c r="M21" i="2" s="1"/>
  <c r="H20" i="3"/>
  <c r="J20" i="3" s="1"/>
  <c r="K20" i="3" s="1"/>
  <c r="H20" i="6"/>
  <c r="J20" i="6" s="1"/>
  <c r="K20" i="6" s="1"/>
  <c r="H20" i="5"/>
  <c r="J20" i="5" s="1"/>
  <c r="K20" i="5" s="1"/>
  <c r="I30" i="2"/>
  <c r="L30" i="2" s="1"/>
  <c r="M30" i="2" s="1"/>
  <c r="H20" i="11"/>
  <c r="J20" i="11" s="1"/>
  <c r="K20" i="11" s="1"/>
  <c r="I59" i="2"/>
  <c r="L59" i="2" s="1"/>
  <c r="M59" i="2" s="1"/>
  <c r="H20" i="12"/>
  <c r="J20" i="12" s="1"/>
  <c r="K20" i="12" s="1"/>
  <c r="I77" i="2"/>
  <c r="L77" i="2" s="1"/>
  <c r="M77" i="2" s="1"/>
  <c r="H18" i="15"/>
  <c r="J18" i="15" s="1"/>
  <c r="K18" i="15" s="1"/>
  <c r="I78" i="2"/>
  <c r="L78" i="2" s="1"/>
  <c r="M78" i="2" s="1"/>
  <c r="H19" i="15"/>
  <c r="J19" i="15" s="1"/>
  <c r="K19" i="15" s="1"/>
  <c r="I47" i="2" l="1"/>
  <c r="L47" i="2" s="1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H10" i="9"/>
  <c r="J10" i="9" s="1"/>
  <c r="K10" i="9" s="1"/>
  <c r="H10" i="10"/>
  <c r="J10" i="10" s="1"/>
  <c r="K10" i="10" s="1"/>
  <c r="I46" i="2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W46" i="2" s="1"/>
  <c r="X46" i="2" s="1"/>
  <c r="Y46" i="2" s="1"/>
  <c r="Z46" i="2" s="1"/>
  <c r="AA46" i="2" s="1"/>
  <c r="AB46" i="2" s="1"/>
  <c r="I45" i="2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H9" i="14"/>
  <c r="I64" i="2"/>
  <c r="L64" i="2" s="1"/>
  <c r="M64" i="2" s="1"/>
  <c r="H9" i="13"/>
  <c r="H9" i="5"/>
  <c r="H9" i="6"/>
  <c r="I26" i="2"/>
  <c r="L26" i="2" s="1"/>
  <c r="M26" i="2" s="1"/>
  <c r="H9" i="7"/>
  <c r="H9" i="8"/>
  <c r="I35" i="2"/>
  <c r="L35" i="2" s="1"/>
  <c r="M35" i="2" s="1"/>
  <c r="I55" i="2"/>
  <c r="L55" i="2" s="1"/>
  <c r="M55" i="2" s="1"/>
  <c r="I56" i="2"/>
  <c r="L56" i="2" s="1"/>
  <c r="M56" i="2" s="1"/>
  <c r="H10" i="11"/>
  <c r="J10" i="11" s="1"/>
  <c r="K10" i="11" s="1"/>
  <c r="H10" i="12"/>
  <c r="J10" i="12" s="1"/>
  <c r="K10" i="12" s="1"/>
  <c r="I57" i="2"/>
  <c r="L57" i="2" s="1"/>
  <c r="M57" i="2" s="1"/>
  <c r="H10" i="5"/>
  <c r="J10" i="5" s="1"/>
  <c r="K10" i="5" s="1"/>
  <c r="H10" i="6"/>
  <c r="J10" i="6" s="1"/>
  <c r="K10" i="6" s="1"/>
  <c r="I27" i="2"/>
  <c r="L27" i="2" s="1"/>
  <c r="M27" i="2" s="1"/>
  <c r="I28" i="2"/>
  <c r="L28" i="2" s="1"/>
  <c r="M28" i="2" s="1"/>
  <c r="H10" i="8"/>
  <c r="J10" i="8" s="1"/>
  <c r="K10" i="8" s="1"/>
  <c r="H10" i="7"/>
  <c r="J10" i="7" s="1"/>
  <c r="K10" i="7" s="1"/>
  <c r="I36" i="2"/>
  <c r="L36" i="2" s="1"/>
  <c r="M36" i="2" s="1"/>
  <c r="I37" i="2"/>
  <c r="L37" i="2" s="1"/>
  <c r="M37" i="2" s="1"/>
  <c r="H9" i="12"/>
  <c r="H9" i="11"/>
  <c r="I54" i="2"/>
  <c r="L54" i="2" s="1"/>
  <c r="M54" i="2" s="1"/>
  <c r="I66" i="2"/>
  <c r="L66" i="2" s="1"/>
  <c r="M66" i="2" s="1"/>
  <c r="I65" i="2"/>
  <c r="L65" i="2" s="1"/>
  <c r="M65" i="2" s="1"/>
  <c r="H10" i="13"/>
  <c r="J10" i="13" s="1"/>
  <c r="K10" i="13" s="1"/>
  <c r="H10" i="14"/>
  <c r="J10" i="14" s="1"/>
  <c r="K10" i="14" s="1"/>
  <c r="I67" i="2"/>
  <c r="L67" i="2" s="1"/>
  <c r="M67" i="2" s="1"/>
  <c r="H9" i="9"/>
  <c r="H9" i="10"/>
  <c r="I44" i="2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I74" i="2"/>
  <c r="L74" i="2" s="1"/>
  <c r="M74" i="2" s="1"/>
  <c r="H9" i="15"/>
  <c r="I75" i="2"/>
  <c r="L75" i="2" s="1"/>
  <c r="M75" i="2" s="1"/>
  <c r="H10" i="15"/>
  <c r="J10" i="15" s="1"/>
  <c r="K10" i="15" s="1"/>
  <c r="I76" i="2"/>
  <c r="L76" i="2" s="1"/>
  <c r="M76" i="2" s="1"/>
  <c r="H12" i="15" l="1"/>
  <c r="J12" i="15" s="1"/>
  <c r="K12" i="15" s="1"/>
  <c r="J9" i="15"/>
  <c r="K9" i="15" s="1"/>
  <c r="J9" i="13"/>
  <c r="K9" i="13" s="1"/>
  <c r="H12" i="13"/>
  <c r="J12" i="13" s="1"/>
  <c r="K12" i="13" s="1"/>
  <c r="H12" i="14"/>
  <c r="J12" i="14" s="1"/>
  <c r="K12" i="14" s="1"/>
  <c r="J9" i="14"/>
  <c r="K9" i="14" s="1"/>
  <c r="H12" i="11"/>
  <c r="J12" i="11" s="1"/>
  <c r="K12" i="11" s="1"/>
  <c r="J9" i="11"/>
  <c r="K9" i="11" s="1"/>
  <c r="J9" i="7"/>
  <c r="K9" i="7" s="1"/>
  <c r="H12" i="7"/>
  <c r="J12" i="7" s="1"/>
  <c r="K12" i="7" s="1"/>
  <c r="J9" i="12"/>
  <c r="K9" i="12" s="1"/>
  <c r="H12" i="12"/>
  <c r="J12" i="12" s="1"/>
  <c r="K12" i="12" s="1"/>
  <c r="H12" i="5"/>
  <c r="J12" i="5" s="1"/>
  <c r="K12" i="5" s="1"/>
  <c r="J9" i="5"/>
  <c r="K9" i="5" s="1"/>
  <c r="H12" i="10"/>
  <c r="J12" i="10" s="1"/>
  <c r="K12" i="10" s="1"/>
  <c r="J9" i="10"/>
  <c r="K9" i="10" s="1"/>
  <c r="H12" i="8"/>
  <c r="J12" i="8" s="1"/>
  <c r="K12" i="8" s="1"/>
  <c r="J9" i="8"/>
  <c r="K9" i="8" s="1"/>
  <c r="H12" i="9"/>
  <c r="J12" i="9" s="1"/>
  <c r="K12" i="9" s="1"/>
  <c r="J9" i="9"/>
  <c r="K9" i="9" s="1"/>
  <c r="H12" i="6"/>
  <c r="J9" i="6"/>
  <c r="K9" i="6" s="1"/>
  <c r="J12" i="6" l="1"/>
  <c r="K12" i="6" s="1"/>
  <c r="H9" i="17" l="1"/>
  <c r="H9" i="3"/>
  <c r="I17" i="2"/>
  <c r="L17" i="2" s="1"/>
  <c r="M17" i="2" s="1"/>
  <c r="H9" i="4"/>
  <c r="J9" i="17" l="1"/>
  <c r="K9" i="17" s="1"/>
  <c r="H10" i="17"/>
  <c r="J10" i="17" s="1"/>
  <c r="K10" i="17" s="1"/>
  <c r="J9" i="4"/>
  <c r="K9" i="4" s="1"/>
  <c r="H10" i="3"/>
  <c r="J10" i="3" s="1"/>
  <c r="K10" i="3" s="1"/>
  <c r="H10" i="4"/>
  <c r="J10" i="4" s="1"/>
  <c r="K10" i="4" s="1"/>
  <c r="I19" i="2"/>
  <c r="L19" i="2" s="1"/>
  <c r="M19" i="2" s="1"/>
  <c r="I18" i="2"/>
  <c r="L18" i="2" s="1"/>
  <c r="M18" i="2" s="1"/>
  <c r="J9" i="3"/>
  <c r="K9" i="3" s="1"/>
  <c r="H12" i="17" l="1"/>
  <c r="H12" i="3"/>
  <c r="J12" i="3" s="1"/>
  <c r="K12" i="3" s="1"/>
  <c r="H12" i="4"/>
  <c r="J12" i="4" s="1"/>
  <c r="K12" i="4" s="1"/>
  <c r="J12" i="17" l="1"/>
  <c r="K12" i="17" s="1"/>
  <c r="H14" i="17" l="1"/>
  <c r="J14" i="17" s="1"/>
  <c r="H14" i="3"/>
  <c r="H18" i="3" s="1"/>
  <c r="H13" i="13"/>
  <c r="H17" i="13" s="1"/>
  <c r="H14" i="7"/>
  <c r="H14" i="5"/>
  <c r="H18" i="5" s="1"/>
  <c r="H18" i="17" l="1"/>
  <c r="J14" i="3"/>
  <c r="H21" i="17"/>
  <c r="J18" i="17"/>
  <c r="K18" i="17" s="1"/>
  <c r="J14" i="5"/>
  <c r="J13" i="13"/>
  <c r="J14" i="7"/>
  <c r="J18" i="5"/>
  <c r="K18" i="5" s="1"/>
  <c r="H21" i="5"/>
  <c r="J18" i="3"/>
  <c r="K18" i="3" s="1"/>
  <c r="H21" i="3"/>
  <c r="H21" i="13"/>
  <c r="J17" i="13"/>
  <c r="K17" i="13" s="1"/>
  <c r="J21" i="17" l="1"/>
  <c r="K21" i="17" s="1"/>
  <c r="H30" i="17"/>
  <c r="H30" i="3"/>
  <c r="J21" i="3"/>
  <c r="K21" i="3" s="1"/>
  <c r="H30" i="5"/>
  <c r="J21" i="5"/>
  <c r="K21" i="5" s="1"/>
  <c r="J21" i="13"/>
  <c r="K21" i="13" s="1"/>
  <c r="H29" i="13"/>
  <c r="J30" i="17" l="1"/>
  <c r="K30" i="17" s="1"/>
  <c r="H31" i="17"/>
  <c r="J31" i="17" s="1"/>
  <c r="K31" i="17" s="1"/>
  <c r="H31" i="3"/>
  <c r="J31" i="3" s="1"/>
  <c r="K31" i="3" s="1"/>
  <c r="J30" i="3"/>
  <c r="K30" i="3" s="1"/>
  <c r="H31" i="5"/>
  <c r="J31" i="5" s="1"/>
  <c r="K31" i="5" s="1"/>
  <c r="J30" i="5"/>
  <c r="K30" i="5" s="1"/>
  <c r="J29" i="13"/>
  <c r="K29" i="13" s="1"/>
  <c r="H30" i="13"/>
  <c r="J30" i="13" s="1"/>
  <c r="K30" i="13" s="1"/>
  <c r="H32" i="17" l="1"/>
  <c r="H33" i="17" s="1"/>
  <c r="J33" i="17" s="1"/>
  <c r="K33" i="17" s="1"/>
  <c r="J32" i="17"/>
  <c r="K32" i="17" s="1"/>
  <c r="H31" i="13"/>
  <c r="J31" i="13" s="1"/>
  <c r="K31" i="13" s="1"/>
  <c r="H32" i="5"/>
  <c r="H33" i="5" s="1"/>
  <c r="H32" i="3"/>
  <c r="H33" i="3" s="1"/>
  <c r="H34" i="17" l="1"/>
  <c r="J34" i="17" s="1"/>
  <c r="K34" i="17" s="1"/>
  <c r="H33" i="13"/>
  <c r="J33" i="13" s="1"/>
  <c r="C24" i="16" s="1"/>
  <c r="J32" i="3"/>
  <c r="K32" i="3" s="1"/>
  <c r="J33" i="3"/>
  <c r="K33" i="3" s="1"/>
  <c r="J32" i="5"/>
  <c r="K32" i="5" s="1"/>
  <c r="J33" i="5"/>
  <c r="K33" i="5" s="1"/>
  <c r="K33" i="13" l="1"/>
  <c r="D24" i="16" s="1"/>
  <c r="H34" i="3"/>
  <c r="J34" i="3" s="1"/>
  <c r="C7" i="16" s="1"/>
  <c r="H34" i="5"/>
  <c r="J34" i="5" s="1"/>
  <c r="K34" i="5" s="1"/>
  <c r="D10" i="16" s="1"/>
  <c r="C10" i="16" l="1"/>
  <c r="K34" i="3"/>
  <c r="D7" i="16" s="1"/>
  <c r="H14" i="8" l="1"/>
  <c r="H18" i="8" l="1"/>
  <c r="J14" i="8"/>
  <c r="U117" i="1"/>
  <c r="H13" i="14"/>
  <c r="H13" i="12"/>
  <c r="H14" i="6"/>
  <c r="H17" i="12" l="1"/>
  <c r="J13" i="12"/>
  <c r="H18" i="6"/>
  <c r="J14" i="6"/>
  <c r="J18" i="8"/>
  <c r="K18" i="8" s="1"/>
  <c r="H21" i="8"/>
  <c r="U98" i="1"/>
  <c r="H13" i="11"/>
  <c r="H17" i="14"/>
  <c r="J13" i="14"/>
  <c r="H13" i="10"/>
  <c r="H13" i="15"/>
  <c r="H28" i="8" l="1"/>
  <c r="J21" i="8"/>
  <c r="K21" i="8" s="1"/>
  <c r="J18" i="6"/>
  <c r="K18" i="6" s="1"/>
  <c r="H21" i="6"/>
  <c r="H17" i="10"/>
  <c r="J13" i="10"/>
  <c r="H14" i="4"/>
  <c r="V24" i="1"/>
  <c r="H21" i="12"/>
  <c r="J17" i="12"/>
  <c r="K17" i="12" s="1"/>
  <c r="J17" i="14"/>
  <c r="K17" i="14" s="1"/>
  <c r="H21" i="14"/>
  <c r="H17" i="11"/>
  <c r="J13" i="11"/>
  <c r="H17" i="15"/>
  <c r="J13" i="15"/>
  <c r="H13" i="9"/>
  <c r="U79" i="1"/>
  <c r="H18" i="4" l="1"/>
  <c r="J14" i="4"/>
  <c r="H21" i="10"/>
  <c r="J17" i="10"/>
  <c r="K17" i="10" s="1"/>
  <c r="H30" i="6"/>
  <c r="J21" i="6"/>
  <c r="K21" i="6" s="1"/>
  <c r="H29" i="12"/>
  <c r="J21" i="12"/>
  <c r="K21" i="12" s="1"/>
  <c r="J28" i="8"/>
  <c r="K28" i="8" s="1"/>
  <c r="H29" i="8"/>
  <c r="J29" i="8" s="1"/>
  <c r="K29" i="8" s="1"/>
  <c r="J17" i="11"/>
  <c r="K17" i="11" s="1"/>
  <c r="H21" i="11"/>
  <c r="H17" i="9"/>
  <c r="J13" i="9"/>
  <c r="H29" i="14"/>
  <c r="J21" i="14"/>
  <c r="K21" i="14" s="1"/>
  <c r="H20" i="15"/>
  <c r="J17" i="15"/>
  <c r="K17" i="15" s="1"/>
  <c r="H30" i="8" l="1"/>
  <c r="H31" i="8" s="1"/>
  <c r="J31" i="8" s="1"/>
  <c r="K31" i="8" s="1"/>
  <c r="H31" i="6"/>
  <c r="J31" i="6" s="1"/>
  <c r="K31" i="6" s="1"/>
  <c r="J30" i="6"/>
  <c r="K30" i="6" s="1"/>
  <c r="J30" i="8"/>
  <c r="K30" i="8" s="1"/>
  <c r="H32" i="8"/>
  <c r="J32" i="8" s="1"/>
  <c r="K32" i="8" s="1"/>
  <c r="J21" i="10"/>
  <c r="K21" i="10" s="1"/>
  <c r="H29" i="10"/>
  <c r="H30" i="12"/>
  <c r="J30" i="12" s="1"/>
  <c r="K30" i="12" s="1"/>
  <c r="J29" i="12"/>
  <c r="K29" i="12" s="1"/>
  <c r="J18" i="4"/>
  <c r="K18" i="4" s="1"/>
  <c r="H21" i="4"/>
  <c r="J17" i="9"/>
  <c r="K17" i="9" s="1"/>
  <c r="H21" i="9"/>
  <c r="J21" i="11"/>
  <c r="K21" i="11" s="1"/>
  <c r="H29" i="11"/>
  <c r="J20" i="15"/>
  <c r="K20" i="15" s="1"/>
  <c r="H28" i="15"/>
  <c r="H30" i="14"/>
  <c r="J30" i="14" s="1"/>
  <c r="K30" i="14" s="1"/>
  <c r="J29" i="14"/>
  <c r="K29" i="14" s="1"/>
  <c r="H32" i="6" l="1"/>
  <c r="H30" i="10"/>
  <c r="J30" i="10" s="1"/>
  <c r="K30" i="10" s="1"/>
  <c r="J29" i="10"/>
  <c r="K29" i="10" s="1"/>
  <c r="H30" i="4"/>
  <c r="J21" i="4"/>
  <c r="K21" i="4" s="1"/>
  <c r="H31" i="12"/>
  <c r="H29" i="15"/>
  <c r="J29" i="15" s="1"/>
  <c r="K29" i="15" s="1"/>
  <c r="J28" i="15"/>
  <c r="K28" i="15" s="1"/>
  <c r="J29" i="11"/>
  <c r="K29" i="11" s="1"/>
  <c r="H30" i="11"/>
  <c r="J30" i="11" s="1"/>
  <c r="K30" i="11" s="1"/>
  <c r="J21" i="9"/>
  <c r="K21" i="9" s="1"/>
  <c r="H29" i="9"/>
  <c r="H31" i="14"/>
  <c r="H31" i="10" l="1"/>
  <c r="J32" i="6"/>
  <c r="K32" i="6" s="1"/>
  <c r="H33" i="6"/>
  <c r="J33" i="6" s="1"/>
  <c r="K33" i="6" s="1"/>
  <c r="H30" i="15"/>
  <c r="H34" i="6"/>
  <c r="J34" i="6" s="1"/>
  <c r="K34" i="6" s="1"/>
  <c r="H31" i="11"/>
  <c r="H33" i="11" s="1"/>
  <c r="J33" i="11" s="1"/>
  <c r="J31" i="10"/>
  <c r="K31" i="10" s="1"/>
  <c r="H33" i="10"/>
  <c r="J33" i="10" s="1"/>
  <c r="J31" i="12"/>
  <c r="K31" i="12" s="1"/>
  <c r="H33" i="12"/>
  <c r="J33" i="12" s="1"/>
  <c r="J30" i="4"/>
  <c r="K30" i="4" s="1"/>
  <c r="H31" i="4"/>
  <c r="J31" i="4" s="1"/>
  <c r="K31" i="4" s="1"/>
  <c r="J30" i="15"/>
  <c r="K30" i="15" s="1"/>
  <c r="H32" i="15"/>
  <c r="J32" i="15" s="1"/>
  <c r="J29" i="9"/>
  <c r="K29" i="9" s="1"/>
  <c r="H30" i="9"/>
  <c r="J30" i="9" s="1"/>
  <c r="K30" i="9" s="1"/>
  <c r="J31" i="14"/>
  <c r="K31" i="14" s="1"/>
  <c r="H33" i="14"/>
  <c r="J33" i="14" s="1"/>
  <c r="J31" i="11" l="1"/>
  <c r="K31" i="11" s="1"/>
  <c r="H32" i="4"/>
  <c r="C17" i="16"/>
  <c r="K33" i="10"/>
  <c r="D17" i="16" s="1"/>
  <c r="K33" i="12"/>
  <c r="D21" i="16" s="1"/>
  <c r="C21" i="16"/>
  <c r="H31" i="9"/>
  <c r="J31" i="9" s="1"/>
  <c r="K31" i="9" s="1"/>
  <c r="K32" i="15"/>
  <c r="D28" i="16" s="1"/>
  <c r="C28" i="16"/>
  <c r="K33" i="14"/>
  <c r="D25" i="16" s="1"/>
  <c r="C25" i="16"/>
  <c r="K33" i="11"/>
  <c r="D20" i="16" s="1"/>
  <c r="C20" i="16"/>
  <c r="J32" i="4" l="1"/>
  <c r="K32" i="4" s="1"/>
  <c r="H33" i="4"/>
  <c r="H33" i="9"/>
  <c r="J33" i="9" s="1"/>
  <c r="C16" i="16" s="1"/>
  <c r="K33" i="9" l="1"/>
  <c r="D16" i="16" s="1"/>
  <c r="J33" i="4"/>
  <c r="K33" i="4" s="1"/>
  <c r="H34" i="4"/>
  <c r="J34" i="4" s="1"/>
  <c r="K34" i="4" s="1"/>
  <c r="F26" i="7"/>
  <c r="H26" i="7" s="1"/>
  <c r="J26" i="7" s="1"/>
  <c r="K26" i="7" s="1"/>
  <c r="H13" i="7"/>
  <c r="J13" i="7" s="1"/>
  <c r="K13" i="7" s="1"/>
  <c r="H18" i="7"/>
  <c r="J18" i="7" s="1"/>
  <c r="K18" i="7" s="1"/>
  <c r="H21" i="7" l="1"/>
  <c r="H28" i="7" l="1"/>
  <c r="J21" i="7"/>
  <c r="K21" i="7" s="1"/>
  <c r="H29" i="7" l="1"/>
  <c r="J29" i="7" s="1"/>
  <c r="K29" i="7" s="1"/>
  <c r="H30" i="7"/>
  <c r="J28" i="7"/>
  <c r="K28" i="7" s="1"/>
  <c r="H31" i="7" l="1"/>
  <c r="J31" i="7" s="1"/>
  <c r="K31" i="7" s="1"/>
  <c r="J30" i="7"/>
  <c r="K30" i="7" s="1"/>
  <c r="H32" i="7"/>
  <c r="J32" i="7" s="1"/>
  <c r="K32" i="7" l="1"/>
  <c r="D13" i="16" s="1"/>
  <c r="C13" i="16"/>
</calcChain>
</file>

<file path=xl/comments1.xml><?xml version="1.0" encoding="utf-8"?>
<comments xmlns="http://schemas.openxmlformats.org/spreadsheetml/2006/main">
  <authors>
    <author>Belinda Dhaliwal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Tax change
Rate Rider for ICM</t>
        </r>
      </text>
    </comment>
  </commentList>
</comments>
</file>

<file path=xl/comments10.xml><?xml version="1.0" encoding="utf-8"?>
<comments xmlns="http://schemas.openxmlformats.org/spreadsheetml/2006/main">
  <authors>
    <author>Belinda Dhaliwal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11.xml><?xml version="1.0" encoding="utf-8"?>
<comments xmlns="http://schemas.openxmlformats.org/spreadsheetml/2006/main">
  <authors>
    <author>Belinda Dhaliwal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12.xml><?xml version="1.0" encoding="utf-8"?>
<comments xmlns="http://schemas.openxmlformats.org/spreadsheetml/2006/main">
  <authors>
    <author>Belinda Dhaliwal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13.xml><?xml version="1.0" encoding="utf-8"?>
<comments xmlns="http://schemas.openxmlformats.org/spreadsheetml/2006/main">
  <authors>
    <author>Belinda Dhaliwal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14.xml><?xml version="1.0" encoding="utf-8"?>
<comments xmlns="http://schemas.openxmlformats.org/spreadsheetml/2006/main">
  <authors>
    <author>Belinda Dhaliwal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15.xml><?xml version="1.0" encoding="utf-8"?>
<comments xmlns="http://schemas.openxmlformats.org/spreadsheetml/2006/main">
  <authors>
    <author>Belinda Dhaliwal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16.xml><?xml version="1.0" encoding="utf-8"?>
<comments xmlns="http://schemas.openxmlformats.org/spreadsheetml/2006/main">
  <authors>
    <author>Belinda Dhaliwal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17.xml><?xml version="1.0" encoding="utf-8"?>
<comments xmlns="http://schemas.openxmlformats.org/spreadsheetml/2006/main">
  <authors>
    <author>Belinda Dhaliwal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2.xml><?xml version="1.0" encoding="utf-8"?>
<comments xmlns="http://schemas.openxmlformats.org/spreadsheetml/2006/main">
  <authors>
    <author>Belinda Dhaliwal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Tax change
Rate Rider for ICM</t>
        </r>
      </text>
    </comment>
  </commentList>
</comments>
</file>

<file path=xl/comments3.xml><?xml version="1.0" encoding="utf-8"?>
<comments xmlns="http://schemas.openxmlformats.org/spreadsheetml/2006/main">
  <authors>
    <author>Belinda Dhaliwal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Tax change
Rate Rider for ICM</t>
        </r>
      </text>
    </comment>
  </commentList>
</comments>
</file>

<file path=xl/comments4.xml><?xml version="1.0" encoding="utf-8"?>
<comments xmlns="http://schemas.openxmlformats.org/spreadsheetml/2006/main">
  <authors>
    <author>Belinda Dhaliwal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Tax change
Rate Rider for ICM</t>
        </r>
      </text>
    </comment>
  </commentList>
</comments>
</file>

<file path=xl/comments5.xml><?xml version="1.0" encoding="utf-8"?>
<comments xmlns="http://schemas.openxmlformats.org/spreadsheetml/2006/main">
  <authors>
    <author>Belinda Dhaliwal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6.xml><?xml version="1.0" encoding="utf-8"?>
<comments xmlns="http://schemas.openxmlformats.org/spreadsheetml/2006/main">
  <authors>
    <author>Belinda Dhaliwal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7.xml><?xml version="1.0" encoding="utf-8"?>
<comments xmlns="http://schemas.openxmlformats.org/spreadsheetml/2006/main">
  <authors>
    <author>Belinda Dhaliwal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8.xml><?xml version="1.0" encoding="utf-8"?>
<comments xmlns="http://schemas.openxmlformats.org/spreadsheetml/2006/main">
  <authors>
    <author>Belinda Dhaliwal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comments9.xml><?xml version="1.0" encoding="utf-8"?>
<comments xmlns="http://schemas.openxmlformats.org/spreadsheetml/2006/main">
  <authors>
    <author>Belinda Dhaliwal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Rate Rider for ICM (Fixed portion)</t>
        </r>
      </text>
    </comment>
  </commentList>
</comments>
</file>

<file path=xl/sharedStrings.xml><?xml version="1.0" encoding="utf-8"?>
<sst xmlns="http://schemas.openxmlformats.org/spreadsheetml/2006/main" count="1578" uniqueCount="351">
  <si>
    <t>Enersource Hydro Mississauga Inc.</t>
  </si>
  <si>
    <t>BILLING</t>
  </si>
  <si>
    <t>January 1, 2015
Rate
EB-2014-0068</t>
  </si>
  <si>
    <t>Distribution Codes</t>
  </si>
  <si>
    <t>Proposed GL Object Codes</t>
  </si>
  <si>
    <t>Comments</t>
  </si>
  <si>
    <t>USoA Code Cat 21</t>
  </si>
  <si>
    <t>USoA Code Cat 22</t>
  </si>
  <si>
    <t>Proposed</t>
  </si>
  <si>
    <t>Board 
Approved</t>
  </si>
  <si>
    <t>Customer Class</t>
  </si>
  <si>
    <t>Bill Factor</t>
  </si>
  <si>
    <t>Item Description</t>
  </si>
  <si>
    <t>Unit</t>
  </si>
  <si>
    <t>Rate
$</t>
  </si>
  <si>
    <t>Invoice Line Item</t>
  </si>
  <si>
    <r>
      <t xml:space="preserve">RESIDENTIAL Regular </t>
    </r>
    <r>
      <rPr>
        <u/>
        <sz val="10.199999999999999"/>
        <rFont val="Arial"/>
        <family val="2"/>
      </rPr>
      <t>RES100</t>
    </r>
  </si>
  <si>
    <t>CC11</t>
  </si>
  <si>
    <t>Monthly Service Charge</t>
  </si>
  <si>
    <t>per month</t>
  </si>
  <si>
    <t>Delivery (non loss adjusted)</t>
  </si>
  <si>
    <t>monthly</t>
  </si>
  <si>
    <t>Effective until October 31, 2018</t>
  </si>
  <si>
    <t>RS11</t>
  </si>
  <si>
    <t>Smart Metering Entity Charge</t>
  </si>
  <si>
    <t>DS11</t>
  </si>
  <si>
    <t>Distribution Volumetric Rate</t>
  </si>
  <si>
    <t>per kWh</t>
  </si>
  <si>
    <t>**commonly known as the Distribution Charge</t>
  </si>
  <si>
    <t>DVR</t>
  </si>
  <si>
    <t>DVR Non RPP</t>
  </si>
  <si>
    <t>DS11B</t>
  </si>
  <si>
    <t>N/A</t>
  </si>
  <si>
    <t>RFRES1</t>
  </si>
  <si>
    <t>10.411060.RFRES1</t>
  </si>
  <si>
    <t>New Code</t>
  </si>
  <si>
    <t>DS11D</t>
  </si>
  <si>
    <t>RFRES3</t>
  </si>
  <si>
    <t>10.411060.RFRES3</t>
  </si>
  <si>
    <t>DS11E</t>
  </si>
  <si>
    <t>DS11A</t>
  </si>
  <si>
    <t>GADRES</t>
  </si>
  <si>
    <t>10.400261.REFRES</t>
  </si>
  <si>
    <t>Existing Code</t>
  </si>
  <si>
    <t>DS11G</t>
  </si>
  <si>
    <t>RECRES</t>
  </si>
  <si>
    <t>10.400261.RECRES</t>
  </si>
  <si>
    <t>DS11F</t>
  </si>
  <si>
    <t>Low Voltage Service Rate</t>
  </si>
  <si>
    <t>LVRES</t>
  </si>
  <si>
    <t>10.400270.LVRES</t>
  </si>
  <si>
    <t>TN11</t>
  </si>
  <si>
    <t>Retail Trans. - Network*</t>
  </si>
  <si>
    <t>TC11</t>
  </si>
  <si>
    <t>Retail Trans. - Connection*</t>
  </si>
  <si>
    <t>WMS01</t>
  </si>
  <si>
    <t>Wholesale Market Service</t>
  </si>
  <si>
    <t>Regulatory (loss adjusted)</t>
  </si>
  <si>
    <t>Rural Rate Protection (include as part of Wholesale Market Service)</t>
  </si>
  <si>
    <t>RPP01</t>
  </si>
  <si>
    <t>RPP - Admin Charge</t>
  </si>
  <si>
    <t>DRC01</t>
  </si>
  <si>
    <t>Debt Retirement Charge</t>
  </si>
  <si>
    <t>DRC (non loss adjusted)</t>
  </si>
  <si>
    <r>
      <t>GENERAL SERVICE Less than 50 kW</t>
    </r>
    <r>
      <rPr>
        <u/>
        <sz val="10.199999999999999"/>
        <rFont val="Arial"/>
        <family val="2"/>
      </rPr>
      <t xml:space="preserve"> GS200</t>
    </r>
  </si>
  <si>
    <t>CC21</t>
  </si>
  <si>
    <t>RS21</t>
  </si>
  <si>
    <t>DS21</t>
  </si>
  <si>
    <t>DS21B</t>
  </si>
  <si>
    <t>RFGS501</t>
  </si>
  <si>
    <t>10.411503.RFGS501</t>
  </si>
  <si>
    <t>DS21D</t>
  </si>
  <si>
    <t>RFGS503</t>
  </si>
  <si>
    <t>10.411503.RFGS503</t>
  </si>
  <si>
    <t>DS21E</t>
  </si>
  <si>
    <t>DS21H</t>
  </si>
  <si>
    <t>FREVGS50</t>
  </si>
  <si>
    <t>10.411503.FREVGS50</t>
  </si>
  <si>
    <t>DS21A</t>
  </si>
  <si>
    <t>GADGL50</t>
  </si>
  <si>
    <t>10.400263.REFGS50</t>
  </si>
  <si>
    <t>DS21G</t>
  </si>
  <si>
    <t>RECGS50</t>
  </si>
  <si>
    <t>10.400263.RECGS50</t>
  </si>
  <si>
    <t>DS21F</t>
  </si>
  <si>
    <t>LVGS50</t>
  </si>
  <si>
    <t>10.400270.LVGS50</t>
  </si>
  <si>
    <t>TN21</t>
  </si>
  <si>
    <t>Retail Trans. - Network</t>
  </si>
  <si>
    <t>TC21</t>
  </si>
  <si>
    <t>Retail Trans. - Connection</t>
  </si>
  <si>
    <t>Do we not have separate bill factors for each rate class because the rates are the same</t>
  </si>
  <si>
    <t>USL (SMALL COMMERCIAL NO LONGER EXISTS EFFECTIVE FEB 1 2013)</t>
  </si>
  <si>
    <t>CC14U</t>
  </si>
  <si>
    <t>Monthly Service Charge (per connection)</t>
  </si>
  <si>
    <t>DS14</t>
  </si>
  <si>
    <t>DS14B</t>
  </si>
  <si>
    <t>RFSC1</t>
  </si>
  <si>
    <t>10.411210.RFSC1</t>
  </si>
  <si>
    <t>DS14D</t>
  </si>
  <si>
    <t>RFSC3</t>
  </si>
  <si>
    <t>10.411210.RFSC3</t>
  </si>
  <si>
    <t>DS14A</t>
  </si>
  <si>
    <t>GADSMCOM</t>
  </si>
  <si>
    <t>10.400262.REFSC</t>
  </si>
  <si>
    <t>Description GA SMCOM; did we not create a new one for this</t>
  </si>
  <si>
    <t>DS14G</t>
  </si>
  <si>
    <t>RECSC</t>
  </si>
  <si>
    <t>10.400262.RECSC</t>
  </si>
  <si>
    <t>DS14F</t>
  </si>
  <si>
    <t>LVSC</t>
  </si>
  <si>
    <t>10.400270.LVSC</t>
  </si>
  <si>
    <t>TN14</t>
  </si>
  <si>
    <t>Description SMCOM; did we not create a new one for this</t>
  </si>
  <si>
    <t>TC14</t>
  </si>
  <si>
    <r>
      <t xml:space="preserve">GENERAL SERVICE Other &gt; 50 kW (specify) .50 kW - 499 Kw </t>
    </r>
    <r>
      <rPr>
        <u/>
        <sz val="10.199999999999999"/>
        <rFont val="Arial"/>
        <family val="2"/>
      </rPr>
      <t>GS300</t>
    </r>
  </si>
  <si>
    <t>CC31</t>
  </si>
  <si>
    <t>DS31</t>
  </si>
  <si>
    <t>per kW</t>
  </si>
  <si>
    <t>DVR Non RPP Interval</t>
  </si>
  <si>
    <t>DVR Non RPP Non Interval</t>
  </si>
  <si>
    <t>DS31B</t>
  </si>
  <si>
    <t>RFGS0501</t>
  </si>
  <si>
    <t>10.411509.RFGS0501</t>
  </si>
  <si>
    <t>DS31D</t>
  </si>
  <si>
    <t>RFGS0503</t>
  </si>
  <si>
    <t>10.411509.RFGS0503</t>
  </si>
  <si>
    <t>DS31E</t>
  </si>
  <si>
    <t>LRAGS050</t>
  </si>
  <si>
    <t>10.411509.LRAGS050</t>
  </si>
  <si>
    <t>DS31A</t>
  </si>
  <si>
    <t>GADG50MST &amp; GADG50NMST</t>
  </si>
  <si>
    <t>10.400264.REFMIST &amp; 10.400264.REFNMIST</t>
  </si>
  <si>
    <t>DS31H</t>
  </si>
  <si>
    <t>RECMIST3  &amp;   RECNMIST3</t>
  </si>
  <si>
    <t>10.400264.RECMIST &amp; 10.400264.RECNMIST</t>
  </si>
  <si>
    <t>DS31HI</t>
  </si>
  <si>
    <t>DS31G</t>
  </si>
  <si>
    <t>LVGS050</t>
  </si>
  <si>
    <t>10.400270.LVGS050</t>
  </si>
  <si>
    <t>TN31</t>
  </si>
  <si>
    <t>TC31</t>
  </si>
  <si>
    <t>Retail Trans. - Network (Interval Metered)</t>
  </si>
  <si>
    <t>Retail Trans. - Connection (Interval Metered)</t>
  </si>
  <si>
    <t>TA01</t>
  </si>
  <si>
    <t>Transformer Allowance</t>
  </si>
  <si>
    <t>GENERAL SERVICE Other &gt; 50 kW (specify) .500 kW - 4999 kW</t>
  </si>
  <si>
    <t>GS400</t>
  </si>
  <si>
    <t>CC41</t>
  </si>
  <si>
    <t>DS41-I</t>
  </si>
  <si>
    <t>DS41B</t>
  </si>
  <si>
    <t>RFGS5001</t>
  </si>
  <si>
    <t>10.411744.RFGS5001</t>
  </si>
  <si>
    <t>DS41D</t>
  </si>
  <si>
    <t>RFGS5003</t>
  </si>
  <si>
    <t>10.411744.RFGS5003</t>
  </si>
  <si>
    <t>DS41E</t>
  </si>
  <si>
    <t>LRAGS500</t>
  </si>
  <si>
    <t>10.411744.LRAGS500</t>
  </si>
  <si>
    <t>DS41IA</t>
  </si>
  <si>
    <t>GADG500MST &amp; GADG500NMST</t>
  </si>
  <si>
    <t>10.400265.REFMIST &amp; 10.400265.REFNMIST</t>
  </si>
  <si>
    <t>DS41H</t>
  </si>
  <si>
    <t>RECMIST4/RECNMIST4</t>
  </si>
  <si>
    <t>10.400265.RECMIST &amp; 10.400265.RECNMIST</t>
  </si>
  <si>
    <t>DS41HI</t>
  </si>
  <si>
    <t>DS41G</t>
  </si>
  <si>
    <t>LVGS500</t>
  </si>
  <si>
    <t>10.400270.LVGS500</t>
  </si>
  <si>
    <t>TN41</t>
  </si>
  <si>
    <t xml:space="preserve">Retail Trans. - Network* </t>
  </si>
  <si>
    <t>TC41</t>
  </si>
  <si>
    <t xml:space="preserve">Retail Trans. - Connection* </t>
  </si>
  <si>
    <t>GENERAL SERVICE Large Use (&gt; 5000 kW)</t>
  </si>
  <si>
    <t>GS500</t>
  </si>
  <si>
    <t>CC51</t>
  </si>
  <si>
    <t>DS51</t>
  </si>
  <si>
    <t>DS51B</t>
  </si>
  <si>
    <t>RFLU1</t>
  </si>
  <si>
    <t>10.412010.RFLU1</t>
  </si>
  <si>
    <t>DS51D</t>
  </si>
  <si>
    <t>RFLU3</t>
  </si>
  <si>
    <t>10.412010.RFLU3</t>
  </si>
  <si>
    <t>DS51E</t>
  </si>
  <si>
    <t>LRALU</t>
  </si>
  <si>
    <t>10.412010.LRALU</t>
  </si>
  <si>
    <t>DS51A</t>
  </si>
  <si>
    <t>GADLU</t>
  </si>
  <si>
    <t>10.400266.REFACT</t>
  </si>
  <si>
    <t>DS51H</t>
  </si>
  <si>
    <t>RECACT</t>
  </si>
  <si>
    <t xml:space="preserve">10.400266.RECACT </t>
  </si>
  <si>
    <t>DS51G</t>
  </si>
  <si>
    <t>LVLU</t>
  </si>
  <si>
    <t>10.400270.LVLU</t>
  </si>
  <si>
    <t>TN51</t>
  </si>
  <si>
    <t>TC51</t>
  </si>
  <si>
    <t>STREET LIGHTING</t>
  </si>
  <si>
    <t>CC61</t>
  </si>
  <si>
    <t>Monthly Service Charge (per light)</t>
  </si>
  <si>
    <t>DS61</t>
  </si>
  <si>
    <t>DS61B</t>
  </si>
  <si>
    <t>DS61D</t>
  </si>
  <si>
    <t>DS61A</t>
  </si>
  <si>
    <t>DS61H</t>
  </si>
  <si>
    <t>DS61G</t>
  </si>
  <si>
    <t>TN61</t>
  </si>
  <si>
    <t>TC61</t>
  </si>
  <si>
    <t>*Identical rates for Interval metered Customers</t>
  </si>
  <si>
    <t>Abbreviations:</t>
  </si>
  <si>
    <t>DVA - Disposal and Variance Accounts</t>
  </si>
  <si>
    <t>Dist Vol Rate - Distribution Volumetric Rate</t>
  </si>
  <si>
    <t>ED-2003-0017 (RP-2005-0020, EB-2005-0360)</t>
  </si>
  <si>
    <t>August 2, 2005</t>
  </si>
  <si>
    <t xml:space="preserve"> </t>
  </si>
  <si>
    <t>RATES SCHEDULE</t>
  </si>
  <si>
    <t xml:space="preserve">
July 1_2013 Rates</t>
  </si>
  <si>
    <t xml:space="preserve">
May 1_2012 Rates</t>
  </si>
  <si>
    <t>Change</t>
  </si>
  <si>
    <t>Check=0</t>
  </si>
  <si>
    <t>New Dist. Rate/RR</t>
  </si>
  <si>
    <t>Old Dist. Rate/RR</t>
  </si>
  <si>
    <t>Dist RR Adjusted</t>
  </si>
  <si>
    <t>DVA Rate Rider Effective Feb 1, 2012</t>
  </si>
  <si>
    <t>GA Rate Rider Effective Feb 1, 2012</t>
  </si>
  <si>
    <t>Rate Rider Expiration Jan 31, 2012</t>
  </si>
  <si>
    <t>(a)</t>
  </si>
  <si>
    <t>(b)</t>
  </si>
  <si>
    <t>(c) = (a) - (b)</t>
  </si>
  <si>
    <t>GA Rate Non-RPP (Check)</t>
  </si>
  <si>
    <t>Notes</t>
  </si>
  <si>
    <t>Rate Change
$</t>
  </si>
  <si>
    <t>Rate Change
%</t>
  </si>
  <si>
    <t>RESIDENTIAL Regular</t>
  </si>
  <si>
    <t>Distribution Volumetric Rate Non RPP</t>
  </si>
  <si>
    <t>Rural Rate Protection</t>
  </si>
  <si>
    <t>GENERAL SERVICE Less than 50 kW</t>
  </si>
  <si>
    <t xml:space="preserve">USL (SMALL COMMERCIAL NO LONGER EXISTS EFFECTIVE JAN 1 2013) </t>
  </si>
  <si>
    <t>Service Charge for Unmetered Scattered Load account (per connection)</t>
  </si>
  <si>
    <t>Monthly Service Charge - Unmetered</t>
  </si>
  <si>
    <t xml:space="preserve">GENERAL SERVICE Other &gt; 50 kW (specify) .50 kW - 499 kW </t>
  </si>
  <si>
    <t>Distribution Volumetric Rate Non RPP (Interval)</t>
  </si>
  <si>
    <t>Distribution Volumetric Rate Non RPP (Non-Interval)</t>
  </si>
  <si>
    <t xml:space="preserve">GENERAL SERVICE Other &gt; 50 kW (specify) .500 kW - 4999 kW </t>
  </si>
  <si>
    <t xml:space="preserve">GENERAL SERVICE Large Use (&gt; 5000 kW) </t>
  </si>
  <si>
    <t>Distribution Volumetric Rate Non RPP (Class A)</t>
  </si>
  <si>
    <t>Distribution Volumetric Rate Non RPP (Class B)</t>
  </si>
  <si>
    <t xml:space="preserve"> STREET LIGHTING </t>
  </si>
  <si>
    <t>MICROFIT</t>
  </si>
  <si>
    <t>Solar PV Energy Credit</t>
  </si>
  <si>
    <t>Note 1: Monthly Distribution Volumetric rate includes rate riders with varying expiry dates. Also please note different volumetric rates are in effect for RPP vs Non RPP customers.</t>
  </si>
  <si>
    <t>Note 2: The increase in the distribution volumetric rate is due to the expiry of rate riders (primarily refunds to customers)</t>
  </si>
  <si>
    <t>Note 3: The base monthly service charge and distribution volumetric rate excluding all rate riders is 1.45%</t>
  </si>
  <si>
    <t>Rate Class</t>
  </si>
  <si>
    <t>Residential RPP</t>
  </si>
  <si>
    <t>Loss Factor</t>
  </si>
  <si>
    <t>Consumption</t>
  </si>
  <si>
    <t xml:space="preserve"> kWh</t>
  </si>
  <si>
    <t>If Billed on a kW basis:</t>
  </si>
  <si>
    <t>Demand</t>
  </si>
  <si>
    <t>kW</t>
  </si>
  <si>
    <t>Current Board-Approved</t>
  </si>
  <si>
    <t>Impact</t>
  </si>
  <si>
    <t>Rate</t>
  </si>
  <si>
    <t>Volume</t>
  </si>
  <si>
    <t>Charge</t>
  </si>
  <si>
    <t>$ Change</t>
  </si>
  <si>
    <t>% Change</t>
  </si>
  <si>
    <t>($)</t>
  </si>
  <si>
    <t>Volumetric Rate Riders (LRAM)</t>
  </si>
  <si>
    <t>Sub-Total A (excluding pass through)</t>
  </si>
  <si>
    <t>Line Losses on Cost of Power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</si>
  <si>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</si>
  <si>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</si>
  <si>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</si>
  <si>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</si>
  <si>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</si>
  <si>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</si>
  <si>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</si>
  <si>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</si>
  <si>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</si>
  <si>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</si>
  <si>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</si>
  <si>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</si>
  <si>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</si>
  <si>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</si>
  <si>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</si>
  <si>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</si>
  <si>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</si>
  <si>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</si>
  <si>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Residential Non-RPP</t>
  </si>
  <si>
    <t>kWh</t>
  </si>
  <si>
    <t>GENERAL SERVICE LESS THAN 50 KW</t>
  </si>
  <si>
    <t>GENERAL SERVICE LESS THAN 50 KW Non-RPP</t>
  </si>
  <si>
    <t>Unmetered Scattered Load- RPP</t>
  </si>
  <si>
    <t>Energy</t>
  </si>
  <si>
    <t>Unmetered Scattered Load- Non RPP</t>
  </si>
  <si>
    <t>General Service 50-499kW Non-RPP (Interval)</t>
  </si>
  <si>
    <t>General Service 50-499kW Non-RPP (Non-Interval)</t>
  </si>
  <si>
    <t>General Service 500-4999kW Non-RPP (Interval)</t>
  </si>
  <si>
    <t>General Service 500-4999kW Non-RPP (Non-Interval)</t>
  </si>
  <si>
    <t>Large Use- Class A</t>
  </si>
  <si>
    <t>Large Use- Class B</t>
  </si>
  <si>
    <t>Street Light Non RPP</t>
  </si>
  <si>
    <t>Enersource Hydro Mississauga</t>
  </si>
  <si>
    <t>Summary of Bill Impacts - TOTAL BILL IMPACT</t>
  </si>
  <si>
    <t>$ Impact</t>
  </si>
  <si>
    <t>% Impact</t>
  </si>
  <si>
    <t xml:space="preserve">Residential </t>
  </si>
  <si>
    <t xml:space="preserve">RPP </t>
  </si>
  <si>
    <t>Average residential customer consuming 800kWh per month</t>
  </si>
  <si>
    <t>Non-RPP</t>
  </si>
  <si>
    <t>General Service &lt;50 kW</t>
  </si>
  <si>
    <t>Average GA&lt;50 customer consuming 2000kWh per month</t>
  </si>
  <si>
    <t>Umetered Scattered Load</t>
  </si>
  <si>
    <t>Average USL customer consuming 300kWh per month</t>
  </si>
  <si>
    <t>General Service 50-499 kW</t>
  </si>
  <si>
    <t>Average GS 50-499 customer consuming 230kW per month</t>
  </si>
  <si>
    <t>General Service 500-4999 kW</t>
  </si>
  <si>
    <t>Average GS 500-4999 customer consuming 2250kW per month</t>
  </si>
  <si>
    <t>Large Use</t>
  </si>
  <si>
    <t>Average large use customer consuming 5000kW per month</t>
  </si>
  <si>
    <t>Street Lighting</t>
  </si>
  <si>
    <t>Average Street Light customer consuming 0.1kW per month</t>
  </si>
  <si>
    <t>Non-RPP Interval</t>
  </si>
  <si>
    <t>Non-RPP Non Interval</t>
  </si>
  <si>
    <t>Class A</t>
  </si>
  <si>
    <t>Class B</t>
  </si>
  <si>
    <t>RPP TOU</t>
  </si>
  <si>
    <t xml:space="preserve">January 1, 2016
Rate
</t>
  </si>
  <si>
    <t>Schedule of Distribution Rates and Charges Including Rate Riders January 1, 2016</t>
  </si>
  <si>
    <t>Assume a 1.45% increase for monthly service charge and distribution volumetric rates</t>
  </si>
  <si>
    <t>January 1, 2015 vs January 1, 2016</t>
  </si>
  <si>
    <t>Dist Vol Rate - LRAM/SSS  until Dec 31, 201x</t>
  </si>
  <si>
    <t>Dist Vol Rate - Forgone revenue until Dec 31, 201x</t>
  </si>
  <si>
    <t>Dist Vol Rate - LRAM/SSS  until Apr 30, 201x</t>
  </si>
  <si>
    <t xml:space="preserve">Notes:
1. Enersource filed its 2016 IRM application with the OEB on August xx (Case No. EB-2015-0068)
</t>
  </si>
  <si>
    <t>Dist Vol Rate - DVA (2014)  until Jan 01, 2017</t>
  </si>
  <si>
    <t>Dist Vol Rate - DVA (2014) until Jan 01, 2017</t>
  </si>
  <si>
    <r>
      <t>Dist Vol Rate - DVA (2014)</t>
    </r>
    <r>
      <rPr>
        <b/>
        <sz val="12"/>
        <color rgb="FF7030A0"/>
        <rFont val="Arial"/>
        <family val="2"/>
      </rPr>
      <t xml:space="preserve"> </t>
    </r>
    <r>
      <rPr>
        <sz val="12"/>
        <rFont val="Arial"/>
        <family val="2"/>
      </rPr>
      <t>until Jan 01, 2017 (Applicable only for Non-WMP)</t>
    </r>
  </si>
  <si>
    <t>Rate Rider for Application of Tax Change (2015) – effective untilDec 30, 2016</t>
  </si>
  <si>
    <t>GA Dist Vol Rate - Non RPP (2014) until Jan 01, 2017</t>
  </si>
  <si>
    <t>Dist Vol Rate - DVA (2014)  until Jan 01, 2017 - Applicable only for Non-WMP</t>
  </si>
  <si>
    <t>ICM Rate Rider - effective until Jan 01, 2017 (Fixed)</t>
  </si>
  <si>
    <t>ICM Rate Rider - effective until Jan 01, 2017 (Volumetric)</t>
  </si>
  <si>
    <t>GA Dist Vol Rate - Non RPP (201x) until Jan 01, 2017 (Non Interval Metered)</t>
  </si>
  <si>
    <t>GA Dist Vol Rate - Non RPP (201x) until Jan 01, 2017 (Interval Metered)</t>
  </si>
  <si>
    <t>GA Dist Vol Rate - Non RPP (201x) until Jan 01, 2017 (Class A Customers)</t>
  </si>
  <si>
    <t>GA Dist Vol Rate - Non RPP (201x) until Jan 01, 2017 (Class B Customers)</t>
  </si>
  <si>
    <t>Total Variable Rate Riders</t>
  </si>
  <si>
    <t>Total Fixed Rate Riders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</si>
</sst>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.0000"/>
    <numFmt numFmtId="166" formatCode="#,##0.00_ ;\-#,##0.00\ "/>
    <numFmt numFmtId="167" formatCode="#,##0.0000_);\(#,##0.0000\)"/>
    <numFmt numFmtId="168" formatCode="0.0000"/>
    <numFmt numFmtId="169" formatCode="0.000"/>
    <numFmt numFmtId="170" formatCode="#,##0.000000;\-#,##0.000000"/>
    <numFmt numFmtId="171" formatCode="#,##0.00_);\(#,##0.00\)"/>
    <numFmt numFmtId="172" formatCode="#,##0.00000;\-#,##0.00000"/>
    <numFmt numFmtId="173" formatCode="_-&quot;$&quot;* #,##0.0000_-;\-&quot;$&quot;* #,##0.0000_-;_-&quot;$&quot;* &quot;-&quot;??_-;_-@_-"/>
    <numFmt numFmtId="174" formatCode="_(* #,##0.00_);_(* \(#,##0.00\);_(* &quot;-&quot;??_);_(@_)"/>
    <numFmt numFmtId="175" formatCode="#,##0.0000;\-#,##0.0000"/>
    <numFmt numFmtId="176" formatCode="#,##0.0000"/>
    <numFmt numFmtId="177" formatCode="_(* #,##0.0000_);_(* \(#,##0.0000\);_(* &quot;-&quot;??_);_(@_)"/>
    <numFmt numFmtId="178" formatCode="_-* #,##0.0_-;\-* #,##0.0_-;_-* &quot;-&quot;??_-;_-@_-"/>
    <numFmt numFmtId="179" formatCode="#,##0.000_);\(#,##0.000\)"/>
    <numFmt numFmtId="180" formatCode="_-* #,##0.0000_-;\-* #,##0.0000_-;_-* &quot;-&quot;??_-;_-@_-"/>
    <numFmt numFmtId="181" formatCode="_-* #,##0_-;\-* #,##0_-;_-* &quot;-&quot;??_-;_-@_-"/>
    <numFmt numFmtId="182" formatCode="_(* #,##0.0_);_(* \(#,##0.0\);_(* &quot;-&quot;??_);_(@_)"/>
    <numFmt numFmtId="183" formatCode="#,##0.0"/>
    <numFmt numFmtId="184" formatCode="mm/dd/yyyy"/>
    <numFmt numFmtId="185" formatCode="0\-0"/>
    <numFmt numFmtId="186" formatCode="_(* #,##0_);_(* \(#,##0\);_(* &quot;-&quot;_);_(@_)"/>
    <numFmt numFmtId="187" formatCode="_-&quot;$&quot;* #,##0_-;\-&quot;$&quot;* #,##0_-;_-&quot;$&quot;* &quot;-&quot;??_-;_-@_-"/>
    <numFmt numFmtId="188" formatCode="&quot;True&quot;;&quot;True&quot;;&quot;False&quot;"/>
    <numFmt numFmtId="189" formatCode="_(&quot;$&quot;* #,##0.00_);_(&quot;$&quot;* \(#,##0.00\);_(&quot;$&quot;* &quot;-&quot;??_);_(@_)"/>
    <numFmt numFmtId="190" formatCode="&quot;$&quot;#,##0_);\(&quot;$&quot;#,##0\)"/>
    <numFmt numFmtId="191" formatCode="0.0%"/>
    <numFmt numFmtId="192" formatCode="_(&quot;$&quot;* #,##0_);_(&quot;$&quot;* \(#,##0\);_(&quot;$&quot;* &quot;-&quot;??_);_(@_)"/>
    <numFmt numFmtId="193" formatCode="_(* #,##0_);_(* \(#,##0\);_(* &quot;-&quot;??_);_(@_)"/>
    <numFmt numFmtId="194" formatCode="&quot;$&quot;#,##0\ ;\(&quot;$&quot;#,##0\)"/>
    <numFmt numFmtId="195" formatCode="&quot;$&quot;#,##0.00_);[Red]\(&quot;$&quot;#,##0.00\)"/>
    <numFmt numFmtId="196" formatCode="&quot;$&quot;#,##0_);[Red]\(&quot;$&quot;#,##0\)"/>
    <numFmt numFmtId="197" formatCode="0.000%"/>
    <numFmt numFmtId="198" formatCode="&quot;£ &quot;#,##0.00;[Red]\-&quot;£ &quot;#,##0.00"/>
    <numFmt numFmtId="199" formatCode="_([$€-2]* #,##0.00_);_([$€-2]* \(#,##0.00\);_([$€-2]* &quot;-&quot;??_)"/>
    <numFmt numFmtId="200" formatCode="##\-#"/>
    <numFmt numFmtId="201" formatCode="#,##0.00000_ ;\-#,##0.00000\ "/>
    <numFmt numFmtId="202" formatCode="#,##0.000;\-#,##0.000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u/>
      <sz val="10.199999999999999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b/>
      <sz val="12"/>
      <color rgb="FF7030A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u val="singleAccounting"/>
      <sz val="10"/>
      <name val="Arial"/>
      <family val="2"/>
    </font>
    <font>
      <b/>
      <u val="singleAccounting"/>
      <sz val="12"/>
      <name val="Arial"/>
      <family val="2"/>
    </font>
    <font>
      <b/>
      <i/>
      <sz val="2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i/>
      <sz val="14"/>
      <name val="Arial"/>
      <family val="2"/>
    </font>
    <font>
      <b/>
      <i/>
      <vertAlign val="superscript"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sz val="11"/>
      <color indexed="8"/>
      <name val="Calibri"/>
      <family val="2"/>
      <scheme val="minor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</borders>
  <cellStyleXfs count="57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2" fontId="20" fillId="0" borderId="0"/>
    <xf numFmtId="182" fontId="20" fillId="0" borderId="0"/>
    <xf numFmtId="182" fontId="20" fillId="0" borderId="0"/>
    <xf numFmtId="183" fontId="20" fillId="0" borderId="0"/>
    <xf numFmtId="183" fontId="20" fillId="0" borderId="0"/>
    <xf numFmtId="183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4" fontId="20" fillId="0" borderId="0"/>
    <xf numFmtId="184" fontId="20" fillId="0" borderId="0"/>
    <xf numFmtId="184" fontId="20" fillId="0" borderId="0"/>
    <xf numFmtId="185" fontId="20" fillId="0" borderId="0"/>
    <xf numFmtId="185" fontId="20" fillId="0" borderId="0"/>
    <xf numFmtId="185" fontId="20" fillId="0" borderId="0"/>
    <xf numFmtId="184" fontId="20" fillId="0" borderId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1" fillId="10" borderId="0" applyNumberFormat="0" applyBorder="0" applyAlignment="0" applyProtection="0"/>
    <xf numFmtId="0" fontId="54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1" fillId="14" borderId="0" applyNumberFormat="0" applyBorder="0" applyAlignment="0" applyProtection="0"/>
    <xf numFmtId="0" fontId="54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1" fillId="18" borderId="0" applyNumberFormat="0" applyBorder="0" applyAlignment="0" applyProtection="0"/>
    <xf numFmtId="0" fontId="54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1" fillId="22" borderId="0" applyNumberFormat="0" applyBorder="0" applyAlignment="0" applyProtection="0"/>
    <xf numFmtId="0" fontId="54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1" fillId="26" borderId="0" applyNumberFormat="0" applyBorder="0" applyAlignment="0" applyProtection="0"/>
    <xf numFmtId="0" fontId="54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1" fillId="30" borderId="0" applyNumberFormat="0" applyBorder="0" applyAlignment="0" applyProtection="0"/>
    <xf numFmtId="0" fontId="54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11" borderId="0" applyNumberFormat="0" applyBorder="0" applyAlignment="0" applyProtection="0"/>
    <xf numFmtId="0" fontId="54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15" borderId="0" applyNumberFormat="0" applyBorder="0" applyAlignment="0" applyProtection="0"/>
    <xf numFmtId="0" fontId="54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19" borderId="0" applyNumberFormat="0" applyBorder="0" applyAlignment="0" applyProtection="0"/>
    <xf numFmtId="0" fontId="54" fillId="51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1" fillId="23" borderId="0" applyNumberFormat="0" applyBorder="0" applyAlignment="0" applyProtection="0"/>
    <xf numFmtId="0" fontId="54" fillId="46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7" borderId="0" applyNumberFormat="0" applyBorder="0" applyAlignment="0" applyProtection="0"/>
    <xf numFmtId="0" fontId="54" fillId="49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31" borderId="0" applyNumberFormat="0" applyBorder="0" applyAlignment="0" applyProtection="0"/>
    <xf numFmtId="0" fontId="54" fillId="52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17" fillId="12" borderId="0" applyNumberFormat="0" applyBorder="0" applyAlignment="0" applyProtection="0"/>
    <xf numFmtId="0" fontId="56" fillId="53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17" fillId="16" borderId="0" applyNumberFormat="0" applyBorder="0" applyAlignment="0" applyProtection="0"/>
    <xf numFmtId="0" fontId="56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17" fillId="20" borderId="0" applyNumberFormat="0" applyBorder="0" applyAlignment="0" applyProtection="0"/>
    <xf numFmtId="0" fontId="56" fillId="51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17" fillId="24" borderId="0" applyNumberFormat="0" applyBorder="0" applyAlignment="0" applyProtection="0"/>
    <xf numFmtId="0" fontId="56" fillId="54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17" fillId="28" borderId="0" applyNumberFormat="0" applyBorder="0" applyAlignment="0" applyProtection="0"/>
    <xf numFmtId="0" fontId="56" fillId="55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17" fillId="32" borderId="0" applyNumberFormat="0" applyBorder="0" applyAlignment="0" applyProtection="0"/>
    <xf numFmtId="0" fontId="56" fillId="56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17" fillId="9" borderId="0" applyNumberFormat="0" applyBorder="0" applyAlignment="0" applyProtection="0"/>
    <xf numFmtId="0" fontId="56" fillId="57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0" fontId="17" fillId="13" borderId="0" applyNumberFormat="0" applyBorder="0" applyAlignment="0" applyProtection="0"/>
    <xf numFmtId="0" fontId="56" fillId="58" borderId="0" applyNumberFormat="0" applyBorder="0" applyAlignment="0" applyProtection="0"/>
    <xf numFmtId="0" fontId="55" fillId="59" borderId="0" applyNumberFormat="0" applyBorder="0" applyAlignment="0" applyProtection="0"/>
    <xf numFmtId="0" fontId="55" fillId="59" borderId="0" applyNumberFormat="0" applyBorder="0" applyAlignment="0" applyProtection="0"/>
    <xf numFmtId="0" fontId="17" fillId="17" borderId="0" applyNumberFormat="0" applyBorder="0" applyAlignment="0" applyProtection="0"/>
    <xf numFmtId="0" fontId="56" fillId="59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17" fillId="21" borderId="0" applyNumberFormat="0" applyBorder="0" applyAlignment="0" applyProtection="0"/>
    <xf numFmtId="0" fontId="56" fillId="54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17" fillId="25" borderId="0" applyNumberFormat="0" applyBorder="0" applyAlignment="0" applyProtection="0"/>
    <xf numFmtId="0" fontId="56" fillId="55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17" fillId="29" borderId="0" applyNumberFormat="0" applyBorder="0" applyAlignment="0" applyProtection="0"/>
    <xf numFmtId="0" fontId="56" fillId="6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7" fillId="3" borderId="0" applyNumberFormat="0" applyBorder="0" applyAlignment="0" applyProtection="0"/>
    <xf numFmtId="0" fontId="58" fillId="44" borderId="0" applyNumberFormat="0" applyBorder="0" applyAlignment="0" applyProtection="0"/>
    <xf numFmtId="0" fontId="59" fillId="61" borderId="57" applyNumberFormat="0" applyAlignment="0" applyProtection="0"/>
    <xf numFmtId="0" fontId="59" fillId="61" borderId="57" applyNumberFormat="0" applyAlignment="0" applyProtection="0"/>
    <xf numFmtId="0" fontId="59" fillId="61" borderId="57" applyNumberFormat="0" applyAlignment="0" applyProtection="0"/>
    <xf numFmtId="0" fontId="11" fillId="6" borderId="4" applyNumberFormat="0" applyAlignment="0" applyProtection="0"/>
    <xf numFmtId="0" fontId="60" fillId="61" borderId="57" applyNumberFormat="0" applyAlignment="0" applyProtection="0"/>
    <xf numFmtId="0" fontId="60" fillId="61" borderId="57" applyNumberFormat="0" applyAlignment="0" applyProtection="0"/>
    <xf numFmtId="0" fontId="61" fillId="62" borderId="58" applyNumberFormat="0" applyAlignment="0" applyProtection="0"/>
    <xf numFmtId="0" fontId="61" fillId="62" borderId="58" applyNumberFormat="0" applyAlignment="0" applyProtection="0"/>
    <xf numFmtId="0" fontId="13" fillId="7" borderId="7" applyNumberFormat="0" applyAlignment="0" applyProtection="0"/>
    <xf numFmtId="0" fontId="62" fillId="62" borderId="58" applyNumberFormat="0" applyAlignment="0" applyProtection="0"/>
    <xf numFmtId="186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64" fillId="0" borderId="0" applyFont="0" applyFill="0" applyBorder="0" applyAlignment="0" applyProtection="0"/>
    <xf numFmtId="43" fontId="20" fillId="0" borderId="0" applyFont="0" applyFill="0" applyBorder="0" applyAlignment="0" applyProtection="0"/>
    <xf numFmtId="188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64" fillId="0" borderId="0" applyFont="0" applyFill="0" applyBorder="0" applyAlignment="0" applyProtection="0"/>
    <xf numFmtId="167" fontId="63" fillId="0" borderId="0" applyFont="0" applyFill="0" applyBorder="0" applyAlignment="0" applyProtection="0"/>
    <xf numFmtId="186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86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74" fontId="64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64" fillId="0" borderId="0" applyFont="0" applyFill="0" applyBorder="0" applyAlignment="0" applyProtection="0"/>
    <xf numFmtId="174" fontId="20" fillId="0" borderId="0" applyFont="0" applyFill="0" applyBorder="0" applyAlignment="0" applyProtection="0"/>
    <xf numFmtId="5" fontId="63" fillId="0" borderId="0" applyFont="0" applyFill="0" applyBorder="0" applyAlignment="0" applyProtection="0"/>
    <xf numFmtId="174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5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174" fontId="20" fillId="0" borderId="0" applyFont="0" applyFill="0" applyBorder="0" applyAlignment="0" applyProtection="0"/>
    <xf numFmtId="5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192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91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92" fontId="63" fillId="0" borderId="0" applyFont="0" applyFill="0" applyBorder="0" applyAlignment="0" applyProtection="0"/>
    <xf numFmtId="192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86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65" fillId="0" borderId="0" applyFont="0" applyFill="0" applyBorder="0" applyAlignment="0" applyProtection="0"/>
    <xf numFmtId="44" fontId="20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20" fillId="0" borderId="0" applyFont="0" applyFill="0" applyBorder="0" applyAlignment="0" applyProtection="0"/>
    <xf numFmtId="195" fontId="66" fillId="0" borderId="0" applyFont="0" applyFill="0" applyBorder="0" applyAlignment="0" applyProtection="0"/>
    <xf numFmtId="189" fontId="20" fillId="0" borderId="0" applyFont="0" applyFill="0" applyBorder="0" applyAlignment="0" applyProtection="0"/>
    <xf numFmtId="195" fontId="66" fillId="0" borderId="0" applyFont="0" applyFill="0" applyBorder="0" applyAlignment="0" applyProtection="0"/>
    <xf numFmtId="196" fontId="64" fillId="0" borderId="0" applyFont="0" applyFill="0" applyBorder="0" applyAlignment="0" applyProtection="0"/>
    <xf numFmtId="189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1" fontId="64" fillId="0" borderId="0" applyFont="0" applyFill="0" applyBorder="0" applyAlignment="0" applyProtection="0"/>
    <xf numFmtId="18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0" fontId="63" fillId="0" borderId="0" applyFont="0" applyFill="0" applyBorder="0" applyAlignment="0" applyProtection="0"/>
    <xf numFmtId="44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90" fontId="63" fillId="0" borderId="0" applyFont="0" applyFill="0" applyBorder="0" applyAlignment="0" applyProtection="0"/>
    <xf numFmtId="190" fontId="63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4" fontId="65" fillId="0" borderId="0" applyFont="0" applyFill="0" applyBorder="0" applyAlignment="0" applyProtection="0"/>
    <xf numFmtId="4" fontId="67" fillId="0" borderId="0"/>
    <xf numFmtId="1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0" fontId="65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65" fillId="0" borderId="0" applyFont="0" applyFill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6" fillId="2" borderId="0" applyNumberFormat="0" applyBorder="0" applyAlignment="0" applyProtection="0"/>
    <xf numFmtId="0" fontId="71" fillId="45" borderId="0" applyNumberFormat="0" applyBorder="0" applyAlignment="0" applyProtection="0"/>
    <xf numFmtId="38" fontId="72" fillId="63" borderId="0" applyNumberFormat="0" applyBorder="0" applyAlignment="0" applyProtection="0"/>
    <xf numFmtId="38" fontId="72" fillId="63" borderId="0" applyNumberFormat="0" applyBorder="0" applyAlignment="0" applyProtection="0"/>
    <xf numFmtId="0" fontId="73" fillId="0" borderId="0"/>
    <xf numFmtId="0" fontId="23" fillId="0" borderId="16" applyNumberFormat="0" applyAlignment="0" applyProtection="0">
      <alignment horizontal="left" vertical="center"/>
    </xf>
    <xf numFmtId="0" fontId="23" fillId="0" borderId="24">
      <alignment horizontal="left" vertical="center"/>
    </xf>
    <xf numFmtId="0" fontId="23" fillId="0" borderId="24">
      <alignment horizontal="left" vertical="center"/>
    </xf>
    <xf numFmtId="0" fontId="23" fillId="0" borderId="24">
      <alignment horizontal="left" vertical="center"/>
    </xf>
    <xf numFmtId="0" fontId="23" fillId="0" borderId="24">
      <alignment horizontal="left" vertical="center"/>
    </xf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5" fillId="0" borderId="59" applyNumberFormat="0" applyFill="0" applyAlignment="0" applyProtection="0"/>
    <xf numFmtId="0" fontId="74" fillId="0" borderId="0" applyNumberFormat="0" applyFont="0" applyFill="0" applyAlignment="0" applyProtection="0"/>
    <xf numFmtId="0" fontId="3" fillId="0" borderId="1" applyNumberFormat="0" applyFill="0" applyAlignment="0" applyProtection="0"/>
    <xf numFmtId="0" fontId="76" fillId="0" borderId="0" applyNumberFormat="0" applyFill="0" applyBorder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74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77" fillId="0" borderId="60" applyNumberFormat="0" applyFill="0" applyAlignment="0" applyProtection="0"/>
    <xf numFmtId="0" fontId="23" fillId="0" borderId="0" applyNumberFormat="0" applyFont="0" applyFill="0" applyAlignment="0" applyProtection="0"/>
    <xf numFmtId="0" fontId="4" fillId="0" borderId="2" applyNumberForma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78" fillId="0" borderId="0" applyNumberFormat="0" applyFill="0" applyBorder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5" fillId="0" borderId="3" applyNumberFormat="0" applyFill="0" applyAlignment="0" applyProtection="0"/>
    <xf numFmtId="0" fontId="80" fillId="0" borderId="61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10" fontId="72" fillId="64" borderId="23" applyNumberFormat="0" applyBorder="0" applyAlignment="0" applyProtection="0"/>
    <xf numFmtId="10" fontId="72" fillId="64" borderId="23" applyNumberFormat="0" applyBorder="0" applyAlignment="0" applyProtection="0"/>
    <xf numFmtId="10" fontId="72" fillId="64" borderId="23" applyNumberFormat="0" applyBorder="0" applyAlignment="0" applyProtection="0"/>
    <xf numFmtId="10" fontId="72" fillId="64" borderId="23" applyNumberFormat="0" applyBorder="0" applyAlignment="0" applyProtection="0"/>
    <xf numFmtId="0" fontId="82" fillId="48" borderId="57" applyNumberFormat="0" applyAlignment="0" applyProtection="0"/>
    <xf numFmtId="0" fontId="82" fillId="48" borderId="57" applyNumberFormat="0" applyAlignment="0" applyProtection="0"/>
    <xf numFmtId="0" fontId="82" fillId="48" borderId="57" applyNumberFormat="0" applyAlignment="0" applyProtection="0"/>
    <xf numFmtId="0" fontId="9" fillId="5" borderId="4" applyNumberFormat="0" applyAlignment="0" applyProtection="0"/>
    <xf numFmtId="0" fontId="83" fillId="48" borderId="57" applyNumberFormat="0" applyAlignment="0" applyProtection="0"/>
    <xf numFmtId="0" fontId="83" fillId="48" borderId="57" applyNumberFormat="0" applyAlignment="0" applyProtection="0"/>
    <xf numFmtId="0" fontId="82" fillId="48" borderId="57" applyNumberFormat="0" applyAlignment="0" applyProtection="0"/>
    <xf numFmtId="0" fontId="84" fillId="0" borderId="62" applyNumberFormat="0" applyFill="0" applyAlignment="0" applyProtection="0"/>
    <xf numFmtId="0" fontId="84" fillId="0" borderId="62" applyNumberFormat="0" applyFill="0" applyAlignment="0" applyProtection="0"/>
    <xf numFmtId="0" fontId="12" fillId="0" borderId="6" applyNumberFormat="0" applyFill="0" applyAlignment="0" applyProtection="0"/>
    <xf numFmtId="0" fontId="85" fillId="0" borderId="62" applyNumberFormat="0" applyFill="0" applyAlignment="0" applyProtection="0"/>
    <xf numFmtId="200" fontId="20" fillId="0" borderId="0"/>
    <xf numFmtId="200" fontId="20" fillId="0" borderId="0"/>
    <xf numFmtId="200" fontId="20" fillId="0" borderId="0"/>
    <xf numFmtId="193" fontId="20" fillId="0" borderId="0"/>
    <xf numFmtId="193" fontId="20" fillId="0" borderId="0"/>
    <xf numFmtId="193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86" fillId="65" borderId="0" applyNumberFormat="0" applyBorder="0" applyAlignment="0" applyProtection="0"/>
    <xf numFmtId="0" fontId="86" fillId="65" borderId="0" applyNumberFormat="0" applyBorder="0" applyAlignment="0" applyProtection="0"/>
    <xf numFmtId="0" fontId="8" fillId="4" borderId="0" applyNumberFormat="0" applyBorder="0" applyAlignment="0" applyProtection="0"/>
    <xf numFmtId="0" fontId="87" fillId="65" borderId="0" applyNumberFormat="0" applyBorder="0" applyAlignment="0" applyProtection="0"/>
    <xf numFmtId="198" fontId="20" fillId="0" borderId="0"/>
    <xf numFmtId="0" fontId="20" fillId="0" borderId="0"/>
    <xf numFmtId="0" fontId="20" fillId="0" borderId="0"/>
    <xf numFmtId="198" fontId="20" fillId="0" borderId="0"/>
    <xf numFmtId="198" fontId="20" fillId="0" borderId="0"/>
    <xf numFmtId="198" fontId="20" fillId="0" borderId="0"/>
    <xf numFmtId="0" fontId="20" fillId="0" borderId="0"/>
    <xf numFmtId="198" fontId="20" fillId="0" borderId="0"/>
    <xf numFmtId="198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88" fillId="0" borderId="0"/>
    <xf numFmtId="0" fontId="88" fillId="0" borderId="0"/>
    <xf numFmtId="0" fontId="64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7" fillId="0" borderId="0"/>
    <xf numFmtId="0" fontId="67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20" fillId="0" borderId="0"/>
    <xf numFmtId="0" fontId="63" fillId="0" borderId="0"/>
    <xf numFmtId="0" fontId="63" fillId="0" borderId="0"/>
    <xf numFmtId="0" fontId="1" fillId="0" borderId="0"/>
    <xf numFmtId="0" fontId="20" fillId="0" borderId="0"/>
    <xf numFmtId="0" fontId="63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89" fillId="0" borderId="0"/>
    <xf numFmtId="0" fontId="20" fillId="0" borderId="0"/>
    <xf numFmtId="0" fontId="1" fillId="0" borderId="0"/>
    <xf numFmtId="0" fontId="20" fillId="0" borderId="0"/>
    <xf numFmtId="0" fontId="64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66" borderId="63" applyNumberFormat="0" applyFont="0" applyAlignment="0" applyProtection="0"/>
    <xf numFmtId="0" fontId="20" fillId="66" borderId="63" applyNumberFormat="0" applyFont="0" applyAlignment="0" applyProtection="0"/>
    <xf numFmtId="0" fontId="20" fillId="66" borderId="63" applyNumberFormat="0" applyFont="0" applyAlignment="0" applyProtection="0"/>
    <xf numFmtId="0" fontId="1" fillId="8" borderId="8" applyNumberFormat="0" applyFont="0" applyAlignment="0" applyProtection="0"/>
    <xf numFmtId="0" fontId="67" fillId="66" borderId="63" applyNumberFormat="0" applyFont="0" applyAlignment="0" applyProtection="0"/>
    <xf numFmtId="0" fontId="90" fillId="61" borderId="64" applyNumberFormat="0" applyAlignment="0" applyProtection="0"/>
    <xf numFmtId="0" fontId="90" fillId="61" borderId="64" applyNumberFormat="0" applyAlignment="0" applyProtection="0"/>
    <xf numFmtId="0" fontId="90" fillId="61" borderId="64" applyNumberFormat="0" applyAlignment="0" applyProtection="0"/>
    <xf numFmtId="0" fontId="10" fillId="6" borderId="5" applyNumberFormat="0" applyAlignment="0" applyProtection="0"/>
    <xf numFmtId="0" fontId="91" fillId="61" borderId="64" applyNumberFormat="0" applyAlignment="0" applyProtection="0"/>
    <xf numFmtId="0" fontId="61" fillId="67" borderId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36" borderId="23" applyNumberFormat="0" applyProtection="0">
      <alignment horizontal="left" vertic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93" fillId="0" borderId="66" applyNumberFormat="0" applyFill="0" applyAlignment="0" applyProtection="0"/>
    <xf numFmtId="0" fontId="93" fillId="0" borderId="66" applyNumberFormat="0" applyFill="0" applyAlignment="0" applyProtection="0"/>
    <xf numFmtId="0" fontId="20" fillId="0" borderId="65" applyNumberFormat="0" applyFont="0" applyBorder="0" applyAlignment="0" applyProtection="0"/>
    <xf numFmtId="0" fontId="16" fillId="0" borderId="9" applyNumberFormat="0" applyFill="0" applyAlignment="0" applyProtection="0"/>
    <xf numFmtId="0" fontId="65" fillId="0" borderId="67" applyNumberFormat="0" applyFont="0" applyFill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44">
    <xf numFmtId="0" fontId="0" fillId="0" borderId="0" xfId="0"/>
    <xf numFmtId="0" fontId="19" fillId="0" borderId="0" xfId="3" applyFont="1" applyFill="1" applyBorder="1" applyAlignment="1" applyProtection="1">
      <alignment horizontal="center" vertical="center"/>
    </xf>
    <xf numFmtId="0" fontId="22" fillId="0" borderId="0" xfId="4" applyFont="1" applyFill="1"/>
    <xf numFmtId="0" fontId="23" fillId="0" borderId="0" xfId="4" applyFont="1" applyFill="1"/>
    <xf numFmtId="0" fontId="24" fillId="0" borderId="0" xfId="4" applyFont="1" applyFill="1"/>
    <xf numFmtId="0" fontId="20" fillId="0" borderId="0" xfId="4" applyFont="1" applyFill="1"/>
    <xf numFmtId="0" fontId="20" fillId="33" borderId="0" xfId="4" applyFont="1" applyFill="1" applyAlignment="1">
      <alignment horizontal="center"/>
    </xf>
    <xf numFmtId="0" fontId="20" fillId="0" borderId="0" xfId="4" applyFont="1"/>
    <xf numFmtId="0" fontId="20" fillId="0" borderId="0" xfId="4" applyFont="1" applyFill="1" applyBorder="1" applyProtection="1"/>
    <xf numFmtId="0" fontId="20" fillId="0" borderId="0" xfId="4" applyFont="1" applyFill="1" applyBorder="1" applyAlignment="1">
      <alignment vertical="center"/>
    </xf>
    <xf numFmtId="0" fontId="23" fillId="35" borderId="13" xfId="4" applyFont="1" applyFill="1" applyBorder="1" applyAlignment="1">
      <alignment horizontal="center" vertical="center" wrapText="1"/>
    </xf>
    <xf numFmtId="0" fontId="23" fillId="0" borderId="13" xfId="4" applyFont="1" applyFill="1" applyBorder="1" applyAlignment="1">
      <alignment horizontal="center" vertical="center" wrapText="1"/>
    </xf>
    <xf numFmtId="0" fontId="23" fillId="0" borderId="14" xfId="4" applyFont="1" applyFill="1" applyBorder="1" applyAlignment="1">
      <alignment horizontal="center" vertical="center" wrapText="1"/>
    </xf>
    <xf numFmtId="0" fontId="23" fillId="0" borderId="15" xfId="4" applyFont="1" applyFill="1" applyBorder="1" applyAlignment="1">
      <alignment horizontal="center" vertical="center" wrapText="1"/>
    </xf>
    <xf numFmtId="0" fontId="23" fillId="0" borderId="16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vertical="center" wrapText="1"/>
    </xf>
    <xf numFmtId="0" fontId="23" fillId="0" borderId="19" xfId="4" applyFont="1" applyFill="1" applyBorder="1" applyAlignment="1">
      <alignment horizontal="center" vertical="center" wrapText="1"/>
    </xf>
    <xf numFmtId="0" fontId="20" fillId="0" borderId="0" xfId="4" applyFont="1" applyAlignment="1">
      <alignment vertical="center" wrapText="1"/>
    </xf>
    <xf numFmtId="0" fontId="24" fillId="0" borderId="20" xfId="4" applyFont="1" applyFill="1" applyBorder="1" applyAlignment="1">
      <alignment vertical="center" wrapText="1"/>
    </xf>
    <xf numFmtId="0" fontId="24" fillId="0" borderId="21" xfId="4" applyFont="1" applyFill="1" applyBorder="1" applyAlignment="1">
      <alignment vertical="center" wrapText="1"/>
    </xf>
    <xf numFmtId="0" fontId="24" fillId="0" borderId="0" xfId="4" applyFont="1" applyFill="1" applyBorder="1" applyAlignment="1">
      <alignment vertical="center" wrapText="1"/>
    </xf>
    <xf numFmtId="0" fontId="20" fillId="0" borderId="22" xfId="4" applyFont="1" applyFill="1" applyBorder="1"/>
    <xf numFmtId="0" fontId="20" fillId="0" borderId="23" xfId="4" applyFont="1" applyFill="1" applyBorder="1"/>
    <xf numFmtId="0" fontId="20" fillId="0" borderId="24" xfId="4" applyFont="1" applyFill="1" applyBorder="1"/>
    <xf numFmtId="0" fontId="24" fillId="0" borderId="25" xfId="4" quotePrefix="1" applyFont="1" applyFill="1" applyBorder="1" applyAlignment="1">
      <alignment horizontal="center"/>
    </xf>
    <xf numFmtId="0" fontId="24" fillId="0" borderId="20" xfId="4" applyFont="1" applyFill="1" applyBorder="1"/>
    <xf numFmtId="0" fontId="24" fillId="0" borderId="21" xfId="4" applyFont="1" applyFill="1" applyBorder="1"/>
    <xf numFmtId="0" fontId="24" fillId="0" borderId="0" xfId="4" applyFont="1" applyFill="1" applyBorder="1"/>
    <xf numFmtId="0" fontId="24" fillId="0" borderId="19" xfId="4" applyFont="1" applyFill="1" applyBorder="1" applyAlignment="1">
      <alignment horizontal="center"/>
    </xf>
    <xf numFmtId="0" fontId="27" fillId="0" borderId="0" xfId="4" applyFont="1" applyFill="1"/>
    <xf numFmtId="3" fontId="27" fillId="0" borderId="0" xfId="4" applyNumberFormat="1" applyFont="1" applyFill="1"/>
    <xf numFmtId="0" fontId="24" fillId="36" borderId="22" xfId="4" applyFont="1" applyFill="1" applyBorder="1" applyAlignment="1">
      <alignment horizontal="center" vertical="center" wrapText="1"/>
    </xf>
    <xf numFmtId="0" fontId="24" fillId="36" borderId="23" xfId="4" applyFont="1" applyFill="1" applyBorder="1" applyAlignment="1">
      <alignment horizontal="center" vertical="center" wrapText="1"/>
    </xf>
    <xf numFmtId="0" fontId="24" fillId="36" borderId="24" xfId="4" applyFont="1" applyFill="1" applyBorder="1" applyAlignment="1">
      <alignment horizontal="center" vertical="center" wrapText="1"/>
    </xf>
    <xf numFmtId="0" fontId="24" fillId="0" borderId="19" xfId="4" applyFont="1" applyFill="1" applyBorder="1" applyAlignment="1">
      <alignment horizontal="center" vertical="center" wrapText="1"/>
    </xf>
    <xf numFmtId="0" fontId="24" fillId="0" borderId="0" xfId="4" applyFont="1"/>
    <xf numFmtId="0" fontId="24" fillId="0" borderId="23" xfId="4" applyFont="1" applyFill="1" applyBorder="1" applyAlignment="1">
      <alignment horizontal="center" vertical="center" wrapText="1"/>
    </xf>
    <xf numFmtId="0" fontId="28" fillId="0" borderId="0" xfId="4" applyFont="1"/>
    <xf numFmtId="0" fontId="20" fillId="0" borderId="0" xfId="4" applyFont="1" applyFill="1" applyBorder="1"/>
    <xf numFmtId="0" fontId="29" fillId="0" borderId="26" xfId="4" applyFont="1" applyFill="1" applyBorder="1" applyAlignment="1">
      <alignment horizontal="left" wrapText="1"/>
    </xf>
    <xf numFmtId="0" fontId="31" fillId="0" borderId="27" xfId="4" applyFont="1" applyFill="1" applyBorder="1" applyAlignment="1">
      <alignment horizontal="left"/>
    </xf>
    <xf numFmtId="0" fontId="20" fillId="0" borderId="28" xfId="4" applyFont="1" applyFill="1" applyBorder="1"/>
    <xf numFmtId="0" fontId="20" fillId="0" borderId="29" xfId="4" applyFont="1" applyFill="1" applyBorder="1"/>
    <xf numFmtId="0" fontId="24" fillId="0" borderId="30" xfId="4" applyFont="1" applyFill="1" applyBorder="1" applyAlignment="1">
      <alignment horizontal="center"/>
    </xf>
    <xf numFmtId="0" fontId="24" fillId="0" borderId="29" xfId="4" applyFont="1" applyFill="1" applyBorder="1"/>
    <xf numFmtId="0" fontId="24" fillId="0" borderId="30" xfId="4" applyFont="1" applyFill="1" applyBorder="1"/>
    <xf numFmtId="0" fontId="24" fillId="0" borderId="28" xfId="4" applyFont="1" applyFill="1" applyBorder="1"/>
    <xf numFmtId="0" fontId="24" fillId="0" borderId="31" xfId="4" applyFont="1" applyFill="1" applyBorder="1"/>
    <xf numFmtId="0" fontId="32" fillId="0" borderId="20" xfId="4" applyFont="1" applyFill="1" applyBorder="1" applyAlignment="1">
      <alignment wrapText="1"/>
    </xf>
    <xf numFmtId="0" fontId="24" fillId="0" borderId="32" xfId="4" applyFont="1" applyFill="1" applyBorder="1"/>
    <xf numFmtId="164" fontId="24" fillId="0" borderId="0" xfId="4" applyNumberFormat="1" applyFont="1" applyFill="1" applyBorder="1"/>
    <xf numFmtId="165" fontId="24" fillId="0" borderId="33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39" fontId="23" fillId="0" borderId="0" xfId="4" applyNumberFormat="1" applyFont="1" applyFill="1" applyBorder="1" applyAlignment="1">
      <alignment horizontal="center"/>
    </xf>
    <xf numFmtId="39" fontId="23" fillId="0" borderId="33" xfId="4" applyNumberFormat="1" applyFont="1" applyFill="1" applyBorder="1" applyAlignment="1">
      <alignment horizontal="center"/>
    </xf>
    <xf numFmtId="39" fontId="23" fillId="0" borderId="21" xfId="4" applyNumberFormat="1" applyFont="1" applyFill="1" applyBorder="1" applyAlignment="1">
      <alignment horizontal="center"/>
    </xf>
    <xf numFmtId="0" fontId="24" fillId="0" borderId="34" xfId="4" applyFont="1" applyFill="1" applyBorder="1"/>
    <xf numFmtId="166" fontId="24" fillId="0" borderId="0" xfId="4" applyNumberFormat="1" applyFont="1" applyFill="1" applyBorder="1"/>
    <xf numFmtId="166" fontId="20" fillId="0" borderId="0" xfId="4" applyNumberFormat="1" applyFont="1" applyFill="1" applyBorder="1"/>
    <xf numFmtId="0" fontId="33" fillId="0" borderId="20" xfId="4" applyFont="1" applyFill="1" applyBorder="1" applyAlignment="1">
      <alignment wrapText="1"/>
    </xf>
    <xf numFmtId="39" fontId="24" fillId="0" borderId="0" xfId="4" applyNumberFormat="1" applyFont="1" applyFill="1" applyBorder="1" applyAlignment="1">
      <alignment horizontal="center"/>
    </xf>
    <xf numFmtId="0" fontId="23" fillId="0" borderId="33" xfId="4" applyFont="1" applyFill="1" applyBorder="1" applyAlignment="1">
      <alignment horizontal="center"/>
    </xf>
    <xf numFmtId="0" fontId="23" fillId="0" borderId="21" xfId="4" quotePrefix="1" applyFont="1" applyFill="1" applyBorder="1" applyAlignment="1">
      <alignment horizontal="center"/>
    </xf>
    <xf numFmtId="2" fontId="20" fillId="0" borderId="0" xfId="4" applyNumberFormat="1" applyFont="1" applyFill="1"/>
    <xf numFmtId="167" fontId="24" fillId="0" borderId="21" xfId="4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center"/>
    </xf>
    <xf numFmtId="167" fontId="24" fillId="0" borderId="33" xfId="4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left"/>
    </xf>
    <xf numFmtId="0" fontId="23" fillId="0" borderId="21" xfId="4" applyFont="1" applyFill="1" applyBorder="1" applyAlignment="1">
      <alignment horizontal="center"/>
    </xf>
    <xf numFmtId="0" fontId="23" fillId="0" borderId="0" xfId="4" applyFont="1" applyFill="1" applyBorder="1" applyAlignment="1">
      <alignment horizontal="center"/>
    </xf>
    <xf numFmtId="0" fontId="23" fillId="0" borderId="34" xfId="4" applyFont="1" applyFill="1" applyBorder="1" applyAlignment="1">
      <alignment horizontal="center"/>
    </xf>
    <xf numFmtId="168" fontId="24" fillId="0" borderId="21" xfId="4" applyNumberFormat="1" applyFont="1" applyFill="1" applyBorder="1" applyAlignment="1">
      <alignment horizontal="center"/>
    </xf>
    <xf numFmtId="168" fontId="24" fillId="0" borderId="0" xfId="4" applyNumberFormat="1" applyFont="1" applyFill="1" applyBorder="1" applyAlignment="1">
      <alignment horizontal="center"/>
    </xf>
    <xf numFmtId="168" fontId="24" fillId="0" borderId="33" xfId="4" applyNumberFormat="1" applyFont="1" applyFill="1" applyBorder="1" applyAlignment="1">
      <alignment horizontal="center"/>
    </xf>
    <xf numFmtId="164" fontId="24" fillId="0" borderId="33" xfId="4" applyNumberFormat="1" applyFont="1" applyFill="1" applyBorder="1"/>
    <xf numFmtId="2" fontId="24" fillId="0" borderId="21" xfId="4" applyNumberFormat="1" applyFont="1" applyFill="1" applyBorder="1" applyAlignment="1">
      <alignment horizontal="center"/>
    </xf>
    <xf numFmtId="2" fontId="24" fillId="0" borderId="0" xfId="4" applyNumberFormat="1" applyFont="1" applyFill="1" applyBorder="1" applyAlignment="1">
      <alignment horizontal="center"/>
    </xf>
    <xf numFmtId="2" fontId="24" fillId="0" borderId="33" xfId="4" applyNumberFormat="1" applyFont="1" applyFill="1" applyBorder="1" applyAlignment="1">
      <alignment horizontal="center"/>
    </xf>
    <xf numFmtId="165" fontId="24" fillId="0" borderId="35" xfId="4" applyNumberFormat="1" applyFont="1" applyFill="1" applyBorder="1" applyAlignment="1">
      <alignment horizontal="center"/>
    </xf>
    <xf numFmtId="169" fontId="24" fillId="0" borderId="21" xfId="4" applyNumberFormat="1" applyFont="1" applyFill="1" applyBorder="1" applyAlignment="1">
      <alignment horizontal="center"/>
    </xf>
    <xf numFmtId="170" fontId="20" fillId="0" borderId="0" xfId="4" applyNumberFormat="1" applyFont="1" applyFill="1"/>
    <xf numFmtId="169" fontId="24" fillId="0" borderId="35" xfId="4" applyNumberFormat="1" applyFont="1" applyFill="1" applyBorder="1" applyAlignment="1">
      <alignment horizontal="center"/>
    </xf>
    <xf numFmtId="169" fontId="24" fillId="0" borderId="25" xfId="4" applyNumberFormat="1" applyFont="1" applyFill="1" applyBorder="1" applyAlignment="1">
      <alignment horizontal="center"/>
    </xf>
    <xf numFmtId="169" fontId="24" fillId="0" borderId="18" xfId="4" applyNumberFormat="1" applyFont="1" applyFill="1" applyBorder="1" applyAlignment="1">
      <alignment horizontal="center"/>
    </xf>
    <xf numFmtId="0" fontId="24" fillId="0" borderId="36" xfId="4" applyFont="1" applyFill="1" applyBorder="1"/>
    <xf numFmtId="39" fontId="24" fillId="0" borderId="33" xfId="4" applyNumberFormat="1" applyFont="1" applyFill="1" applyBorder="1" applyAlignment="1">
      <alignment horizontal="center"/>
    </xf>
    <xf numFmtId="166" fontId="24" fillId="0" borderId="34" xfId="4" applyNumberFormat="1" applyFont="1" applyFill="1" applyBorder="1"/>
    <xf numFmtId="0" fontId="24" fillId="0" borderId="33" xfId="4" applyFont="1" applyFill="1" applyBorder="1"/>
    <xf numFmtId="0" fontId="23" fillId="0" borderId="33" xfId="4" quotePrefix="1" applyFont="1" applyFill="1" applyBorder="1" applyAlignment="1">
      <alignment horizontal="center"/>
    </xf>
    <xf numFmtId="167" fontId="23" fillId="0" borderId="33" xfId="4" applyNumberFormat="1" applyFont="1" applyFill="1" applyBorder="1" applyAlignment="1">
      <alignment horizontal="center"/>
    </xf>
    <xf numFmtId="167" fontId="23" fillId="0" borderId="21" xfId="4" quotePrefix="1" applyNumberFormat="1" applyFont="1" applyFill="1" applyBorder="1" applyAlignment="1">
      <alignment horizontal="center"/>
    </xf>
    <xf numFmtId="0" fontId="24" fillId="0" borderId="37" xfId="4" applyFont="1" applyFill="1" applyBorder="1"/>
    <xf numFmtId="169" fontId="24" fillId="0" borderId="0" xfId="4" applyNumberFormat="1" applyFont="1" applyFill="1" applyBorder="1" applyAlignment="1">
      <alignment horizontal="center"/>
    </xf>
    <xf numFmtId="169" fontId="24" fillId="0" borderId="33" xfId="4" applyNumberFormat="1" applyFont="1" applyFill="1" applyBorder="1" applyAlignment="1">
      <alignment horizontal="center"/>
    </xf>
    <xf numFmtId="0" fontId="35" fillId="0" borderId="20" xfId="4" applyFont="1" applyFill="1" applyBorder="1" applyAlignment="1">
      <alignment wrapText="1"/>
    </xf>
    <xf numFmtId="164" fontId="24" fillId="0" borderId="0" xfId="4" quotePrefix="1" applyNumberFormat="1" applyFont="1" applyFill="1" applyBorder="1" applyAlignment="1">
      <alignment horizontal="left"/>
    </xf>
    <xf numFmtId="0" fontId="24" fillId="0" borderId="0" xfId="4" applyNumberFormat="1" applyFont="1" applyFill="1" applyBorder="1"/>
    <xf numFmtId="0" fontId="20" fillId="0" borderId="0" xfId="4" applyNumberFormat="1" applyFont="1" applyFill="1" applyBorder="1"/>
    <xf numFmtId="0" fontId="36" fillId="0" borderId="20" xfId="4" applyFont="1" applyFill="1" applyBorder="1" applyAlignment="1">
      <alignment wrapText="1"/>
    </xf>
    <xf numFmtId="0" fontId="33" fillId="0" borderId="17" xfId="4" applyFont="1" applyFill="1" applyBorder="1" applyAlignment="1">
      <alignment wrapText="1"/>
    </xf>
    <xf numFmtId="164" fontId="24" fillId="0" borderId="35" xfId="4" applyNumberFormat="1" applyFont="1" applyFill="1" applyBorder="1"/>
    <xf numFmtId="171" fontId="24" fillId="0" borderId="25" xfId="4" applyNumberFormat="1" applyFont="1" applyFill="1" applyBorder="1" applyAlignment="1">
      <alignment horizontal="center"/>
    </xf>
    <xf numFmtId="39" fontId="24" fillId="0" borderId="35" xfId="4" applyNumberFormat="1" applyFont="1" applyFill="1" applyBorder="1" applyAlignment="1">
      <alignment horizontal="center"/>
    </xf>
    <xf numFmtId="39" fontId="24" fillId="0" borderId="25" xfId="4" applyNumberFormat="1" applyFont="1" applyFill="1" applyBorder="1" applyAlignment="1">
      <alignment horizontal="center"/>
    </xf>
    <xf numFmtId="39" fontId="24" fillId="0" borderId="18" xfId="4" applyNumberFormat="1" applyFont="1" applyFill="1" applyBorder="1" applyAlignment="1">
      <alignment horizontal="center"/>
    </xf>
    <xf numFmtId="0" fontId="24" fillId="0" borderId="21" xfId="4" applyFont="1" applyFill="1" applyBorder="1" applyAlignment="1">
      <alignment horizontal="center"/>
    </xf>
    <xf numFmtId="166" fontId="24" fillId="0" borderId="36" xfId="4" applyNumberFormat="1" applyFont="1" applyFill="1" applyBorder="1"/>
    <xf numFmtId="39" fontId="24" fillId="0" borderId="20" xfId="4" applyNumberFormat="1" applyFont="1" applyFill="1" applyBorder="1" applyAlignment="1">
      <alignment horizontal="center"/>
    </xf>
    <xf numFmtId="166" fontId="24" fillId="0" borderId="21" xfId="4" applyNumberFormat="1" applyFont="1" applyFill="1" applyBorder="1"/>
    <xf numFmtId="167" fontId="24" fillId="0" borderId="20" xfId="4" applyNumberFormat="1" applyFont="1" applyFill="1" applyBorder="1" applyAlignment="1">
      <alignment horizontal="center"/>
    </xf>
    <xf numFmtId="0" fontId="23" fillId="0" borderId="20" xfId="4" applyFont="1" applyFill="1" applyBorder="1" applyAlignment="1">
      <alignment horizontal="center"/>
    </xf>
    <xf numFmtId="0" fontId="23" fillId="0" borderId="20" xfId="4" quotePrefix="1" applyFont="1" applyFill="1" applyBorder="1" applyAlignment="1">
      <alignment horizontal="center"/>
    </xf>
    <xf numFmtId="0" fontId="20" fillId="0" borderId="34" xfId="4" applyFont="1" applyFill="1" applyBorder="1"/>
    <xf numFmtId="168" fontId="24" fillId="0" borderId="20" xfId="4" applyNumberFormat="1" applyFont="1" applyFill="1" applyBorder="1" applyAlignment="1">
      <alignment horizontal="center"/>
    </xf>
    <xf numFmtId="2" fontId="24" fillId="0" borderId="20" xfId="4" applyNumberFormat="1" applyFont="1" applyFill="1" applyBorder="1" applyAlignment="1">
      <alignment horizontal="center"/>
    </xf>
    <xf numFmtId="0" fontId="33" fillId="0" borderId="38" xfId="4" applyFont="1" applyFill="1" applyBorder="1" applyAlignment="1">
      <alignment wrapText="1"/>
    </xf>
    <xf numFmtId="0" fontId="24" fillId="0" borderId="39" xfId="4" applyFont="1" applyFill="1" applyBorder="1"/>
    <xf numFmtId="164" fontId="24" fillId="0" borderId="40" xfId="4" applyNumberFormat="1" applyFont="1" applyFill="1" applyBorder="1"/>
    <xf numFmtId="165" fontId="24" fillId="0" borderId="40" xfId="4" applyNumberFormat="1" applyFont="1" applyFill="1" applyBorder="1" applyAlignment="1">
      <alignment horizontal="center"/>
    </xf>
    <xf numFmtId="169" fontId="24" fillId="0" borderId="41" xfId="4" applyNumberFormat="1" applyFont="1" applyFill="1" applyBorder="1" applyAlignment="1">
      <alignment horizontal="center"/>
    </xf>
    <xf numFmtId="169" fontId="24" fillId="0" borderId="20" xfId="4" applyNumberFormat="1" applyFont="1" applyFill="1" applyBorder="1" applyAlignment="1">
      <alignment horizontal="center"/>
    </xf>
    <xf numFmtId="0" fontId="20" fillId="0" borderId="0" xfId="4" applyFont="1" applyBorder="1"/>
    <xf numFmtId="0" fontId="35" fillId="0" borderId="0" xfId="4" applyFont="1" applyFill="1" applyBorder="1" applyAlignment="1">
      <alignment wrapText="1"/>
    </xf>
    <xf numFmtId="0" fontId="37" fillId="0" borderId="0" xfId="4" applyFont="1"/>
    <xf numFmtId="0" fontId="38" fillId="0" borderId="0" xfId="4" applyFont="1"/>
    <xf numFmtId="43" fontId="20" fillId="0" borderId="0" xfId="5" applyFont="1" applyFill="1"/>
    <xf numFmtId="172" fontId="20" fillId="0" borderId="0" xfId="5" applyNumberFormat="1" applyFont="1" applyFill="1"/>
    <xf numFmtId="0" fontId="24" fillId="0" borderId="0" xfId="4" applyFont="1" applyFill="1" applyBorder="1" applyAlignment="1" applyProtection="1">
      <alignment horizontal="left" indent="14"/>
    </xf>
    <xf numFmtId="0" fontId="20" fillId="0" borderId="0" xfId="4" applyFont="1" applyFill="1" applyBorder="1" applyAlignment="1" applyProtection="1">
      <alignment horizontal="left" indent="3"/>
    </xf>
    <xf numFmtId="0" fontId="25" fillId="0" borderId="0" xfId="4" applyFont="1" applyFill="1" applyBorder="1" applyAlignment="1">
      <alignment horizontal="left" indent="1"/>
    </xf>
    <xf numFmtId="0" fontId="39" fillId="0" borderId="0" xfId="4" quotePrefix="1" applyFont="1" applyFill="1" applyBorder="1" applyAlignment="1">
      <alignment horizontal="left" indent="3"/>
    </xf>
    <xf numFmtId="0" fontId="39" fillId="0" borderId="0" xfId="4" applyFont="1" applyFill="1" applyBorder="1" applyAlignment="1">
      <alignment horizontal="left" indent="3"/>
    </xf>
    <xf numFmtId="0" fontId="20" fillId="0" borderId="0" xfId="4" applyFont="1" applyFill="1" applyBorder="1" applyAlignment="1">
      <alignment horizontal="left"/>
    </xf>
    <xf numFmtId="0" fontId="40" fillId="0" borderId="0" xfId="4" applyFont="1" applyFill="1" applyBorder="1" applyAlignment="1">
      <alignment horizontal="center" vertical="center" wrapText="1"/>
    </xf>
    <xf numFmtId="0" fontId="41" fillId="0" borderId="0" xfId="4" applyFont="1" applyFill="1" applyBorder="1" applyAlignment="1">
      <alignment horizontal="left"/>
    </xf>
    <xf numFmtId="0" fontId="42" fillId="0" borderId="0" xfId="4" applyFont="1" applyFill="1" applyAlignment="1">
      <alignment horizontal="left" vertical="center"/>
    </xf>
    <xf numFmtId="0" fontId="43" fillId="0" borderId="0" xfId="4" applyFont="1" applyFill="1" applyAlignment="1">
      <alignment horizontal="left" vertical="center"/>
    </xf>
    <xf numFmtId="0" fontId="43" fillId="0" borderId="11" xfId="4" applyFont="1" applyFill="1" applyBorder="1" applyAlignment="1">
      <alignment horizontal="left" vertical="center"/>
    </xf>
    <xf numFmtId="0" fontId="42" fillId="0" borderId="12" xfId="4" applyFont="1" applyFill="1" applyBorder="1" applyAlignment="1">
      <alignment horizontal="left" vertical="center"/>
    </xf>
    <xf numFmtId="172" fontId="23" fillId="0" borderId="13" xfId="4" applyNumberFormat="1" applyFont="1" applyFill="1" applyBorder="1" applyAlignment="1">
      <alignment horizontal="center" vertical="center" wrapText="1"/>
    </xf>
    <xf numFmtId="0" fontId="23" fillId="0" borderId="11" xfId="4" applyFont="1" applyFill="1" applyBorder="1" applyAlignment="1">
      <alignment horizontal="center" vertical="center" wrapText="1"/>
    </xf>
    <xf numFmtId="0" fontId="23" fillId="0" borderId="42" xfId="4" applyFont="1" applyFill="1" applyBorder="1" applyAlignment="1">
      <alignment horizontal="center" vertical="center" wrapText="1"/>
    </xf>
    <xf numFmtId="0" fontId="23" fillId="0" borderId="0" xfId="4" applyFont="1" applyFill="1" applyBorder="1" applyAlignment="1">
      <alignment horizontal="center" vertical="center" wrapText="1"/>
    </xf>
    <xf numFmtId="43" fontId="44" fillId="0" borderId="11" xfId="5" applyFont="1" applyFill="1" applyBorder="1" applyAlignment="1">
      <alignment horizontal="center" wrapText="1"/>
    </xf>
    <xf numFmtId="43" fontId="44" fillId="0" borderId="12" xfId="5" applyFont="1" applyFill="1" applyBorder="1" applyAlignment="1">
      <alignment horizontal="center" wrapText="1"/>
    </xf>
    <xf numFmtId="0" fontId="44" fillId="0" borderId="12" xfId="4" applyFont="1" applyFill="1" applyBorder="1" applyAlignment="1">
      <alignment horizontal="center" wrapText="1"/>
    </xf>
    <xf numFmtId="0" fontId="45" fillId="0" borderId="12" xfId="4" applyFont="1" applyFill="1" applyBorder="1" applyAlignment="1">
      <alignment horizontal="center" wrapText="1"/>
    </xf>
    <xf numFmtId="0" fontId="44" fillId="0" borderId="42" xfId="4" applyFont="1" applyFill="1" applyBorder="1" applyAlignment="1">
      <alignment horizontal="center" wrapText="1"/>
    </xf>
    <xf numFmtId="0" fontId="42" fillId="0" borderId="0" xfId="4" applyFont="1" applyFill="1" applyAlignment="1">
      <alignment horizontal="left" vertical="center" wrapText="1"/>
    </xf>
    <xf numFmtId="0" fontId="43" fillId="0" borderId="20" xfId="4" applyFont="1" applyFill="1" applyBorder="1" applyAlignment="1">
      <alignment horizontal="left" vertical="center" wrapText="1"/>
    </xf>
    <xf numFmtId="0" fontId="42" fillId="0" borderId="0" xfId="4" applyFont="1" applyFill="1" applyBorder="1" applyAlignment="1">
      <alignment horizontal="left" vertical="center" wrapText="1"/>
    </xf>
    <xf numFmtId="172" fontId="23" fillId="0" borderId="19" xfId="4" applyNumberFormat="1" applyFont="1" applyFill="1" applyBorder="1" applyAlignment="1">
      <alignment horizontal="center" vertical="center" wrapText="1"/>
    </xf>
    <xf numFmtId="0" fontId="23" fillId="0" borderId="20" xfId="4" applyFont="1" applyFill="1" applyBorder="1" applyAlignment="1">
      <alignment horizontal="center" vertical="center" wrapText="1"/>
    </xf>
    <xf numFmtId="0" fontId="23" fillId="0" borderId="43" xfId="4" applyFont="1" applyFill="1" applyBorder="1" applyAlignment="1">
      <alignment horizontal="center" vertical="center" wrapText="1"/>
    </xf>
    <xf numFmtId="0" fontId="20" fillId="0" borderId="20" xfId="4" applyFont="1" applyFill="1" applyBorder="1" applyAlignment="1">
      <alignment vertical="center" wrapText="1"/>
    </xf>
    <xf numFmtId="0" fontId="20" fillId="0" borderId="43" xfId="4" applyFont="1" applyFill="1" applyBorder="1" applyAlignment="1">
      <alignment vertical="center" wrapText="1"/>
    </xf>
    <xf numFmtId="0" fontId="20" fillId="0" borderId="0" xfId="4" applyFont="1" applyFill="1" applyAlignment="1">
      <alignment vertical="center" wrapText="1"/>
    </xf>
    <xf numFmtId="0" fontId="23" fillId="0" borderId="17" xfId="4" applyFont="1" applyFill="1" applyBorder="1" applyAlignment="1">
      <alignment horizontal="center" wrapText="1"/>
    </xf>
    <xf numFmtId="0" fontId="23" fillId="0" borderId="17" xfId="4" quotePrefix="1" applyFont="1" applyFill="1" applyBorder="1" applyAlignment="1">
      <alignment horizontal="center"/>
    </xf>
    <xf numFmtId="172" fontId="24" fillId="0" borderId="25" xfId="4" applyNumberFormat="1" applyFont="1" applyFill="1" applyBorder="1" applyAlignment="1">
      <alignment horizontal="center"/>
    </xf>
    <xf numFmtId="0" fontId="29" fillId="0" borderId="20" xfId="4" applyFont="1" applyFill="1" applyBorder="1" applyAlignment="1">
      <alignment horizontal="center" wrapText="1"/>
    </xf>
    <xf numFmtId="0" fontId="29" fillId="0" borderId="43" xfId="4" applyFont="1" applyFill="1" applyBorder="1" applyAlignment="1">
      <alignment horizontal="center"/>
    </xf>
    <xf numFmtId="0" fontId="24" fillId="0" borderId="0" xfId="4" applyFont="1" applyFill="1" applyBorder="1" applyAlignment="1">
      <alignment horizontal="center"/>
    </xf>
    <xf numFmtId="43" fontId="20" fillId="0" borderId="20" xfId="5" applyFont="1" applyFill="1" applyBorder="1"/>
    <xf numFmtId="43" fontId="20" fillId="0" borderId="0" xfId="5" applyFont="1" applyFill="1" applyBorder="1"/>
    <xf numFmtId="0" fontId="20" fillId="0" borderId="43" xfId="4" applyFont="1" applyFill="1" applyBorder="1"/>
    <xf numFmtId="0" fontId="24" fillId="0" borderId="22" xfId="4" applyFont="1" applyFill="1" applyBorder="1" applyAlignment="1">
      <alignment horizontal="center"/>
    </xf>
    <xf numFmtId="172" fontId="24" fillId="0" borderId="19" xfId="4" applyNumberFormat="1" applyFont="1" applyFill="1" applyBorder="1" applyAlignment="1">
      <alignment horizontal="center"/>
    </xf>
    <xf numFmtId="0" fontId="24" fillId="0" borderId="20" xfId="4" applyFont="1" applyFill="1" applyBorder="1" applyAlignment="1">
      <alignment horizontal="center"/>
    </xf>
    <xf numFmtId="0" fontId="24" fillId="0" borderId="43" xfId="4" applyFont="1" applyFill="1" applyBorder="1" applyAlignment="1">
      <alignment horizontal="center"/>
    </xf>
    <xf numFmtId="0" fontId="46" fillId="0" borderId="0" xfId="4" applyFont="1" applyFill="1" applyAlignment="1">
      <alignment vertical="center"/>
    </xf>
    <xf numFmtId="0" fontId="24" fillId="0" borderId="22" xfId="4" applyFont="1" applyFill="1" applyBorder="1" applyAlignment="1">
      <alignment horizontal="left" vertical="center" wrapText="1"/>
    </xf>
    <xf numFmtId="0" fontId="24" fillId="0" borderId="24" xfId="4" applyFont="1" applyFill="1" applyBorder="1" applyAlignment="1">
      <alignment horizontal="center" vertical="center" wrapText="1"/>
    </xf>
    <xf numFmtId="0" fontId="47" fillId="0" borderId="23" xfId="4" applyFont="1" applyFill="1" applyBorder="1" applyAlignment="1">
      <alignment vertical="center"/>
    </xf>
    <xf numFmtId="0" fontId="24" fillId="0" borderId="22" xfId="4" applyFont="1" applyFill="1" applyBorder="1" applyAlignment="1">
      <alignment horizontal="center" vertical="center" wrapText="1"/>
    </xf>
    <xf numFmtId="172" fontId="24" fillId="0" borderId="19" xfId="4" applyNumberFormat="1" applyFont="1" applyFill="1" applyBorder="1" applyAlignment="1">
      <alignment horizontal="center" vertical="center" wrapText="1"/>
    </xf>
    <xf numFmtId="0" fontId="24" fillId="0" borderId="20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4" fillId="0" borderId="0" xfId="4" applyFont="1" applyFill="1" applyBorder="1" applyAlignment="1">
      <alignment horizontal="center" vertical="center" wrapText="1"/>
    </xf>
    <xf numFmtId="43" fontId="20" fillId="0" borderId="17" xfId="5" applyFont="1" applyFill="1" applyBorder="1"/>
    <xf numFmtId="43" fontId="20" fillId="0" borderId="18" xfId="5" applyFont="1" applyFill="1" applyBorder="1"/>
    <xf numFmtId="0" fontId="20" fillId="0" borderId="18" xfId="4" applyFont="1" applyFill="1" applyBorder="1"/>
    <xf numFmtId="0" fontId="24" fillId="0" borderId="18" xfId="4" applyFont="1" applyFill="1" applyBorder="1" applyAlignment="1">
      <alignment horizontal="center" vertical="center" wrapText="1"/>
    </xf>
    <xf numFmtId="0" fontId="20" fillId="0" borderId="44" xfId="4" applyFont="1" applyFill="1" applyBorder="1"/>
    <xf numFmtId="0" fontId="33" fillId="0" borderId="26" xfId="4" applyFont="1" applyFill="1" applyBorder="1" applyAlignment="1">
      <alignment horizontal="left" wrapText="1"/>
    </xf>
    <xf numFmtId="0" fontId="20" fillId="0" borderId="27" xfId="4" applyFont="1" applyFill="1" applyBorder="1"/>
    <xf numFmtId="0" fontId="24" fillId="0" borderId="26" xfId="4" applyFont="1" applyFill="1" applyBorder="1" applyAlignment="1">
      <alignment horizontal="center"/>
    </xf>
    <xf numFmtId="172" fontId="24" fillId="0" borderId="30" xfId="4" applyNumberFormat="1" applyFont="1" applyFill="1" applyBorder="1" applyAlignment="1">
      <alignment horizontal="center"/>
    </xf>
    <xf numFmtId="173" fontId="20" fillId="0" borderId="20" xfId="6" applyNumberFormat="1" applyFont="1" applyFill="1" applyBorder="1"/>
    <xf numFmtId="173" fontId="20" fillId="0" borderId="0" xfId="6" applyNumberFormat="1" applyFont="1" applyFill="1" applyBorder="1"/>
    <xf numFmtId="173" fontId="20" fillId="0" borderId="0" xfId="6" applyNumberFormat="1" applyFont="1" applyFill="1" applyBorder="1" applyAlignment="1">
      <alignment horizontal="center"/>
    </xf>
    <xf numFmtId="173" fontId="20" fillId="0" borderId="43" xfId="6" applyNumberFormat="1" applyFont="1" applyFill="1" applyBorder="1"/>
    <xf numFmtId="0" fontId="20" fillId="0" borderId="32" xfId="4" applyFont="1" applyFill="1" applyBorder="1"/>
    <xf numFmtId="164" fontId="24" fillId="0" borderId="32" xfId="4" applyNumberFormat="1" applyFont="1" applyFill="1" applyBorder="1"/>
    <xf numFmtId="165" fontId="24" fillId="0" borderId="0" xfId="4" applyNumberFormat="1" applyFont="1" applyFill="1" applyBorder="1" applyAlignment="1">
      <alignment horizontal="center"/>
    </xf>
    <xf numFmtId="174" fontId="24" fillId="0" borderId="21" xfId="7" applyNumberFormat="1" applyFont="1" applyFill="1" applyBorder="1" applyAlignment="1">
      <alignment horizontal="center"/>
    </xf>
    <xf numFmtId="10" fontId="24" fillId="0" borderId="21" xfId="8" applyNumberFormat="1" applyFont="1" applyFill="1" applyBorder="1" applyAlignment="1">
      <alignment horizontal="center"/>
    </xf>
    <xf numFmtId="175" fontId="24" fillId="0" borderId="20" xfId="4" applyNumberFormat="1" applyFont="1" applyFill="1" applyBorder="1" applyAlignment="1">
      <alignment horizontal="center"/>
    </xf>
    <xf numFmtId="175" fontId="24" fillId="0" borderId="43" xfId="4" applyNumberFormat="1" applyFont="1" applyFill="1" applyBorder="1" applyAlignment="1">
      <alignment horizontal="center"/>
    </xf>
    <xf numFmtId="175" fontId="24" fillId="0" borderId="0" xfId="4" applyNumberFormat="1" applyFont="1" applyFill="1" applyBorder="1" applyAlignment="1">
      <alignment horizontal="center"/>
    </xf>
    <xf numFmtId="176" fontId="20" fillId="0" borderId="0" xfId="4" applyNumberFormat="1" applyFont="1" applyFill="1"/>
    <xf numFmtId="177" fontId="24" fillId="0" borderId="21" xfId="7" applyNumberFormat="1" applyFont="1" applyFill="1" applyBorder="1" applyAlignment="1">
      <alignment horizontal="center"/>
    </xf>
    <xf numFmtId="164" fontId="24" fillId="37" borderId="0" xfId="4" applyNumberFormat="1" applyFont="1" applyFill="1" applyBorder="1"/>
    <xf numFmtId="175" fontId="20" fillId="0" borderId="43" xfId="4" applyNumberFormat="1" applyFont="1" applyFill="1" applyBorder="1" applyAlignment="1">
      <alignment horizontal="left"/>
    </xf>
    <xf numFmtId="173" fontId="20" fillId="0" borderId="20" xfId="6" applyNumberFormat="1" applyFont="1" applyFill="1" applyBorder="1" applyAlignment="1">
      <alignment horizontal="center"/>
    </xf>
    <xf numFmtId="9" fontId="24" fillId="0" borderId="21" xfId="8" applyFont="1" applyFill="1" applyBorder="1" applyAlignment="1">
      <alignment horizontal="center"/>
    </xf>
    <xf numFmtId="173" fontId="20" fillId="0" borderId="17" xfId="6" applyNumberFormat="1" applyFont="1" applyFill="1" applyBorder="1" applyAlignment="1">
      <alignment horizontal="center"/>
    </xf>
    <xf numFmtId="173" fontId="20" fillId="0" borderId="18" xfId="6" applyNumberFormat="1" applyFont="1" applyFill="1" applyBorder="1" applyAlignment="1">
      <alignment horizontal="center"/>
    </xf>
    <xf numFmtId="173" fontId="20" fillId="0" borderId="18" xfId="6" applyNumberFormat="1" applyFont="1" applyFill="1" applyBorder="1"/>
    <xf numFmtId="173" fontId="20" fillId="0" borderId="44" xfId="6" applyNumberFormat="1" applyFont="1" applyFill="1" applyBorder="1"/>
    <xf numFmtId="177" fontId="24" fillId="0" borderId="30" xfId="7" applyNumberFormat="1" applyFont="1" applyFill="1" applyBorder="1" applyAlignment="1">
      <alignment horizontal="center"/>
    </xf>
    <xf numFmtId="9" fontId="24" fillId="38" borderId="21" xfId="8" applyFont="1" applyFill="1" applyBorder="1" applyAlignment="1">
      <alignment horizontal="center"/>
    </xf>
    <xf numFmtId="178" fontId="24" fillId="0" borderId="20" xfId="5" applyNumberFormat="1" applyFont="1" applyFill="1" applyBorder="1" applyAlignment="1">
      <alignment horizontal="center"/>
    </xf>
    <xf numFmtId="178" fontId="24" fillId="0" borderId="0" xfId="5" applyNumberFormat="1" applyFont="1" applyFill="1" applyBorder="1" applyAlignment="1">
      <alignment horizontal="center"/>
    </xf>
    <xf numFmtId="0" fontId="20" fillId="0" borderId="45" xfId="4" applyFont="1" applyFill="1" applyBorder="1"/>
    <xf numFmtId="0" fontId="20" fillId="0" borderId="39" xfId="4" applyFont="1" applyFill="1" applyBorder="1"/>
    <xf numFmtId="164" fontId="24" fillId="0" borderId="39" xfId="4" applyNumberFormat="1" applyFont="1" applyFill="1" applyBorder="1"/>
    <xf numFmtId="2" fontId="24" fillId="0" borderId="41" xfId="4" applyNumberFormat="1" applyFont="1" applyFill="1" applyBorder="1" applyAlignment="1">
      <alignment horizontal="center"/>
    </xf>
    <xf numFmtId="177" fontId="24" fillId="0" borderId="41" xfId="7" applyNumberFormat="1" applyFont="1" applyFill="1" applyBorder="1" applyAlignment="1">
      <alignment horizontal="center"/>
    </xf>
    <xf numFmtId="9" fontId="24" fillId="0" borderId="41" xfId="8" applyFont="1" applyFill="1" applyBorder="1" applyAlignment="1">
      <alignment horizontal="center"/>
    </xf>
    <xf numFmtId="39" fontId="24" fillId="0" borderId="38" xfId="4" applyNumberFormat="1" applyFont="1" applyFill="1" applyBorder="1" applyAlignment="1">
      <alignment horizontal="center"/>
    </xf>
    <xf numFmtId="39" fontId="24" fillId="0" borderId="10" xfId="4" applyNumberFormat="1" applyFont="1" applyFill="1" applyBorder="1" applyAlignment="1">
      <alignment horizontal="center"/>
    </xf>
    <xf numFmtId="0" fontId="20" fillId="0" borderId="10" xfId="4" applyFont="1" applyFill="1" applyBorder="1"/>
    <xf numFmtId="0" fontId="20" fillId="0" borderId="46" xfId="4" applyFont="1" applyFill="1" applyBorder="1"/>
    <xf numFmtId="0" fontId="33" fillId="0" borderId="11" xfId="4" applyFont="1" applyFill="1" applyBorder="1" applyAlignment="1">
      <alignment horizontal="left" wrapText="1"/>
    </xf>
    <xf numFmtId="0" fontId="31" fillId="0" borderId="47" xfId="4" applyFont="1" applyFill="1" applyBorder="1" applyAlignment="1">
      <alignment horizontal="left"/>
    </xf>
    <xf numFmtId="0" fontId="20" fillId="0" borderId="12" xfId="4" applyFont="1" applyFill="1" applyBorder="1"/>
    <xf numFmtId="0" fontId="20" fillId="0" borderId="47" xfId="4" applyFont="1" applyFill="1" applyBorder="1"/>
    <xf numFmtId="0" fontId="24" fillId="0" borderId="11" xfId="4" applyFont="1" applyFill="1" applyBorder="1" applyAlignment="1">
      <alignment horizontal="center"/>
    </xf>
    <xf numFmtId="177" fontId="24" fillId="0" borderId="13" xfId="7" applyNumberFormat="1" applyFont="1" applyFill="1" applyBorder="1" applyAlignment="1">
      <alignment horizontal="center"/>
    </xf>
    <xf numFmtId="0" fontId="20" fillId="0" borderId="20" xfId="4" applyFont="1" applyFill="1" applyBorder="1"/>
    <xf numFmtId="179" fontId="24" fillId="0" borderId="20" xfId="4" applyNumberFormat="1" applyFont="1" applyFill="1" applyBorder="1" applyAlignment="1">
      <alignment horizontal="center"/>
    </xf>
    <xf numFmtId="43" fontId="20" fillId="0" borderId="43" xfId="5" applyFont="1" applyFill="1" applyBorder="1"/>
    <xf numFmtId="164" fontId="24" fillId="0" borderId="10" xfId="4" quotePrefix="1" applyNumberFormat="1" applyFont="1" applyFill="1" applyBorder="1" applyAlignment="1">
      <alignment horizontal="left"/>
    </xf>
    <xf numFmtId="179" fontId="24" fillId="0" borderId="38" xfId="4" applyNumberFormat="1" applyFont="1" applyFill="1" applyBorder="1" applyAlignment="1">
      <alignment horizontal="center"/>
    </xf>
    <xf numFmtId="0" fontId="32" fillId="0" borderId="14" xfId="4" applyFont="1" applyFill="1" applyBorder="1" applyAlignment="1">
      <alignment horizontal="left" wrapText="1"/>
    </xf>
    <xf numFmtId="0" fontId="49" fillId="0" borderId="48" xfId="4" applyFont="1" applyFill="1" applyBorder="1" applyAlignment="1">
      <alignment horizontal="left"/>
    </xf>
    <xf numFmtId="164" fontId="32" fillId="0" borderId="16" xfId="4" applyNumberFormat="1" applyFont="1" applyFill="1" applyBorder="1" applyAlignment="1">
      <alignment horizontal="left"/>
    </xf>
    <xf numFmtId="164" fontId="32" fillId="0" borderId="48" xfId="4" applyNumberFormat="1" applyFont="1" applyFill="1" applyBorder="1"/>
    <xf numFmtId="165" fontId="32" fillId="0" borderId="16" xfId="4" applyNumberFormat="1" applyFont="1" applyFill="1" applyBorder="1" applyAlignment="1">
      <alignment horizontal="center"/>
    </xf>
    <xf numFmtId="39" fontId="32" fillId="0" borderId="14" xfId="4" applyNumberFormat="1" applyFont="1" applyFill="1" applyBorder="1" applyAlignment="1">
      <alignment horizontal="center"/>
    </xf>
    <xf numFmtId="174" fontId="24" fillId="0" borderId="15" xfId="7" applyNumberFormat="1" applyFont="1" applyFill="1" applyBorder="1" applyAlignment="1">
      <alignment horizontal="center"/>
    </xf>
    <xf numFmtId="43" fontId="20" fillId="0" borderId="38" xfId="5" applyFont="1" applyFill="1" applyBorder="1"/>
    <xf numFmtId="43" fontId="20" fillId="0" borderId="46" xfId="5" applyFont="1" applyFill="1" applyBorder="1"/>
    <xf numFmtId="43" fontId="20" fillId="0" borderId="10" xfId="5" applyFont="1" applyFill="1" applyBorder="1"/>
    <xf numFmtId="0" fontId="40" fillId="0" borderId="0" xfId="4" applyFont="1" applyFill="1"/>
    <xf numFmtId="0" fontId="40" fillId="0" borderId="0" xfId="4" applyFont="1" applyAlignment="1" applyProtection="1">
      <alignment horizontal="right"/>
      <protection locked="0"/>
    </xf>
    <xf numFmtId="0" fontId="40" fillId="39" borderId="0" xfId="4" applyFont="1" applyFill="1" applyAlignment="1" applyProtection="1">
      <alignment vertical="center"/>
      <protection locked="0"/>
    </xf>
    <xf numFmtId="180" fontId="40" fillId="38" borderId="0" xfId="1" applyNumberFormat="1" applyFont="1" applyFill="1" applyBorder="1" applyAlignment="1" applyProtection="1">
      <protection locked="0"/>
    </xf>
    <xf numFmtId="0" fontId="23" fillId="0" borderId="0" xfId="4" applyFont="1" applyAlignment="1" applyProtection="1">
      <alignment horizontal="center"/>
      <protection locked="0"/>
    </xf>
    <xf numFmtId="181" fontId="40" fillId="40" borderId="0" xfId="1" applyNumberFormat="1" applyFont="1" applyFill="1" applyBorder="1" applyAlignment="1" applyProtection="1">
      <protection locked="0"/>
    </xf>
    <xf numFmtId="0" fontId="40" fillId="0" borderId="0" xfId="4" applyFont="1" applyAlignment="1" applyProtection="1">
      <alignment horizontal="center" vertical="center"/>
      <protection locked="0"/>
    </xf>
    <xf numFmtId="0" fontId="20" fillId="0" borderId="0" xfId="4" applyAlignment="1" applyProtection="1">
      <protection locked="0"/>
    </xf>
    <xf numFmtId="0" fontId="40" fillId="0" borderId="0" xfId="4" applyFont="1" applyAlignment="1" applyProtection="1">
      <protection locked="0"/>
    </xf>
    <xf numFmtId="0" fontId="40" fillId="0" borderId="18" xfId="4" applyFont="1" applyBorder="1" applyAlignment="1" applyProtection="1">
      <alignment horizontal="right"/>
      <protection locked="0"/>
    </xf>
    <xf numFmtId="0" fontId="40" fillId="40" borderId="18" xfId="4" applyFont="1" applyFill="1" applyBorder="1" applyAlignment="1" applyProtection="1">
      <protection locked="0"/>
    </xf>
    <xf numFmtId="0" fontId="40" fillId="0" borderId="18" xfId="4" applyFont="1" applyBorder="1" applyAlignment="1" applyProtection="1">
      <alignment horizontal="center" vertical="center"/>
      <protection locked="0"/>
    </xf>
    <xf numFmtId="0" fontId="20" fillId="0" borderId="0" xfId="4" applyFont="1" applyAlignment="1" applyProtection="1"/>
    <xf numFmtId="0" fontId="20" fillId="0" borderId="32" xfId="4" applyFill="1" applyBorder="1" applyAlignment="1" applyProtection="1"/>
    <xf numFmtId="0" fontId="40" fillId="0" borderId="27" xfId="4" applyFont="1" applyBorder="1" applyAlignment="1" applyProtection="1">
      <alignment horizontal="center"/>
    </xf>
    <xf numFmtId="0" fontId="40" fillId="0" borderId="0" xfId="4" applyFont="1" applyBorder="1" applyAlignment="1" applyProtection="1">
      <alignment horizontal="center"/>
    </xf>
    <xf numFmtId="0" fontId="20" fillId="0" borderId="32" xfId="4" applyFont="1" applyFill="1" applyBorder="1" applyAlignment="1" applyProtection="1"/>
    <xf numFmtId="0" fontId="40" fillId="0" borderId="51" xfId="4" applyFont="1" applyBorder="1" applyAlignment="1" applyProtection="1">
      <alignment horizontal="center"/>
    </xf>
    <xf numFmtId="0" fontId="40" fillId="0" borderId="29" xfId="4" applyFont="1" applyBorder="1" applyAlignment="1" applyProtection="1">
      <alignment horizontal="center"/>
    </xf>
    <xf numFmtId="0" fontId="40" fillId="0" borderId="51" xfId="4" applyFont="1" applyFill="1" applyBorder="1" applyAlignment="1" applyProtection="1"/>
    <xf numFmtId="0" fontId="40" fillId="0" borderId="27" xfId="4" applyFont="1" applyFill="1" applyBorder="1" applyAlignment="1" applyProtection="1"/>
    <xf numFmtId="0" fontId="40" fillId="0" borderId="37" xfId="4" quotePrefix="1" applyFont="1" applyBorder="1" applyAlignment="1" applyProtection="1">
      <alignment horizontal="center"/>
    </xf>
    <xf numFmtId="0" fontId="40" fillId="0" borderId="18" xfId="4" quotePrefix="1" applyFont="1" applyBorder="1" applyAlignment="1" applyProtection="1">
      <alignment horizontal="center"/>
    </xf>
    <xf numFmtId="0" fontId="40" fillId="0" borderId="52" xfId="4" quotePrefix="1" applyFont="1" applyBorder="1" applyAlignment="1" applyProtection="1">
      <alignment horizontal="center"/>
    </xf>
    <xf numFmtId="0" fontId="40" fillId="0" borderId="35" xfId="4" quotePrefix="1" applyFont="1" applyBorder="1" applyAlignment="1" applyProtection="1">
      <alignment horizontal="center"/>
    </xf>
    <xf numFmtId="0" fontId="20" fillId="0" borderId="52" xfId="4" applyFont="1" applyBorder="1" applyAlignment="1" applyProtection="1"/>
    <xf numFmtId="0" fontId="20" fillId="0" borderId="37" xfId="4" applyFont="1" applyBorder="1" applyAlignment="1" applyProtection="1"/>
    <xf numFmtId="0" fontId="20" fillId="0" borderId="0" xfId="4" applyFont="1" applyBorder="1" applyAlignment="1" applyProtection="1">
      <alignment vertical="top"/>
    </xf>
    <xf numFmtId="44" fontId="35" fillId="38" borderId="32" xfId="2" applyNumberFormat="1" applyFont="1" applyFill="1" applyBorder="1" applyAlignment="1" applyProtection="1">
      <alignment horizontal="right" vertical="center"/>
      <protection locked="0"/>
    </xf>
    <xf numFmtId="0" fontId="35" fillId="0" borderId="32" xfId="4" applyFont="1" applyFill="1" applyBorder="1" applyAlignment="1" applyProtection="1">
      <alignment horizontal="right" vertical="center"/>
      <protection locked="0"/>
    </xf>
    <xf numFmtId="44" fontId="35" fillId="0" borderId="0" xfId="2" applyFont="1" applyFill="1" applyBorder="1" applyAlignment="1" applyProtection="1">
      <alignment horizontal="right" vertical="center"/>
    </xf>
    <xf numFmtId="44" fontId="35" fillId="38" borderId="53" xfId="2" applyNumberFormat="1" applyFont="1" applyFill="1" applyBorder="1" applyAlignment="1" applyProtection="1">
      <alignment horizontal="right" vertical="center"/>
      <protection locked="0"/>
    </xf>
    <xf numFmtId="0" fontId="35" fillId="0" borderId="53" xfId="4" applyFont="1" applyFill="1" applyBorder="1" applyAlignment="1" applyProtection="1">
      <alignment horizontal="right" vertical="center"/>
      <protection locked="0"/>
    </xf>
    <xf numFmtId="44" fontId="35" fillId="0" borderId="53" xfId="2" applyFont="1" applyBorder="1" applyAlignment="1" applyProtection="1">
      <alignment horizontal="right" vertical="center"/>
    </xf>
    <xf numFmtId="10" fontId="35" fillId="0" borderId="53" xfId="9" applyNumberFormat="1" applyFont="1" applyBorder="1" applyAlignment="1" applyProtection="1">
      <alignment horizontal="right" vertical="center"/>
    </xf>
    <xf numFmtId="173" fontId="35" fillId="38" borderId="32" xfId="2" applyNumberFormat="1" applyFont="1" applyFill="1" applyBorder="1" applyAlignment="1" applyProtection="1">
      <alignment horizontal="right" vertical="center"/>
      <protection locked="0"/>
    </xf>
    <xf numFmtId="181" fontId="35" fillId="0" borderId="32" xfId="4" applyNumberFormat="1" applyFont="1" applyFill="1" applyBorder="1" applyAlignment="1" applyProtection="1">
      <alignment horizontal="right" vertical="center"/>
      <protection locked="0"/>
    </xf>
    <xf numFmtId="173" fontId="35" fillId="38" borderId="53" xfId="2" applyNumberFormat="1" applyFont="1" applyFill="1" applyBorder="1" applyAlignment="1" applyProtection="1">
      <alignment horizontal="right" vertical="center"/>
      <protection locked="0"/>
    </xf>
    <xf numFmtId="181" fontId="35" fillId="0" borderId="53" xfId="4" applyNumberFormat="1" applyFont="1" applyFill="1" applyBorder="1" applyAlignment="1" applyProtection="1">
      <alignment horizontal="right" vertical="center"/>
      <protection locked="0"/>
    </xf>
    <xf numFmtId="0" fontId="20" fillId="0" borderId="18" xfId="4" applyFont="1" applyBorder="1" applyAlignment="1" applyProtection="1">
      <alignment vertical="top"/>
    </xf>
    <xf numFmtId="173" fontId="35" fillId="38" borderId="37" xfId="2" applyNumberFormat="1" applyFont="1" applyFill="1" applyBorder="1" applyAlignment="1" applyProtection="1">
      <alignment horizontal="right" vertical="center"/>
      <protection locked="0"/>
    </xf>
    <xf numFmtId="181" fontId="35" fillId="0" borderId="37" xfId="4" applyNumberFormat="1" applyFont="1" applyFill="1" applyBorder="1" applyAlignment="1" applyProtection="1">
      <alignment horizontal="right" vertical="center"/>
      <protection locked="0"/>
    </xf>
    <xf numFmtId="44" fontId="35" fillId="0" borderId="18" xfId="2" applyFont="1" applyFill="1" applyBorder="1" applyAlignment="1" applyProtection="1">
      <alignment horizontal="right" vertical="center"/>
    </xf>
    <xf numFmtId="173" fontId="35" fillId="38" borderId="52" xfId="2" applyNumberFormat="1" applyFont="1" applyFill="1" applyBorder="1" applyAlignment="1" applyProtection="1">
      <alignment horizontal="right" vertical="center"/>
      <protection locked="0"/>
    </xf>
    <xf numFmtId="181" fontId="35" fillId="0" borderId="52" xfId="4" applyNumberFormat="1" applyFont="1" applyFill="1" applyBorder="1" applyAlignment="1" applyProtection="1">
      <alignment horizontal="right" vertical="center"/>
      <protection locked="0"/>
    </xf>
    <xf numFmtId="44" fontId="35" fillId="0" borderId="52" xfId="2" applyFont="1" applyBorder="1" applyAlignment="1" applyProtection="1">
      <alignment horizontal="right" vertical="center"/>
    </xf>
    <xf numFmtId="10" fontId="35" fillId="0" borderId="52" xfId="9" applyNumberFormat="1" applyFont="1" applyBorder="1" applyAlignment="1" applyProtection="1">
      <alignment horizontal="right" vertical="center"/>
    </xf>
    <xf numFmtId="0" fontId="40" fillId="41" borderId="35" xfId="4" applyFont="1" applyFill="1" applyBorder="1" applyAlignment="1" applyProtection="1">
      <alignment vertical="top"/>
    </xf>
    <xf numFmtId="173" fontId="35" fillId="41" borderId="37" xfId="2" applyNumberFormat="1" applyFont="1" applyFill="1" applyBorder="1" applyAlignment="1" applyProtection="1">
      <alignment horizontal="right" vertical="center"/>
      <protection locked="0"/>
    </xf>
    <xf numFmtId="0" fontId="35" fillId="41" borderId="37" xfId="4" applyFont="1" applyFill="1" applyBorder="1" applyAlignment="1" applyProtection="1">
      <alignment horizontal="right" vertical="center"/>
      <protection locked="0"/>
    </xf>
    <xf numFmtId="44" fontId="27" fillId="41" borderId="18" xfId="2" applyFont="1" applyFill="1" applyBorder="1" applyAlignment="1" applyProtection="1">
      <alignment horizontal="right" vertical="center"/>
    </xf>
    <xf numFmtId="173" fontId="35" fillId="41" borderId="52" xfId="2" applyNumberFormat="1" applyFont="1" applyFill="1" applyBorder="1" applyAlignment="1" applyProtection="1">
      <alignment horizontal="right" vertical="center"/>
      <protection locked="0"/>
    </xf>
    <xf numFmtId="0" fontId="35" fillId="41" borderId="52" xfId="4" applyFont="1" applyFill="1" applyBorder="1" applyAlignment="1" applyProtection="1">
      <alignment horizontal="right" vertical="center"/>
      <protection locked="0"/>
    </xf>
    <xf numFmtId="44" fontId="27" fillId="41" borderId="52" xfId="2" applyFont="1" applyFill="1" applyBorder="1" applyAlignment="1" applyProtection="1">
      <alignment horizontal="right" vertical="center"/>
    </xf>
    <xf numFmtId="10" fontId="27" fillId="41" borderId="52" xfId="9" applyNumberFormat="1" applyFont="1" applyFill="1" applyBorder="1" applyAlignment="1" applyProtection="1">
      <alignment horizontal="right" vertical="center"/>
    </xf>
    <xf numFmtId="0" fontId="20" fillId="0" borderId="0" xfId="4" applyFont="1" applyFill="1" applyAlignment="1" applyProtection="1">
      <alignment vertical="top"/>
    </xf>
    <xf numFmtId="181" fontId="35" fillId="0" borderId="32" xfId="1" applyNumberFormat="1" applyFont="1" applyFill="1" applyBorder="1" applyAlignment="1" applyProtection="1">
      <alignment horizontal="right" vertical="center"/>
      <protection locked="0"/>
    </xf>
    <xf numFmtId="0" fontId="20" fillId="0" borderId="0" xfId="4" applyFont="1" applyAlignment="1" applyProtection="1">
      <alignment vertical="top"/>
    </xf>
    <xf numFmtId="0" fontId="40" fillId="41" borderId="49" xfId="4" applyFont="1" applyFill="1" applyBorder="1" applyAlignment="1" applyProtection="1">
      <alignment vertical="top"/>
    </xf>
    <xf numFmtId="173" fontId="35" fillId="41" borderId="23" xfId="2" applyNumberFormat="1" applyFont="1" applyFill="1" applyBorder="1" applyAlignment="1" applyProtection="1">
      <alignment horizontal="right" vertical="center"/>
      <protection locked="0"/>
    </xf>
    <xf numFmtId="0" fontId="35" fillId="41" borderId="23" xfId="4" applyFont="1" applyFill="1" applyBorder="1" applyAlignment="1" applyProtection="1">
      <alignment horizontal="right" vertical="center"/>
      <protection locked="0"/>
    </xf>
    <xf numFmtId="44" fontId="27" fillId="41" borderId="24" xfId="2" applyFont="1" applyFill="1" applyBorder="1" applyAlignment="1" applyProtection="1">
      <alignment horizontal="right" vertical="center"/>
    </xf>
    <xf numFmtId="173" fontId="35" fillId="41" borderId="50" xfId="2" applyNumberFormat="1" applyFont="1" applyFill="1" applyBorder="1" applyAlignment="1" applyProtection="1">
      <alignment horizontal="right" vertical="center"/>
      <protection locked="0"/>
    </xf>
    <xf numFmtId="0" fontId="35" fillId="41" borderId="50" xfId="4" applyFont="1" applyFill="1" applyBorder="1" applyAlignment="1" applyProtection="1">
      <alignment horizontal="right" vertical="center"/>
      <protection locked="0"/>
    </xf>
    <xf numFmtId="44" fontId="27" fillId="41" borderId="50" xfId="2" applyFont="1" applyFill="1" applyBorder="1" applyAlignment="1" applyProtection="1">
      <alignment horizontal="right" vertical="center"/>
    </xf>
    <xf numFmtId="10" fontId="27" fillId="41" borderId="50" xfId="9" applyNumberFormat="1" applyFont="1" applyFill="1" applyBorder="1" applyAlignment="1" applyProtection="1">
      <alignment horizontal="right" vertical="center"/>
    </xf>
    <xf numFmtId="0" fontId="20" fillId="0" borderId="0" xfId="4" applyFont="1" applyAlignment="1" applyProtection="1">
      <alignment vertical="center"/>
    </xf>
    <xf numFmtId="181" fontId="35" fillId="38" borderId="32" xfId="1" applyNumberFormat="1" applyFont="1" applyFill="1" applyBorder="1" applyAlignment="1" applyProtection="1">
      <alignment horizontal="right" vertical="center"/>
      <protection locked="0"/>
    </xf>
    <xf numFmtId="181" fontId="35" fillId="38" borderId="53" xfId="1" applyNumberFormat="1" applyFont="1" applyFill="1" applyBorder="1" applyAlignment="1" applyProtection="1">
      <alignment horizontal="right" vertical="center"/>
      <protection locked="0"/>
    </xf>
    <xf numFmtId="0" fontId="20" fillId="0" borderId="18" xfId="4" applyFont="1" applyBorder="1" applyAlignment="1" applyProtection="1">
      <alignment vertical="center"/>
    </xf>
    <xf numFmtId="0" fontId="27" fillId="0" borderId="32" xfId="4" applyFont="1" applyFill="1" applyBorder="1" applyAlignment="1" applyProtection="1">
      <alignment horizontal="right" vertical="center"/>
      <protection locked="0"/>
    </xf>
    <xf numFmtId="173" fontId="27" fillId="41" borderId="50" xfId="2" applyNumberFormat="1" applyFont="1" applyFill="1" applyBorder="1" applyAlignment="1" applyProtection="1">
      <alignment horizontal="right" vertical="center"/>
      <protection locked="0"/>
    </xf>
    <xf numFmtId="0" fontId="27" fillId="41" borderId="50" xfId="4" applyFont="1" applyFill="1" applyBorder="1" applyAlignment="1" applyProtection="1">
      <alignment horizontal="right" vertical="center"/>
      <protection locked="0"/>
    </xf>
    <xf numFmtId="0" fontId="20" fillId="42" borderId="14" xfId="4" applyFont="1" applyFill="1" applyBorder="1" applyAlignment="1" applyProtection="1"/>
    <xf numFmtId="173" fontId="35" fillId="42" borderId="54" xfId="10" applyNumberFormat="1" applyFont="1" applyFill="1" applyBorder="1" applyAlignment="1" applyProtection="1">
      <alignment horizontal="right" vertical="center"/>
      <protection locked="0"/>
    </xf>
    <xf numFmtId="0" fontId="35" fillId="42" borderId="48" xfId="4" applyFont="1" applyFill="1" applyBorder="1" applyAlignment="1" applyProtection="1">
      <alignment horizontal="right" vertical="center"/>
      <protection locked="0"/>
    </xf>
    <xf numFmtId="44" fontId="35" fillId="42" borderId="16" xfId="2" applyFont="1" applyFill="1" applyBorder="1" applyAlignment="1" applyProtection="1">
      <alignment horizontal="right" vertical="center"/>
    </xf>
    <xf numFmtId="0" fontId="35" fillId="42" borderId="54" xfId="4" applyFont="1" applyFill="1" applyBorder="1" applyAlignment="1" applyProtection="1">
      <alignment horizontal="right" vertical="center"/>
      <protection locked="0"/>
    </xf>
    <xf numFmtId="44" fontId="35" fillId="42" borderId="54" xfId="2" applyFont="1" applyFill="1" applyBorder="1" applyAlignment="1" applyProtection="1">
      <alignment horizontal="right" vertical="center"/>
    </xf>
    <xf numFmtId="10" fontId="35" fillId="42" borderId="55" xfId="9" applyNumberFormat="1" applyFont="1" applyFill="1" applyBorder="1" applyAlignment="1" applyProtection="1">
      <alignment horizontal="right" vertical="center"/>
    </xf>
    <xf numFmtId="0" fontId="40" fillId="0" borderId="0" xfId="4" applyFont="1" applyFill="1" applyAlignment="1" applyProtection="1">
      <alignment vertical="top"/>
    </xf>
    <xf numFmtId="9" fontId="35" fillId="0" borderId="32" xfId="4" applyNumberFormat="1" applyFont="1" applyFill="1" applyBorder="1" applyAlignment="1" applyProtection="1">
      <alignment horizontal="right" vertical="center"/>
    </xf>
    <xf numFmtId="9" fontId="35" fillId="0" borderId="0" xfId="4" applyNumberFormat="1" applyFont="1" applyFill="1" applyBorder="1" applyAlignment="1" applyProtection="1">
      <alignment horizontal="right" vertical="center"/>
    </xf>
    <xf numFmtId="44" fontId="27" fillId="0" borderId="33" xfId="2" applyFont="1" applyFill="1" applyBorder="1" applyAlignment="1" applyProtection="1">
      <alignment horizontal="right" vertical="center"/>
    </xf>
    <xf numFmtId="0" fontId="27" fillId="0" borderId="32" xfId="4" applyFont="1" applyFill="1" applyBorder="1" applyAlignment="1" applyProtection="1">
      <alignment horizontal="right" vertical="center"/>
    </xf>
    <xf numFmtId="9" fontId="27" fillId="0" borderId="53" xfId="4" applyNumberFormat="1" applyFont="1" applyFill="1" applyBorder="1" applyAlignment="1" applyProtection="1">
      <alignment horizontal="right" vertical="center"/>
    </xf>
    <xf numFmtId="9" fontId="27" fillId="0" borderId="32" xfId="4" applyNumberFormat="1" applyFont="1" applyFill="1" applyBorder="1" applyAlignment="1" applyProtection="1">
      <alignment horizontal="right" vertical="center"/>
    </xf>
    <xf numFmtId="44" fontId="27" fillId="0" borderId="53" xfId="2" applyFont="1" applyFill="1" applyBorder="1" applyAlignment="1" applyProtection="1">
      <alignment horizontal="right" vertical="center"/>
    </xf>
    <xf numFmtId="10" fontId="27" fillId="0" borderId="53" xfId="9" applyNumberFormat="1" applyFont="1" applyFill="1" applyBorder="1" applyAlignment="1" applyProtection="1">
      <alignment horizontal="right" vertical="center"/>
    </xf>
    <xf numFmtId="0" fontId="20" fillId="0" borderId="0" xfId="4" applyFont="1" applyFill="1" applyAlignment="1" applyProtection="1">
      <alignment horizontal="left" vertical="top"/>
    </xf>
    <xf numFmtId="0" fontId="35" fillId="0" borderId="0" xfId="4" applyFont="1" applyFill="1" applyBorder="1" applyAlignment="1" applyProtection="1">
      <alignment horizontal="right" vertical="center"/>
    </xf>
    <xf numFmtId="44" fontId="35" fillId="0" borderId="33" xfId="2" applyFont="1" applyFill="1" applyBorder="1" applyAlignment="1" applyProtection="1">
      <alignment horizontal="right" vertical="center"/>
    </xf>
    <xf numFmtId="0" fontId="35" fillId="0" borderId="32" xfId="4" applyFont="1" applyFill="1" applyBorder="1" applyAlignment="1" applyProtection="1">
      <alignment horizontal="right" vertical="center"/>
    </xf>
    <xf numFmtId="9" fontId="35" fillId="0" borderId="53" xfId="4" applyNumberFormat="1" applyFont="1" applyFill="1" applyBorder="1" applyAlignment="1" applyProtection="1">
      <alignment horizontal="right" vertical="center"/>
    </xf>
    <xf numFmtId="44" fontId="35" fillId="0" borderId="53" xfId="2" applyFont="1" applyFill="1" applyBorder="1" applyAlignment="1" applyProtection="1">
      <alignment horizontal="right" vertical="center"/>
    </xf>
    <xf numFmtId="10" fontId="35" fillId="0" borderId="53" xfId="9" applyNumberFormat="1" applyFont="1" applyFill="1" applyBorder="1" applyAlignment="1" applyProtection="1">
      <alignment horizontal="right" vertical="center"/>
    </xf>
    <xf numFmtId="0" fontId="40" fillId="0" borderId="0" xfId="4" applyFont="1" applyAlignment="1" applyProtection="1">
      <alignment horizontal="left" vertical="top"/>
    </xf>
    <xf numFmtId="0" fontId="35" fillId="0" borderId="53" xfId="4" applyFont="1" applyFill="1" applyBorder="1" applyAlignment="1" applyProtection="1">
      <alignment horizontal="right" vertical="center"/>
    </xf>
    <xf numFmtId="0" fontId="41" fillId="0" borderId="0" xfId="4" applyFont="1" applyAlignment="1" applyProtection="1">
      <alignment vertical="top"/>
    </xf>
    <xf numFmtId="0" fontId="40" fillId="41" borderId="10" xfId="4" applyFont="1" applyFill="1" applyBorder="1" applyAlignment="1" applyProtection="1">
      <alignment vertical="top"/>
    </xf>
    <xf numFmtId="0" fontId="35" fillId="41" borderId="37" xfId="4" applyFont="1" applyFill="1" applyBorder="1" applyAlignment="1" applyProtection="1">
      <alignment horizontal="right" vertical="center"/>
    </xf>
    <xf numFmtId="0" fontId="35" fillId="41" borderId="18" xfId="4" applyFont="1" applyFill="1" applyBorder="1" applyAlignment="1" applyProtection="1">
      <alignment horizontal="right" vertical="center"/>
    </xf>
    <xf numFmtId="44" fontId="27" fillId="41" borderId="35" xfId="2" applyFont="1" applyFill="1" applyBorder="1" applyAlignment="1" applyProtection="1">
      <alignment horizontal="right" vertical="center"/>
    </xf>
    <xf numFmtId="0" fontId="27" fillId="41" borderId="52" xfId="4" applyFont="1" applyFill="1" applyBorder="1" applyAlignment="1" applyProtection="1">
      <alignment horizontal="right" vertical="center"/>
    </xf>
    <xf numFmtId="0" fontId="27" fillId="41" borderId="37" xfId="4" applyFont="1" applyFill="1" applyBorder="1" applyAlignment="1" applyProtection="1">
      <alignment horizontal="right" vertical="center"/>
    </xf>
    <xf numFmtId="173" fontId="20" fillId="42" borderId="48" xfId="10" applyNumberFormat="1" applyFont="1" applyFill="1" applyBorder="1" applyAlignment="1" applyProtection="1">
      <alignment vertical="top"/>
      <protection locked="0"/>
    </xf>
    <xf numFmtId="0" fontId="20" fillId="42" borderId="16" xfId="4" applyFont="1" applyFill="1" applyBorder="1" applyAlignment="1" applyProtection="1">
      <alignment vertical="center"/>
      <protection locked="0"/>
    </xf>
    <xf numFmtId="44" fontId="20" fillId="42" borderId="56" xfId="10" applyFont="1" applyFill="1" applyBorder="1" applyAlignment="1" applyProtection="1">
      <alignment vertical="center"/>
      <protection locked="0"/>
    </xf>
    <xf numFmtId="0" fontId="20" fillId="0" borderId="32" xfId="4" applyFont="1" applyFill="1" applyBorder="1" applyAlignment="1" applyProtection="1">
      <alignment vertical="center"/>
      <protection locked="0"/>
    </xf>
    <xf numFmtId="173" fontId="20" fillId="42" borderId="54" xfId="10" applyNumberFormat="1" applyFont="1" applyFill="1" applyBorder="1" applyAlignment="1" applyProtection="1">
      <alignment vertical="top"/>
      <protection locked="0"/>
    </xf>
    <xf numFmtId="0" fontId="20" fillId="42" borderId="48" xfId="4" applyFont="1" applyFill="1" applyBorder="1" applyAlignment="1" applyProtection="1">
      <alignment vertical="center"/>
      <protection locked="0"/>
    </xf>
    <xf numFmtId="44" fontId="20" fillId="42" borderId="16" xfId="10" applyFont="1" applyFill="1" applyBorder="1" applyAlignment="1" applyProtection="1">
      <alignment vertical="center"/>
      <protection locked="0"/>
    </xf>
    <xf numFmtId="44" fontId="20" fillId="42" borderId="54" xfId="4" applyNumberFormat="1" applyFont="1" applyFill="1" applyBorder="1" applyAlignment="1" applyProtection="1">
      <alignment vertical="center"/>
      <protection locked="0"/>
    </xf>
    <xf numFmtId="10" fontId="20" fillId="42" borderId="55" xfId="9" applyNumberFormat="1" applyFont="1" applyFill="1" applyBorder="1" applyAlignment="1" applyProtection="1">
      <alignment vertical="center"/>
      <protection locked="0"/>
    </xf>
    <xf numFmtId="0" fontId="20" fillId="0" borderId="0" xfId="4" applyProtection="1"/>
    <xf numFmtId="0" fontId="20" fillId="0" borderId="0" xfId="4" applyProtection="1">
      <protection locked="0"/>
    </xf>
    <xf numFmtId="44" fontId="20" fillId="0" borderId="0" xfId="4" applyNumberFormat="1" applyProtection="1">
      <protection locked="0"/>
    </xf>
    <xf numFmtId="0" fontId="40" fillId="0" borderId="0" xfId="4" applyFont="1" applyProtection="1"/>
    <xf numFmtId="0" fontId="51" fillId="0" borderId="0" xfId="0" applyFont="1"/>
    <xf numFmtId="0" fontId="20" fillId="0" borderId="0" xfId="4" applyFont="1" applyAlignment="1" applyProtection="1">
      <protection locked="0"/>
    </xf>
    <xf numFmtId="0" fontId="52" fillId="0" borderId="0" xfId="4" applyFont="1" applyFill="1" applyAlignment="1" applyProtection="1">
      <alignment horizontal="right"/>
      <protection locked="0"/>
    </xf>
    <xf numFmtId="0" fontId="40" fillId="0" borderId="0" xfId="4" applyFont="1" applyFill="1" applyAlignment="1" applyProtection="1">
      <alignment vertical="center"/>
      <protection locked="0"/>
    </xf>
    <xf numFmtId="0" fontId="23" fillId="0" borderId="0" xfId="4" applyFont="1" applyFill="1" applyAlignment="1" applyProtection="1">
      <alignment vertical="center"/>
      <protection locked="0"/>
    </xf>
    <xf numFmtId="0" fontId="23" fillId="38" borderId="0" xfId="4" applyFont="1" applyFill="1" applyAlignment="1" applyProtection="1">
      <alignment vertical="center"/>
      <protection locked="0"/>
    </xf>
    <xf numFmtId="0" fontId="51" fillId="0" borderId="0" xfId="0" applyFont="1" applyAlignment="1"/>
    <xf numFmtId="0" fontId="40" fillId="0" borderId="0" xfId="4" applyFont="1" applyAlignment="1" applyProtection="1"/>
    <xf numFmtId="0" fontId="0" fillId="0" borderId="0" xfId="0" applyAlignment="1"/>
    <xf numFmtId="0" fontId="40" fillId="0" borderId="0" xfId="4" applyFont="1" applyFill="1" applyBorder="1" applyAlignment="1" applyProtection="1">
      <alignment vertical="center"/>
      <protection locked="0"/>
    </xf>
    <xf numFmtId="0" fontId="23" fillId="0" borderId="0" xfId="4" applyFont="1" applyFill="1" applyBorder="1" applyAlignment="1" applyProtection="1">
      <alignment horizontal="center"/>
      <protection locked="0"/>
    </xf>
    <xf numFmtId="0" fontId="51" fillId="0" borderId="0" xfId="0" applyFont="1" applyFill="1" applyBorder="1" applyAlignment="1"/>
    <xf numFmtId="0" fontId="20" fillId="0" borderId="0" xfId="4" applyAlignment="1" applyProtection="1"/>
    <xf numFmtId="0" fontId="0" fillId="0" borderId="0" xfId="0" applyFill="1" applyBorder="1" applyAlignment="1"/>
    <xf numFmtId="0" fontId="20" fillId="0" borderId="0" xfId="4" applyFill="1" applyBorder="1" applyAlignment="1" applyProtection="1"/>
    <xf numFmtId="0" fontId="40" fillId="0" borderId="53" xfId="4" applyFont="1" applyBorder="1" applyAlignment="1" applyProtection="1">
      <alignment horizontal="center"/>
    </xf>
    <xf numFmtId="0" fontId="20" fillId="0" borderId="0" xfId="4" applyFont="1" applyFill="1" applyBorder="1" applyAlignment="1" applyProtection="1"/>
    <xf numFmtId="0" fontId="35" fillId="0" borderId="0" xfId="4" applyFont="1" applyFill="1" applyBorder="1" applyAlignment="1" applyProtection="1">
      <alignment horizontal="right" vertical="center"/>
      <protection locked="0"/>
    </xf>
    <xf numFmtId="44" fontId="35" fillId="0" borderId="32" xfId="2" applyFont="1" applyBorder="1" applyAlignment="1" applyProtection="1">
      <alignment horizontal="right" vertical="center"/>
    </xf>
    <xf numFmtId="44" fontId="35" fillId="0" borderId="52" xfId="2" applyFont="1" applyFill="1" applyBorder="1" applyAlignment="1" applyProtection="1">
      <alignment horizontal="right" vertical="center"/>
    </xf>
    <xf numFmtId="44" fontId="35" fillId="0" borderId="37" xfId="2" applyFont="1" applyBorder="1" applyAlignment="1" applyProtection="1">
      <alignment horizontal="right" vertical="center"/>
    </xf>
    <xf numFmtId="44" fontId="27" fillId="41" borderId="37" xfId="2" applyFont="1" applyFill="1" applyBorder="1" applyAlignment="1" applyProtection="1">
      <alignment horizontal="right" vertical="center"/>
    </xf>
    <xf numFmtId="44" fontId="27" fillId="41" borderId="23" xfId="2" applyFont="1" applyFill="1" applyBorder="1" applyAlignment="1" applyProtection="1">
      <alignment horizontal="right" vertical="center"/>
    </xf>
    <xf numFmtId="0" fontId="27" fillId="0" borderId="0" xfId="4" applyFont="1" applyFill="1" applyBorder="1" applyAlignment="1" applyProtection="1">
      <alignment horizontal="right" vertical="center"/>
      <protection locked="0"/>
    </xf>
    <xf numFmtId="173" fontId="27" fillId="41" borderId="23" xfId="2" applyNumberFormat="1" applyFont="1" applyFill="1" applyBorder="1" applyAlignment="1" applyProtection="1">
      <alignment horizontal="right" vertical="center"/>
      <protection locked="0"/>
    </xf>
    <xf numFmtId="173" fontId="35" fillId="42" borderId="48" xfId="10" applyNumberFormat="1" applyFont="1" applyFill="1" applyBorder="1" applyAlignment="1" applyProtection="1">
      <alignment horizontal="right" vertical="center"/>
      <protection locked="0"/>
    </xf>
    <xf numFmtId="44" fontId="35" fillId="42" borderId="48" xfId="2" applyFont="1" applyFill="1" applyBorder="1" applyAlignment="1" applyProtection="1">
      <alignment horizontal="right" vertical="center"/>
    </xf>
    <xf numFmtId="44" fontId="27" fillId="0" borderId="32" xfId="2" applyFont="1" applyFill="1" applyBorder="1" applyAlignment="1" applyProtection="1">
      <alignment horizontal="right" vertical="center"/>
    </xf>
    <xf numFmtId="0" fontId="27" fillId="0" borderId="0" xfId="4" applyFont="1" applyFill="1" applyBorder="1" applyAlignment="1" applyProtection="1">
      <alignment horizontal="right" vertical="center"/>
    </xf>
    <xf numFmtId="44" fontId="35" fillId="0" borderId="32" xfId="2" applyFont="1" applyFill="1" applyBorder="1" applyAlignment="1" applyProtection="1">
      <alignment horizontal="right" vertical="center"/>
    </xf>
    <xf numFmtId="44" fontId="20" fillId="42" borderId="48" xfId="10" applyFont="1" applyFill="1" applyBorder="1" applyAlignment="1" applyProtection="1">
      <alignment vertical="center"/>
      <protection locked="0"/>
    </xf>
    <xf numFmtId="0" fontId="20" fillId="0" borderId="0" xfId="4" applyFont="1" applyFill="1" applyBorder="1" applyAlignment="1" applyProtection="1">
      <alignment vertical="center"/>
      <protection locked="0"/>
    </xf>
    <xf numFmtId="44" fontId="20" fillId="42" borderId="54" xfId="10" applyFont="1" applyFill="1" applyBorder="1" applyAlignment="1" applyProtection="1">
      <alignment vertical="center"/>
      <protection locked="0"/>
    </xf>
    <xf numFmtId="44" fontId="20" fillId="42" borderId="48" xfId="4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96" fillId="0" borderId="0" xfId="0" applyFont="1"/>
    <xf numFmtId="0" fontId="16" fillId="0" borderId="18" xfId="0" applyFont="1" applyBorder="1" applyAlignment="1">
      <alignment horizontal="center"/>
    </xf>
    <xf numFmtId="0" fontId="97" fillId="0" borderId="0" xfId="0" applyFont="1" applyAlignment="1">
      <alignment horizontal="left" indent="2"/>
    </xf>
    <xf numFmtId="44" fontId="0" fillId="0" borderId="0" xfId="0" applyNumberFormat="1"/>
    <xf numFmtId="10" fontId="0" fillId="0" borderId="0" xfId="577" applyNumberFormat="1" applyFont="1"/>
    <xf numFmtId="173" fontId="0" fillId="0" borderId="0" xfId="0" applyNumberFormat="1"/>
    <xf numFmtId="181" fontId="0" fillId="0" borderId="0" xfId="0" applyNumberFormat="1"/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168" fontId="24" fillId="0" borderId="21" xfId="4" applyNumberFormat="1" applyFont="1" applyFill="1" applyBorder="1" applyAlignment="1">
      <alignment horizontal="center"/>
    </xf>
    <xf numFmtId="2" fontId="24" fillId="0" borderId="21" xfId="4" applyNumberFormat="1" applyFont="1" applyFill="1" applyBorder="1" applyAlignment="1">
      <alignment horizontal="center"/>
    </xf>
    <xf numFmtId="169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173" fontId="35" fillId="38" borderId="53" xfId="2" applyNumberFormat="1" applyFont="1" applyFill="1" applyBorder="1" applyAlignment="1" applyProtection="1">
      <alignment horizontal="right" vertical="center"/>
      <protection locked="0"/>
    </xf>
    <xf numFmtId="43" fontId="0" fillId="0" borderId="0" xfId="0" applyNumberFormat="1"/>
    <xf numFmtId="201" fontId="20" fillId="0" borderId="0" xfId="4" applyNumberFormat="1" applyFont="1" applyFill="1"/>
    <xf numFmtId="173" fontId="35" fillId="38" borderId="27" xfId="2" applyNumberFormat="1" applyFont="1" applyFill="1" applyBorder="1" applyAlignment="1" applyProtection="1">
      <alignment horizontal="right" vertical="center"/>
      <protection locked="0"/>
    </xf>
    <xf numFmtId="173" fontId="35" fillId="38" borderId="39" xfId="2" applyNumberFormat="1" applyFont="1" applyFill="1" applyBorder="1" applyAlignment="1" applyProtection="1">
      <alignment horizontal="right" vertical="center"/>
      <protection locked="0"/>
    </xf>
    <xf numFmtId="175" fontId="24" fillId="0" borderId="21" xfId="4" applyNumberFormat="1" applyFont="1" applyFill="1" applyBorder="1" applyAlignment="1">
      <alignment horizontal="center"/>
    </xf>
    <xf numFmtId="202" fontId="24" fillId="0" borderId="21" xfId="4" applyNumberFormat="1" applyFont="1" applyFill="1" applyBorder="1" applyAlignment="1">
      <alignment horizontal="center"/>
    </xf>
    <xf numFmtId="181" fontId="35" fillId="0" borderId="53" xfId="1" applyNumberFormat="1" applyFont="1" applyFill="1" applyBorder="1" applyAlignment="1" applyProtection="1">
      <alignment horizontal="right" vertical="center"/>
      <protection locked="0"/>
    </xf>
    <xf numFmtId="164" fontId="24" fillId="33" borderId="0" xfId="4" applyNumberFormat="1" applyFont="1" applyFill="1" applyBorder="1"/>
    <xf numFmtId="165" fontId="24" fillId="33" borderId="33" xfId="4" applyNumberFormat="1" applyFont="1" applyFill="1" applyBorder="1" applyAlignment="1">
      <alignment horizontal="center"/>
    </xf>
    <xf numFmtId="39" fontId="24" fillId="33" borderId="21" xfId="4" applyNumberFormat="1" applyFont="1" applyFill="1" applyBorder="1" applyAlignment="1">
      <alignment horizontal="center"/>
    </xf>
    <xf numFmtId="0" fontId="21" fillId="0" borderId="0" xfId="4" applyFont="1" applyFill="1" applyBorder="1" applyAlignment="1">
      <alignment horizontal="center" vertical="center"/>
    </xf>
    <xf numFmtId="0" fontId="25" fillId="0" borderId="10" xfId="4" quotePrefix="1" applyFont="1" applyFill="1" applyBorder="1" applyAlignment="1">
      <alignment horizontal="center"/>
    </xf>
    <xf numFmtId="0" fontId="26" fillId="34" borderId="11" xfId="4" applyFont="1" applyFill="1" applyBorder="1" applyAlignment="1">
      <alignment horizontal="left" vertical="center" wrapText="1"/>
    </xf>
    <xf numFmtId="0" fontId="26" fillId="34" borderId="12" xfId="4" applyFont="1" applyFill="1" applyBorder="1" applyAlignment="1">
      <alignment horizontal="left" vertical="center" wrapText="1"/>
    </xf>
    <xf numFmtId="0" fontId="26" fillId="34" borderId="17" xfId="4" applyFont="1" applyFill="1" applyBorder="1" applyAlignment="1">
      <alignment horizontal="left" vertical="center" wrapText="1"/>
    </xf>
    <xf numFmtId="0" fontId="26" fillId="34" borderId="18" xfId="4" applyFont="1" applyFill="1" applyBorder="1" applyAlignment="1">
      <alignment horizontal="left" vertical="center" wrapText="1"/>
    </xf>
    <xf numFmtId="0" fontId="40" fillId="0" borderId="49" xfId="4" applyFont="1" applyBorder="1" applyAlignment="1" applyProtection="1">
      <alignment horizontal="center"/>
    </xf>
    <xf numFmtId="0" fontId="40" fillId="0" borderId="24" xfId="4" applyFont="1" applyBorder="1" applyAlignment="1" applyProtection="1">
      <alignment horizontal="center"/>
    </xf>
    <xf numFmtId="0" fontId="40" fillId="0" borderId="50" xfId="4" applyFont="1" applyBorder="1" applyAlignment="1" applyProtection="1">
      <alignment horizontal="center"/>
    </xf>
  </cellXfs>
  <cellStyles count="578">
    <cellStyle name="$" xfId="11"/>
    <cellStyle name="$ 2" xfId="12"/>
    <cellStyle name="$ 2 2" xfId="13"/>
    <cellStyle name="$.00" xfId="14"/>
    <cellStyle name="$.00 2" xfId="15"/>
    <cellStyle name="$.00 2 2" xfId="16"/>
    <cellStyle name="$_2. 2011-2014  Rev_ FCast_IRM 2012_COS2013_Ongoing Operations_with CDM" xfId="17"/>
    <cellStyle name="$_2. 2011-2014  Rev_ FCast_IRM 2012_COS2013_Ongoing Operations_with CDM_1. Creation and Assumptions Budget_Revised with CDM" xfId="18"/>
    <cellStyle name="$_9. Rev2Cost_GDPIPI" xfId="19"/>
    <cellStyle name="$_9. Rev2Cost_GDPIPI 2" xfId="20"/>
    <cellStyle name="$_CGAAP FA Budget Model v2 james" xfId="21"/>
    <cellStyle name="$_CGAAP FA Budget Model v2 james 2" xfId="22"/>
    <cellStyle name="$_lists" xfId="23"/>
    <cellStyle name="$_lists 2" xfId="24"/>
    <cellStyle name="$_lists_4. Current Monthly Fixed Charge" xfId="25"/>
    <cellStyle name="$_Oct 2010 SM PILs Recognition" xfId="26"/>
    <cellStyle name="$_Sheet4" xfId="27"/>
    <cellStyle name="$_Sheet4 2" xfId="28"/>
    <cellStyle name="$_Xl0000180" xfId="29"/>
    <cellStyle name="$M" xfId="30"/>
    <cellStyle name="$M 2" xfId="31"/>
    <cellStyle name="$M 2 2" xfId="32"/>
    <cellStyle name="$M.00" xfId="33"/>
    <cellStyle name="$M.00 2" xfId="34"/>
    <cellStyle name="$M.00 2 2" xfId="35"/>
    <cellStyle name="$M_2. 2011-2014  Rev_ FCast_IRM 2012_COS2013_Ongoing Operations_with CDM" xfId="36"/>
    <cellStyle name="20% - Accent1 2" xfId="37"/>
    <cellStyle name="20% - Accent1 2 2" xfId="38"/>
    <cellStyle name="20% - Accent1 2 3" xfId="39"/>
    <cellStyle name="20% - Accent1 3" xfId="40"/>
    <cellStyle name="20% - Accent2 2" xfId="41"/>
    <cellStyle name="20% - Accent2 2 2" xfId="42"/>
    <cellStyle name="20% - Accent2 2 3" xfId="43"/>
    <cellStyle name="20% - Accent2 3" xfId="44"/>
    <cellStyle name="20% - Accent3 2" xfId="45"/>
    <cellStyle name="20% - Accent3 2 2" xfId="46"/>
    <cellStyle name="20% - Accent3 2 3" xfId="47"/>
    <cellStyle name="20% - Accent3 3" xfId="48"/>
    <cellStyle name="20% - Accent4 2" xfId="49"/>
    <cellStyle name="20% - Accent4 2 2" xfId="50"/>
    <cellStyle name="20% - Accent4 2 3" xfId="51"/>
    <cellStyle name="20% - Accent4 3" xfId="52"/>
    <cellStyle name="20% - Accent5 2" xfId="53"/>
    <cellStyle name="20% - Accent5 2 2" xfId="54"/>
    <cellStyle name="20% - Accent5 2 3" xfId="55"/>
    <cellStyle name="20% - Accent5 3" xfId="56"/>
    <cellStyle name="20% - Accent6 2" xfId="57"/>
    <cellStyle name="20% - Accent6 2 2" xfId="58"/>
    <cellStyle name="20% - Accent6 2 3" xfId="59"/>
    <cellStyle name="20% - Accent6 3" xfId="60"/>
    <cellStyle name="40% - Accent1 2" xfId="61"/>
    <cellStyle name="40% - Accent1 2 2" xfId="62"/>
    <cellStyle name="40% - Accent1 2 3" xfId="63"/>
    <cellStyle name="40% - Accent1 3" xfId="64"/>
    <cellStyle name="40% - Accent2 2" xfId="65"/>
    <cellStyle name="40% - Accent2 2 2" xfId="66"/>
    <cellStyle name="40% - Accent2 2 3" xfId="67"/>
    <cellStyle name="40% - Accent2 3" xfId="68"/>
    <cellStyle name="40% - Accent3 2" xfId="69"/>
    <cellStyle name="40% - Accent3 2 2" xfId="70"/>
    <cellStyle name="40% - Accent3 2 3" xfId="71"/>
    <cellStyle name="40% - Accent3 3" xfId="72"/>
    <cellStyle name="40% - Accent4 2" xfId="73"/>
    <cellStyle name="40% - Accent4 2 2" xfId="74"/>
    <cellStyle name="40% - Accent4 2 3" xfId="75"/>
    <cellStyle name="40% - Accent4 3" xfId="76"/>
    <cellStyle name="40% - Accent5 2" xfId="77"/>
    <cellStyle name="40% - Accent5 2 2" xfId="78"/>
    <cellStyle name="40% - Accent5 2 3" xfId="79"/>
    <cellStyle name="40% - Accent5 3" xfId="80"/>
    <cellStyle name="40% - Accent6 2" xfId="81"/>
    <cellStyle name="40% - Accent6 2 2" xfId="82"/>
    <cellStyle name="40% - Accent6 2 3" xfId="83"/>
    <cellStyle name="40% - Accent6 3" xfId="84"/>
    <cellStyle name="60% - Accent1 2" xfId="85"/>
    <cellStyle name="60% - Accent1 2 2" xfId="86"/>
    <cellStyle name="60% - Accent1 2 3" xfId="87"/>
    <cellStyle name="60% - Accent1 3" xfId="88"/>
    <cellStyle name="60% - Accent2 2" xfId="89"/>
    <cellStyle name="60% - Accent2 2 2" xfId="90"/>
    <cellStyle name="60% - Accent2 2 3" xfId="91"/>
    <cellStyle name="60% - Accent2 3" xfId="92"/>
    <cellStyle name="60% - Accent3 2" xfId="93"/>
    <cellStyle name="60% - Accent3 2 2" xfId="94"/>
    <cellStyle name="60% - Accent3 2 3" xfId="95"/>
    <cellStyle name="60% - Accent3 3" xfId="96"/>
    <cellStyle name="60% - Accent4 2" xfId="97"/>
    <cellStyle name="60% - Accent4 2 2" xfId="98"/>
    <cellStyle name="60% - Accent4 2 3" xfId="99"/>
    <cellStyle name="60% - Accent4 3" xfId="100"/>
    <cellStyle name="60% - Accent5 2" xfId="101"/>
    <cellStyle name="60% - Accent5 2 2" xfId="102"/>
    <cellStyle name="60% - Accent5 2 3" xfId="103"/>
    <cellStyle name="60% - Accent5 3" xfId="104"/>
    <cellStyle name="60% - Accent6 2" xfId="105"/>
    <cellStyle name="60% - Accent6 2 2" xfId="106"/>
    <cellStyle name="60% - Accent6 2 3" xfId="107"/>
    <cellStyle name="60% - Accent6 3" xfId="108"/>
    <cellStyle name="Accent1 2" xfId="109"/>
    <cellStyle name="Accent1 2 2" xfId="110"/>
    <cellStyle name="Accent1 2 3" xfId="111"/>
    <cellStyle name="Accent1 3" xfId="112"/>
    <cellStyle name="Accent2 2" xfId="113"/>
    <cellStyle name="Accent2 2 2" xfId="114"/>
    <cellStyle name="Accent2 2 3" xfId="115"/>
    <cellStyle name="Accent2 3" xfId="116"/>
    <cellStyle name="Accent3 2" xfId="117"/>
    <cellStyle name="Accent3 2 2" xfId="118"/>
    <cellStyle name="Accent3 2 3" xfId="119"/>
    <cellStyle name="Accent3 3" xfId="120"/>
    <cellStyle name="Accent4 2" xfId="121"/>
    <cellStyle name="Accent4 2 2" xfId="122"/>
    <cellStyle name="Accent4 2 3" xfId="123"/>
    <cellStyle name="Accent4 3" xfId="124"/>
    <cellStyle name="Accent5 2" xfId="125"/>
    <cellStyle name="Accent5 2 2" xfId="126"/>
    <cellStyle name="Accent5 2 3" xfId="127"/>
    <cellStyle name="Accent5 3" xfId="128"/>
    <cellStyle name="Accent6 2" xfId="129"/>
    <cellStyle name="Accent6 2 2" xfId="130"/>
    <cellStyle name="Accent6 2 3" xfId="131"/>
    <cellStyle name="Accent6 3" xfId="132"/>
    <cellStyle name="Bad 2" xfId="133"/>
    <cellStyle name="Bad 2 2" xfId="134"/>
    <cellStyle name="Bad 2 3" xfId="135"/>
    <cellStyle name="Bad 3" xfId="136"/>
    <cellStyle name="Calculation 2" xfId="137"/>
    <cellStyle name="Calculation 2 2" xfId="138"/>
    <cellStyle name="Calculation 2 3" xfId="139"/>
    <cellStyle name="Calculation 2 4" xfId="140"/>
    <cellStyle name="Calculation 3" xfId="141"/>
    <cellStyle name="Calculation 4" xfId="142"/>
    <cellStyle name="Check Cell 2" xfId="143"/>
    <cellStyle name="Check Cell 2 2" xfId="144"/>
    <cellStyle name="Check Cell 2 3" xfId="145"/>
    <cellStyle name="Check Cell 3" xfId="146"/>
    <cellStyle name="Comma" xfId="1" builtinId="3"/>
    <cellStyle name="Comma [0] 2" xfId="147"/>
    <cellStyle name="Comma 10" xfId="148"/>
    <cellStyle name="Comma 10 2" xfId="149"/>
    <cellStyle name="Comma 10 2 2" xfId="150"/>
    <cellStyle name="Comma 10 3" xfId="151"/>
    <cellStyle name="Comma 10 3 2" xfId="152"/>
    <cellStyle name="Comma 10 3 3" xfId="153"/>
    <cellStyle name="Comma 10 3 4" xfId="154"/>
    <cellStyle name="Comma 10 4" xfId="155"/>
    <cellStyle name="Comma 10 5" xfId="156"/>
    <cellStyle name="Comma 10 6" xfId="157"/>
    <cellStyle name="Comma 10 7" xfId="158"/>
    <cellStyle name="Comma 10 8" xfId="159"/>
    <cellStyle name="Comma 11" xfId="160"/>
    <cellStyle name="Comma 11 2" xfId="161"/>
    <cellStyle name="Comma 11 2 2" xfId="162"/>
    <cellStyle name="Comma 11 3" xfId="163"/>
    <cellStyle name="Comma 11 4" xfId="164"/>
    <cellStyle name="Comma 11 5" xfId="165"/>
    <cellStyle name="Comma 12" xfId="166"/>
    <cellStyle name="Comma 12 2" xfId="167"/>
    <cellStyle name="Comma 12 3" xfId="168"/>
    <cellStyle name="Comma 12 4" xfId="169"/>
    <cellStyle name="Comma 12 5" xfId="170"/>
    <cellStyle name="Comma 13" xfId="171"/>
    <cellStyle name="Comma 13 2" xfId="172"/>
    <cellStyle name="Comma 13 3" xfId="173"/>
    <cellStyle name="Comma 14" xfId="174"/>
    <cellStyle name="Comma 14 2" xfId="175"/>
    <cellStyle name="Comma 14 3" xfId="176"/>
    <cellStyle name="Comma 15" xfId="177"/>
    <cellStyle name="Comma 15 2" xfId="178"/>
    <cellStyle name="Comma 15 3" xfId="179"/>
    <cellStyle name="Comma 16" xfId="180"/>
    <cellStyle name="Comma 16 2" xfId="181"/>
    <cellStyle name="Comma 16 3" xfId="182"/>
    <cellStyle name="Comma 16 4" xfId="183"/>
    <cellStyle name="Comma 17" xfId="184"/>
    <cellStyle name="Comma 18" xfId="185"/>
    <cellStyle name="Comma 18 2" xfId="186"/>
    <cellStyle name="Comma 18 3" xfId="187"/>
    <cellStyle name="Comma 19" xfId="188"/>
    <cellStyle name="Comma 2" xfId="5"/>
    <cellStyle name="Comma 2 10" xfId="189"/>
    <cellStyle name="Comma 2 11" xfId="190"/>
    <cellStyle name="Comma 2 12" xfId="191"/>
    <cellStyle name="Comma 2 2" xfId="192"/>
    <cellStyle name="Comma 2 2 2" xfId="193"/>
    <cellStyle name="Comma 2 2 3" xfId="194"/>
    <cellStyle name="Comma 2 2 4" xfId="195"/>
    <cellStyle name="Comma 2 3" xfId="196"/>
    <cellStyle name="Comma 2 3 2" xfId="197"/>
    <cellStyle name="Comma 2 3 3" xfId="198"/>
    <cellStyle name="Comma 2 3 4" xfId="199"/>
    <cellStyle name="Comma 2 4" xfId="200"/>
    <cellStyle name="Comma 2 4 2" xfId="201"/>
    <cellStyle name="Comma 2 4 3" xfId="202"/>
    <cellStyle name="Comma 2 5" xfId="203"/>
    <cellStyle name="Comma 2 5 2" xfId="204"/>
    <cellStyle name="Comma 2 5 3" xfId="205"/>
    <cellStyle name="Comma 2 6" xfId="206"/>
    <cellStyle name="Comma 2 7" xfId="207"/>
    <cellStyle name="Comma 2 8" xfId="208"/>
    <cellStyle name="Comma 2 9" xfId="209"/>
    <cellStyle name="Comma 2_2.1556 Regulatory Reporting without PILs YTD March 11" xfId="210"/>
    <cellStyle name="Comma 20" xfId="211"/>
    <cellStyle name="Comma 20 2" xfId="212"/>
    <cellStyle name="Comma 20 3" xfId="213"/>
    <cellStyle name="Comma 20 4" xfId="214"/>
    <cellStyle name="Comma 21" xfId="215"/>
    <cellStyle name="Comma 22" xfId="216"/>
    <cellStyle name="Comma 23" xfId="217"/>
    <cellStyle name="Comma 24" xfId="218"/>
    <cellStyle name="Comma 25" xfId="219"/>
    <cellStyle name="Comma 26" xfId="220"/>
    <cellStyle name="Comma 27" xfId="7"/>
    <cellStyle name="Comma 27 2" xfId="221"/>
    <cellStyle name="Comma 28" xfId="222"/>
    <cellStyle name="Comma 3" xfId="223"/>
    <cellStyle name="Comma 3 2" xfId="224"/>
    <cellStyle name="Comma 3 2 2" xfId="225"/>
    <cellStyle name="Comma 3 2 3" xfId="226"/>
    <cellStyle name="Comma 3 2 4" xfId="227"/>
    <cellStyle name="Comma 3 2 5" xfId="228"/>
    <cellStyle name="Comma 3 3" xfId="229"/>
    <cellStyle name="Comma 3 3 2" xfId="230"/>
    <cellStyle name="Comma 3 3 3" xfId="231"/>
    <cellStyle name="Comma 3 4" xfId="232"/>
    <cellStyle name="Comma 3 4 2" xfId="233"/>
    <cellStyle name="Comma 3 4 3" xfId="234"/>
    <cellStyle name="Comma 3 5" xfId="235"/>
    <cellStyle name="Comma 3 6" xfId="236"/>
    <cellStyle name="Comma 3_2. 2011-2014  Rev_ FCast_IRM 2012_COS2013_Ongoing Operations_with CDM" xfId="237"/>
    <cellStyle name="Comma 4" xfId="238"/>
    <cellStyle name="Comma 4 2" xfId="239"/>
    <cellStyle name="Comma 4 2 2" xfId="240"/>
    <cellStyle name="Comma 4 2 3" xfId="241"/>
    <cellStyle name="Comma 4 2 4" xfId="242"/>
    <cellStyle name="Comma 4 3" xfId="243"/>
    <cellStyle name="Comma 4 4" xfId="244"/>
    <cellStyle name="Comma 4 5" xfId="245"/>
    <cellStyle name="Comma 4 6" xfId="246"/>
    <cellStyle name="Comma 5" xfId="247"/>
    <cellStyle name="Comma 5 2" xfId="248"/>
    <cellStyle name="Comma 6" xfId="249"/>
    <cellStyle name="Comma 6 2" xfId="250"/>
    <cellStyle name="Comma 6 2 2" xfId="251"/>
    <cellStyle name="Comma 6 3" xfId="252"/>
    <cellStyle name="Comma 6 4" xfId="253"/>
    <cellStyle name="Comma 6 5" xfId="254"/>
    <cellStyle name="Comma 7" xfId="255"/>
    <cellStyle name="Comma 7 2" xfId="256"/>
    <cellStyle name="Comma 7 2 2" xfId="257"/>
    <cellStyle name="Comma 7 3" xfId="258"/>
    <cellStyle name="Comma 7 4" xfId="259"/>
    <cellStyle name="Comma 8" xfId="260"/>
    <cellStyle name="Comma 8 2" xfId="261"/>
    <cellStyle name="Comma 8 2 2" xfId="262"/>
    <cellStyle name="Comma 8 3" xfId="263"/>
    <cellStyle name="Comma 8 4" xfId="264"/>
    <cellStyle name="Comma 9" xfId="265"/>
    <cellStyle name="Comma 9 2" xfId="266"/>
    <cellStyle name="Comma 9 2 2" xfId="267"/>
    <cellStyle name="Comma 9 2 3" xfId="268"/>
    <cellStyle name="Comma 9 3" xfId="269"/>
    <cellStyle name="Comma 9 4" xfId="270"/>
    <cellStyle name="Comma 9 5" xfId="271"/>
    <cellStyle name="Comma 9 6" xfId="272"/>
    <cellStyle name="Comma0" xfId="273"/>
    <cellStyle name="Comma0 2" xfId="274"/>
    <cellStyle name="Comma0 2 2" xfId="275"/>
    <cellStyle name="Comma0 3" xfId="276"/>
    <cellStyle name="Currency" xfId="2" builtinId="4"/>
    <cellStyle name="Currency 10" xfId="277"/>
    <cellStyle name="Currency 10 2" xfId="6"/>
    <cellStyle name="Currency 11" xfId="278"/>
    <cellStyle name="Currency 12" xfId="279"/>
    <cellStyle name="Currency 13" xfId="280"/>
    <cellStyle name="Currency 13 2" xfId="281"/>
    <cellStyle name="Currency 14" xfId="282"/>
    <cellStyle name="Currency 2" xfId="283"/>
    <cellStyle name="Currency 2 2" xfId="284"/>
    <cellStyle name="Currency 2 2 2" xfId="285"/>
    <cellStyle name="Currency 2 2 3" xfId="286"/>
    <cellStyle name="Currency 2 2 4" xfId="287"/>
    <cellStyle name="Currency 2 3" xfId="288"/>
    <cellStyle name="Currency 2 3 2" xfId="289"/>
    <cellStyle name="Currency 2 3 3" xfId="290"/>
    <cellStyle name="Currency 2 3 4" xfId="291"/>
    <cellStyle name="Currency 2 4" xfId="10"/>
    <cellStyle name="Currency 2 5" xfId="292"/>
    <cellStyle name="Currency 3" xfId="293"/>
    <cellStyle name="Currency 3 2" xfId="294"/>
    <cellStyle name="Currency 3 2 2" xfId="295"/>
    <cellStyle name="Currency 3 2 3" xfId="296"/>
    <cellStyle name="Currency 3 2 4" xfId="297"/>
    <cellStyle name="Currency 3 3" xfId="298"/>
    <cellStyle name="Currency 3 4" xfId="299"/>
    <cellStyle name="Currency 3 5" xfId="300"/>
    <cellStyle name="Currency 3_2.1556 Regulatory Reporting without PILs YTD March 11" xfId="301"/>
    <cellStyle name="Currency 4" xfId="302"/>
    <cellStyle name="Currency 4 2" xfId="303"/>
    <cellStyle name="Currency 4 2 2" xfId="304"/>
    <cellStyle name="Currency 4 2 3" xfId="305"/>
    <cellStyle name="Currency 4 2 4" xfId="306"/>
    <cellStyle name="Currency 4 3" xfId="307"/>
    <cellStyle name="Currency 4 3 2" xfId="308"/>
    <cellStyle name="Currency 4 3 3" xfId="309"/>
    <cellStyle name="Currency 4 4" xfId="310"/>
    <cellStyle name="Currency 4 5" xfId="311"/>
    <cellStyle name="Currency 5" xfId="312"/>
    <cellStyle name="Currency 5 2" xfId="313"/>
    <cellStyle name="Currency 6" xfId="314"/>
    <cellStyle name="Currency 6 2" xfId="315"/>
    <cellStyle name="Currency 6 3" xfId="316"/>
    <cellStyle name="Currency 6 4" xfId="317"/>
    <cellStyle name="Currency 7" xfId="318"/>
    <cellStyle name="Currency 8" xfId="319"/>
    <cellStyle name="Currency 8 2" xfId="320"/>
    <cellStyle name="Currency 8 3" xfId="321"/>
    <cellStyle name="Currency 9" xfId="322"/>
    <cellStyle name="Currency0" xfId="323"/>
    <cellStyle name="Currency0 2" xfId="324"/>
    <cellStyle name="Currency0 2 2" xfId="325"/>
    <cellStyle name="Currency0 3" xfId="326"/>
    <cellStyle name="custom" xfId="327"/>
    <cellStyle name="Date" xfId="328"/>
    <cellStyle name="Date 2" xfId="329"/>
    <cellStyle name="Date 2 2" xfId="330"/>
    <cellStyle name="Date 3" xfId="331"/>
    <cellStyle name="Euro" xfId="332"/>
    <cellStyle name="Euro 2" xfId="333"/>
    <cellStyle name="Explanatory Text 2" xfId="334"/>
    <cellStyle name="Explanatory Text 2 2" xfId="335"/>
    <cellStyle name="Explanatory Text 2 3" xfId="336"/>
    <cellStyle name="Explanatory Text 3" xfId="337"/>
    <cellStyle name="Fixed" xfId="338"/>
    <cellStyle name="Fixed 2" xfId="339"/>
    <cellStyle name="Fixed 2 2" xfId="340"/>
    <cellStyle name="Fixed 3" xfId="341"/>
    <cellStyle name="Good 2" xfId="342"/>
    <cellStyle name="Good 2 2" xfId="343"/>
    <cellStyle name="Good 2 3" xfId="344"/>
    <cellStyle name="Good 3" xfId="345"/>
    <cellStyle name="Grey" xfId="346"/>
    <cellStyle name="Grey 2" xfId="347"/>
    <cellStyle name="header" xfId="348"/>
    <cellStyle name="Header1" xfId="349"/>
    <cellStyle name="Header2" xfId="350"/>
    <cellStyle name="Header2 2" xfId="351"/>
    <cellStyle name="Header2 3" xfId="352"/>
    <cellStyle name="Header2 3 2" xfId="353"/>
    <cellStyle name="Heading 1 10" xfId="354"/>
    <cellStyle name="Heading 1 11" xfId="355"/>
    <cellStyle name="Heading 1 12" xfId="356"/>
    <cellStyle name="Heading 1 13" xfId="357"/>
    <cellStyle name="Heading 1 14" xfId="358"/>
    <cellStyle name="Heading 1 15" xfId="359"/>
    <cellStyle name="Heading 1 2" xfId="360"/>
    <cellStyle name="Heading 1 2 2" xfId="361"/>
    <cellStyle name="Heading 1 2 3" xfId="362"/>
    <cellStyle name="Heading 1 2 4" xfId="363"/>
    <cellStyle name="Heading 1 2 5" xfId="364"/>
    <cellStyle name="Heading 1 3" xfId="365"/>
    <cellStyle name="Heading 1 4" xfId="366"/>
    <cellStyle name="Heading 1 5" xfId="367"/>
    <cellStyle name="Heading 1 6" xfId="368"/>
    <cellStyle name="Heading 1 7" xfId="369"/>
    <cellStyle name="Heading 1 8" xfId="370"/>
    <cellStyle name="Heading 1 9" xfId="371"/>
    <cellStyle name="Heading 2 10" xfId="372"/>
    <cellStyle name="Heading 2 11" xfId="373"/>
    <cellStyle name="Heading 2 12" xfId="374"/>
    <cellStyle name="Heading 2 13" xfId="375"/>
    <cellStyle name="Heading 2 14" xfId="376"/>
    <cellStyle name="Heading 2 15" xfId="377"/>
    <cellStyle name="Heading 2 2" xfId="378"/>
    <cellStyle name="Heading 2 2 2" xfId="379"/>
    <cellStyle name="Heading 2 2 3" xfId="380"/>
    <cellStyle name="Heading 2 2 4" xfId="381"/>
    <cellStyle name="Heading 2 3" xfId="382"/>
    <cellStyle name="Heading 2 3 2" xfId="383"/>
    <cellStyle name="Heading 2 4" xfId="384"/>
    <cellStyle name="Heading 2 5" xfId="385"/>
    <cellStyle name="Heading 2 6" xfId="386"/>
    <cellStyle name="Heading 2 7" xfId="387"/>
    <cellStyle name="Heading 2 8" xfId="388"/>
    <cellStyle name="Heading 2 9" xfId="389"/>
    <cellStyle name="Heading 3 2" xfId="390"/>
    <cellStyle name="Heading 3 2 2" xfId="391"/>
    <cellStyle name="Heading 3 2 3" xfId="392"/>
    <cellStyle name="Heading 3 3" xfId="393"/>
    <cellStyle name="Heading 4 2" xfId="394"/>
    <cellStyle name="Heading 4 2 2" xfId="395"/>
    <cellStyle name="Heading 4 2 3" xfId="396"/>
    <cellStyle name="Heading 4 3" xfId="397"/>
    <cellStyle name="Hyperlink 2" xfId="3"/>
    <cellStyle name="Hyperlink 3" xfId="398"/>
    <cellStyle name="Input [yellow]" xfId="399"/>
    <cellStyle name="Input [yellow] 2" xfId="400"/>
    <cellStyle name="Input [yellow] 2 2" xfId="401"/>
    <cellStyle name="Input [yellow] 2 3" xfId="402"/>
    <cellStyle name="Input 2" xfId="403"/>
    <cellStyle name="Input 2 2" xfId="404"/>
    <cellStyle name="Input 2 3" xfId="405"/>
    <cellStyle name="Input 2 4" xfId="406"/>
    <cellStyle name="Input 3" xfId="407"/>
    <cellStyle name="Input 4" xfId="408"/>
    <cellStyle name="Input 5" xfId="409"/>
    <cellStyle name="Linked Cell 2" xfId="410"/>
    <cellStyle name="Linked Cell 2 2" xfId="411"/>
    <cellStyle name="Linked Cell 2 3" xfId="412"/>
    <cellStyle name="Linked Cell 3" xfId="413"/>
    <cellStyle name="M" xfId="414"/>
    <cellStyle name="M 2" xfId="415"/>
    <cellStyle name="M 2 2" xfId="416"/>
    <cellStyle name="M.00" xfId="417"/>
    <cellStyle name="M.00 2" xfId="418"/>
    <cellStyle name="M.00 2 2" xfId="419"/>
    <cellStyle name="M_2. 2011-2014  Rev_ FCast_IRM 2012_COS2013_Ongoing Operations_with CDM" xfId="420"/>
    <cellStyle name="M_2. 2011-2014  Rev_ FCast_IRM 2012_COS2013_Ongoing Operations_with CDM_1. Creation and Assumptions Budget_Revised with CDM" xfId="421"/>
    <cellStyle name="M_9. Rev2Cost_GDPIPI" xfId="422"/>
    <cellStyle name="M_9. Rev2Cost_GDPIPI 2" xfId="423"/>
    <cellStyle name="M_CGAAP FA Budget Model v2 james" xfId="424"/>
    <cellStyle name="M_CGAAP FA Budget Model v2 james 2" xfId="425"/>
    <cellStyle name="M_lists" xfId="426"/>
    <cellStyle name="M_lists 2" xfId="427"/>
    <cellStyle name="M_lists_4. Current Monthly Fixed Charge" xfId="428"/>
    <cellStyle name="M_Oct 2010 SM PILs Recognition" xfId="429"/>
    <cellStyle name="M_Sheet4" xfId="430"/>
    <cellStyle name="M_Sheet4 2" xfId="431"/>
    <cellStyle name="M_Xl0000180" xfId="432"/>
    <cellStyle name="Neutral 2" xfId="433"/>
    <cellStyle name="Neutral 2 2" xfId="434"/>
    <cellStyle name="Neutral 2 3" xfId="435"/>
    <cellStyle name="Neutral 3" xfId="436"/>
    <cellStyle name="Normal" xfId="0" builtinId="0"/>
    <cellStyle name="Normal - Style1" xfId="437"/>
    <cellStyle name="Normal - Style1 2" xfId="438"/>
    <cellStyle name="Normal - Style1 2 2" xfId="439"/>
    <cellStyle name="Normal - Style1 2 3" xfId="440"/>
    <cellStyle name="Normal - Style1 3" xfId="441"/>
    <cellStyle name="Normal - Style1 3 2" xfId="442"/>
    <cellStyle name="Normal - Style1 3 3" xfId="443"/>
    <cellStyle name="Normal - Style1 4" xfId="444"/>
    <cellStyle name="Normal - Style1_1595 FIT Support" xfId="445"/>
    <cellStyle name="Normal 10" xfId="446"/>
    <cellStyle name="Normal 10 2" xfId="447"/>
    <cellStyle name="Normal 10 2 2" xfId="448"/>
    <cellStyle name="Normal 10 2 3" xfId="449"/>
    <cellStyle name="Normal 10 3" xfId="450"/>
    <cellStyle name="Normal 10 4" xfId="451"/>
    <cellStyle name="Normal 11" xfId="452"/>
    <cellStyle name="Normal 11 2" xfId="453"/>
    <cellStyle name="Normal 11 3" xfId="454"/>
    <cellStyle name="Normal 12" xfId="455"/>
    <cellStyle name="Normal 12 2" xfId="456"/>
    <cellStyle name="Normal 13" xfId="457"/>
    <cellStyle name="Normal 14" xfId="458"/>
    <cellStyle name="Normal 15" xfId="459"/>
    <cellStyle name="Normal 16" xfId="460"/>
    <cellStyle name="Normal 17" xfId="461"/>
    <cellStyle name="Normal 18" xfId="462"/>
    <cellStyle name="Normal 19" xfId="463"/>
    <cellStyle name="Normal 2" xfId="464"/>
    <cellStyle name="Normal 2 2" xfId="465"/>
    <cellStyle name="Normal 2 2 2" xfId="4"/>
    <cellStyle name="Normal 2 2 3" xfId="466"/>
    <cellStyle name="Normal 2 2 4" xfId="467"/>
    <cellStyle name="Normal 2 3" xfId="468"/>
    <cellStyle name="Normal 20" xfId="469"/>
    <cellStyle name="Normal 21" xfId="470"/>
    <cellStyle name="Normal 22" xfId="471"/>
    <cellStyle name="Normal 23" xfId="472"/>
    <cellStyle name="Normal 25" xfId="473"/>
    <cellStyle name="Normal 3" xfId="474"/>
    <cellStyle name="Normal 3 2" xfId="475"/>
    <cellStyle name="Normal 3 3" xfId="476"/>
    <cellStyle name="Normal 3 3 2" xfId="477"/>
    <cellStyle name="Normal 3 3 3" xfId="478"/>
    <cellStyle name="Normal 3 4" xfId="479"/>
    <cellStyle name="Normal 3 5" xfId="480"/>
    <cellStyle name="Normal 4" xfId="481"/>
    <cellStyle name="Normal 4 2" xfId="482"/>
    <cellStyle name="Normal 4 3" xfId="483"/>
    <cellStyle name="Normal 5" xfId="484"/>
    <cellStyle name="Normal 5 2" xfId="485"/>
    <cellStyle name="Normal 5 2 2" xfId="486"/>
    <cellStyle name="Normal 5 2 3" xfId="487"/>
    <cellStyle name="Normal 5 3" xfId="488"/>
    <cellStyle name="Normal 5 4" xfId="489"/>
    <cellStyle name="Normal 5 5" xfId="490"/>
    <cellStyle name="Normal 6" xfId="491"/>
    <cellStyle name="Normal 6 2" xfId="492"/>
    <cellStyle name="Normal 6 3" xfId="493"/>
    <cellStyle name="Normal 6 4" xfId="494"/>
    <cellStyle name="Normal 6 5" xfId="495"/>
    <cellStyle name="Normal 7" xfId="496"/>
    <cellStyle name="Normal 7 2" xfId="497"/>
    <cellStyle name="Normal 7 3" xfId="498"/>
    <cellStyle name="Normal 7 4" xfId="499"/>
    <cellStyle name="Normal 8" xfId="500"/>
    <cellStyle name="Normal 8 2" xfId="501"/>
    <cellStyle name="Normal 8 3" xfId="502"/>
    <cellStyle name="Normal 9" xfId="503"/>
    <cellStyle name="Normal 9 2" xfId="504"/>
    <cellStyle name="Normal 9 2 2" xfId="505"/>
    <cellStyle name="Normal 9 2 3" xfId="506"/>
    <cellStyle name="Normal 9 3" xfId="507"/>
    <cellStyle name="Normal 9 4" xfId="508"/>
    <cellStyle name="Note 2" xfId="509"/>
    <cellStyle name="Note 2 2" xfId="510"/>
    <cellStyle name="Note 2 3" xfId="511"/>
    <cellStyle name="Note 2 4" xfId="512"/>
    <cellStyle name="Note 3" xfId="513"/>
    <cellStyle name="Output 2" xfId="514"/>
    <cellStyle name="Output 2 2" xfId="515"/>
    <cellStyle name="Output 2 3" xfId="516"/>
    <cellStyle name="Output 2 4" xfId="517"/>
    <cellStyle name="Output 3" xfId="518"/>
    <cellStyle name="Output Line Items" xfId="519"/>
    <cellStyle name="Percent" xfId="577" builtinId="5"/>
    <cellStyle name="Percent [2]" xfId="520"/>
    <cellStyle name="Percent [2] 2" xfId="521"/>
    <cellStyle name="Percent [2] 2 2" xfId="522"/>
    <cellStyle name="Percent [2] 3" xfId="523"/>
    <cellStyle name="Percent 10" xfId="524"/>
    <cellStyle name="Percent 11" xfId="525"/>
    <cellStyle name="Percent 11 2" xfId="526"/>
    <cellStyle name="Percent 12" xfId="8"/>
    <cellStyle name="Percent 2" xfId="9"/>
    <cellStyle name="Percent 2 2" xfId="527"/>
    <cellStyle name="Percent 2 2 2" xfId="528"/>
    <cellStyle name="Percent 2 2 3" xfId="529"/>
    <cellStyle name="Percent 3" xfId="530"/>
    <cellStyle name="Percent 3 2" xfId="531"/>
    <cellStyle name="Percent 3 2 2" xfId="532"/>
    <cellStyle name="Percent 3 2 3" xfId="533"/>
    <cellStyle name="Percent 3 2 4" xfId="534"/>
    <cellStyle name="Percent 3 3" xfId="535"/>
    <cellStyle name="Percent 3 4" xfId="536"/>
    <cellStyle name="Percent 3 5" xfId="537"/>
    <cellStyle name="Percent 4" xfId="538"/>
    <cellStyle name="Percent 4 2" xfId="539"/>
    <cellStyle name="Percent 5" xfId="540"/>
    <cellStyle name="Percent 5 2" xfId="541"/>
    <cellStyle name="Percent 5 3" xfId="542"/>
    <cellStyle name="Percent 6" xfId="543"/>
    <cellStyle name="Percent 6 2" xfId="544"/>
    <cellStyle name="Percent 7" xfId="545"/>
    <cellStyle name="Percent 8" xfId="546"/>
    <cellStyle name="Percent 9" xfId="547"/>
    <cellStyle name="Percent 9 2" xfId="548"/>
    <cellStyle name="Percent 9 3" xfId="549"/>
    <cellStyle name="Style 23" xfId="550"/>
    <cellStyle name="Title 2" xfId="551"/>
    <cellStyle name="Title 2 2" xfId="552"/>
    <cellStyle name="Title 2 3" xfId="553"/>
    <cellStyle name="Total 10" xfId="554"/>
    <cellStyle name="Total 11" xfId="555"/>
    <cellStyle name="Total 12" xfId="556"/>
    <cellStyle name="Total 13" xfId="557"/>
    <cellStyle name="Total 14" xfId="558"/>
    <cellStyle name="Total 15" xfId="559"/>
    <cellStyle name="Total 2" xfId="560"/>
    <cellStyle name="Total 2 2" xfId="561"/>
    <cellStyle name="Total 2 3" xfId="562"/>
    <cellStyle name="Total 2 4" xfId="563"/>
    <cellStyle name="Total 2 5" xfId="564"/>
    <cellStyle name="Total 2 6" xfId="565"/>
    <cellStyle name="Total 3" xfId="566"/>
    <cellStyle name="Total 4" xfId="567"/>
    <cellStyle name="Total 5" xfId="568"/>
    <cellStyle name="Total 6" xfId="569"/>
    <cellStyle name="Total 7" xfId="570"/>
    <cellStyle name="Total 8" xfId="571"/>
    <cellStyle name="Total 9" xfId="572"/>
    <cellStyle name="Warning Text 2" xfId="573"/>
    <cellStyle name="Warning Text 2 2" xfId="574"/>
    <cellStyle name="Warning Text 2 3" xfId="575"/>
    <cellStyle name="Warning Text 3" xfId="576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2000\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GLOB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RATES\2004\2004%20Budget%20rev.%20before%204_1_04%20Adj\2004%20Det%20Bud%20Calend%20BEFORE4_1%20Adj.%20V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1.%20JohnB\2008%20Rates\Models\scenario%20for%20Roland\EDR%202008%20Model%20recre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1.%20JohnB\2008%20Rates\Models\Rate%20Riders\scenario%20for%20Roland\EDR%202008%20Model%20recre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RPCAP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Financial%20Analysis\2004\November%202004\Hydro%20Revenue%20Nov%202004%20v2%20fr%20M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nts%20and%20Settings\mbenum\My%20Documents\Rates\Rates%20Reporting\OEB%20Quarterly%20Submissions\July%202004\Carrying%20Charg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OPTIMU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2016%20IRM%20Application/2.%20Enersource%20Disposition%20Adjust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2\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USERS\POONJA\FORECAST\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ong\Desktop\2015_IRM_Rate_Generator_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CAPACITY\RPCAP96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Test"/>
      <sheetName val="3. Continuity Schedule"/>
      <sheetName val="1. Billing Det. for Def-Var"/>
      <sheetName val="2. Allocating Def-Var Balances"/>
      <sheetName val="3. Calculation of Def-Var RR"/>
      <sheetName val="4. Calculation of GA RR"/>
      <sheetName val="5. Summary of Def-Var RR"/>
      <sheetName val="7. STS - Tax Change"/>
      <sheetName val="8. Shared Tax - Rate Rider"/>
      <sheetName val="9.RTSR Current Rates"/>
      <sheetName val="10. RTSR - UTR's and Sub-tx"/>
      <sheetName val="11. RTSR - Historical Wholesale"/>
      <sheetName val="12. RTSR - Current Wholesale"/>
      <sheetName val="13. RTSR - Forecast Wholesale"/>
      <sheetName val="14. RTSR  Rates to Forecast "/>
      <sheetName val="15. Rev2Cost_GDPIPI"/>
      <sheetName val="16. Additional Rates"/>
      <sheetName val="6. Final Tariff Schedule"/>
      <sheetName val="Bill Impacts"/>
      <sheetName val="RTSR % Ch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2">
          <cell r="E22">
            <v>15.674024999999999</v>
          </cell>
        </row>
        <row r="23">
          <cell r="E23">
            <v>0.79</v>
          </cell>
        </row>
        <row r="24">
          <cell r="E24">
            <v>1.0145E-2</v>
          </cell>
        </row>
        <row r="25">
          <cell r="E25">
            <v>1.4E-3</v>
          </cell>
        </row>
        <row r="26">
          <cell r="E26">
            <v>-1.1466514818379381E-3</v>
          </cell>
        </row>
        <row r="27">
          <cell r="E27">
            <v>1.2924336521215813E-3</v>
          </cell>
        </row>
        <row r="28">
          <cell r="E28">
            <v>2.0000000000000001E-4</v>
          </cell>
        </row>
        <row r="29">
          <cell r="E29">
            <v>0.01</v>
          </cell>
        </row>
        <row r="30">
          <cell r="E30">
            <v>1.03</v>
          </cell>
        </row>
        <row r="31">
          <cell r="E31">
            <v>7.9374910817094635E-3</v>
          </cell>
        </row>
        <row r="32">
          <cell r="E32">
            <v>6.3816041687175329E-3</v>
          </cell>
        </row>
        <row r="36">
          <cell r="E36">
            <v>4.4000000000000003E-3</v>
          </cell>
        </row>
        <row r="37">
          <cell r="E37">
            <v>1.2999999999999999E-3</v>
          </cell>
        </row>
        <row r="38">
          <cell r="E38">
            <v>0.25</v>
          </cell>
        </row>
        <row r="54">
          <cell r="E54">
            <v>41.269860000000001</v>
          </cell>
        </row>
        <row r="55">
          <cell r="E55">
            <v>0.79</v>
          </cell>
        </row>
        <row r="56">
          <cell r="E56">
            <v>1.207255E-2</v>
          </cell>
        </row>
        <row r="57">
          <cell r="E57">
            <v>1.4E-3</v>
          </cell>
        </row>
        <row r="58">
          <cell r="E58">
            <v>-1.1466514818379381E-3</v>
          </cell>
        </row>
        <row r="59">
          <cell r="E59">
            <v>2.1013684053532715E-3</v>
          </cell>
        </row>
        <row r="60">
          <cell r="E60">
            <v>2.0000000000000001E-4</v>
          </cell>
        </row>
        <row r="62">
          <cell r="E62">
            <v>6.2570921254264158E-6</v>
          </cell>
        </row>
        <row r="63">
          <cell r="E63">
            <v>1.88</v>
          </cell>
        </row>
        <row r="64">
          <cell r="E64">
            <v>5.0000000000000001E-4</v>
          </cell>
        </row>
        <row r="65">
          <cell r="E65">
            <v>7.4475224959026989E-3</v>
          </cell>
        </row>
        <row r="66">
          <cell r="E66">
            <v>5.7640295638366704E-3</v>
          </cell>
        </row>
        <row r="70">
          <cell r="E70">
            <v>4.4000000000000003E-3</v>
          </cell>
        </row>
        <row r="71">
          <cell r="E71">
            <v>1.2999999999999999E-3</v>
          </cell>
        </row>
        <row r="72">
          <cell r="E72">
            <v>0.25</v>
          </cell>
        </row>
        <row r="89">
          <cell r="E89">
            <v>72.678780000000003</v>
          </cell>
        </row>
        <row r="90">
          <cell r="E90">
            <v>4.3743210999999995</v>
          </cell>
        </row>
        <row r="91">
          <cell r="E91">
            <v>0.49080000000000001</v>
          </cell>
        </row>
        <row r="92">
          <cell r="E92">
            <v>-0.4005272204371314</v>
          </cell>
        </row>
        <row r="93">
          <cell r="E93">
            <v>0.79081051823270265</v>
          </cell>
        </row>
        <row r="94">
          <cell r="E94">
            <v>0.53101051823270262</v>
          </cell>
        </row>
        <row r="95">
          <cell r="E95">
            <v>8.0199999999999994E-2</v>
          </cell>
        </row>
        <row r="96">
          <cell r="E96">
            <v>1.2755268423373465E-3</v>
          </cell>
        </row>
        <row r="97">
          <cell r="E97">
            <v>3.31</v>
          </cell>
        </row>
        <row r="98">
          <cell r="E98">
            <v>0.19889999999999999</v>
          </cell>
        </row>
        <row r="99">
          <cell r="E99">
            <v>2.8684720859699291</v>
          </cell>
        </row>
        <row r="100">
          <cell r="E100">
            <v>2.2603230253694222</v>
          </cell>
        </row>
        <row r="101">
          <cell r="E101">
            <v>2.8684720859699291</v>
          </cell>
        </row>
        <row r="102">
          <cell r="E102">
            <v>2.2603230253694222</v>
          </cell>
        </row>
        <row r="106">
          <cell r="E106">
            <v>4.4000000000000003E-3</v>
          </cell>
        </row>
        <row r="107">
          <cell r="E107">
            <v>1.2999999999999999E-3</v>
          </cell>
        </row>
        <row r="108">
          <cell r="E108">
            <v>0.25</v>
          </cell>
        </row>
        <row r="125">
          <cell r="E125">
            <v>1655.2176199999999</v>
          </cell>
        </row>
        <row r="126">
          <cell r="E126">
            <v>2.25087115</v>
          </cell>
        </row>
        <row r="127">
          <cell r="E127">
            <v>0.62219999999999998</v>
          </cell>
        </row>
        <row r="128">
          <cell r="E128">
            <v>-0.50724625267569023</v>
          </cell>
        </row>
        <row r="129">
          <cell r="E129">
            <v>1.3011865481679119</v>
          </cell>
        </row>
        <row r="130">
          <cell r="E130">
            <v>0.9966865481679118</v>
          </cell>
        </row>
        <row r="131">
          <cell r="E131">
            <v>7.8399999999999997E-2</v>
          </cell>
        </row>
        <row r="132">
          <cell r="E132">
            <v>1.1099212040085529E-3</v>
          </cell>
        </row>
        <row r="133">
          <cell r="E133">
            <v>75.28</v>
          </cell>
        </row>
        <row r="134">
          <cell r="E134">
            <v>0.1024</v>
          </cell>
        </row>
        <row r="135">
          <cell r="E135">
            <v>2.7751820655069266</v>
          </cell>
        </row>
        <row r="136">
          <cell r="E136">
            <v>2.2117404893612655</v>
          </cell>
        </row>
        <row r="140">
          <cell r="E140">
            <v>4.4000000000000003E-3</v>
          </cell>
        </row>
        <row r="141">
          <cell r="E141">
            <v>1.2999999999999999E-3</v>
          </cell>
        </row>
        <row r="142">
          <cell r="E142">
            <v>0.25</v>
          </cell>
        </row>
        <row r="159">
          <cell r="E159">
            <v>13050.751189999999</v>
          </cell>
        </row>
        <row r="160">
          <cell r="E160">
            <v>2.7938315499999997</v>
          </cell>
        </row>
        <row r="161">
          <cell r="E161">
            <v>0.80430000000000001</v>
          </cell>
        </row>
        <row r="162">
          <cell r="E162">
            <v>-0.65997288948417732</v>
          </cell>
        </row>
        <row r="163">
          <cell r="E163">
            <v>-0.17612156712340105</v>
          </cell>
        </row>
        <row r="164">
          <cell r="E164">
            <v>1.055178432876599</v>
          </cell>
        </row>
        <row r="165">
          <cell r="E165">
            <v>8.3799999999999999E-2</v>
          </cell>
        </row>
        <row r="166">
          <cell r="E166">
            <v>9.031658521577486E-4</v>
          </cell>
        </row>
        <row r="167">
          <cell r="E167">
            <v>593.53</v>
          </cell>
        </row>
        <row r="168">
          <cell r="E168">
            <v>0.12709999999999999</v>
          </cell>
        </row>
        <row r="169">
          <cell r="E169">
            <v>2.9613701318676164</v>
          </cell>
        </row>
        <row r="170">
          <cell r="E170">
            <v>2.3622228326760251</v>
          </cell>
        </row>
        <row r="173">
          <cell r="E173">
            <v>4.4000000000000003E-3</v>
          </cell>
        </row>
        <row r="174">
          <cell r="E174">
            <v>1.2999999999999999E-3</v>
          </cell>
        </row>
        <row r="175">
          <cell r="E175">
            <v>0.25</v>
          </cell>
        </row>
        <row r="191">
          <cell r="E191">
            <v>8.5218000000000007</v>
          </cell>
        </row>
        <row r="192">
          <cell r="E192">
            <v>1.5521849999999998E-2</v>
          </cell>
        </row>
        <row r="193">
          <cell r="E193">
            <v>1.4E-3</v>
          </cell>
        </row>
        <row r="194">
          <cell r="E194">
            <v>-1.1466514818379381E-3</v>
          </cell>
        </row>
        <row r="195">
          <cell r="E195">
            <v>1.7502005592373213E-3</v>
          </cell>
        </row>
        <row r="196">
          <cell r="E196">
            <v>2.0000000000000001E-4</v>
          </cell>
        </row>
        <row r="197">
          <cell r="E197">
            <v>1.0094607982198839E-5</v>
          </cell>
        </row>
        <row r="198">
          <cell r="E198">
            <v>0.39</v>
          </cell>
        </row>
        <row r="199">
          <cell r="E199">
            <v>6.9999999999999999E-4</v>
          </cell>
        </row>
        <row r="200">
          <cell r="E200">
            <v>7.4475227425682871E-3</v>
          </cell>
        </row>
        <row r="201">
          <cell r="E201">
            <v>5.7640295507585537E-3</v>
          </cell>
        </row>
        <row r="204">
          <cell r="E204">
            <v>4.4000000000000003E-3</v>
          </cell>
        </row>
        <row r="205">
          <cell r="E205">
            <v>1.2999999999999999E-3</v>
          </cell>
        </row>
        <row r="206">
          <cell r="E206">
            <v>0.25</v>
          </cell>
        </row>
        <row r="222">
          <cell r="E222">
            <v>1.430445</v>
          </cell>
        </row>
        <row r="223">
          <cell r="E223">
            <v>10.929411399999999</v>
          </cell>
        </row>
        <row r="224">
          <cell r="E224">
            <v>0.53779999999999994</v>
          </cell>
        </row>
        <row r="225">
          <cell r="E225">
            <v>-0.40534178217036831</v>
          </cell>
        </row>
        <row r="226">
          <cell r="E226">
            <v>0.90782012608327678</v>
          </cell>
        </row>
        <row r="227">
          <cell r="E227">
            <v>5.8000000000000003E-2</v>
          </cell>
        </row>
        <row r="228">
          <cell r="E228">
            <v>3.9040158550995591E-3</v>
          </cell>
        </row>
        <row r="229">
          <cell r="E229">
            <v>7.0000000000000007E-2</v>
          </cell>
        </row>
        <row r="230">
          <cell r="E230">
            <v>0.49709999999999999</v>
          </cell>
        </row>
        <row r="231">
          <cell r="E231">
            <v>1.9864306872540418</v>
          </cell>
        </row>
        <row r="232">
          <cell r="E232">
            <v>1.6344112314362624</v>
          </cell>
        </row>
        <row r="236">
          <cell r="E236">
            <v>4.4000000000000003E-3</v>
          </cell>
        </row>
        <row r="237">
          <cell r="E237">
            <v>1.2999999999999999E-3</v>
          </cell>
        </row>
        <row r="238">
          <cell r="E238">
            <v>0.25</v>
          </cell>
        </row>
      </sheetData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STS - Billing Det &amp; Rates"/>
      <sheetName val="10. STS - Rebased Rev"/>
      <sheetName val="9. STS - Billing Det &amp; Rate HID"/>
      <sheetName val="11. STS - Tax Change"/>
      <sheetName val="12. STS - Tax Change Rate Rider"/>
      <sheetName val="13. RTSR Rate Sheet"/>
      <sheetName val="14. RTSR RRR Data"/>
      <sheetName val="14. RTSR RRR Data Copy"/>
      <sheetName val="15. RTSR - UTRs &amp; Sub-Tx"/>
      <sheetName val="16. RTSR - Historical Wholesale"/>
      <sheetName val="17. RTSR - Current Wholesale"/>
      <sheetName val="18. RTSR - Forecast Wholesale"/>
      <sheetName val="19. RTSR Ntwrk to Curren WS"/>
      <sheetName val="20. RTSR Adj Conn to Current WS"/>
      <sheetName val="21. RTSR Adj Ntwk to Forcast WS"/>
      <sheetName val="22. RTSR Adj Conn. to Forcst WS"/>
      <sheetName val="23. RTSR Final 2015 RTS Rates"/>
      <sheetName val="24. Rev2Cost_GDPIPI"/>
      <sheetName val="24. hidden"/>
      <sheetName val="25. Other Charges &amp; LF"/>
      <sheetName val="26. Proposed Rates"/>
      <sheetName val="26. Hidden"/>
      <sheetName val="27. Final Tariff Schedule"/>
      <sheetName val="14. Bill Impacts"/>
      <sheetName val="28. Bill Impacts"/>
      <sheetName val="lists"/>
    </sheetNames>
    <sheetDataSet>
      <sheetData sheetId="0"/>
      <sheetData sheetId="1"/>
      <sheetData sheetId="2">
        <row r="19">
          <cell r="B19" t="str">
            <v>RESIDENTIAL</v>
          </cell>
        </row>
        <row r="20">
          <cell r="B20" t="str">
            <v>GENERAL SERVICE LESS THAN 50 KW</v>
          </cell>
        </row>
        <row r="21">
          <cell r="B21" t="str">
            <v>UNMETERED SCATTERED LOAD</v>
          </cell>
        </row>
        <row r="22">
          <cell r="B22" t="str">
            <v>GENERAL SERVICE 50 TO 499 KW</v>
          </cell>
        </row>
        <row r="23">
          <cell r="B23" t="str">
            <v>GENERAL SERVICE 500 TO 4,999 KW</v>
          </cell>
        </row>
        <row r="24">
          <cell r="B24" t="str">
            <v>LARGE USE &gt; 5000 KW</v>
          </cell>
        </row>
        <row r="25">
          <cell r="B25" t="str">
            <v>STREET LIGHTING</v>
          </cell>
        </row>
        <row r="26">
          <cell r="B26" t="str">
            <v>STANDBY DISTRIBUTION SERVICE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GB139"/>
  <sheetViews>
    <sheetView zoomScale="85" zoomScaleNormal="85" workbookViewId="0">
      <pane ySplit="7" topLeftCell="A106" activePane="bottomLeft" state="frozen"/>
      <selection activeCell="B4" sqref="B4:E4"/>
      <selection pane="bottomLeft" activeCell="G119" sqref="G119"/>
    </sheetView>
  </sheetViews>
  <sheetFormatPr defaultRowHeight="15" outlineLevelCol="1" x14ac:dyDescent="0.2"/>
  <cols>
    <col min="1" max="1" width="2.28515625" style="7" customWidth="1"/>
    <col min="2" max="2" width="41.28515625" style="7" customWidth="1"/>
    <col min="3" max="3" width="12.5703125" style="7" customWidth="1"/>
    <col min="4" max="4" width="81.140625" style="7" customWidth="1"/>
    <col min="5" max="5" width="13.28515625" style="7" customWidth="1"/>
    <col min="6" max="6" width="21.28515625" style="7" customWidth="1"/>
    <col min="7" max="7" width="21.5703125" style="7" customWidth="1"/>
    <col min="8" max="8" width="9.140625" style="7" customWidth="1"/>
    <col min="9" max="9" width="39" style="4" hidden="1" customWidth="1" outlineLevel="1"/>
    <col min="10" max="10" width="52.85546875" style="4" hidden="1" customWidth="1" outlineLevel="1"/>
    <col min="11" max="11" width="17.85546875" style="4" hidden="1" customWidth="1" outlineLevel="1"/>
    <col min="12" max="12" width="12" style="4" hidden="1" customWidth="1" outlineLevel="1"/>
    <col min="13" max="13" width="8.42578125" style="4" hidden="1" customWidth="1" outlineLevel="1"/>
    <col min="14" max="19" width="9.140625" style="7" hidden="1" customWidth="1" outlineLevel="1"/>
    <col min="20" max="20" width="31.85546875" style="7" hidden="1" customWidth="1" outlineLevel="1"/>
    <col min="21" max="21" width="14.28515625" style="7" hidden="1" customWidth="1" outlineLevel="1" collapsed="1"/>
    <col min="22" max="22" width="14.7109375" style="7" hidden="1" customWidth="1" outlineLevel="1" collapsed="1"/>
    <col min="23" max="23" width="11" style="7" hidden="1" customWidth="1" outlineLevel="1"/>
    <col min="24" max="24" width="9.140625" style="7" hidden="1" customWidth="1" collapsed="1"/>
    <col min="25" max="25" width="19.7109375" style="7" hidden="1" customWidth="1"/>
    <col min="26" max="26" width="23.7109375" style="7" hidden="1" customWidth="1"/>
    <col min="27" max="16384" width="9.140625" style="7"/>
  </cols>
  <sheetData>
    <row r="1" spans="1:184" ht="30" x14ac:dyDescent="0.25">
      <c r="A1" s="1"/>
      <c r="B1" s="435" t="s">
        <v>0</v>
      </c>
      <c r="C1" s="435"/>
      <c r="D1" s="435"/>
      <c r="E1" s="435"/>
      <c r="F1" s="435"/>
      <c r="G1" s="435"/>
      <c r="H1" s="2"/>
      <c r="I1" s="2"/>
      <c r="J1" s="3"/>
      <c r="N1" s="5"/>
      <c r="O1" s="5"/>
      <c r="P1" s="5"/>
      <c r="Q1" s="5"/>
      <c r="R1" s="5"/>
      <c r="S1" s="5"/>
      <c r="T1" s="5"/>
      <c r="U1" s="6" t="s">
        <v>1</v>
      </c>
      <c r="V1" s="5"/>
      <c r="W1" s="5"/>
      <c r="X1" s="5"/>
      <c r="Y1" s="5"/>
      <c r="Z1" s="5"/>
    </row>
    <row r="2" spans="1:184" ht="21" thickBot="1" x14ac:dyDescent="0.35">
      <c r="A2" s="8"/>
      <c r="B2" s="436" t="s">
        <v>330</v>
      </c>
      <c r="C2" s="436"/>
      <c r="D2" s="436"/>
      <c r="E2" s="436"/>
      <c r="F2" s="436"/>
      <c r="G2" s="436"/>
    </row>
    <row r="3" spans="1:184" ht="52.5" customHeight="1" thickBot="1" x14ac:dyDescent="0.25">
      <c r="A3" s="9"/>
      <c r="B3" s="437" t="s">
        <v>336</v>
      </c>
      <c r="C3" s="438"/>
      <c r="D3" s="438"/>
      <c r="E3" s="438"/>
      <c r="F3" s="10" t="s">
        <v>329</v>
      </c>
      <c r="G3" s="10" t="s">
        <v>2</v>
      </c>
      <c r="I3" s="12" t="s">
        <v>3</v>
      </c>
      <c r="J3" s="13" t="s">
        <v>4</v>
      </c>
      <c r="K3" s="13" t="s">
        <v>5</v>
      </c>
      <c r="L3" s="14" t="s">
        <v>6</v>
      </c>
      <c r="M3" s="13" t="s">
        <v>7</v>
      </c>
    </row>
    <row r="4" spans="1:184" s="17" customFormat="1" ht="94.5" x14ac:dyDescent="0.25">
      <c r="A4" s="15"/>
      <c r="B4" s="439"/>
      <c r="C4" s="440"/>
      <c r="D4" s="440"/>
      <c r="E4" s="440"/>
      <c r="F4" s="16" t="s">
        <v>331</v>
      </c>
      <c r="G4" s="16" t="s">
        <v>9</v>
      </c>
      <c r="I4" s="18"/>
      <c r="J4" s="19"/>
      <c r="K4" s="19"/>
      <c r="L4" s="20"/>
      <c r="M4" s="19"/>
    </row>
    <row r="5" spans="1:184" x14ac:dyDescent="0.2">
      <c r="A5" s="9"/>
      <c r="B5" s="21"/>
      <c r="C5" s="22"/>
      <c r="D5" s="23"/>
      <c r="E5" s="23"/>
      <c r="F5" s="24"/>
      <c r="G5" s="24"/>
      <c r="H5" s="5"/>
      <c r="I5" s="25"/>
      <c r="J5" s="26"/>
      <c r="K5" s="26"/>
      <c r="L5" s="27"/>
      <c r="M5" s="2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</row>
    <row r="6" spans="1:184" ht="15.75" x14ac:dyDescent="0.25">
      <c r="A6" s="9"/>
      <c r="B6" s="21"/>
      <c r="C6" s="22"/>
      <c r="D6" s="23"/>
      <c r="E6" s="23"/>
      <c r="F6" s="28"/>
      <c r="G6" s="28"/>
      <c r="H6" s="5"/>
      <c r="I6" s="25"/>
      <c r="J6" s="26"/>
      <c r="K6" s="26"/>
      <c r="L6" s="27"/>
      <c r="M6" s="26"/>
      <c r="N6" s="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29"/>
      <c r="AC6" s="29"/>
      <c r="AD6" s="29"/>
      <c r="AE6" s="3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</row>
    <row r="7" spans="1:184" ht="30" x14ac:dyDescent="0.2">
      <c r="A7" s="1"/>
      <c r="B7" s="31" t="s">
        <v>10</v>
      </c>
      <c r="C7" s="32" t="s">
        <v>11</v>
      </c>
      <c r="D7" s="33" t="s">
        <v>12</v>
      </c>
      <c r="E7" s="33" t="s">
        <v>13</v>
      </c>
      <c r="F7" s="34" t="s">
        <v>14</v>
      </c>
      <c r="G7" s="34" t="s">
        <v>14</v>
      </c>
      <c r="I7" s="25"/>
      <c r="J7" s="26"/>
      <c r="K7" s="26"/>
      <c r="L7" s="27"/>
      <c r="M7" s="26"/>
      <c r="N7" s="35"/>
      <c r="T7" s="36" t="s">
        <v>15</v>
      </c>
      <c r="U7" s="37"/>
    </row>
    <row r="8" spans="1:184" s="5" customFormat="1" ht="18" x14ac:dyDescent="0.25">
      <c r="A8" s="38"/>
      <c r="B8" s="39" t="s">
        <v>16</v>
      </c>
      <c r="C8" s="40"/>
      <c r="D8" s="41"/>
      <c r="E8" s="42"/>
      <c r="F8" s="43"/>
      <c r="G8" s="43"/>
      <c r="I8" s="44"/>
      <c r="J8" s="45"/>
      <c r="K8" s="45"/>
      <c r="L8" s="46"/>
      <c r="M8" s="47"/>
      <c r="N8" s="4"/>
    </row>
    <row r="9" spans="1:184" s="5" customFormat="1" ht="15.75" x14ac:dyDescent="0.25">
      <c r="A9" s="38"/>
      <c r="B9" s="48"/>
      <c r="C9" s="49" t="s">
        <v>17</v>
      </c>
      <c r="D9" s="50" t="s">
        <v>18</v>
      </c>
      <c r="E9" s="51" t="s">
        <v>19</v>
      </c>
      <c r="F9" s="422">
        <f>'[21]6. Final Tariff Schedule'!E22</f>
        <v>15.674024999999999</v>
      </c>
      <c r="G9" s="410">
        <v>13.21894</v>
      </c>
      <c r="H9" s="53"/>
      <c r="I9" s="54"/>
      <c r="J9" s="55"/>
      <c r="K9" s="55"/>
      <c r="L9" s="53"/>
      <c r="M9" s="56"/>
      <c r="N9" s="57"/>
      <c r="O9" s="58"/>
      <c r="T9" s="50" t="s">
        <v>20</v>
      </c>
      <c r="X9" s="5" t="s">
        <v>21</v>
      </c>
    </row>
    <row r="10" spans="1:184" s="5" customFormat="1" ht="16.5" customHeight="1" x14ac:dyDescent="0.25">
      <c r="A10" s="38"/>
      <c r="B10" s="59" t="s">
        <v>22</v>
      </c>
      <c r="C10" s="49" t="s">
        <v>23</v>
      </c>
      <c r="D10" s="50" t="s">
        <v>24</v>
      </c>
      <c r="E10" s="51" t="s">
        <v>19</v>
      </c>
      <c r="F10" s="422">
        <f>'[21]6. Final Tariff Schedule'!E23</f>
        <v>0.79</v>
      </c>
      <c r="G10" s="405">
        <v>0.79</v>
      </c>
      <c r="H10" s="60"/>
      <c r="I10" s="61"/>
      <c r="J10" s="62"/>
      <c r="K10" s="52"/>
      <c r="L10" s="60"/>
      <c r="M10" s="56"/>
      <c r="N10" s="57"/>
      <c r="O10" s="58"/>
      <c r="T10" s="50"/>
      <c r="U10" s="63"/>
      <c r="V10" s="63"/>
      <c r="W10" s="63"/>
      <c r="X10" s="5" t="s">
        <v>21</v>
      </c>
      <c r="AA10" s="426"/>
    </row>
    <row r="11" spans="1:184" s="5" customFormat="1" ht="15.75" customHeight="1" x14ac:dyDescent="0.25">
      <c r="A11" s="38"/>
      <c r="B11" s="59"/>
      <c r="C11" s="49"/>
      <c r="D11" s="50" t="s">
        <v>340</v>
      </c>
      <c r="E11" s="51" t="s">
        <v>19</v>
      </c>
      <c r="F11" s="422">
        <f>'[21]6. Final Tariff Schedule'!E29</f>
        <v>0.01</v>
      </c>
      <c r="G11" s="405">
        <v>0</v>
      </c>
      <c r="H11" s="60"/>
      <c r="I11" s="61"/>
      <c r="J11" s="62"/>
      <c r="K11" s="52"/>
      <c r="L11" s="60"/>
      <c r="M11" s="56"/>
      <c r="N11" s="57"/>
      <c r="O11" s="58"/>
      <c r="T11" s="50"/>
      <c r="U11" s="63"/>
      <c r="V11" s="63"/>
      <c r="W11" s="63"/>
    </row>
    <row r="12" spans="1:184" s="5" customFormat="1" x14ac:dyDescent="0.2">
      <c r="A12" s="9"/>
      <c r="B12" s="59"/>
      <c r="C12" s="49" t="s">
        <v>25</v>
      </c>
      <c r="D12" s="50" t="s">
        <v>26</v>
      </c>
      <c r="E12" s="51" t="s">
        <v>27</v>
      </c>
      <c r="F12" s="429">
        <f>'[21]6. Final Tariff Schedule'!E24</f>
        <v>1.0145E-2</v>
      </c>
      <c r="G12" s="411">
        <v>1.328995E-2</v>
      </c>
      <c r="H12" s="65"/>
      <c r="I12" s="66"/>
      <c r="J12" s="64"/>
      <c r="K12" s="64"/>
      <c r="L12" s="65"/>
      <c r="M12" s="56"/>
      <c r="N12" s="67" t="s">
        <v>28</v>
      </c>
      <c r="O12" s="58"/>
      <c r="T12" s="50" t="s">
        <v>20</v>
      </c>
      <c r="U12" s="63"/>
      <c r="V12" s="63"/>
      <c r="W12" s="63"/>
      <c r="X12" s="5" t="s">
        <v>29</v>
      </c>
      <c r="Y12" s="5" t="s">
        <v>30</v>
      </c>
    </row>
    <row r="13" spans="1:184" s="5" customFormat="1" ht="15.75" x14ac:dyDescent="0.25">
      <c r="A13" s="9"/>
      <c r="B13" s="59"/>
      <c r="C13" s="49" t="s">
        <v>31</v>
      </c>
      <c r="D13" s="50" t="s">
        <v>338</v>
      </c>
      <c r="E13" s="51" t="s">
        <v>27</v>
      </c>
      <c r="F13" s="429">
        <f>'[21]6. Final Tariff Schedule'!E25</f>
        <v>1.4E-3</v>
      </c>
      <c r="G13" s="406">
        <v>0</v>
      </c>
      <c r="H13" s="65"/>
      <c r="I13" s="61" t="s">
        <v>33</v>
      </c>
      <c r="J13" s="62" t="s">
        <v>34</v>
      </c>
      <c r="K13" s="68" t="s">
        <v>35</v>
      </c>
      <c r="L13" s="69">
        <v>4080</v>
      </c>
      <c r="M13" s="70">
        <v>4000</v>
      </c>
      <c r="N13" s="57"/>
      <c r="O13" s="58"/>
      <c r="T13" s="50" t="s">
        <v>20</v>
      </c>
      <c r="U13" s="63"/>
      <c r="V13" s="63"/>
      <c r="W13" s="63"/>
      <c r="X13" s="5" t="s">
        <v>29</v>
      </c>
      <c r="Y13" s="5" t="s">
        <v>30</v>
      </c>
    </row>
    <row r="14" spans="1:184" s="5" customFormat="1" ht="15.75" x14ac:dyDescent="0.25">
      <c r="A14" s="9"/>
      <c r="B14" s="59"/>
      <c r="C14" s="49" t="s">
        <v>36</v>
      </c>
      <c r="D14" s="50" t="s">
        <v>339</v>
      </c>
      <c r="E14" s="51" t="s">
        <v>27</v>
      </c>
      <c r="F14" s="429">
        <f>'[21]6. Final Tariff Schedule'!E26</f>
        <v>-1.1466514818379381E-3</v>
      </c>
      <c r="G14" s="406">
        <v>0</v>
      </c>
      <c r="H14" s="65"/>
      <c r="I14" s="61" t="s">
        <v>37</v>
      </c>
      <c r="J14" s="62" t="s">
        <v>38</v>
      </c>
      <c r="K14" s="68" t="s">
        <v>35</v>
      </c>
      <c r="L14" s="69">
        <v>4080</v>
      </c>
      <c r="M14" s="70">
        <v>4000</v>
      </c>
      <c r="N14" s="57"/>
      <c r="O14" s="58"/>
      <c r="T14" s="50" t="s">
        <v>20</v>
      </c>
      <c r="U14" s="63"/>
      <c r="V14" s="63"/>
      <c r="W14" s="63"/>
      <c r="X14" s="5" t="s">
        <v>29</v>
      </c>
      <c r="Y14" s="5" t="s">
        <v>30</v>
      </c>
    </row>
    <row r="15" spans="1:184" s="5" customFormat="1" ht="15.75" hidden="1" x14ac:dyDescent="0.25">
      <c r="A15" s="9"/>
      <c r="B15" s="59"/>
      <c r="C15" s="49" t="s">
        <v>39</v>
      </c>
      <c r="D15" s="50" t="s">
        <v>333</v>
      </c>
      <c r="E15" s="51" t="s">
        <v>27</v>
      </c>
      <c r="F15" s="429">
        <v>0</v>
      </c>
      <c r="G15" s="406">
        <v>0</v>
      </c>
      <c r="H15" s="65"/>
      <c r="I15" s="61"/>
      <c r="J15" s="62"/>
      <c r="K15" s="68"/>
      <c r="L15" s="69"/>
      <c r="M15" s="70"/>
      <c r="N15" s="57"/>
      <c r="O15" s="58"/>
      <c r="T15" s="50"/>
      <c r="U15" s="63"/>
      <c r="V15" s="63"/>
      <c r="W15" s="63"/>
      <c r="X15" s="5" t="s">
        <v>29</v>
      </c>
      <c r="Y15" s="5" t="s">
        <v>30</v>
      </c>
    </row>
    <row r="16" spans="1:184" s="5" customFormat="1" ht="15.75" x14ac:dyDescent="0.25">
      <c r="A16" s="9"/>
      <c r="B16" s="59"/>
      <c r="C16" s="49" t="s">
        <v>40</v>
      </c>
      <c r="D16" s="432" t="s">
        <v>343</v>
      </c>
      <c r="E16" s="433" t="s">
        <v>19</v>
      </c>
      <c r="F16" s="434">
        <f>'[21]6. Final Tariff Schedule'!E30</f>
        <v>1.03</v>
      </c>
      <c r="G16" s="406">
        <v>0</v>
      </c>
      <c r="H16" s="65"/>
      <c r="I16" s="61" t="s">
        <v>41</v>
      </c>
      <c r="J16" s="62" t="s">
        <v>42</v>
      </c>
      <c r="K16" s="68" t="s">
        <v>43</v>
      </c>
      <c r="L16" s="69">
        <v>4006</v>
      </c>
      <c r="M16" s="70">
        <v>4000</v>
      </c>
      <c r="N16" s="57"/>
      <c r="O16" s="58"/>
      <c r="T16" s="50" t="s">
        <v>20</v>
      </c>
      <c r="U16" s="63"/>
      <c r="V16" s="63"/>
      <c r="W16" s="63"/>
      <c r="Y16" s="5" t="s">
        <v>30</v>
      </c>
    </row>
    <row r="17" spans="1:25" s="5" customFormat="1" ht="15.75" x14ac:dyDescent="0.25">
      <c r="A17" s="9"/>
      <c r="B17" s="59"/>
      <c r="C17" s="49" t="s">
        <v>44</v>
      </c>
      <c r="D17" s="50" t="s">
        <v>341</v>
      </c>
      <c r="E17" s="51" t="s">
        <v>27</v>
      </c>
      <c r="F17" s="429">
        <f>'[21]6. Final Tariff Schedule'!E27</f>
        <v>1.2924336521215813E-3</v>
      </c>
      <c r="G17" s="406">
        <v>0</v>
      </c>
      <c r="H17" s="65"/>
      <c r="I17" s="61" t="s">
        <v>45</v>
      </c>
      <c r="J17" s="62" t="s">
        <v>46</v>
      </c>
      <c r="K17" s="68" t="s">
        <v>35</v>
      </c>
      <c r="L17" s="69">
        <v>4006</v>
      </c>
      <c r="M17" s="70">
        <v>4000</v>
      </c>
      <c r="N17" s="57"/>
      <c r="O17" s="58"/>
      <c r="T17" s="50" t="s">
        <v>20</v>
      </c>
      <c r="U17" s="63"/>
      <c r="V17" s="63"/>
      <c r="W17" s="63"/>
      <c r="Y17" s="5" t="s">
        <v>30</v>
      </c>
    </row>
    <row r="18" spans="1:25" s="5" customFormat="1" ht="15.75" x14ac:dyDescent="0.25">
      <c r="A18" s="9"/>
      <c r="B18" s="59"/>
      <c r="C18" s="49" t="s">
        <v>47</v>
      </c>
      <c r="D18" s="50" t="s">
        <v>48</v>
      </c>
      <c r="E18" s="51" t="s">
        <v>27</v>
      </c>
      <c r="F18" s="429">
        <f>'[21]6. Final Tariff Schedule'!E28</f>
        <v>2.0000000000000001E-4</v>
      </c>
      <c r="G18" s="406">
        <v>2.0000000000000001E-4</v>
      </c>
      <c r="H18" s="65"/>
      <c r="I18" s="61" t="s">
        <v>49</v>
      </c>
      <c r="J18" s="68" t="s">
        <v>50</v>
      </c>
      <c r="K18" s="68" t="s">
        <v>35</v>
      </c>
      <c r="L18" s="69">
        <v>4075</v>
      </c>
      <c r="M18" s="70">
        <v>4000</v>
      </c>
      <c r="N18" s="57"/>
      <c r="O18" s="58"/>
      <c r="T18" s="50" t="s">
        <v>20</v>
      </c>
      <c r="X18" s="5" t="s">
        <v>29</v>
      </c>
      <c r="Y18" s="5" t="s">
        <v>30</v>
      </c>
    </row>
    <row r="19" spans="1:25" s="5" customFormat="1" x14ac:dyDescent="0.2">
      <c r="A19" s="9"/>
      <c r="B19" s="59"/>
      <c r="C19" s="49" t="s">
        <v>51</v>
      </c>
      <c r="D19" s="50" t="s">
        <v>52</v>
      </c>
      <c r="E19" s="51" t="s">
        <v>27</v>
      </c>
      <c r="F19" s="429">
        <f>'[21]6. Final Tariff Schedule'!E31</f>
        <v>7.9374910817094635E-3</v>
      </c>
      <c r="G19" s="407">
        <v>8.0999999999999996E-3</v>
      </c>
      <c r="H19" s="72"/>
      <c r="I19" s="73"/>
      <c r="J19" s="71"/>
      <c r="K19" s="71"/>
      <c r="L19" s="72"/>
      <c r="M19" s="56"/>
      <c r="N19" s="57"/>
      <c r="O19" s="58"/>
      <c r="T19" s="50" t="s">
        <v>20</v>
      </c>
    </row>
    <row r="20" spans="1:25" s="5" customFormat="1" x14ac:dyDescent="0.2">
      <c r="A20" s="9"/>
      <c r="B20" s="59"/>
      <c r="C20" s="49" t="s">
        <v>53</v>
      </c>
      <c r="D20" s="50" t="s">
        <v>54</v>
      </c>
      <c r="E20" s="51" t="s">
        <v>27</v>
      </c>
      <c r="F20" s="429">
        <f>'[21]6. Final Tariff Schedule'!E32</f>
        <v>6.3816041687175329E-3</v>
      </c>
      <c r="G20" s="407">
        <v>6.1999999999999998E-3</v>
      </c>
      <c r="H20" s="72"/>
      <c r="I20" s="73"/>
      <c r="J20" s="71"/>
      <c r="K20" s="71"/>
      <c r="L20" s="72"/>
      <c r="M20" s="56"/>
      <c r="N20" s="57"/>
      <c r="O20" s="58"/>
      <c r="T20" s="50" t="s">
        <v>20</v>
      </c>
    </row>
    <row r="21" spans="1:25" s="5" customFormat="1" x14ac:dyDescent="0.2">
      <c r="A21" s="9"/>
      <c r="B21" s="59"/>
      <c r="C21" s="49" t="s">
        <v>55</v>
      </c>
      <c r="D21" s="50" t="s">
        <v>56</v>
      </c>
      <c r="E21" s="51" t="s">
        <v>27</v>
      </c>
      <c r="F21" s="429">
        <f>'[21]6. Final Tariff Schedule'!E36</f>
        <v>4.4000000000000003E-3</v>
      </c>
      <c r="G21" s="407">
        <v>4.4000000000000003E-3</v>
      </c>
      <c r="H21" s="72"/>
      <c r="I21" s="73"/>
      <c r="J21" s="71"/>
      <c r="K21" s="71"/>
      <c r="L21" s="72"/>
      <c r="M21" s="56"/>
      <c r="N21" s="57"/>
      <c r="O21" s="58"/>
      <c r="T21" s="50" t="s">
        <v>57</v>
      </c>
    </row>
    <row r="22" spans="1:25" s="5" customFormat="1" x14ac:dyDescent="0.2">
      <c r="A22" s="9"/>
      <c r="B22" s="59"/>
      <c r="C22" s="49" t="s">
        <v>55</v>
      </c>
      <c r="D22" s="74" t="s">
        <v>58</v>
      </c>
      <c r="E22" s="51" t="s">
        <v>27</v>
      </c>
      <c r="F22" s="429">
        <f>'[21]6. Final Tariff Schedule'!E37</f>
        <v>1.2999999999999999E-3</v>
      </c>
      <c r="G22" s="407">
        <v>1.2999999999999999E-3</v>
      </c>
      <c r="H22" s="72"/>
      <c r="I22" s="73"/>
      <c r="J22" s="71"/>
      <c r="K22" s="71"/>
      <c r="L22" s="72"/>
      <c r="M22" s="56"/>
      <c r="N22" s="57"/>
      <c r="O22" s="58"/>
      <c r="T22" s="50" t="s">
        <v>57</v>
      </c>
    </row>
    <row r="23" spans="1:25" s="5" customFormat="1" x14ac:dyDescent="0.2">
      <c r="A23" s="9"/>
      <c r="B23" s="59"/>
      <c r="C23" s="49" t="s">
        <v>59</v>
      </c>
      <c r="D23" s="50" t="s">
        <v>60</v>
      </c>
      <c r="E23" s="51" t="s">
        <v>19</v>
      </c>
      <c r="F23" s="422">
        <f>'[21]6. Final Tariff Schedule'!E38</f>
        <v>0.25</v>
      </c>
      <c r="G23" s="408">
        <v>0.25</v>
      </c>
      <c r="H23" s="76"/>
      <c r="I23" s="77"/>
      <c r="J23" s="75"/>
      <c r="K23" s="75"/>
      <c r="L23" s="76"/>
      <c r="M23" s="56"/>
      <c r="N23" s="57"/>
      <c r="O23" s="58"/>
      <c r="T23" s="50" t="s">
        <v>57</v>
      </c>
    </row>
    <row r="24" spans="1:25" s="5" customFormat="1" x14ac:dyDescent="0.2">
      <c r="A24" s="9"/>
      <c r="B24" s="59"/>
      <c r="C24" s="49" t="s">
        <v>61</v>
      </c>
      <c r="D24" s="74" t="s">
        <v>62</v>
      </c>
      <c r="E24" s="78" t="s">
        <v>27</v>
      </c>
      <c r="F24" s="430">
        <v>7.0000000000000001E-3</v>
      </c>
      <c r="G24" s="409">
        <v>7.0000000000000001E-3</v>
      </c>
      <c r="H24" s="80"/>
      <c r="I24" s="81"/>
      <c r="J24" s="82"/>
      <c r="K24" s="82"/>
      <c r="L24" s="83"/>
      <c r="M24" s="84"/>
      <c r="N24" s="57"/>
      <c r="O24" s="58"/>
      <c r="T24" s="50" t="s">
        <v>63</v>
      </c>
      <c r="U24" s="80" t="e">
        <f>SUM(#REF!)</f>
        <v>#REF!</v>
      </c>
      <c r="V24" s="80">
        <f>SUM(F9:F23)</f>
        <v>17.785934877420711</v>
      </c>
      <c r="W24" s="80">
        <f>SUM(G9:G23)</f>
        <v>14.292429950000001</v>
      </c>
    </row>
    <row r="25" spans="1:25" s="5" customFormat="1" ht="30" customHeight="1" x14ac:dyDescent="0.25">
      <c r="A25" s="38"/>
      <c r="B25" s="39" t="s">
        <v>64</v>
      </c>
      <c r="C25" s="40"/>
      <c r="D25" s="41"/>
      <c r="E25" s="42"/>
      <c r="F25" s="43"/>
      <c r="G25" s="43"/>
      <c r="H25" s="38"/>
      <c r="I25" s="44"/>
      <c r="J25" s="45"/>
      <c r="K25" s="45"/>
      <c r="L25" s="46"/>
      <c r="M25" s="47"/>
      <c r="N25" s="27"/>
      <c r="O25" s="38"/>
    </row>
    <row r="26" spans="1:25" s="5" customFormat="1" x14ac:dyDescent="0.2">
      <c r="A26" s="38"/>
      <c r="B26" s="59"/>
      <c r="C26" s="49" t="s">
        <v>65</v>
      </c>
      <c r="D26" s="50" t="s">
        <v>18</v>
      </c>
      <c r="E26" s="51" t="s">
        <v>19</v>
      </c>
      <c r="F26" s="52">
        <f>'[21]6. Final Tariff Schedule'!E54</f>
        <v>41.269860000000001</v>
      </c>
      <c r="G26" s="412">
        <v>40.681449999999998</v>
      </c>
      <c r="H26" s="60"/>
      <c r="I26" s="85"/>
      <c r="J26" s="52"/>
      <c r="K26" s="52"/>
      <c r="L26" s="60"/>
      <c r="M26" s="86"/>
      <c r="N26" s="57"/>
      <c r="O26" s="38"/>
    </row>
    <row r="27" spans="1:25" s="5" customFormat="1" ht="15.75" x14ac:dyDescent="0.25">
      <c r="A27" s="38"/>
      <c r="B27" s="59" t="s">
        <v>22</v>
      </c>
      <c r="C27" s="49" t="s">
        <v>66</v>
      </c>
      <c r="D27" s="50" t="s">
        <v>24</v>
      </c>
      <c r="E27" s="51" t="s">
        <v>19</v>
      </c>
      <c r="F27" s="52">
        <f>'[21]6. Final Tariff Schedule'!E55</f>
        <v>0.79</v>
      </c>
      <c r="G27" s="52">
        <v>0.79</v>
      </c>
      <c r="H27" s="60"/>
      <c r="I27" s="61"/>
      <c r="J27" s="62"/>
      <c r="K27" s="52"/>
      <c r="L27" s="60"/>
      <c r="M27" s="86"/>
      <c r="N27" s="57"/>
      <c r="O27" s="38"/>
    </row>
    <row r="28" spans="1:25" s="5" customFormat="1" ht="15.75" x14ac:dyDescent="0.25">
      <c r="A28" s="38"/>
      <c r="B28" s="59"/>
      <c r="C28" s="49"/>
      <c r="D28" s="432" t="s">
        <v>343</v>
      </c>
      <c r="E28" s="51" t="s">
        <v>19</v>
      </c>
      <c r="F28" s="422">
        <f>'[21]6. Final Tariff Schedule'!E63</f>
        <v>1.88</v>
      </c>
      <c r="G28" s="52">
        <v>0</v>
      </c>
      <c r="H28" s="60"/>
      <c r="I28" s="61"/>
      <c r="J28" s="62"/>
      <c r="K28" s="52"/>
      <c r="L28" s="60"/>
      <c r="M28" s="86"/>
      <c r="N28" s="57"/>
      <c r="O28" s="38"/>
    </row>
    <row r="29" spans="1:25" s="5" customFormat="1" x14ac:dyDescent="0.2">
      <c r="A29" s="9"/>
      <c r="B29" s="59"/>
      <c r="C29" s="49" t="s">
        <v>67</v>
      </c>
      <c r="D29" s="50" t="s">
        <v>26</v>
      </c>
      <c r="E29" s="51" t="s">
        <v>27</v>
      </c>
      <c r="F29" s="64">
        <f>'[21]6. Final Tariff Schedule'!E56</f>
        <v>1.207255E-2</v>
      </c>
      <c r="G29" s="413">
        <v>1.1869650000000001E-2</v>
      </c>
      <c r="H29" s="65"/>
      <c r="I29" s="87"/>
      <c r="J29" s="26"/>
      <c r="K29" s="26"/>
      <c r="L29" s="27"/>
      <c r="M29" s="56"/>
      <c r="N29" s="57"/>
      <c r="O29" s="38"/>
    </row>
    <row r="30" spans="1:25" s="5" customFormat="1" ht="15.75" x14ac:dyDescent="0.25">
      <c r="A30" s="9"/>
      <c r="B30" s="59"/>
      <c r="C30" s="49" t="s">
        <v>68</v>
      </c>
      <c r="D30" s="50" t="s">
        <v>338</v>
      </c>
      <c r="E30" s="51" t="s">
        <v>27</v>
      </c>
      <c r="F30" s="429">
        <f>'[21]6. Final Tariff Schedule'!E57</f>
        <v>1.4E-3</v>
      </c>
      <c r="G30" s="64">
        <v>0</v>
      </c>
      <c r="H30" s="65"/>
      <c r="I30" s="61" t="s">
        <v>69</v>
      </c>
      <c r="J30" s="62" t="s">
        <v>70</v>
      </c>
      <c r="K30" s="68" t="s">
        <v>35</v>
      </c>
      <c r="L30" s="69">
        <v>4080</v>
      </c>
      <c r="M30" s="70">
        <v>4000</v>
      </c>
      <c r="N30" s="57"/>
      <c r="O30" s="38"/>
    </row>
    <row r="31" spans="1:25" s="5" customFormat="1" ht="15" customHeight="1" x14ac:dyDescent="0.25">
      <c r="A31" s="9"/>
      <c r="B31" s="59"/>
      <c r="C31" s="49" t="s">
        <v>71</v>
      </c>
      <c r="D31" s="50" t="s">
        <v>339</v>
      </c>
      <c r="E31" s="51" t="s">
        <v>27</v>
      </c>
      <c r="F31" s="429">
        <f>'[21]6. Final Tariff Schedule'!E58</f>
        <v>-1.1466514818379381E-3</v>
      </c>
      <c r="G31" s="64">
        <v>0</v>
      </c>
      <c r="H31" s="65"/>
      <c r="I31" s="88" t="s">
        <v>72</v>
      </c>
      <c r="J31" s="62" t="s">
        <v>73</v>
      </c>
      <c r="K31" s="68" t="s">
        <v>35</v>
      </c>
      <c r="L31" s="69">
        <v>4080</v>
      </c>
      <c r="M31" s="70">
        <v>4000</v>
      </c>
      <c r="N31" s="57"/>
      <c r="O31" s="38"/>
    </row>
    <row r="32" spans="1:25" s="5" customFormat="1" ht="15.75" hidden="1" x14ac:dyDescent="0.25">
      <c r="A32" s="9"/>
      <c r="B32" s="59"/>
      <c r="C32" s="49" t="s">
        <v>74</v>
      </c>
      <c r="D32" s="50" t="s">
        <v>333</v>
      </c>
      <c r="E32" s="51" t="s">
        <v>27</v>
      </c>
      <c r="F32" s="429" t="s">
        <v>32</v>
      </c>
      <c r="G32" s="64">
        <v>0</v>
      </c>
      <c r="H32" s="65"/>
      <c r="I32" s="61"/>
      <c r="J32" s="62"/>
      <c r="K32" s="68"/>
      <c r="L32" s="69"/>
      <c r="M32" s="70"/>
      <c r="N32" s="57"/>
      <c r="O32" s="38"/>
    </row>
    <row r="33" spans="1:20" s="5" customFormat="1" ht="15.75" hidden="1" x14ac:dyDescent="0.25">
      <c r="A33" s="9"/>
      <c r="B33" s="59"/>
      <c r="C33" s="49" t="s">
        <v>75</v>
      </c>
      <c r="D33" s="50" t="s">
        <v>334</v>
      </c>
      <c r="E33" s="51" t="s">
        <v>27</v>
      </c>
      <c r="F33" s="429" t="s">
        <v>32</v>
      </c>
      <c r="G33" s="64" t="s">
        <v>32</v>
      </c>
      <c r="H33" s="65"/>
      <c r="I33" s="89" t="s">
        <v>76</v>
      </c>
      <c r="J33" s="90" t="s">
        <v>77</v>
      </c>
      <c r="K33" s="64"/>
      <c r="L33" s="70">
        <v>4080</v>
      </c>
      <c r="M33" s="70">
        <v>4000</v>
      </c>
      <c r="N33" s="57"/>
      <c r="O33" s="58"/>
    </row>
    <row r="34" spans="1:20" s="5" customFormat="1" x14ac:dyDescent="0.2">
      <c r="A34" s="9"/>
      <c r="B34" s="59"/>
      <c r="C34" s="49"/>
      <c r="D34" s="50" t="s">
        <v>340</v>
      </c>
      <c r="E34" s="51" t="s">
        <v>27</v>
      </c>
      <c r="F34" s="429">
        <f>'[21]6. Final Tariff Schedule'!E62</f>
        <v>6.2570921254264158E-6</v>
      </c>
      <c r="G34" s="64">
        <v>0</v>
      </c>
      <c r="H34" s="65"/>
      <c r="I34" s="66"/>
      <c r="J34" s="64"/>
      <c r="K34" s="64"/>
      <c r="L34" s="65"/>
      <c r="M34" s="86"/>
      <c r="N34" s="57"/>
      <c r="O34" s="38"/>
    </row>
    <row r="35" spans="1:20" s="5" customFormat="1" ht="15.75" x14ac:dyDescent="0.25">
      <c r="A35" s="9"/>
      <c r="B35" s="59"/>
      <c r="C35" s="49" t="s">
        <v>78</v>
      </c>
      <c r="D35" s="432" t="s">
        <v>344</v>
      </c>
      <c r="E35" s="51" t="s">
        <v>27</v>
      </c>
      <c r="F35" s="429">
        <f>'[21]6. Final Tariff Schedule'!E64</f>
        <v>5.0000000000000001E-4</v>
      </c>
      <c r="G35" s="64">
        <v>0</v>
      </c>
      <c r="H35" s="65"/>
      <c r="I35" s="61" t="s">
        <v>79</v>
      </c>
      <c r="J35" s="62" t="s">
        <v>80</v>
      </c>
      <c r="K35" s="68" t="s">
        <v>43</v>
      </c>
      <c r="L35" s="69">
        <v>4035</v>
      </c>
      <c r="M35" s="70">
        <v>4000</v>
      </c>
      <c r="N35" s="57"/>
      <c r="O35" s="38"/>
    </row>
    <row r="36" spans="1:20" s="5" customFormat="1" ht="15.75" x14ac:dyDescent="0.25">
      <c r="A36" s="9"/>
      <c r="B36" s="59"/>
      <c r="C36" s="49" t="s">
        <v>81</v>
      </c>
      <c r="D36" s="50" t="s">
        <v>341</v>
      </c>
      <c r="E36" s="51" t="s">
        <v>27</v>
      </c>
      <c r="F36" s="429">
        <f>'[21]6. Final Tariff Schedule'!E59</f>
        <v>2.1013684053532715E-3</v>
      </c>
      <c r="G36" s="64">
        <v>0</v>
      </c>
      <c r="H36" s="65"/>
      <c r="I36" s="61" t="s">
        <v>82</v>
      </c>
      <c r="J36" s="62" t="s">
        <v>83</v>
      </c>
      <c r="K36" s="68" t="s">
        <v>35</v>
      </c>
      <c r="L36" s="69">
        <v>4035</v>
      </c>
      <c r="M36" s="70">
        <v>4000</v>
      </c>
      <c r="N36" s="57"/>
      <c r="O36" s="38"/>
    </row>
    <row r="37" spans="1:20" s="5" customFormat="1" ht="15.75" x14ac:dyDescent="0.25">
      <c r="A37" s="9"/>
      <c r="B37" s="59"/>
      <c r="C37" s="49" t="s">
        <v>84</v>
      </c>
      <c r="D37" s="50" t="s">
        <v>48</v>
      </c>
      <c r="E37" s="51" t="s">
        <v>27</v>
      </c>
      <c r="F37" s="64">
        <f>'[21]6. Final Tariff Schedule'!E60</f>
        <v>2.0000000000000001E-4</v>
      </c>
      <c r="G37" s="64">
        <v>2.0000000000000001E-4</v>
      </c>
      <c r="H37" s="65"/>
      <c r="I37" s="61" t="s">
        <v>85</v>
      </c>
      <c r="J37" s="62" t="s">
        <v>86</v>
      </c>
      <c r="K37" s="68" t="s">
        <v>35</v>
      </c>
      <c r="L37" s="69">
        <v>4075</v>
      </c>
      <c r="M37" s="70">
        <v>4000</v>
      </c>
      <c r="N37" s="57"/>
      <c r="O37" s="38"/>
    </row>
    <row r="38" spans="1:20" s="5" customFormat="1" x14ac:dyDescent="0.2">
      <c r="A38" s="9"/>
      <c r="B38" s="59"/>
      <c r="C38" s="49" t="s">
        <v>87</v>
      </c>
      <c r="D38" s="50" t="s">
        <v>88</v>
      </c>
      <c r="E38" s="51" t="s">
        <v>27</v>
      </c>
      <c r="F38" s="71">
        <f>'[21]6. Final Tariff Schedule'!E65</f>
        <v>7.4475224959026989E-3</v>
      </c>
      <c r="G38" s="71">
        <v>7.6E-3</v>
      </c>
      <c r="H38" s="72"/>
      <c r="I38" s="73"/>
      <c r="J38" s="71"/>
      <c r="K38" s="71"/>
      <c r="L38" s="72"/>
      <c r="M38" s="86"/>
      <c r="N38" s="57"/>
      <c r="O38" s="38"/>
    </row>
    <row r="39" spans="1:20" s="5" customFormat="1" x14ac:dyDescent="0.2">
      <c r="A39" s="9"/>
      <c r="B39" s="59"/>
      <c r="C39" s="49" t="s">
        <v>89</v>
      </c>
      <c r="D39" s="50" t="s">
        <v>90</v>
      </c>
      <c r="E39" s="51" t="s">
        <v>27</v>
      </c>
      <c r="F39" s="407">
        <f>'[21]6. Final Tariff Schedule'!E66</f>
        <v>5.7640295638366704E-3</v>
      </c>
      <c r="G39" s="71">
        <v>5.5999999999999999E-3</v>
      </c>
      <c r="H39" s="72"/>
      <c r="I39" s="73"/>
      <c r="J39" s="71"/>
      <c r="K39" s="71"/>
      <c r="L39" s="72"/>
      <c r="M39" s="86"/>
      <c r="N39" s="57"/>
      <c r="O39" s="38"/>
    </row>
    <row r="40" spans="1:20" s="5" customFormat="1" x14ac:dyDescent="0.2">
      <c r="A40" s="9"/>
      <c r="B40" s="59"/>
      <c r="C40" s="49" t="s">
        <v>55</v>
      </c>
      <c r="D40" s="50" t="s">
        <v>56</v>
      </c>
      <c r="E40" s="51" t="s">
        <v>27</v>
      </c>
      <c r="F40" s="71">
        <f>'[21]6. Final Tariff Schedule'!E70</f>
        <v>4.4000000000000003E-3</v>
      </c>
      <c r="G40" s="71">
        <v>4.4000000000000003E-3</v>
      </c>
      <c r="H40" s="72"/>
      <c r="I40" s="73"/>
      <c r="J40" s="71"/>
      <c r="K40" s="71"/>
      <c r="L40" s="72"/>
      <c r="M40" s="86"/>
      <c r="N40" s="57"/>
      <c r="O40" s="38"/>
      <c r="T40" s="5" t="s">
        <v>91</v>
      </c>
    </row>
    <row r="41" spans="1:20" s="5" customFormat="1" x14ac:dyDescent="0.2">
      <c r="A41" s="9"/>
      <c r="B41" s="59"/>
      <c r="C41" s="49" t="s">
        <v>55</v>
      </c>
      <c r="D41" s="74" t="s">
        <v>58</v>
      </c>
      <c r="E41" s="51" t="s">
        <v>27</v>
      </c>
      <c r="F41" s="71">
        <f>'[21]6. Final Tariff Schedule'!E71</f>
        <v>1.2999999999999999E-3</v>
      </c>
      <c r="G41" s="71">
        <v>1.2999999999999999E-3</v>
      </c>
      <c r="H41" s="72"/>
      <c r="I41" s="73"/>
      <c r="J41" s="71"/>
      <c r="K41" s="71"/>
      <c r="L41" s="72"/>
      <c r="M41" s="86"/>
      <c r="N41" s="57"/>
      <c r="O41" s="38"/>
    </row>
    <row r="42" spans="1:20" s="5" customFormat="1" x14ac:dyDescent="0.2">
      <c r="A42" s="9"/>
      <c r="B42" s="59"/>
      <c r="C42" s="49" t="s">
        <v>59</v>
      </c>
      <c r="D42" s="50" t="s">
        <v>60</v>
      </c>
      <c r="E42" s="51" t="s">
        <v>19</v>
      </c>
      <c r="F42" s="75">
        <f>'[21]6. Final Tariff Schedule'!E72</f>
        <v>0.25</v>
      </c>
      <c r="G42" s="75">
        <v>0.25</v>
      </c>
      <c r="H42" s="76"/>
      <c r="I42" s="77"/>
      <c r="J42" s="75"/>
      <c r="K42" s="75"/>
      <c r="L42" s="76"/>
      <c r="M42" s="86"/>
      <c r="N42" s="57"/>
      <c r="O42" s="38"/>
    </row>
    <row r="43" spans="1:20" s="5" customFormat="1" x14ac:dyDescent="0.2">
      <c r="A43" s="9"/>
      <c r="B43" s="59"/>
      <c r="C43" s="91" t="s">
        <v>61</v>
      </c>
      <c r="D43" s="74" t="s">
        <v>62</v>
      </c>
      <c r="E43" s="78" t="s">
        <v>27</v>
      </c>
      <c r="F43" s="79">
        <v>7.0000000000000001E-3</v>
      </c>
      <c r="G43" s="79">
        <v>7.0000000000000001E-3</v>
      </c>
      <c r="H43" s="92"/>
      <c r="I43" s="93"/>
      <c r="J43" s="79"/>
      <c r="K43" s="79"/>
      <c r="L43" s="92"/>
      <c r="M43" s="86"/>
      <c r="N43" s="57"/>
      <c r="O43" s="38"/>
    </row>
    <row r="44" spans="1:20" s="5" customFormat="1" ht="47.25" x14ac:dyDescent="0.25">
      <c r="A44" s="38"/>
      <c r="B44" s="39" t="s">
        <v>92</v>
      </c>
      <c r="C44" s="49"/>
      <c r="D44" s="41"/>
      <c r="E44" s="42"/>
      <c r="F44" s="43"/>
      <c r="G44" s="43"/>
      <c r="I44" s="44"/>
      <c r="J44" s="45"/>
      <c r="K44" s="45"/>
      <c r="L44" s="46"/>
      <c r="M44" s="47"/>
      <c r="N44" s="4"/>
    </row>
    <row r="45" spans="1:20" s="5" customFormat="1" x14ac:dyDescent="0.2">
      <c r="A45" s="38"/>
      <c r="B45" s="94"/>
      <c r="C45" s="49" t="s">
        <v>93</v>
      </c>
      <c r="D45" s="95" t="s">
        <v>94</v>
      </c>
      <c r="E45" s="51" t="s">
        <v>19</v>
      </c>
      <c r="F45" s="52">
        <f>'[21]6. Final Tariff Schedule'!E191</f>
        <v>8.5218000000000007</v>
      </c>
      <c r="G45" s="414">
        <v>8.4000599999999999</v>
      </c>
      <c r="H45" s="60"/>
      <c r="I45" s="85"/>
      <c r="J45" s="52"/>
      <c r="K45" s="52"/>
      <c r="L45" s="60"/>
      <c r="M45" s="56"/>
      <c r="N45" s="96"/>
      <c r="O45" s="97"/>
    </row>
    <row r="46" spans="1:20" s="5" customFormat="1" ht="15" customHeight="1" x14ac:dyDescent="0.2">
      <c r="A46" s="38"/>
      <c r="B46" s="59"/>
      <c r="C46" s="49"/>
      <c r="D46" s="432" t="s">
        <v>343</v>
      </c>
      <c r="E46" s="51" t="s">
        <v>19</v>
      </c>
      <c r="F46" s="52">
        <f>'[21]6. Final Tariff Schedule'!E198</f>
        <v>0.39</v>
      </c>
      <c r="G46" s="414">
        <v>0</v>
      </c>
      <c r="H46" s="60"/>
      <c r="I46" s="85"/>
      <c r="J46" s="52"/>
      <c r="K46" s="52"/>
      <c r="L46" s="60"/>
      <c r="M46" s="56"/>
      <c r="N46" s="96"/>
      <c r="O46" s="97"/>
    </row>
    <row r="47" spans="1:20" s="5" customFormat="1" x14ac:dyDescent="0.2">
      <c r="A47" s="9"/>
      <c r="B47" s="59"/>
      <c r="C47" s="49" t="s">
        <v>95</v>
      </c>
      <c r="D47" s="50" t="s">
        <v>26</v>
      </c>
      <c r="E47" s="51" t="s">
        <v>27</v>
      </c>
      <c r="F47" s="64">
        <f>'[21]6. Final Tariff Schedule'!E192</f>
        <v>1.5521849999999998E-2</v>
      </c>
      <c r="G47" s="415">
        <v>1.531895E-2</v>
      </c>
      <c r="H47" s="65"/>
      <c r="I47" s="66"/>
      <c r="J47" s="64"/>
      <c r="K47" s="64"/>
      <c r="L47" s="65"/>
      <c r="M47" s="56"/>
      <c r="N47" s="96"/>
      <c r="O47" s="97"/>
    </row>
    <row r="48" spans="1:20" s="5" customFormat="1" ht="15.75" x14ac:dyDescent="0.25">
      <c r="A48" s="9"/>
      <c r="B48" s="59"/>
      <c r="C48" s="49" t="s">
        <v>96</v>
      </c>
      <c r="D48" s="50" t="s">
        <v>337</v>
      </c>
      <c r="E48" s="51" t="s">
        <v>27</v>
      </c>
      <c r="F48" s="429">
        <f>'[21]6. Final Tariff Schedule'!E193</f>
        <v>1.4E-3</v>
      </c>
      <c r="G48" s="64">
        <v>0</v>
      </c>
      <c r="H48" s="65"/>
      <c r="I48" s="61" t="s">
        <v>97</v>
      </c>
      <c r="J48" s="62" t="s">
        <v>98</v>
      </c>
      <c r="K48" s="68" t="s">
        <v>35</v>
      </c>
      <c r="L48" s="69">
        <v>4080</v>
      </c>
      <c r="M48" s="70">
        <v>4000</v>
      </c>
      <c r="N48" s="96"/>
      <c r="O48" s="97"/>
    </row>
    <row r="49" spans="1:26" s="5" customFormat="1" ht="15.75" x14ac:dyDescent="0.25">
      <c r="A49" s="9"/>
      <c r="B49" s="59"/>
      <c r="C49" s="49" t="s">
        <v>99</v>
      </c>
      <c r="D49" s="50" t="s">
        <v>342</v>
      </c>
      <c r="E49" s="51" t="s">
        <v>27</v>
      </c>
      <c r="F49" s="429">
        <f>'[21]6. Final Tariff Schedule'!E194</f>
        <v>-1.1466514818379381E-3</v>
      </c>
      <c r="G49" s="64">
        <v>0</v>
      </c>
      <c r="H49" s="65"/>
      <c r="I49" s="61" t="s">
        <v>100</v>
      </c>
      <c r="J49" s="62" t="s">
        <v>101</v>
      </c>
      <c r="K49" s="68" t="s">
        <v>35</v>
      </c>
      <c r="L49" s="69">
        <v>4080</v>
      </c>
      <c r="M49" s="70">
        <v>4000</v>
      </c>
      <c r="N49" s="96"/>
      <c r="O49" s="97"/>
    </row>
    <row r="50" spans="1:26" s="5" customFormat="1" ht="15.75" x14ac:dyDescent="0.25">
      <c r="A50" s="9"/>
      <c r="B50" s="59"/>
      <c r="C50" s="49" t="s">
        <v>102</v>
      </c>
      <c r="D50" s="50" t="s">
        <v>340</v>
      </c>
      <c r="E50" s="51" t="s">
        <v>27</v>
      </c>
      <c r="F50" s="429">
        <f>'[21]6. Final Tariff Schedule'!E197</f>
        <v>1.0094607982198839E-5</v>
      </c>
      <c r="G50" s="64">
        <v>0</v>
      </c>
      <c r="H50" s="65"/>
      <c r="I50" s="61" t="s">
        <v>103</v>
      </c>
      <c r="J50" s="62" t="s">
        <v>104</v>
      </c>
      <c r="K50" s="68" t="s">
        <v>43</v>
      </c>
      <c r="L50" s="69">
        <v>4010</v>
      </c>
      <c r="M50" s="70">
        <v>4000</v>
      </c>
      <c r="N50" s="96"/>
      <c r="O50" s="97"/>
      <c r="T50" s="5" t="s">
        <v>105</v>
      </c>
    </row>
    <row r="51" spans="1:26" s="5" customFormat="1" ht="15.75" x14ac:dyDescent="0.25">
      <c r="A51" s="9"/>
      <c r="B51" s="59"/>
      <c r="C51" s="49"/>
      <c r="D51" s="432" t="s">
        <v>344</v>
      </c>
      <c r="E51" s="51" t="s">
        <v>27</v>
      </c>
      <c r="F51" s="429">
        <f>'[21]6. Final Tariff Schedule'!E199</f>
        <v>6.9999999999999999E-4</v>
      </c>
      <c r="G51" s="423">
        <v>0</v>
      </c>
      <c r="H51" s="65"/>
      <c r="I51" s="61"/>
      <c r="J51" s="62"/>
      <c r="K51" s="68"/>
      <c r="L51" s="69"/>
      <c r="M51" s="70"/>
      <c r="N51" s="96"/>
      <c r="O51" s="97"/>
    </row>
    <row r="52" spans="1:26" s="5" customFormat="1" ht="15.75" x14ac:dyDescent="0.25">
      <c r="A52" s="9"/>
      <c r="B52" s="59"/>
      <c r="C52" s="49" t="s">
        <v>106</v>
      </c>
      <c r="D52" s="50" t="s">
        <v>341</v>
      </c>
      <c r="E52" s="51" t="s">
        <v>27</v>
      </c>
      <c r="F52" s="429">
        <f>'[21]6. Final Tariff Schedule'!E195</f>
        <v>1.7502005592373213E-3</v>
      </c>
      <c r="G52" s="64">
        <v>0</v>
      </c>
      <c r="H52" s="65"/>
      <c r="I52" s="61" t="s">
        <v>107</v>
      </c>
      <c r="J52" s="62" t="s">
        <v>108</v>
      </c>
      <c r="K52" s="68" t="s">
        <v>35</v>
      </c>
      <c r="L52" s="69">
        <v>4010</v>
      </c>
      <c r="M52" s="70">
        <v>4000</v>
      </c>
      <c r="N52" s="96"/>
      <c r="O52" s="97"/>
    </row>
    <row r="53" spans="1:26" s="5" customFormat="1" ht="15.75" x14ac:dyDescent="0.25">
      <c r="A53" s="9"/>
      <c r="B53" s="59"/>
      <c r="C53" s="49" t="s">
        <v>109</v>
      </c>
      <c r="D53" s="50" t="s">
        <v>48</v>
      </c>
      <c r="E53" s="51" t="s">
        <v>27</v>
      </c>
      <c r="F53" s="64">
        <f>'[21]6. Final Tariff Schedule'!E196</f>
        <v>2.0000000000000001E-4</v>
      </c>
      <c r="G53" s="64">
        <v>2.0000000000000001E-4</v>
      </c>
      <c r="H53" s="65"/>
      <c r="I53" s="61" t="s">
        <v>110</v>
      </c>
      <c r="J53" s="62" t="s">
        <v>111</v>
      </c>
      <c r="K53" s="68" t="s">
        <v>35</v>
      </c>
      <c r="L53" s="69">
        <v>4075</v>
      </c>
      <c r="M53" s="70">
        <v>4000</v>
      </c>
      <c r="N53" s="96"/>
      <c r="O53" s="97"/>
    </row>
    <row r="54" spans="1:26" s="5" customFormat="1" x14ac:dyDescent="0.2">
      <c r="A54" s="9"/>
      <c r="B54" s="59"/>
      <c r="C54" s="49" t="s">
        <v>112</v>
      </c>
      <c r="D54" s="50" t="s">
        <v>88</v>
      </c>
      <c r="E54" s="51" t="s">
        <v>27</v>
      </c>
      <c r="F54" s="71">
        <f>'[21]6. Final Tariff Schedule'!E200</f>
        <v>7.4475227425682871E-3</v>
      </c>
      <c r="G54" s="71">
        <v>7.6E-3</v>
      </c>
      <c r="H54" s="72"/>
      <c r="I54" s="73"/>
      <c r="J54" s="71"/>
      <c r="K54" s="71"/>
      <c r="L54" s="72"/>
      <c r="M54" s="56"/>
      <c r="N54" s="96"/>
      <c r="O54" s="97"/>
      <c r="T54" s="5" t="s">
        <v>113</v>
      </c>
    </row>
    <row r="55" spans="1:26" s="5" customFormat="1" x14ac:dyDescent="0.2">
      <c r="A55" s="9"/>
      <c r="B55" s="59"/>
      <c r="C55" s="49" t="s">
        <v>114</v>
      </c>
      <c r="D55" s="50" t="s">
        <v>90</v>
      </c>
      <c r="E55" s="51" t="s">
        <v>27</v>
      </c>
      <c r="F55" s="71">
        <f>'[21]6. Final Tariff Schedule'!E201</f>
        <v>5.7640295507585537E-3</v>
      </c>
      <c r="G55" s="71">
        <v>5.5999999999999999E-3</v>
      </c>
      <c r="H55" s="72"/>
      <c r="I55" s="73"/>
      <c r="J55" s="71"/>
      <c r="K55" s="71"/>
      <c r="L55" s="72"/>
      <c r="M55" s="56"/>
      <c r="N55" s="96"/>
      <c r="O55" s="97"/>
      <c r="T55" s="5" t="s">
        <v>113</v>
      </c>
    </row>
    <row r="56" spans="1:26" s="5" customFormat="1" x14ac:dyDescent="0.2">
      <c r="A56" s="9"/>
      <c r="B56" s="59"/>
      <c r="C56" s="49" t="s">
        <v>55</v>
      </c>
      <c r="D56" s="50" t="s">
        <v>56</v>
      </c>
      <c r="E56" s="51" t="s">
        <v>27</v>
      </c>
      <c r="F56" s="71">
        <f>'[21]6. Final Tariff Schedule'!E204</f>
        <v>4.4000000000000003E-3</v>
      </c>
      <c r="G56" s="71">
        <v>4.4000000000000003E-3</v>
      </c>
      <c r="H56" s="72"/>
      <c r="I56" s="73"/>
      <c r="J56" s="71"/>
      <c r="K56" s="71"/>
      <c r="L56" s="72"/>
      <c r="M56" s="56"/>
      <c r="N56" s="96"/>
      <c r="O56" s="97"/>
    </row>
    <row r="57" spans="1:26" s="5" customFormat="1" x14ac:dyDescent="0.2">
      <c r="A57" s="9"/>
      <c r="B57" s="59"/>
      <c r="C57" s="49" t="s">
        <v>55</v>
      </c>
      <c r="D57" s="74" t="s">
        <v>58</v>
      </c>
      <c r="E57" s="51" t="s">
        <v>27</v>
      </c>
      <c r="F57" s="71">
        <f>'[21]6. Final Tariff Schedule'!E205</f>
        <v>1.2999999999999999E-3</v>
      </c>
      <c r="G57" s="71">
        <v>1.2999999999999999E-3</v>
      </c>
      <c r="H57" s="72"/>
      <c r="I57" s="73"/>
      <c r="J57" s="71"/>
      <c r="K57" s="71"/>
      <c r="L57" s="72"/>
      <c r="M57" s="56"/>
      <c r="N57" s="96"/>
      <c r="O57" s="97"/>
    </row>
    <row r="58" spans="1:26" s="5" customFormat="1" x14ac:dyDescent="0.2">
      <c r="A58" s="9"/>
      <c r="B58" s="59"/>
      <c r="C58" s="49" t="s">
        <v>59</v>
      </c>
      <c r="D58" s="50" t="s">
        <v>60</v>
      </c>
      <c r="E58" s="51" t="s">
        <v>19</v>
      </c>
      <c r="F58" s="75">
        <f>'[21]6. Final Tariff Schedule'!E206</f>
        <v>0.25</v>
      </c>
      <c r="G58" s="75">
        <v>0.25</v>
      </c>
      <c r="H58" s="76"/>
      <c r="I58" s="77"/>
      <c r="J58" s="75"/>
      <c r="K58" s="75"/>
      <c r="L58" s="76"/>
      <c r="M58" s="56"/>
      <c r="N58" s="96"/>
      <c r="O58" s="97"/>
    </row>
    <row r="59" spans="1:26" s="5" customFormat="1" x14ac:dyDescent="0.2">
      <c r="A59" s="9"/>
      <c r="B59" s="59"/>
      <c r="C59" s="91" t="s">
        <v>61</v>
      </c>
      <c r="D59" s="50" t="s">
        <v>62</v>
      </c>
      <c r="E59" s="78" t="s">
        <v>27</v>
      </c>
      <c r="F59" s="79">
        <v>7.0000000000000001E-3</v>
      </c>
      <c r="G59" s="79">
        <v>7.0000000000000001E-3</v>
      </c>
      <c r="H59" s="92"/>
      <c r="I59" s="93"/>
      <c r="J59" s="79"/>
      <c r="K59" s="79"/>
      <c r="L59" s="92"/>
      <c r="M59" s="56"/>
      <c r="N59" s="96"/>
      <c r="O59" s="97"/>
    </row>
    <row r="60" spans="1:26" s="5" customFormat="1" ht="31.5" x14ac:dyDescent="0.25">
      <c r="A60" s="38"/>
      <c r="B60" s="39" t="s">
        <v>115</v>
      </c>
      <c r="C60" s="49"/>
      <c r="D60" s="41"/>
      <c r="E60" s="42"/>
      <c r="F60" s="43"/>
      <c r="G60" s="43"/>
      <c r="H60" s="38"/>
      <c r="I60" s="87"/>
      <c r="J60" s="26"/>
      <c r="K60" s="26"/>
      <c r="L60" s="27"/>
      <c r="M60" s="56"/>
      <c r="N60" s="27"/>
      <c r="O60" s="38"/>
    </row>
    <row r="61" spans="1:26" s="5" customFormat="1" x14ac:dyDescent="0.2">
      <c r="A61" s="38"/>
      <c r="B61" s="59"/>
      <c r="C61" s="49" t="s">
        <v>116</v>
      </c>
      <c r="D61" s="50" t="s">
        <v>18</v>
      </c>
      <c r="E61" s="51" t="s">
        <v>19</v>
      </c>
      <c r="F61" s="52">
        <f>'[21]6. Final Tariff Schedule'!E89</f>
        <v>72.678780000000003</v>
      </c>
      <c r="G61" s="416">
        <v>71.643990000000002</v>
      </c>
      <c r="H61" s="60"/>
      <c r="I61" s="85"/>
      <c r="J61" s="52"/>
      <c r="K61" s="52"/>
      <c r="L61" s="60"/>
      <c r="M61" s="56"/>
      <c r="N61" s="57"/>
      <c r="O61" s="58"/>
      <c r="P61" s="38"/>
    </row>
    <row r="62" spans="1:26" s="5" customFormat="1" ht="15.75" customHeight="1" x14ac:dyDescent="0.25">
      <c r="A62" s="38"/>
      <c r="B62" s="59"/>
      <c r="C62" s="49"/>
      <c r="D62" s="432" t="s">
        <v>343</v>
      </c>
      <c r="E62" s="51" t="s">
        <v>19</v>
      </c>
      <c r="F62" s="52">
        <f>'[21]6. Final Tariff Schedule'!E97</f>
        <v>3.31</v>
      </c>
      <c r="G62" s="416">
        <v>0</v>
      </c>
      <c r="H62" s="60"/>
      <c r="I62" s="61"/>
      <c r="J62" s="62"/>
      <c r="K62" s="68"/>
      <c r="L62" s="69"/>
      <c r="M62" s="70"/>
      <c r="N62" s="57"/>
      <c r="O62" s="58"/>
      <c r="P62" s="38"/>
    </row>
    <row r="63" spans="1:26" s="5" customFormat="1" x14ac:dyDescent="0.2">
      <c r="A63" s="9"/>
      <c r="B63" s="59"/>
      <c r="C63" s="49" t="s">
        <v>117</v>
      </c>
      <c r="D63" s="50" t="s">
        <v>26</v>
      </c>
      <c r="E63" s="51" t="s">
        <v>118</v>
      </c>
      <c r="F63" s="64">
        <f>'[21]6. Final Tariff Schedule'!E90</f>
        <v>4.3743210999999995</v>
      </c>
      <c r="G63" s="417">
        <v>4.3118278999999999</v>
      </c>
      <c r="H63" s="65"/>
      <c r="I63" s="66"/>
      <c r="J63" s="64"/>
      <c r="K63" s="64"/>
      <c r="L63" s="65"/>
      <c r="M63" s="56"/>
      <c r="N63" s="57"/>
      <c r="O63" s="58"/>
      <c r="P63" s="38"/>
      <c r="X63" s="5" t="s">
        <v>29</v>
      </c>
      <c r="Y63" s="5" t="s">
        <v>119</v>
      </c>
      <c r="Z63" s="5" t="s">
        <v>120</v>
      </c>
    </row>
    <row r="64" spans="1:26" s="5" customFormat="1" ht="15.75" customHeight="1" x14ac:dyDescent="0.25">
      <c r="A64" s="9"/>
      <c r="B64" s="59"/>
      <c r="C64" s="49" t="s">
        <v>121</v>
      </c>
      <c r="D64" s="50" t="s">
        <v>338</v>
      </c>
      <c r="E64" s="51" t="s">
        <v>118</v>
      </c>
      <c r="F64" s="429">
        <f>'[21]6. Final Tariff Schedule'!E91</f>
        <v>0.49080000000000001</v>
      </c>
      <c r="G64" s="64">
        <v>0</v>
      </c>
      <c r="H64" s="65"/>
      <c r="I64" s="61" t="s">
        <v>122</v>
      </c>
      <c r="J64" s="62" t="s">
        <v>123</v>
      </c>
      <c r="K64" s="68" t="s">
        <v>35</v>
      </c>
      <c r="L64" s="69">
        <v>4080</v>
      </c>
      <c r="M64" s="70">
        <v>4000</v>
      </c>
      <c r="N64" s="57"/>
      <c r="O64" s="58"/>
      <c r="P64" s="38"/>
      <c r="X64" s="5" t="s">
        <v>29</v>
      </c>
      <c r="Y64" s="5" t="s">
        <v>119</v>
      </c>
      <c r="Z64" s="5" t="s">
        <v>120</v>
      </c>
    </row>
    <row r="65" spans="1:26" s="5" customFormat="1" ht="15.75" x14ac:dyDescent="0.25">
      <c r="A65" s="9"/>
      <c r="B65" s="59"/>
      <c r="C65" s="49" t="s">
        <v>124</v>
      </c>
      <c r="D65" s="50" t="s">
        <v>339</v>
      </c>
      <c r="E65" s="51" t="s">
        <v>118</v>
      </c>
      <c r="F65" s="429">
        <f>'[21]6. Final Tariff Schedule'!E92</f>
        <v>-0.4005272204371314</v>
      </c>
      <c r="G65" s="64">
        <v>0</v>
      </c>
      <c r="H65" s="65"/>
      <c r="I65" s="88" t="s">
        <v>125</v>
      </c>
      <c r="J65" s="62" t="s">
        <v>126</v>
      </c>
      <c r="K65" s="68" t="s">
        <v>35</v>
      </c>
      <c r="L65" s="69">
        <v>4080</v>
      </c>
      <c r="M65" s="70">
        <v>4000</v>
      </c>
      <c r="N65" s="57"/>
      <c r="O65" s="58"/>
      <c r="P65" s="38"/>
      <c r="X65" s="5" t="s">
        <v>29</v>
      </c>
      <c r="Y65" s="5" t="s">
        <v>119</v>
      </c>
      <c r="Z65" s="5" t="s">
        <v>120</v>
      </c>
    </row>
    <row r="66" spans="1:26" s="5" customFormat="1" ht="15.75" x14ac:dyDescent="0.25">
      <c r="A66" s="9"/>
      <c r="B66" s="59"/>
      <c r="C66" s="49" t="s">
        <v>127</v>
      </c>
      <c r="D66" s="50" t="s">
        <v>340</v>
      </c>
      <c r="E66" s="51" t="s">
        <v>118</v>
      </c>
      <c r="F66" s="429">
        <f>'[21]6. Final Tariff Schedule'!E96</f>
        <v>1.2755268423373465E-3</v>
      </c>
      <c r="G66" s="64">
        <v>0</v>
      </c>
      <c r="H66" s="65"/>
      <c r="I66" s="61" t="s">
        <v>128</v>
      </c>
      <c r="J66" s="62" t="s">
        <v>129</v>
      </c>
      <c r="K66" s="68" t="s">
        <v>35</v>
      </c>
      <c r="L66" s="69">
        <v>4080</v>
      </c>
      <c r="M66" s="70">
        <v>4000</v>
      </c>
      <c r="N66" s="57"/>
      <c r="O66" s="58"/>
      <c r="P66" s="38"/>
      <c r="X66" s="5" t="s">
        <v>29</v>
      </c>
      <c r="Y66" s="5" t="s">
        <v>119</v>
      </c>
      <c r="Z66" s="5" t="s">
        <v>120</v>
      </c>
    </row>
    <row r="67" spans="1:26" s="5" customFormat="1" ht="15.75" customHeight="1" x14ac:dyDescent="0.25">
      <c r="A67" s="9"/>
      <c r="B67" s="59"/>
      <c r="C67" s="49" t="s">
        <v>130</v>
      </c>
      <c r="D67" s="432" t="s">
        <v>344</v>
      </c>
      <c r="E67" s="51" t="s">
        <v>118</v>
      </c>
      <c r="F67" s="429">
        <f>'[21]6. Final Tariff Schedule'!E98</f>
        <v>0.19889999999999999</v>
      </c>
      <c r="G67" s="64">
        <v>0</v>
      </c>
      <c r="H67" s="65"/>
      <c r="I67" s="61" t="s">
        <v>131</v>
      </c>
      <c r="J67" s="62" t="s">
        <v>132</v>
      </c>
      <c r="K67" s="68" t="s">
        <v>43</v>
      </c>
      <c r="L67" s="69">
        <v>4035</v>
      </c>
      <c r="M67" s="70">
        <v>4000</v>
      </c>
      <c r="N67" s="57"/>
      <c r="O67" s="58"/>
      <c r="P67" s="38"/>
      <c r="Y67" s="5" t="s">
        <v>119</v>
      </c>
      <c r="Z67" s="5" t="s">
        <v>120</v>
      </c>
    </row>
    <row r="68" spans="1:26" s="5" customFormat="1" ht="15.75" x14ac:dyDescent="0.25">
      <c r="A68" s="9"/>
      <c r="B68" s="59"/>
      <c r="C68" s="49" t="s">
        <v>133</v>
      </c>
      <c r="D68" s="50" t="s">
        <v>345</v>
      </c>
      <c r="E68" s="51" t="s">
        <v>118</v>
      </c>
      <c r="F68" s="429">
        <f>'[21]6. Final Tariff Schedule'!E93</f>
        <v>0.79081051823270265</v>
      </c>
      <c r="G68" s="64">
        <v>0</v>
      </c>
      <c r="H68" s="65"/>
      <c r="I68" s="88" t="s">
        <v>134</v>
      </c>
      <c r="J68" s="62" t="s">
        <v>135</v>
      </c>
      <c r="K68" s="68" t="s">
        <v>35</v>
      </c>
      <c r="L68" s="69">
        <v>4035</v>
      </c>
      <c r="M68" s="70">
        <v>4000</v>
      </c>
      <c r="N68" s="57"/>
      <c r="O68" s="58"/>
      <c r="P68" s="38"/>
      <c r="Z68" s="5" t="s">
        <v>120</v>
      </c>
    </row>
    <row r="69" spans="1:26" s="5" customFormat="1" ht="15.75" x14ac:dyDescent="0.25">
      <c r="A69" s="9"/>
      <c r="B69" s="59"/>
      <c r="C69" s="49" t="s">
        <v>136</v>
      </c>
      <c r="D69" s="50" t="s">
        <v>346</v>
      </c>
      <c r="E69" s="51" t="s">
        <v>118</v>
      </c>
      <c r="F69" s="429">
        <f>'[21]6. Final Tariff Schedule'!E94</f>
        <v>0.53101051823270262</v>
      </c>
      <c r="G69" s="64">
        <v>0</v>
      </c>
      <c r="H69" s="65"/>
      <c r="I69" s="88"/>
      <c r="J69" s="62"/>
      <c r="K69" s="68"/>
      <c r="L69" s="69"/>
      <c r="M69" s="70"/>
      <c r="N69" s="57"/>
      <c r="O69" s="58"/>
      <c r="P69" s="38"/>
      <c r="Y69" s="5" t="s">
        <v>119</v>
      </c>
    </row>
    <row r="70" spans="1:26" s="5" customFormat="1" ht="15.75" x14ac:dyDescent="0.25">
      <c r="A70" s="9"/>
      <c r="B70" s="59"/>
      <c r="C70" s="49" t="s">
        <v>137</v>
      </c>
      <c r="D70" s="50" t="s">
        <v>48</v>
      </c>
      <c r="E70" s="51" t="s">
        <v>118</v>
      </c>
      <c r="F70" s="64">
        <f>'[21]6. Final Tariff Schedule'!E95</f>
        <v>8.0199999999999994E-2</v>
      </c>
      <c r="G70" s="64">
        <v>8.0199999999999994E-2</v>
      </c>
      <c r="H70" s="65"/>
      <c r="I70" s="61" t="s">
        <v>138</v>
      </c>
      <c r="J70" s="62" t="s">
        <v>139</v>
      </c>
      <c r="K70" s="68" t="s">
        <v>35</v>
      </c>
      <c r="L70" s="69">
        <v>4075</v>
      </c>
      <c r="M70" s="70">
        <v>4000</v>
      </c>
      <c r="N70" s="57"/>
      <c r="O70" s="58"/>
      <c r="P70" s="38"/>
      <c r="X70" s="5" t="s">
        <v>29</v>
      </c>
      <c r="Y70" s="5" t="s">
        <v>119</v>
      </c>
      <c r="Z70" s="5" t="s">
        <v>120</v>
      </c>
    </row>
    <row r="71" spans="1:26" s="5" customFormat="1" x14ac:dyDescent="0.2">
      <c r="A71" s="9"/>
      <c r="B71" s="98"/>
      <c r="C71" s="49" t="s">
        <v>140</v>
      </c>
      <c r="D71" s="50" t="s">
        <v>88</v>
      </c>
      <c r="E71" s="51" t="s">
        <v>118</v>
      </c>
      <c r="F71" s="71">
        <f>'[21]6. Final Tariff Schedule'!E99</f>
        <v>2.8684720859699291</v>
      </c>
      <c r="G71" s="71">
        <v>2.9272</v>
      </c>
      <c r="H71" s="72"/>
      <c r="I71" s="73"/>
      <c r="J71" s="71"/>
      <c r="K71" s="71"/>
      <c r="L71" s="72"/>
      <c r="M71" s="56"/>
      <c r="N71" s="4"/>
    </row>
    <row r="72" spans="1:26" s="5" customFormat="1" x14ac:dyDescent="0.2">
      <c r="A72" s="9"/>
      <c r="B72" s="98"/>
      <c r="C72" s="49" t="s">
        <v>141</v>
      </c>
      <c r="D72" s="50" t="s">
        <v>90</v>
      </c>
      <c r="E72" s="51" t="s">
        <v>118</v>
      </c>
      <c r="F72" s="71">
        <f>'[21]6. Final Tariff Schedule'!E100</f>
        <v>2.2603230253694222</v>
      </c>
      <c r="G72" s="71">
        <v>2.1960000000000002</v>
      </c>
      <c r="H72" s="72"/>
      <c r="I72" s="73"/>
      <c r="J72" s="71"/>
      <c r="K72" s="71"/>
      <c r="L72" s="72"/>
      <c r="M72" s="56"/>
      <c r="N72" s="57"/>
      <c r="O72" s="58"/>
      <c r="P72" s="38"/>
    </row>
    <row r="73" spans="1:26" s="5" customFormat="1" x14ac:dyDescent="0.2">
      <c r="A73" s="9"/>
      <c r="B73" s="98"/>
      <c r="C73" s="49" t="s">
        <v>140</v>
      </c>
      <c r="D73" s="50" t="s">
        <v>142</v>
      </c>
      <c r="E73" s="51" t="s">
        <v>118</v>
      </c>
      <c r="F73" s="71">
        <f>'[21]6. Final Tariff Schedule'!E101</f>
        <v>2.8684720859699291</v>
      </c>
      <c r="G73" s="71">
        <v>2.9272</v>
      </c>
      <c r="H73" s="72"/>
      <c r="I73" s="73"/>
      <c r="J73" s="71"/>
      <c r="K73" s="71"/>
      <c r="L73" s="72"/>
      <c r="M73" s="56"/>
      <c r="N73" s="57"/>
      <c r="O73" s="58"/>
      <c r="P73" s="38"/>
    </row>
    <row r="74" spans="1:26" s="5" customFormat="1" x14ac:dyDescent="0.2">
      <c r="A74" s="9"/>
      <c r="B74" s="98"/>
      <c r="C74" s="49" t="s">
        <v>141</v>
      </c>
      <c r="D74" s="50" t="s">
        <v>143</v>
      </c>
      <c r="E74" s="51" t="s">
        <v>118</v>
      </c>
      <c r="F74" s="71">
        <f>'[21]6. Final Tariff Schedule'!E102</f>
        <v>2.2603230253694222</v>
      </c>
      <c r="G74" s="71">
        <v>2.1960000000000002</v>
      </c>
      <c r="H74" s="72"/>
      <c r="I74" s="73"/>
      <c r="J74" s="71"/>
      <c r="K74" s="71"/>
      <c r="L74" s="72"/>
      <c r="M74" s="56"/>
      <c r="N74" s="57"/>
      <c r="O74" s="58"/>
      <c r="P74" s="38"/>
    </row>
    <row r="75" spans="1:26" s="5" customFormat="1" x14ac:dyDescent="0.2">
      <c r="A75" s="9"/>
      <c r="B75" s="59"/>
      <c r="C75" s="49" t="s">
        <v>55</v>
      </c>
      <c r="D75" s="50" t="s">
        <v>56</v>
      </c>
      <c r="E75" s="51" t="s">
        <v>27</v>
      </c>
      <c r="F75" s="71">
        <f>'[21]6. Final Tariff Schedule'!E106</f>
        <v>4.4000000000000003E-3</v>
      </c>
      <c r="G75" s="71">
        <v>4.4000000000000003E-3</v>
      </c>
      <c r="H75" s="72"/>
      <c r="I75" s="73"/>
      <c r="J75" s="71"/>
      <c r="K75" s="71"/>
      <c r="L75" s="72"/>
      <c r="M75" s="56"/>
      <c r="N75" s="57"/>
      <c r="O75" s="58"/>
      <c r="P75" s="38"/>
    </row>
    <row r="76" spans="1:26" s="5" customFormat="1" x14ac:dyDescent="0.2">
      <c r="A76" s="9"/>
      <c r="B76" s="59"/>
      <c r="C76" s="49" t="s">
        <v>55</v>
      </c>
      <c r="D76" s="50" t="s">
        <v>58</v>
      </c>
      <c r="E76" s="51" t="s">
        <v>27</v>
      </c>
      <c r="F76" s="71">
        <f>'[21]6. Final Tariff Schedule'!E107</f>
        <v>1.2999999999999999E-3</v>
      </c>
      <c r="G76" s="71">
        <v>1.2999999999999999E-3</v>
      </c>
      <c r="H76" s="72"/>
      <c r="I76" s="73"/>
      <c r="J76" s="71"/>
      <c r="K76" s="71"/>
      <c r="L76" s="72"/>
      <c r="M76" s="56"/>
      <c r="N76" s="57"/>
      <c r="O76" s="58"/>
      <c r="P76" s="38"/>
    </row>
    <row r="77" spans="1:26" s="5" customFormat="1" x14ac:dyDescent="0.2">
      <c r="A77" s="9"/>
      <c r="B77" s="59"/>
      <c r="C77" s="49" t="s">
        <v>59</v>
      </c>
      <c r="D77" s="74" t="s">
        <v>60</v>
      </c>
      <c r="E77" s="51" t="s">
        <v>19</v>
      </c>
      <c r="F77" s="75">
        <f>'[21]6. Final Tariff Schedule'!E108</f>
        <v>0.25</v>
      </c>
      <c r="G77" s="75">
        <v>0.25</v>
      </c>
      <c r="H77" s="76"/>
      <c r="I77" s="77"/>
      <c r="J77" s="75"/>
      <c r="K77" s="75"/>
      <c r="L77" s="76"/>
      <c r="M77" s="56"/>
      <c r="N77" s="57"/>
      <c r="O77" s="58"/>
      <c r="P77" s="38"/>
    </row>
    <row r="78" spans="1:26" s="5" customFormat="1" x14ac:dyDescent="0.2">
      <c r="A78" s="9"/>
      <c r="B78" s="59"/>
      <c r="C78" s="49" t="s">
        <v>61</v>
      </c>
      <c r="D78" s="74" t="s">
        <v>62</v>
      </c>
      <c r="E78" s="51" t="s">
        <v>27</v>
      </c>
      <c r="F78" s="79">
        <v>7.0000000000000001E-3</v>
      </c>
      <c r="G78" s="79">
        <v>7.0000000000000001E-3</v>
      </c>
      <c r="H78" s="92"/>
      <c r="I78" s="93"/>
      <c r="J78" s="79"/>
      <c r="K78" s="79"/>
      <c r="L78" s="92"/>
      <c r="M78" s="56"/>
      <c r="N78" s="57"/>
      <c r="O78" s="58"/>
      <c r="P78" s="38"/>
    </row>
    <row r="79" spans="1:26" s="5" customFormat="1" x14ac:dyDescent="0.2">
      <c r="A79" s="9"/>
      <c r="B79" s="99"/>
      <c r="C79" s="91" t="s">
        <v>144</v>
      </c>
      <c r="D79" s="100" t="s">
        <v>145</v>
      </c>
      <c r="E79" s="78" t="s">
        <v>118</v>
      </c>
      <c r="F79" s="101">
        <v>-0.4</v>
      </c>
      <c r="G79" s="101">
        <v>-0.4</v>
      </c>
      <c r="H79" s="60"/>
      <c r="I79" s="102"/>
      <c r="J79" s="103"/>
      <c r="K79" s="103"/>
      <c r="L79" s="104"/>
      <c r="M79" s="84"/>
      <c r="N79" s="57"/>
      <c r="O79" s="58"/>
      <c r="P79" s="38"/>
      <c r="T79" s="80"/>
      <c r="U79" s="80">
        <f>SUM(F61:F77)</f>
        <v>92.568860665549309</v>
      </c>
      <c r="V79" s="80">
        <f>SUM(G61:G77)</f>
        <v>86.538117900000003</v>
      </c>
    </row>
    <row r="80" spans="1:26" s="5" customFormat="1" ht="31.5" x14ac:dyDescent="0.25">
      <c r="A80" s="38"/>
      <c r="B80" s="39" t="s">
        <v>146</v>
      </c>
      <c r="C80" s="49"/>
      <c r="D80" s="38"/>
      <c r="E80" s="42"/>
      <c r="F80" s="105"/>
      <c r="G80" s="105"/>
      <c r="H80" s="38"/>
      <c r="I80" s="44"/>
      <c r="J80" s="45"/>
      <c r="K80" s="45"/>
      <c r="L80" s="46"/>
      <c r="M80" s="47"/>
      <c r="N80" s="27"/>
      <c r="O80" s="38"/>
      <c r="P80" s="38"/>
    </row>
    <row r="81" spans="1:14" s="5" customFormat="1" x14ac:dyDescent="0.2">
      <c r="A81" s="38"/>
      <c r="B81" s="59" t="s">
        <v>147</v>
      </c>
      <c r="C81" s="49" t="s">
        <v>148</v>
      </c>
      <c r="D81" s="50" t="s">
        <v>18</v>
      </c>
      <c r="E81" s="51" t="s">
        <v>19</v>
      </c>
      <c r="F81" s="52">
        <f>'[21]6. Final Tariff Schedule'!E125</f>
        <v>1655.2176199999999</v>
      </c>
      <c r="G81" s="418">
        <v>1631.5594799999999</v>
      </c>
      <c r="H81" s="60"/>
      <c r="I81" s="85"/>
      <c r="J81" s="52"/>
      <c r="K81" s="52"/>
      <c r="L81" s="60"/>
      <c r="M81" s="86"/>
      <c r="N81" s="57"/>
    </row>
    <row r="82" spans="1:14" s="5" customFormat="1" ht="18.75" customHeight="1" x14ac:dyDescent="0.2">
      <c r="A82" s="38"/>
      <c r="B82" s="59"/>
      <c r="C82" s="49"/>
      <c r="D82" s="432" t="s">
        <v>343</v>
      </c>
      <c r="E82" s="51" t="s">
        <v>19</v>
      </c>
      <c r="F82" s="52">
        <f>'[21]6. Final Tariff Schedule'!E133</f>
        <v>75.28</v>
      </c>
      <c r="G82" s="418">
        <v>0</v>
      </c>
      <c r="H82" s="60"/>
      <c r="I82" s="85"/>
      <c r="J82" s="52"/>
      <c r="K82" s="52"/>
      <c r="L82" s="60"/>
      <c r="M82" s="86"/>
      <c r="N82" s="57"/>
    </row>
    <row r="83" spans="1:14" s="5" customFormat="1" x14ac:dyDescent="0.2">
      <c r="A83" s="9"/>
      <c r="B83" s="59"/>
      <c r="C83" s="49" t="s">
        <v>149</v>
      </c>
      <c r="D83" s="50" t="s">
        <v>26</v>
      </c>
      <c r="E83" s="51" t="s">
        <v>118</v>
      </c>
      <c r="F83" s="64">
        <f>'[21]6. Final Tariff Schedule'!E126</f>
        <v>2.25087115</v>
      </c>
      <c r="G83" s="419">
        <v>2.2187114999999999</v>
      </c>
      <c r="H83" s="65"/>
      <c r="I83" s="66"/>
      <c r="J83" s="64"/>
      <c r="K83" s="64"/>
      <c r="L83" s="65"/>
      <c r="M83" s="86"/>
      <c r="N83" s="57"/>
    </row>
    <row r="84" spans="1:14" s="5" customFormat="1" ht="15.75" x14ac:dyDescent="0.25">
      <c r="A84" s="9"/>
      <c r="B84" s="59"/>
      <c r="C84" s="49" t="s">
        <v>150</v>
      </c>
      <c r="D84" s="50" t="s">
        <v>338</v>
      </c>
      <c r="E84" s="51" t="s">
        <v>118</v>
      </c>
      <c r="F84" s="429">
        <f>'[21]6. Final Tariff Schedule'!E127</f>
        <v>0.62219999999999998</v>
      </c>
      <c r="G84" s="64">
        <v>0</v>
      </c>
      <c r="H84" s="65"/>
      <c r="I84" s="61" t="s">
        <v>151</v>
      </c>
      <c r="J84" s="62" t="s">
        <v>152</v>
      </c>
      <c r="K84" s="68" t="s">
        <v>35</v>
      </c>
      <c r="L84" s="69">
        <v>4080</v>
      </c>
      <c r="M84" s="70">
        <v>4000</v>
      </c>
      <c r="N84" s="57"/>
    </row>
    <row r="85" spans="1:14" s="5" customFormat="1" ht="15.75" x14ac:dyDescent="0.25">
      <c r="A85" s="9"/>
      <c r="B85" s="59"/>
      <c r="C85" s="49" t="s">
        <v>153</v>
      </c>
      <c r="D85" s="50" t="s">
        <v>339</v>
      </c>
      <c r="E85" s="51" t="s">
        <v>118</v>
      </c>
      <c r="F85" s="429">
        <f>'[21]6. Final Tariff Schedule'!E128</f>
        <v>-0.50724625267569023</v>
      </c>
      <c r="G85" s="64">
        <v>0</v>
      </c>
      <c r="H85" s="65"/>
      <c r="I85" s="88" t="s">
        <v>154</v>
      </c>
      <c r="J85" s="62" t="s">
        <v>155</v>
      </c>
      <c r="K85" s="68" t="s">
        <v>35</v>
      </c>
      <c r="L85" s="69">
        <v>4080</v>
      </c>
      <c r="M85" s="70">
        <v>4000</v>
      </c>
      <c r="N85" s="57"/>
    </row>
    <row r="86" spans="1:14" s="5" customFormat="1" ht="15.75" hidden="1" x14ac:dyDescent="0.25">
      <c r="A86" s="9"/>
      <c r="B86" s="59"/>
      <c r="C86" s="49" t="s">
        <v>156</v>
      </c>
      <c r="D86" s="50" t="s">
        <v>335</v>
      </c>
      <c r="E86" s="51" t="s">
        <v>118</v>
      </c>
      <c r="F86" s="429" t="s">
        <v>32</v>
      </c>
      <c r="G86" s="64" t="s">
        <v>32</v>
      </c>
      <c r="H86" s="65"/>
      <c r="I86" s="61" t="s">
        <v>157</v>
      </c>
      <c r="J86" s="62" t="s">
        <v>158</v>
      </c>
      <c r="K86" s="68" t="s">
        <v>35</v>
      </c>
      <c r="L86" s="69">
        <v>4080</v>
      </c>
      <c r="M86" s="70">
        <v>4000</v>
      </c>
      <c r="N86" s="57"/>
    </row>
    <row r="87" spans="1:14" s="5" customFormat="1" ht="15.75" x14ac:dyDescent="0.25">
      <c r="A87" s="9"/>
      <c r="B87" s="59"/>
      <c r="C87" s="49" t="s">
        <v>156</v>
      </c>
      <c r="D87" s="50" t="s">
        <v>340</v>
      </c>
      <c r="E87" s="51" t="s">
        <v>118</v>
      </c>
      <c r="F87" s="429">
        <f>'[21]6. Final Tariff Schedule'!E132</f>
        <v>1.1099212040085529E-3</v>
      </c>
      <c r="G87" s="64">
        <v>0</v>
      </c>
      <c r="H87" s="65"/>
      <c r="I87" s="61"/>
      <c r="J87" s="62"/>
      <c r="K87" s="68"/>
      <c r="L87" s="69"/>
      <c r="M87" s="70"/>
      <c r="N87" s="57"/>
    </row>
    <row r="88" spans="1:14" s="5" customFormat="1" ht="15.75" x14ac:dyDescent="0.25">
      <c r="A88" s="9"/>
      <c r="B88" s="59"/>
      <c r="C88" s="49" t="s">
        <v>159</v>
      </c>
      <c r="D88" s="432" t="s">
        <v>344</v>
      </c>
      <c r="E88" s="51" t="s">
        <v>118</v>
      </c>
      <c r="F88" s="429">
        <f>'[21]6. Final Tariff Schedule'!E134</f>
        <v>0.1024</v>
      </c>
      <c r="G88" s="64">
        <v>0</v>
      </c>
      <c r="H88" s="65"/>
      <c r="I88" s="61" t="s">
        <v>160</v>
      </c>
      <c r="J88" s="62" t="s">
        <v>161</v>
      </c>
      <c r="K88" s="68" t="s">
        <v>43</v>
      </c>
      <c r="L88" s="69">
        <v>4035</v>
      </c>
      <c r="M88" s="70">
        <v>4000</v>
      </c>
      <c r="N88" s="57"/>
    </row>
    <row r="89" spans="1:14" s="5" customFormat="1" ht="15.75" x14ac:dyDescent="0.25">
      <c r="A89" s="9"/>
      <c r="B89" s="59"/>
      <c r="C89" s="49" t="s">
        <v>162</v>
      </c>
      <c r="D89" s="50" t="s">
        <v>345</v>
      </c>
      <c r="E89" s="51" t="s">
        <v>118</v>
      </c>
      <c r="F89" s="429">
        <f>'[21]6. Final Tariff Schedule'!E129</f>
        <v>1.3011865481679119</v>
      </c>
      <c r="G89" s="64">
        <v>0</v>
      </c>
      <c r="H89" s="65"/>
      <c r="I89" s="88" t="s">
        <v>163</v>
      </c>
      <c r="J89" s="62" t="s">
        <v>164</v>
      </c>
      <c r="K89" s="68" t="s">
        <v>35</v>
      </c>
      <c r="L89" s="69">
        <v>4035</v>
      </c>
      <c r="M89" s="70">
        <v>4000</v>
      </c>
      <c r="N89" s="57"/>
    </row>
    <row r="90" spans="1:14" s="5" customFormat="1" ht="15.75" x14ac:dyDescent="0.25">
      <c r="A90" s="9"/>
      <c r="B90" s="59"/>
      <c r="C90" s="49" t="s">
        <v>165</v>
      </c>
      <c r="D90" s="50" t="s">
        <v>346</v>
      </c>
      <c r="E90" s="51" t="s">
        <v>118</v>
      </c>
      <c r="F90" s="429">
        <f>'[21]6. Final Tariff Schedule'!E130</f>
        <v>0.9966865481679118</v>
      </c>
      <c r="G90" s="64">
        <v>0</v>
      </c>
      <c r="H90" s="65"/>
      <c r="I90" s="88"/>
      <c r="J90" s="62"/>
      <c r="K90" s="68"/>
      <c r="L90" s="69"/>
      <c r="M90" s="70"/>
      <c r="N90" s="57"/>
    </row>
    <row r="91" spans="1:14" s="5" customFormat="1" ht="15.75" x14ac:dyDescent="0.25">
      <c r="A91" s="9"/>
      <c r="B91" s="59"/>
      <c r="C91" s="49" t="s">
        <v>166</v>
      </c>
      <c r="D91" s="50" t="s">
        <v>48</v>
      </c>
      <c r="E91" s="51" t="s">
        <v>118</v>
      </c>
      <c r="F91" s="64">
        <f>'[21]6. Final Tariff Schedule'!E131</f>
        <v>7.8399999999999997E-2</v>
      </c>
      <c r="G91" s="64">
        <v>7.8399999999999997E-2</v>
      </c>
      <c r="H91" s="65"/>
      <c r="I91" s="61" t="s">
        <v>167</v>
      </c>
      <c r="J91" s="62" t="s">
        <v>168</v>
      </c>
      <c r="K91" s="68" t="s">
        <v>35</v>
      </c>
      <c r="L91" s="69">
        <v>4075</v>
      </c>
      <c r="M91" s="70">
        <v>4000</v>
      </c>
      <c r="N91" s="57"/>
    </row>
    <row r="92" spans="1:14" s="5" customFormat="1" x14ac:dyDescent="0.2">
      <c r="A92" s="9"/>
      <c r="B92" s="59"/>
      <c r="C92" s="49" t="s">
        <v>169</v>
      </c>
      <c r="D92" s="50" t="s">
        <v>170</v>
      </c>
      <c r="E92" s="51" t="s">
        <v>118</v>
      </c>
      <c r="F92" s="71">
        <f>'[21]6. Final Tariff Schedule'!E135</f>
        <v>2.7751820655069266</v>
      </c>
      <c r="G92" s="71">
        <v>2.8319999999999999</v>
      </c>
      <c r="H92" s="72"/>
      <c r="I92" s="73"/>
      <c r="J92" s="71"/>
      <c r="K92" s="71"/>
      <c r="L92" s="72"/>
      <c r="M92" s="86"/>
      <c r="N92" s="57"/>
    </row>
    <row r="93" spans="1:14" s="5" customFormat="1" x14ac:dyDescent="0.2">
      <c r="A93" s="9"/>
      <c r="B93" s="59"/>
      <c r="C93" s="49" t="s">
        <v>171</v>
      </c>
      <c r="D93" s="50" t="s">
        <v>172</v>
      </c>
      <c r="E93" s="51" t="s">
        <v>118</v>
      </c>
      <c r="F93" s="71">
        <f>'[21]6. Final Tariff Schedule'!E136</f>
        <v>2.2117404893612655</v>
      </c>
      <c r="G93" s="71">
        <v>2.1488</v>
      </c>
      <c r="H93" s="72"/>
      <c r="I93" s="73"/>
      <c r="J93" s="71"/>
      <c r="K93" s="71"/>
      <c r="L93" s="72"/>
      <c r="M93" s="86"/>
      <c r="N93" s="57"/>
    </row>
    <row r="94" spans="1:14" s="5" customFormat="1" x14ac:dyDescent="0.2">
      <c r="A94" s="9"/>
      <c r="B94" s="59"/>
      <c r="C94" s="49" t="s">
        <v>55</v>
      </c>
      <c r="D94" s="50" t="s">
        <v>56</v>
      </c>
      <c r="E94" s="51" t="s">
        <v>27</v>
      </c>
      <c r="F94" s="71">
        <f>'[21]6. Final Tariff Schedule'!E140</f>
        <v>4.4000000000000003E-3</v>
      </c>
      <c r="G94" s="71">
        <v>4.4000000000000003E-3</v>
      </c>
      <c r="H94" s="72"/>
      <c r="I94" s="73"/>
      <c r="J94" s="71"/>
      <c r="K94" s="71"/>
      <c r="L94" s="72"/>
      <c r="M94" s="86"/>
      <c r="N94" s="57"/>
    </row>
    <row r="95" spans="1:14" s="5" customFormat="1" x14ac:dyDescent="0.2">
      <c r="A95" s="9"/>
      <c r="B95" s="59"/>
      <c r="C95" s="49" t="s">
        <v>55</v>
      </c>
      <c r="D95" s="74" t="s">
        <v>58</v>
      </c>
      <c r="E95" s="51" t="s">
        <v>27</v>
      </c>
      <c r="F95" s="71">
        <f>'[21]6. Final Tariff Schedule'!E141</f>
        <v>1.2999999999999999E-3</v>
      </c>
      <c r="G95" s="71">
        <v>1.2999999999999999E-3</v>
      </c>
      <c r="H95" s="72"/>
      <c r="I95" s="73"/>
      <c r="J95" s="71"/>
      <c r="K95" s="71"/>
      <c r="L95" s="72"/>
      <c r="M95" s="86"/>
      <c r="N95" s="57"/>
    </row>
    <row r="96" spans="1:14" s="5" customFormat="1" x14ac:dyDescent="0.2">
      <c r="A96" s="9"/>
      <c r="B96" s="59"/>
      <c r="C96" s="49" t="s">
        <v>59</v>
      </c>
      <c r="D96" s="50" t="s">
        <v>60</v>
      </c>
      <c r="E96" s="51" t="s">
        <v>19</v>
      </c>
      <c r="F96" s="75">
        <f>'[21]6. Final Tariff Schedule'!E142</f>
        <v>0.25</v>
      </c>
      <c r="G96" s="75">
        <v>0.25</v>
      </c>
      <c r="H96" s="76"/>
      <c r="I96" s="77"/>
      <c r="J96" s="75"/>
      <c r="K96" s="75"/>
      <c r="L96" s="76"/>
      <c r="M96" s="86"/>
      <c r="N96" s="57"/>
    </row>
    <row r="97" spans="1:22" s="5" customFormat="1" x14ac:dyDescent="0.2">
      <c r="A97" s="9"/>
      <c r="B97" s="59"/>
      <c r="C97" s="49" t="s">
        <v>61</v>
      </c>
      <c r="D97" s="74" t="s">
        <v>62</v>
      </c>
      <c r="E97" s="51" t="s">
        <v>27</v>
      </c>
      <c r="F97" s="79">
        <v>7.0000000000000001E-3</v>
      </c>
      <c r="G97" s="79">
        <v>7.0000000000000001E-3</v>
      </c>
      <c r="H97" s="92"/>
      <c r="I97" s="93"/>
      <c r="J97" s="79"/>
      <c r="K97" s="79"/>
      <c r="L97" s="92"/>
      <c r="M97" s="86"/>
      <c r="N97" s="57"/>
    </row>
    <row r="98" spans="1:22" s="5" customFormat="1" x14ac:dyDescent="0.2">
      <c r="A98" s="9"/>
      <c r="B98" s="59"/>
      <c r="C98" s="91" t="s">
        <v>144</v>
      </c>
      <c r="D98" s="100" t="s">
        <v>145</v>
      </c>
      <c r="E98" s="78" t="s">
        <v>118</v>
      </c>
      <c r="F98" s="101">
        <v>-0.4</v>
      </c>
      <c r="G98" s="101">
        <v>-0.4</v>
      </c>
      <c r="H98" s="60"/>
      <c r="I98" s="102"/>
      <c r="J98" s="103"/>
      <c r="K98" s="103"/>
      <c r="L98" s="104"/>
      <c r="M98" s="106"/>
      <c r="N98" s="57"/>
      <c r="T98" s="80"/>
      <c r="U98" s="80">
        <f>SUM(F81:F96)</f>
        <v>1740.5858504697321</v>
      </c>
      <c r="V98" s="80">
        <f>SUM(G81:G96)</f>
        <v>1639.0930914999999</v>
      </c>
    </row>
    <row r="99" spans="1:22" s="5" customFormat="1" ht="31.5" x14ac:dyDescent="0.25">
      <c r="A99" s="38"/>
      <c r="B99" s="39" t="s">
        <v>173</v>
      </c>
      <c r="C99" s="49"/>
      <c r="D99" s="41"/>
      <c r="E99" s="42"/>
      <c r="F99" s="43"/>
      <c r="G99" s="43"/>
      <c r="I99" s="44"/>
      <c r="J99" s="45"/>
      <c r="K99" s="45"/>
      <c r="L99" s="46"/>
      <c r="M99" s="47"/>
      <c r="N99" s="4"/>
    </row>
    <row r="100" spans="1:22" s="5" customFormat="1" x14ac:dyDescent="0.2">
      <c r="A100" s="38"/>
      <c r="B100" s="59" t="s">
        <v>174</v>
      </c>
      <c r="C100" s="49" t="s">
        <v>175</v>
      </c>
      <c r="D100" s="50" t="s">
        <v>18</v>
      </c>
      <c r="E100" s="51" t="s">
        <v>19</v>
      </c>
      <c r="F100" s="52">
        <f>'[21]6. Final Tariff Schedule'!E159</f>
        <v>13050.751189999999</v>
      </c>
      <c r="G100" s="420">
        <v>12864.215075</v>
      </c>
      <c r="H100" s="60"/>
      <c r="I100" s="85"/>
      <c r="J100" s="52"/>
      <c r="K100" s="52"/>
      <c r="L100" s="60"/>
      <c r="M100" s="86"/>
      <c r="N100" s="57"/>
    </row>
    <row r="101" spans="1:22" s="5" customFormat="1" ht="15" customHeight="1" x14ac:dyDescent="0.2">
      <c r="A101" s="38"/>
      <c r="B101" s="59"/>
      <c r="C101" s="49"/>
      <c r="D101" s="432" t="s">
        <v>343</v>
      </c>
      <c r="E101" s="51" t="s">
        <v>19</v>
      </c>
      <c r="F101" s="52">
        <f>'[21]6. Final Tariff Schedule'!E167</f>
        <v>593.53</v>
      </c>
      <c r="G101" s="420">
        <v>0</v>
      </c>
      <c r="H101" s="60"/>
      <c r="I101" s="85"/>
      <c r="J101" s="52"/>
      <c r="K101" s="52"/>
      <c r="L101" s="60"/>
      <c r="M101" s="86"/>
      <c r="N101" s="57"/>
    </row>
    <row r="102" spans="1:22" s="5" customFormat="1" x14ac:dyDescent="0.2">
      <c r="A102" s="9"/>
      <c r="B102" s="59"/>
      <c r="C102" s="49" t="s">
        <v>176</v>
      </c>
      <c r="D102" s="50" t="s">
        <v>26</v>
      </c>
      <c r="E102" s="51" t="s">
        <v>118</v>
      </c>
      <c r="F102" s="64">
        <f>'[21]6. Final Tariff Schedule'!E160</f>
        <v>2.7938315499999997</v>
      </c>
      <c r="G102" s="421">
        <v>2.7538602500000002</v>
      </c>
      <c r="H102" s="65"/>
      <c r="I102" s="66"/>
      <c r="J102" s="64"/>
      <c r="K102" s="64"/>
      <c r="L102" s="65"/>
      <c r="M102" s="86"/>
      <c r="N102" s="57"/>
    </row>
    <row r="103" spans="1:22" s="5" customFormat="1" ht="15.75" x14ac:dyDescent="0.25">
      <c r="A103" s="9"/>
      <c r="B103" s="59"/>
      <c r="C103" s="49" t="s">
        <v>177</v>
      </c>
      <c r="D103" s="50" t="s">
        <v>338</v>
      </c>
      <c r="E103" s="51" t="s">
        <v>118</v>
      </c>
      <c r="F103" s="429">
        <f>'[21]6. Final Tariff Schedule'!E161</f>
        <v>0.80430000000000001</v>
      </c>
      <c r="G103" s="64">
        <v>0</v>
      </c>
      <c r="H103" s="65"/>
      <c r="I103" s="61" t="s">
        <v>178</v>
      </c>
      <c r="J103" s="62" t="s">
        <v>179</v>
      </c>
      <c r="K103" s="68" t="s">
        <v>35</v>
      </c>
      <c r="L103" s="69">
        <v>4080</v>
      </c>
      <c r="M103" s="70">
        <v>4000</v>
      </c>
      <c r="N103" s="57"/>
    </row>
    <row r="104" spans="1:22" s="5" customFormat="1" ht="15.75" x14ac:dyDescent="0.25">
      <c r="A104" s="9"/>
      <c r="B104" s="59"/>
      <c r="C104" s="49" t="s">
        <v>180</v>
      </c>
      <c r="D104" s="50" t="s">
        <v>339</v>
      </c>
      <c r="E104" s="51" t="s">
        <v>118</v>
      </c>
      <c r="F104" s="429">
        <f>'[21]6. Final Tariff Schedule'!E162</f>
        <v>-0.65997288948417732</v>
      </c>
      <c r="G104" s="64">
        <v>0</v>
      </c>
      <c r="H104" s="65"/>
      <c r="I104" s="88" t="s">
        <v>181</v>
      </c>
      <c r="J104" s="62" t="s">
        <v>182</v>
      </c>
      <c r="K104" s="68" t="s">
        <v>35</v>
      </c>
      <c r="L104" s="69">
        <v>4080</v>
      </c>
      <c r="M104" s="70">
        <v>4000</v>
      </c>
      <c r="N104" s="57"/>
    </row>
    <row r="105" spans="1:22" s="5" customFormat="1" ht="15.75" hidden="1" x14ac:dyDescent="0.25">
      <c r="A105" s="9"/>
      <c r="B105" s="59"/>
      <c r="C105" s="49" t="s">
        <v>183</v>
      </c>
      <c r="D105" s="50" t="s">
        <v>335</v>
      </c>
      <c r="E105" s="51" t="s">
        <v>118</v>
      </c>
      <c r="F105" s="429" t="s">
        <v>32</v>
      </c>
      <c r="G105" s="64" t="s">
        <v>32</v>
      </c>
      <c r="H105" s="65"/>
      <c r="I105" s="61" t="s">
        <v>184</v>
      </c>
      <c r="J105" s="62" t="s">
        <v>185</v>
      </c>
      <c r="K105" s="68" t="s">
        <v>35</v>
      </c>
      <c r="L105" s="69">
        <v>4080</v>
      </c>
      <c r="M105" s="70">
        <v>4000</v>
      </c>
      <c r="N105" s="57"/>
    </row>
    <row r="106" spans="1:22" s="5" customFormat="1" ht="15.75" x14ac:dyDescent="0.25">
      <c r="A106" s="9"/>
      <c r="B106" s="59"/>
      <c r="C106" s="49" t="s">
        <v>183</v>
      </c>
      <c r="D106" s="50" t="s">
        <v>340</v>
      </c>
      <c r="E106" s="51" t="s">
        <v>118</v>
      </c>
      <c r="F106" s="429">
        <f>'[21]6. Final Tariff Schedule'!E166</f>
        <v>9.031658521577486E-4</v>
      </c>
      <c r="G106" s="64">
        <v>0</v>
      </c>
      <c r="H106" s="65"/>
      <c r="I106" s="61"/>
      <c r="J106" s="62"/>
      <c r="K106" s="68"/>
      <c r="L106" s="69"/>
      <c r="M106" s="70"/>
      <c r="N106" s="57"/>
    </row>
    <row r="107" spans="1:22" s="5" customFormat="1" ht="15.75" x14ac:dyDescent="0.25">
      <c r="A107" s="9"/>
      <c r="B107" s="59"/>
      <c r="C107" s="49" t="s">
        <v>186</v>
      </c>
      <c r="D107" s="432" t="s">
        <v>344</v>
      </c>
      <c r="E107" s="51" t="s">
        <v>118</v>
      </c>
      <c r="F107" s="429">
        <f>'[21]6. Final Tariff Schedule'!E168</f>
        <v>0.12709999999999999</v>
      </c>
      <c r="G107" s="64">
        <v>0</v>
      </c>
      <c r="H107" s="65"/>
      <c r="I107" s="61" t="s">
        <v>187</v>
      </c>
      <c r="J107" s="62" t="s">
        <v>188</v>
      </c>
      <c r="K107" s="68" t="s">
        <v>43</v>
      </c>
      <c r="L107" s="69">
        <v>4020</v>
      </c>
      <c r="M107" s="70">
        <v>4000</v>
      </c>
      <c r="N107" s="57"/>
    </row>
    <row r="108" spans="1:22" s="5" customFormat="1" ht="15.75" x14ac:dyDescent="0.25">
      <c r="A108" s="9"/>
      <c r="B108" s="59"/>
      <c r="C108" s="49" t="s">
        <v>189</v>
      </c>
      <c r="D108" s="50" t="s">
        <v>347</v>
      </c>
      <c r="E108" s="51" t="s">
        <v>118</v>
      </c>
      <c r="F108" s="429">
        <f>'[21]6. Final Tariff Schedule'!E163</f>
        <v>-0.17612156712340105</v>
      </c>
      <c r="G108" s="64">
        <v>0</v>
      </c>
      <c r="H108" s="65"/>
      <c r="I108" s="61" t="s">
        <v>190</v>
      </c>
      <c r="J108" s="62" t="s">
        <v>191</v>
      </c>
      <c r="K108" s="68" t="s">
        <v>35</v>
      </c>
      <c r="L108" s="69">
        <v>4020</v>
      </c>
      <c r="M108" s="70">
        <v>4000</v>
      </c>
      <c r="N108" s="57"/>
    </row>
    <row r="109" spans="1:22" s="5" customFormat="1" ht="15.75" x14ac:dyDescent="0.25">
      <c r="A109" s="9"/>
      <c r="B109" s="59"/>
      <c r="C109" s="49" t="s">
        <v>189</v>
      </c>
      <c r="D109" s="50" t="s">
        <v>348</v>
      </c>
      <c r="E109" s="51" t="s">
        <v>118</v>
      </c>
      <c r="F109" s="429">
        <f>'[21]6. Final Tariff Schedule'!E164</f>
        <v>1.055178432876599</v>
      </c>
      <c r="G109" s="64">
        <v>0</v>
      </c>
      <c r="H109" s="65"/>
      <c r="I109" s="61"/>
      <c r="J109" s="62"/>
      <c r="K109" s="68"/>
      <c r="L109" s="69"/>
      <c r="M109" s="70"/>
      <c r="N109" s="57"/>
    </row>
    <row r="110" spans="1:22" s="5" customFormat="1" ht="15.75" x14ac:dyDescent="0.25">
      <c r="A110" s="9"/>
      <c r="B110" s="59"/>
      <c r="C110" s="49" t="s">
        <v>192</v>
      </c>
      <c r="D110" s="50" t="s">
        <v>48</v>
      </c>
      <c r="E110" s="51" t="s">
        <v>118</v>
      </c>
      <c r="F110" s="64">
        <f>'[21]6. Final Tariff Schedule'!E165</f>
        <v>8.3799999999999999E-2</v>
      </c>
      <c r="G110" s="64">
        <v>8.3799999999999999E-2</v>
      </c>
      <c r="H110" s="65"/>
      <c r="I110" s="61" t="s">
        <v>193</v>
      </c>
      <c r="J110" s="62" t="s">
        <v>194</v>
      </c>
      <c r="K110" s="68" t="s">
        <v>35</v>
      </c>
      <c r="L110" s="69">
        <v>4075</v>
      </c>
      <c r="M110" s="70">
        <v>4000</v>
      </c>
      <c r="N110" s="57"/>
    </row>
    <row r="111" spans="1:22" s="5" customFormat="1" x14ac:dyDescent="0.2">
      <c r="A111" s="9"/>
      <c r="B111" s="59"/>
      <c r="C111" s="49" t="s">
        <v>195</v>
      </c>
      <c r="D111" s="50" t="s">
        <v>170</v>
      </c>
      <c r="E111" s="51" t="s">
        <v>118</v>
      </c>
      <c r="F111" s="71">
        <f>'[21]6. Final Tariff Schedule'!E169</f>
        <v>2.9613701318676164</v>
      </c>
      <c r="G111" s="71">
        <v>3.0219999999999998</v>
      </c>
      <c r="H111" s="72"/>
      <c r="I111" s="73"/>
      <c r="J111" s="71"/>
      <c r="K111" s="71"/>
      <c r="L111" s="72"/>
      <c r="M111" s="86"/>
      <c r="N111" s="57"/>
    </row>
    <row r="112" spans="1:22" s="5" customFormat="1" x14ac:dyDescent="0.2">
      <c r="A112" s="9"/>
      <c r="B112" s="59"/>
      <c r="C112" s="49" t="s">
        <v>196</v>
      </c>
      <c r="D112" s="50" t="s">
        <v>172</v>
      </c>
      <c r="E112" s="51" t="s">
        <v>118</v>
      </c>
      <c r="F112" s="71">
        <f>'[21]6. Final Tariff Schedule'!E170</f>
        <v>2.3622228326760251</v>
      </c>
      <c r="G112" s="71">
        <v>2.2949999999999999</v>
      </c>
      <c r="H112" s="72"/>
      <c r="I112" s="73"/>
      <c r="J112" s="71"/>
      <c r="K112" s="71"/>
      <c r="L112" s="72"/>
      <c r="M112" s="86"/>
      <c r="N112" s="57"/>
    </row>
    <row r="113" spans="1:22" s="5" customFormat="1" x14ac:dyDescent="0.2">
      <c r="A113" s="9"/>
      <c r="B113" s="59"/>
      <c r="C113" s="49" t="s">
        <v>55</v>
      </c>
      <c r="D113" s="50" t="s">
        <v>56</v>
      </c>
      <c r="E113" s="51" t="s">
        <v>27</v>
      </c>
      <c r="F113" s="71">
        <f>'[21]6. Final Tariff Schedule'!E173</f>
        <v>4.4000000000000003E-3</v>
      </c>
      <c r="G113" s="71">
        <v>4.4000000000000003E-3</v>
      </c>
      <c r="H113" s="72"/>
      <c r="I113" s="73"/>
      <c r="J113" s="71"/>
      <c r="K113" s="71"/>
      <c r="L113" s="72"/>
      <c r="M113" s="86"/>
      <c r="N113" s="57"/>
    </row>
    <row r="114" spans="1:22" s="5" customFormat="1" x14ac:dyDescent="0.2">
      <c r="A114" s="9"/>
      <c r="B114" s="59"/>
      <c r="C114" s="49" t="s">
        <v>55</v>
      </c>
      <c r="D114" s="74" t="s">
        <v>58</v>
      </c>
      <c r="E114" s="51" t="s">
        <v>27</v>
      </c>
      <c r="F114" s="71">
        <f>'[21]6. Final Tariff Schedule'!E174</f>
        <v>1.2999999999999999E-3</v>
      </c>
      <c r="G114" s="71">
        <v>1.2999999999999999E-3</v>
      </c>
      <c r="H114" s="72"/>
      <c r="I114" s="73"/>
      <c r="J114" s="71"/>
      <c r="K114" s="71"/>
      <c r="L114" s="72"/>
      <c r="M114" s="86"/>
      <c r="N114" s="57"/>
    </row>
    <row r="115" spans="1:22" s="5" customFormat="1" x14ac:dyDescent="0.2">
      <c r="A115" s="9"/>
      <c r="B115" s="59"/>
      <c r="C115" s="49" t="s">
        <v>59</v>
      </c>
      <c r="D115" s="50" t="s">
        <v>60</v>
      </c>
      <c r="E115" s="51" t="s">
        <v>19</v>
      </c>
      <c r="F115" s="75">
        <f>'[21]6. Final Tariff Schedule'!E175</f>
        <v>0.25</v>
      </c>
      <c r="G115" s="75">
        <v>0.25</v>
      </c>
      <c r="H115" s="76"/>
      <c r="I115" s="77"/>
      <c r="J115" s="75"/>
      <c r="K115" s="75"/>
      <c r="L115" s="76"/>
      <c r="M115" s="86"/>
      <c r="N115" s="57"/>
    </row>
    <row r="116" spans="1:22" s="5" customFormat="1" x14ac:dyDescent="0.2">
      <c r="A116" s="9"/>
      <c r="B116" s="59"/>
      <c r="C116" s="49" t="s">
        <v>61</v>
      </c>
      <c r="D116" s="74" t="s">
        <v>62</v>
      </c>
      <c r="E116" s="51" t="s">
        <v>27</v>
      </c>
      <c r="F116" s="79">
        <v>7.0000000000000001E-3</v>
      </c>
      <c r="G116" s="79">
        <v>7.0000000000000001E-3</v>
      </c>
      <c r="H116" s="92"/>
      <c r="I116" s="93"/>
      <c r="J116" s="79"/>
      <c r="K116" s="79"/>
      <c r="L116" s="92"/>
      <c r="M116" s="86"/>
      <c r="N116" s="57"/>
    </row>
    <row r="117" spans="1:22" s="5" customFormat="1" x14ac:dyDescent="0.2">
      <c r="A117" s="9"/>
      <c r="B117" s="59"/>
      <c r="C117" s="91" t="s">
        <v>144</v>
      </c>
      <c r="D117" s="100" t="s">
        <v>145</v>
      </c>
      <c r="E117" s="78" t="s">
        <v>118</v>
      </c>
      <c r="F117" s="101">
        <v>-0.4</v>
      </c>
      <c r="G117" s="101">
        <v>-0.4</v>
      </c>
      <c r="H117" s="60"/>
      <c r="I117" s="102"/>
      <c r="J117" s="103"/>
      <c r="K117" s="103"/>
      <c r="L117" s="104"/>
      <c r="M117" s="106"/>
      <c r="N117" s="57"/>
      <c r="T117" s="80"/>
      <c r="U117" s="80">
        <f>SUM(F100:F115)</f>
        <v>13653.889501656664</v>
      </c>
      <c r="V117" s="80">
        <f>SUM(G100:G115)</f>
        <v>12872.625435250002</v>
      </c>
    </row>
    <row r="118" spans="1:22" s="5" customFormat="1" ht="15.75" x14ac:dyDescent="0.25">
      <c r="A118" s="38"/>
      <c r="B118" s="39" t="s">
        <v>197</v>
      </c>
      <c r="C118" s="49"/>
      <c r="D118" s="41"/>
      <c r="E118" s="42"/>
      <c r="F118" s="43"/>
      <c r="G118" s="43"/>
      <c r="H118" s="38"/>
      <c r="I118" s="25"/>
      <c r="J118" s="26"/>
      <c r="K118" s="26"/>
      <c r="L118" s="27"/>
      <c r="M118" s="26"/>
      <c r="N118" s="27"/>
    </row>
    <row r="119" spans="1:22" s="5" customFormat="1" x14ac:dyDescent="0.2">
      <c r="A119" s="38"/>
      <c r="B119" s="59"/>
      <c r="C119" s="49" t="s">
        <v>198</v>
      </c>
      <c r="D119" s="50" t="s">
        <v>199</v>
      </c>
      <c r="E119" s="51" t="s">
        <v>19</v>
      </c>
      <c r="F119" s="52">
        <f>'[21]6. Final Tariff Schedule'!E222</f>
        <v>1.430445</v>
      </c>
      <c r="G119" s="422">
        <v>1.4101549999999998</v>
      </c>
      <c r="H119" s="60"/>
      <c r="I119" s="107"/>
      <c r="J119" s="52"/>
      <c r="K119" s="52"/>
      <c r="L119" s="60"/>
      <c r="M119" s="108"/>
      <c r="N119" s="57"/>
    </row>
    <row r="120" spans="1:22" s="5" customFormat="1" ht="15" customHeight="1" x14ac:dyDescent="0.2">
      <c r="A120" s="38"/>
      <c r="B120" s="59"/>
      <c r="C120" s="49"/>
      <c r="D120" s="432" t="s">
        <v>343</v>
      </c>
      <c r="E120" s="51" t="s">
        <v>19</v>
      </c>
      <c r="F120" s="52">
        <f>'[21]6. Final Tariff Schedule'!E229</f>
        <v>7.0000000000000007E-2</v>
      </c>
      <c r="G120" s="422">
        <v>0</v>
      </c>
      <c r="H120" s="60"/>
      <c r="I120" s="107"/>
      <c r="J120" s="52"/>
      <c r="K120" s="52"/>
      <c r="L120" s="60"/>
      <c r="M120" s="108"/>
      <c r="N120" s="57"/>
    </row>
    <row r="121" spans="1:22" s="5" customFormat="1" x14ac:dyDescent="0.2">
      <c r="A121" s="9"/>
      <c r="B121" s="59"/>
      <c r="C121" s="49" t="s">
        <v>200</v>
      </c>
      <c r="D121" s="50" t="s">
        <v>26</v>
      </c>
      <c r="E121" s="51" t="s">
        <v>118</v>
      </c>
      <c r="F121" s="64">
        <f>'[21]6. Final Tariff Schedule'!E223</f>
        <v>10.929411399999999</v>
      </c>
      <c r="G121" s="423">
        <v>10.773178399999999</v>
      </c>
      <c r="H121" s="65"/>
      <c r="I121" s="109"/>
      <c r="J121" s="64"/>
      <c r="K121" s="64"/>
      <c r="L121" s="65"/>
      <c r="M121" s="108"/>
      <c r="N121" s="57"/>
    </row>
    <row r="122" spans="1:22" s="5" customFormat="1" ht="15.75" x14ac:dyDescent="0.25">
      <c r="A122" s="9"/>
      <c r="B122" s="59"/>
      <c r="C122" s="49" t="s">
        <v>201</v>
      </c>
      <c r="D122" s="50" t="s">
        <v>338</v>
      </c>
      <c r="E122" s="51" t="s">
        <v>118</v>
      </c>
      <c r="F122" s="429">
        <f>'[21]6. Final Tariff Schedule'!E224</f>
        <v>0.53779999999999994</v>
      </c>
      <c r="G122" s="64">
        <v>0</v>
      </c>
      <c r="H122" s="65"/>
      <c r="I122" s="110"/>
      <c r="J122" s="62"/>
      <c r="K122" s="68"/>
      <c r="L122" s="69"/>
      <c r="M122" s="68"/>
      <c r="N122" s="57"/>
    </row>
    <row r="123" spans="1:22" s="5" customFormat="1" ht="15.75" x14ac:dyDescent="0.25">
      <c r="A123" s="9"/>
      <c r="B123" s="59"/>
      <c r="C123" s="49" t="s">
        <v>202</v>
      </c>
      <c r="D123" s="50" t="s">
        <v>339</v>
      </c>
      <c r="E123" s="51" t="s">
        <v>118</v>
      </c>
      <c r="F123" s="429">
        <f>'[21]6. Final Tariff Schedule'!E225</f>
        <v>-0.40534178217036831</v>
      </c>
      <c r="G123" s="64">
        <v>0</v>
      </c>
      <c r="H123" s="65"/>
      <c r="I123" s="111"/>
      <c r="J123" s="62"/>
      <c r="K123" s="68"/>
      <c r="L123" s="69"/>
      <c r="M123" s="68"/>
      <c r="N123" s="57"/>
    </row>
    <row r="124" spans="1:22" s="5" customFormat="1" ht="15.75" x14ac:dyDescent="0.25">
      <c r="A124" s="9"/>
      <c r="B124" s="59"/>
      <c r="C124" s="49" t="s">
        <v>203</v>
      </c>
      <c r="D124" s="50" t="s">
        <v>340</v>
      </c>
      <c r="E124" s="51" t="s">
        <v>118</v>
      </c>
      <c r="F124" s="429">
        <f>'[21]6. Final Tariff Schedule'!E228</f>
        <v>3.9040158550995591E-3</v>
      </c>
      <c r="G124" s="64">
        <v>0</v>
      </c>
      <c r="H124" s="65"/>
      <c r="I124" s="110"/>
      <c r="J124" s="62"/>
      <c r="K124" s="68"/>
      <c r="L124" s="69"/>
      <c r="M124" s="68"/>
      <c r="N124" s="57"/>
    </row>
    <row r="125" spans="1:22" s="5" customFormat="1" ht="15.75" x14ac:dyDescent="0.25">
      <c r="A125" s="9"/>
      <c r="B125" s="59"/>
      <c r="C125" s="49"/>
      <c r="D125" s="432" t="s">
        <v>344</v>
      </c>
      <c r="E125" s="51" t="s">
        <v>118</v>
      </c>
      <c r="F125" s="429">
        <f>'[21]6. Final Tariff Schedule'!E230</f>
        <v>0.49709999999999999</v>
      </c>
      <c r="G125" s="423">
        <v>0</v>
      </c>
      <c r="H125" s="65"/>
      <c r="I125" s="110"/>
      <c r="J125" s="62"/>
      <c r="K125" s="68"/>
      <c r="L125" s="69"/>
      <c r="M125" s="68"/>
      <c r="N125" s="57"/>
    </row>
    <row r="126" spans="1:22" s="5" customFormat="1" ht="15.75" x14ac:dyDescent="0.25">
      <c r="A126" s="9"/>
      <c r="B126" s="59"/>
      <c r="C126" s="49" t="s">
        <v>204</v>
      </c>
      <c r="D126" s="50" t="s">
        <v>341</v>
      </c>
      <c r="E126" s="51" t="s">
        <v>118</v>
      </c>
      <c r="F126" s="429">
        <f>'[21]6. Final Tariff Schedule'!E226</f>
        <v>0.90782012608327678</v>
      </c>
      <c r="G126" s="64">
        <v>0</v>
      </c>
      <c r="H126" s="65"/>
      <c r="I126" s="110"/>
      <c r="J126" s="62"/>
      <c r="K126" s="68"/>
      <c r="L126" s="69"/>
      <c r="M126" s="68"/>
      <c r="N126" s="57"/>
    </row>
    <row r="127" spans="1:22" s="5" customFormat="1" ht="15.75" x14ac:dyDescent="0.25">
      <c r="A127" s="9"/>
      <c r="B127" s="59"/>
      <c r="C127" s="49" t="s">
        <v>205</v>
      </c>
      <c r="D127" s="50" t="s">
        <v>48</v>
      </c>
      <c r="E127" s="51" t="s">
        <v>118</v>
      </c>
      <c r="F127" s="64">
        <f>'[21]6. Final Tariff Schedule'!E227</f>
        <v>5.8000000000000003E-2</v>
      </c>
      <c r="G127" s="64">
        <v>5.8000000000000003E-2</v>
      </c>
      <c r="H127" s="65"/>
      <c r="I127" s="110"/>
      <c r="J127" s="62"/>
      <c r="K127" s="68"/>
      <c r="L127" s="69"/>
      <c r="M127" s="68"/>
      <c r="N127" s="57"/>
    </row>
    <row r="128" spans="1:22" s="5" customFormat="1" x14ac:dyDescent="0.2">
      <c r="B128" s="112"/>
      <c r="C128" s="49" t="s">
        <v>206</v>
      </c>
      <c r="D128" s="74" t="s">
        <v>88</v>
      </c>
      <c r="E128" s="51" t="s">
        <v>118</v>
      </c>
      <c r="F128" s="71">
        <f>'[21]6. Final Tariff Schedule'!E231</f>
        <v>1.9864306872540418</v>
      </c>
      <c r="G128" s="71">
        <v>2.0270999999999999</v>
      </c>
      <c r="H128" s="72"/>
      <c r="I128" s="113"/>
      <c r="J128" s="71"/>
      <c r="K128" s="71"/>
      <c r="L128" s="72"/>
      <c r="M128" s="108"/>
      <c r="N128" s="57"/>
    </row>
    <row r="129" spans="2:14" s="5" customFormat="1" x14ac:dyDescent="0.2">
      <c r="B129" s="112"/>
      <c r="C129" s="49" t="s">
        <v>207</v>
      </c>
      <c r="D129" s="74" t="s">
        <v>90</v>
      </c>
      <c r="E129" s="51" t="s">
        <v>118</v>
      </c>
      <c r="F129" s="71">
        <f>'[21]6. Final Tariff Schedule'!E232</f>
        <v>1.6344112314362624</v>
      </c>
      <c r="G129" s="71">
        <v>1.5879000000000001</v>
      </c>
      <c r="H129" s="72"/>
      <c r="I129" s="113"/>
      <c r="J129" s="71"/>
      <c r="K129" s="71"/>
      <c r="L129" s="72"/>
      <c r="M129" s="108"/>
      <c r="N129" s="57"/>
    </row>
    <row r="130" spans="2:14" s="5" customFormat="1" x14ac:dyDescent="0.2">
      <c r="B130" s="112"/>
      <c r="C130" s="49" t="s">
        <v>55</v>
      </c>
      <c r="D130" s="50" t="s">
        <v>56</v>
      </c>
      <c r="E130" s="51" t="s">
        <v>27</v>
      </c>
      <c r="F130" s="71">
        <f>'[21]6. Final Tariff Schedule'!E236</f>
        <v>4.4000000000000003E-3</v>
      </c>
      <c r="G130" s="71">
        <v>4.4000000000000003E-3</v>
      </c>
      <c r="H130" s="72"/>
      <c r="I130" s="113"/>
      <c r="J130" s="71"/>
      <c r="K130" s="71"/>
      <c r="L130" s="72"/>
      <c r="M130" s="108"/>
      <c r="N130" s="57"/>
    </row>
    <row r="131" spans="2:14" s="5" customFormat="1" x14ac:dyDescent="0.2">
      <c r="B131" s="112"/>
      <c r="C131" s="49" t="s">
        <v>55</v>
      </c>
      <c r="D131" s="74" t="s">
        <v>58</v>
      </c>
      <c r="E131" s="51" t="s">
        <v>27</v>
      </c>
      <c r="F131" s="71">
        <f>'[21]6. Final Tariff Schedule'!E237</f>
        <v>1.2999999999999999E-3</v>
      </c>
      <c r="G131" s="71">
        <v>1.2999999999999999E-3</v>
      </c>
      <c r="H131" s="72"/>
      <c r="I131" s="113"/>
      <c r="J131" s="71"/>
      <c r="K131" s="71"/>
      <c r="L131" s="72"/>
      <c r="M131" s="108"/>
      <c r="N131" s="57"/>
    </row>
    <row r="132" spans="2:14" s="5" customFormat="1" x14ac:dyDescent="0.2">
      <c r="B132" s="59"/>
      <c r="C132" s="49" t="s">
        <v>59</v>
      </c>
      <c r="D132" s="50" t="s">
        <v>60</v>
      </c>
      <c r="E132" s="51" t="s">
        <v>19</v>
      </c>
      <c r="F132" s="75">
        <f>'[21]6. Final Tariff Schedule'!E238</f>
        <v>0.25</v>
      </c>
      <c r="G132" s="75">
        <v>0.25</v>
      </c>
      <c r="H132" s="76"/>
      <c r="I132" s="114"/>
      <c r="J132" s="75"/>
      <c r="K132" s="75"/>
      <c r="L132" s="76"/>
      <c r="M132" s="108"/>
      <c r="N132" s="57"/>
    </row>
    <row r="133" spans="2:14" s="5" customFormat="1" ht="15.75" thickBot="1" x14ac:dyDescent="0.25">
      <c r="B133" s="115"/>
      <c r="C133" s="116" t="s">
        <v>61</v>
      </c>
      <c r="D133" s="117" t="s">
        <v>62</v>
      </c>
      <c r="E133" s="118" t="s">
        <v>27</v>
      </c>
      <c r="F133" s="119">
        <v>7.0000000000000001E-3</v>
      </c>
      <c r="G133" s="119">
        <v>7.0000000000000001E-3</v>
      </c>
      <c r="H133" s="92"/>
      <c r="I133" s="120"/>
      <c r="J133" s="79"/>
      <c r="K133" s="79"/>
      <c r="L133" s="92"/>
      <c r="M133" s="108"/>
      <c r="N133" s="57"/>
    </row>
    <row r="134" spans="2:14" x14ac:dyDescent="0.2">
      <c r="H134" s="121"/>
      <c r="I134" s="27"/>
      <c r="J134" s="27"/>
      <c r="K134" s="27"/>
      <c r="L134" s="27"/>
      <c r="M134" s="27"/>
      <c r="N134" s="121"/>
    </row>
    <row r="135" spans="2:14" ht="14.25" customHeight="1" x14ac:dyDescent="0.2">
      <c r="B135" s="122" t="s">
        <v>208</v>
      </c>
      <c r="C135" s="122"/>
      <c r="D135" s="122"/>
    </row>
    <row r="136" spans="2:14" ht="14.25" customHeight="1" x14ac:dyDescent="0.2">
      <c r="B136" s="122"/>
      <c r="C136" s="122"/>
      <c r="D136" s="122"/>
    </row>
    <row r="137" spans="2:14" ht="15.75" x14ac:dyDescent="0.25">
      <c r="B137" s="123" t="s">
        <v>209</v>
      </c>
    </row>
    <row r="138" spans="2:14" x14ac:dyDescent="0.2">
      <c r="B138" s="124" t="s">
        <v>210</v>
      </c>
    </row>
    <row r="139" spans="2:14" x14ac:dyDescent="0.2">
      <c r="B139" s="124" t="s">
        <v>211</v>
      </c>
    </row>
  </sheetData>
  <mergeCells count="4">
    <mergeCell ref="B1:G1"/>
    <mergeCell ref="B2:G2"/>
    <mergeCell ref="B3:E3"/>
    <mergeCell ref="B4:E4"/>
  </mergeCells>
  <printOptions horizontalCentered="1"/>
  <pageMargins left="0" right="0" top="0" bottom="0" header="0.23622047244094491" footer="0.15748031496062992"/>
  <pageSetup scale="68" fitToHeight="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K33"/>
  <sheetViews>
    <sheetView tabSelected="1" workbookViewId="0">
      <selection activeCell="D20" sqref="D20"/>
    </sheetView>
  </sheetViews>
  <sheetFormatPr defaultRowHeight="15" x14ac:dyDescent="0.25"/>
  <cols>
    <col min="1" max="1" width="54" style="363" customWidth="1"/>
    <col min="2" max="2" width="14.28515625" style="363" customWidth="1"/>
    <col min="3" max="3" width="8" style="363" bestFit="1" customWidth="1"/>
    <col min="4" max="4" width="9.85546875" style="363" bestFit="1" customWidth="1"/>
    <col min="5" max="5" width="9.140625" style="363"/>
    <col min="6" max="6" width="11" style="363" bestFit="1" customWidth="1"/>
    <col min="7" max="7" width="8" style="363" bestFit="1" customWidth="1"/>
    <col min="8" max="8" width="9.85546875" style="363" bestFit="1" customWidth="1"/>
    <col min="9" max="9" width="9.140625" style="363"/>
    <col min="10" max="10" width="9.5703125" style="363" bestFit="1" customWidth="1"/>
    <col min="11" max="11" width="10" style="363" bestFit="1" customWidth="1"/>
  </cols>
  <sheetData>
    <row r="1" spans="1:11" ht="15.75" x14ac:dyDescent="0.25">
      <c r="A1" s="246" t="s">
        <v>253</v>
      </c>
      <c r="B1" s="247" t="s">
        <v>294</v>
      </c>
      <c r="C1" s="247"/>
      <c r="D1" s="247"/>
      <c r="E1" s="366"/>
      <c r="F1" s="366"/>
      <c r="G1" s="366"/>
      <c r="H1" s="366"/>
      <c r="I1" s="366"/>
      <c r="J1" s="366"/>
      <c r="K1" s="367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300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/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378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8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Rates'!G45,2)</f>
        <v>8.4</v>
      </c>
      <c r="C9" s="274">
        <v>1</v>
      </c>
      <c r="D9" s="339">
        <f>C9*B9</f>
        <v>8.4</v>
      </c>
      <c r="E9" s="380"/>
      <c r="F9" s="273">
        <f>ROUND('January 01, 2016 Rates'!F45,2)</f>
        <v>8.52</v>
      </c>
      <c r="G9" s="277">
        <f>C9</f>
        <v>1</v>
      </c>
      <c r="H9" s="339">
        <f>G9*F9</f>
        <v>8.52</v>
      </c>
      <c r="I9" s="380"/>
      <c r="J9" s="381">
        <f t="shared" ref="J9:J26" si="0">H9-D9</f>
        <v>0.11999999999999922</v>
      </c>
      <c r="K9" s="279">
        <f t="shared" ref="K9:K26" si="1">IF((D9)=0,"",(J9/D9))</f>
        <v>1.4285714285714192E-2</v>
      </c>
    </row>
    <row r="10" spans="1:11" x14ac:dyDescent="0.25">
      <c r="A10" s="272" t="s">
        <v>26</v>
      </c>
      <c r="B10" s="280">
        <f>ROUND('January 01, 2016 Rates'!G47,4)</f>
        <v>1.5299999999999999E-2</v>
      </c>
      <c r="C10" s="281">
        <f>+B3</f>
        <v>300</v>
      </c>
      <c r="D10" s="339">
        <f>C10*B10</f>
        <v>4.59</v>
      </c>
      <c r="E10" s="380"/>
      <c r="F10" s="280">
        <f>ROUND('January 01, 2016 Rates'!F47,4)</f>
        <v>1.55E-2</v>
      </c>
      <c r="G10" s="283">
        <f>C10</f>
        <v>300</v>
      </c>
      <c r="H10" s="339">
        <f>G10*F10</f>
        <v>4.6500000000000004</v>
      </c>
      <c r="I10" s="380"/>
      <c r="J10" s="381">
        <f t="shared" si="0"/>
        <v>6.0000000000000497E-2</v>
      </c>
      <c r="K10" s="279">
        <f t="shared" si="1"/>
        <v>1.3071895424836709E-2</v>
      </c>
    </row>
    <row r="11" spans="1:11" x14ac:dyDescent="0.25">
      <c r="A11" s="284" t="s">
        <v>269</v>
      </c>
      <c r="B11" s="285">
        <v>0</v>
      </c>
      <c r="C11" s="286">
        <f>+B3</f>
        <v>300</v>
      </c>
      <c r="D11" s="382">
        <f>C11*B11</f>
        <v>0</v>
      </c>
      <c r="E11" s="380"/>
      <c r="F11" s="285">
        <v>0</v>
      </c>
      <c r="G11" s="289">
        <f>C11</f>
        <v>300</v>
      </c>
      <c r="H11" s="382">
        <f>G11*F11</f>
        <v>0</v>
      </c>
      <c r="I11" s="380"/>
      <c r="J11" s="383">
        <f t="shared" si="0"/>
        <v>0</v>
      </c>
      <c r="K11" s="291" t="str">
        <f t="shared" si="1"/>
        <v/>
      </c>
    </row>
    <row r="12" spans="1:11" x14ac:dyDescent="0.25">
      <c r="A12" s="292" t="s">
        <v>270</v>
      </c>
      <c r="B12" s="293"/>
      <c r="C12" s="294"/>
      <c r="D12" s="298">
        <f>SUM(D9:D11)</f>
        <v>12.99</v>
      </c>
      <c r="E12" s="380"/>
      <c r="F12" s="293"/>
      <c r="G12" s="297"/>
      <c r="H12" s="298">
        <f>SUM(H9:H11)</f>
        <v>13.17</v>
      </c>
      <c r="I12" s="380"/>
      <c r="J12" s="384">
        <f t="shared" si="0"/>
        <v>0.17999999999999972</v>
      </c>
      <c r="K12" s="299">
        <f t="shared" si="1"/>
        <v>1.3856812933025382E-2</v>
      </c>
    </row>
    <row r="13" spans="1:11" x14ac:dyDescent="0.25">
      <c r="A13" s="300" t="s">
        <v>271</v>
      </c>
      <c r="B13" s="280">
        <v>9.4E-2</v>
      </c>
      <c r="C13" s="301">
        <f>+B3*B2</f>
        <v>10.799999999999999</v>
      </c>
      <c r="D13" s="339">
        <f>B13*C13</f>
        <v>1.0151999999999999</v>
      </c>
      <c r="E13" s="380"/>
      <c r="F13" s="280">
        <v>9.4E-2</v>
      </c>
      <c r="G13" s="301">
        <f>C13</f>
        <v>10.799999999999999</v>
      </c>
      <c r="H13" s="339">
        <f>F13*G13</f>
        <v>1.0151999999999999</v>
      </c>
      <c r="I13" s="380"/>
      <c r="J13" s="381">
        <f t="shared" si="0"/>
        <v>0</v>
      </c>
      <c r="K13" s="279">
        <f t="shared" si="1"/>
        <v>0</v>
      </c>
    </row>
    <row r="14" spans="1:11" x14ac:dyDescent="0.25">
      <c r="A14" s="300" t="s">
        <v>349</v>
      </c>
      <c r="B14" s="280">
        <f>ROUND('January 01, 2016 Rates'!G49,4)</f>
        <v>0</v>
      </c>
      <c r="C14" s="301">
        <f>+B3</f>
        <v>300</v>
      </c>
      <c r="D14" s="339">
        <f>C14*B14</f>
        <v>0</v>
      </c>
      <c r="E14" s="380"/>
      <c r="F14" s="280">
        <f>ROUND('January 01, 2016 Rates'!F48+'January 01, 2016 Rates'!F49+'January 01, 2016 Rates'!F50+'January 01, 2016 Rates'!F51,4)</f>
        <v>1E-3</v>
      </c>
      <c r="G14" s="301">
        <f>C14</f>
        <v>300</v>
      </c>
      <c r="H14" s="339">
        <f>G14*F14</f>
        <v>0.3</v>
      </c>
      <c r="I14" s="380"/>
      <c r="J14" s="381">
        <f t="shared" si="0"/>
        <v>0.3</v>
      </c>
      <c r="K14" s="279" t="str">
        <f t="shared" si="1"/>
        <v/>
      </c>
    </row>
    <row r="15" spans="1:11" x14ac:dyDescent="0.25">
      <c r="A15" s="302" t="s">
        <v>272</v>
      </c>
      <c r="B15" s="280">
        <f>ROUND('January 01, 2016 Rates'!G53,4)</f>
        <v>2.0000000000000001E-4</v>
      </c>
      <c r="C15" s="301">
        <f>+B3</f>
        <v>300</v>
      </c>
      <c r="D15" s="339">
        <f>C15*B15</f>
        <v>6.0000000000000005E-2</v>
      </c>
      <c r="E15" s="380"/>
      <c r="F15" s="280">
        <f>ROUND('January 01, 2016 Rates'!F53,4)</f>
        <v>2.0000000000000001E-4</v>
      </c>
      <c r="G15" s="301">
        <f>C15</f>
        <v>300</v>
      </c>
      <c r="H15" s="339">
        <f>G15*F15</f>
        <v>6.0000000000000005E-2</v>
      </c>
      <c r="I15" s="380"/>
      <c r="J15" s="381">
        <f t="shared" si="0"/>
        <v>0</v>
      </c>
      <c r="K15" s="279">
        <f t="shared" si="1"/>
        <v>0</v>
      </c>
    </row>
    <row r="16" spans="1:11" x14ac:dyDescent="0.25">
      <c r="A16" s="302" t="s">
        <v>273</v>
      </c>
      <c r="B16" s="280">
        <v>0</v>
      </c>
      <c r="C16" s="301">
        <v>1</v>
      </c>
      <c r="D16" s="339">
        <f>C16*B16</f>
        <v>0</v>
      </c>
      <c r="E16" s="380"/>
      <c r="F16" s="280">
        <v>0</v>
      </c>
      <c r="G16" s="301">
        <f>C16</f>
        <v>1</v>
      </c>
      <c r="H16" s="339">
        <f>G16*F16</f>
        <v>0</v>
      </c>
      <c r="I16" s="380"/>
      <c r="J16" s="381">
        <f t="shared" si="0"/>
        <v>0</v>
      </c>
      <c r="K16" s="279" t="str">
        <f t="shared" si="1"/>
        <v/>
      </c>
    </row>
    <row r="17" spans="1:11" x14ac:dyDescent="0.25">
      <c r="A17" s="302" t="s">
        <v>350</v>
      </c>
      <c r="B17" s="280">
        <v>0</v>
      </c>
      <c r="C17" s="301">
        <v>1</v>
      </c>
      <c r="D17" s="339">
        <f>C17*B17</f>
        <v>0</v>
      </c>
      <c r="E17" s="380"/>
      <c r="F17" s="273">
        <f>ROUND('January 01, 2016 Rates'!F46,2)</f>
        <v>0.39</v>
      </c>
      <c r="G17" s="431">
        <f>C17</f>
        <v>1</v>
      </c>
      <c r="H17" s="339">
        <f>G17*F17</f>
        <v>0.39</v>
      </c>
      <c r="I17" s="380"/>
      <c r="J17" s="381"/>
      <c r="K17" s="279"/>
    </row>
    <row r="18" spans="1:11" x14ac:dyDescent="0.25">
      <c r="A18" s="303" t="s">
        <v>274</v>
      </c>
      <c r="B18" s="304"/>
      <c r="C18" s="305"/>
      <c r="D18" s="309">
        <f>SUM(D12:D17)</f>
        <v>14.065200000000001</v>
      </c>
      <c r="E18" s="380"/>
      <c r="F18" s="304"/>
      <c r="G18" s="308"/>
      <c r="H18" s="309">
        <f>SUM(H12:H17)</f>
        <v>14.935200000000002</v>
      </c>
      <c r="I18" s="380"/>
      <c r="J18" s="385">
        <f t="shared" si="0"/>
        <v>0.87000000000000099</v>
      </c>
      <c r="K18" s="310">
        <f t="shared" si="1"/>
        <v>6.1854790546881734E-2</v>
      </c>
    </row>
    <row r="19" spans="1:11" x14ac:dyDescent="0.25">
      <c r="A19" s="311" t="s">
        <v>275</v>
      </c>
      <c r="B19" s="280">
        <f>ROUND('January 01, 2016 Rates'!G54,4)</f>
        <v>7.6E-3</v>
      </c>
      <c r="C19" s="312">
        <f>+B3</f>
        <v>300</v>
      </c>
      <c r="D19" s="339">
        <f>C19*B19</f>
        <v>2.2799999999999998</v>
      </c>
      <c r="E19" s="380"/>
      <c r="F19" s="280">
        <f>ROUND('January 01, 2016 Rates'!F54,4)</f>
        <v>7.4000000000000003E-3</v>
      </c>
      <c r="G19" s="313">
        <f>C19</f>
        <v>300</v>
      </c>
      <c r="H19" s="339">
        <f>G19*F19</f>
        <v>2.2200000000000002</v>
      </c>
      <c r="I19" s="380"/>
      <c r="J19" s="381">
        <f t="shared" si="0"/>
        <v>-5.9999999999999609E-2</v>
      </c>
      <c r="K19" s="279">
        <f t="shared" si="1"/>
        <v>-2.6315789473684043E-2</v>
      </c>
    </row>
    <row r="20" spans="1:11" x14ac:dyDescent="0.25">
      <c r="A20" s="314" t="s">
        <v>276</v>
      </c>
      <c r="B20" s="280">
        <f>ROUND('January 01, 2016 Rates'!G55,4)</f>
        <v>5.5999999999999999E-3</v>
      </c>
      <c r="C20" s="312">
        <f>+B3</f>
        <v>300</v>
      </c>
      <c r="D20" s="339">
        <f>C20*B20</f>
        <v>1.68</v>
      </c>
      <c r="E20" s="380"/>
      <c r="F20" s="280">
        <f>ROUND('January 01, 2016 Rates'!F55,4)</f>
        <v>5.7999999999999996E-3</v>
      </c>
      <c r="G20" s="313">
        <f>C20</f>
        <v>300</v>
      </c>
      <c r="H20" s="339">
        <f>G20*F20</f>
        <v>1.7399999999999998</v>
      </c>
      <c r="I20" s="380"/>
      <c r="J20" s="381">
        <f t="shared" si="0"/>
        <v>5.9999999999999831E-2</v>
      </c>
      <c r="K20" s="279">
        <f t="shared" si="1"/>
        <v>3.5714285714285615E-2</v>
      </c>
    </row>
    <row r="21" spans="1:11" x14ac:dyDescent="0.25">
      <c r="A21" s="303" t="s">
        <v>277</v>
      </c>
      <c r="B21" s="304"/>
      <c r="C21" s="305"/>
      <c r="D21" s="309">
        <f>SUM(D18:D20)</f>
        <v>18.025200000000002</v>
      </c>
      <c r="E21" s="386"/>
      <c r="F21" s="387"/>
      <c r="G21" s="317"/>
      <c r="H21" s="309">
        <f>SUM(H18:H20)</f>
        <v>18.895199999999999</v>
      </c>
      <c r="I21" s="386"/>
      <c r="J21" s="385">
        <f t="shared" si="0"/>
        <v>0.86999999999999744</v>
      </c>
      <c r="K21" s="310">
        <f t="shared" si="1"/>
        <v>4.8265761267558605E-2</v>
      </c>
    </row>
    <row r="22" spans="1:11" x14ac:dyDescent="0.25">
      <c r="A22" s="302" t="s">
        <v>278</v>
      </c>
      <c r="B22" s="280">
        <f>ROUND('January 01, 2016 Rates'!G56,4)</f>
        <v>4.4000000000000003E-3</v>
      </c>
      <c r="C22" s="312">
        <f>+B3+C13</f>
        <v>310.8</v>
      </c>
      <c r="D22" s="339">
        <f t="shared" ref="D22:D26" si="2">C22*B22</f>
        <v>1.3675200000000001</v>
      </c>
      <c r="E22" s="380"/>
      <c r="F22" s="280">
        <f>ROUND('January 01, 2016 Rates'!F56,4)</f>
        <v>4.4000000000000003E-3</v>
      </c>
      <c r="G22" s="313">
        <f>+C22</f>
        <v>310.8</v>
      </c>
      <c r="H22" s="339">
        <f t="shared" ref="H22:H26" si="3">G22*F22</f>
        <v>1.3675200000000001</v>
      </c>
      <c r="I22" s="380"/>
      <c r="J22" s="381">
        <f t="shared" si="0"/>
        <v>0</v>
      </c>
      <c r="K22" s="279">
        <f t="shared" si="1"/>
        <v>0</v>
      </c>
    </row>
    <row r="23" spans="1:11" x14ac:dyDescent="0.25">
      <c r="A23" s="302" t="s">
        <v>279</v>
      </c>
      <c r="B23" s="280">
        <f>ROUND('January 01, 2016 Rates'!G57,4)</f>
        <v>1.2999999999999999E-3</v>
      </c>
      <c r="C23" s="312">
        <f>+B3+C13</f>
        <v>310.8</v>
      </c>
      <c r="D23" s="339">
        <f t="shared" si="2"/>
        <v>0.40404000000000001</v>
      </c>
      <c r="E23" s="380"/>
      <c r="F23" s="280">
        <f>ROUND('January 01, 2016 Rates'!F57,4)</f>
        <v>1.2999999999999999E-3</v>
      </c>
      <c r="G23" s="313">
        <f>+C23</f>
        <v>310.8</v>
      </c>
      <c r="H23" s="339">
        <f t="shared" si="3"/>
        <v>0.40404000000000001</v>
      </c>
      <c r="I23" s="380"/>
      <c r="J23" s="381">
        <f t="shared" si="0"/>
        <v>0</v>
      </c>
      <c r="K23" s="279">
        <f t="shared" si="1"/>
        <v>0</v>
      </c>
    </row>
    <row r="24" spans="1:11" x14ac:dyDescent="0.25">
      <c r="A24" s="302" t="s">
        <v>280</v>
      </c>
      <c r="B24" s="280">
        <f>ROUND('January 01, 2016 Rates'!G58,2)</f>
        <v>0.25</v>
      </c>
      <c r="C24" s="312">
        <v>1</v>
      </c>
      <c r="D24" s="339">
        <f t="shared" si="2"/>
        <v>0.25</v>
      </c>
      <c r="E24" s="380"/>
      <c r="F24" s="280">
        <f>ROUND('January 01, 2016 Rates'!F58,4)</f>
        <v>0.25</v>
      </c>
      <c r="G24" s="313">
        <f>C24</f>
        <v>1</v>
      </c>
      <c r="H24" s="339">
        <f t="shared" si="3"/>
        <v>0.25</v>
      </c>
      <c r="I24" s="380"/>
      <c r="J24" s="381">
        <f t="shared" si="0"/>
        <v>0</v>
      </c>
      <c r="K24" s="279">
        <f t="shared" si="1"/>
        <v>0</v>
      </c>
    </row>
    <row r="25" spans="1:11" x14ac:dyDescent="0.25">
      <c r="A25" s="302" t="s">
        <v>281</v>
      </c>
      <c r="B25" s="280">
        <f>ROUND('January 01, 2016 Rates'!F59,4)</f>
        <v>7.0000000000000001E-3</v>
      </c>
      <c r="C25" s="312">
        <f>+B3</f>
        <v>300</v>
      </c>
      <c r="D25" s="339">
        <f t="shared" si="2"/>
        <v>2.1</v>
      </c>
      <c r="E25" s="380"/>
      <c r="F25" s="280">
        <f>ROUND('January 01, 2016 Rates'!F59,4)</f>
        <v>7.0000000000000001E-3</v>
      </c>
      <c r="G25" s="313">
        <f>C25</f>
        <v>300</v>
      </c>
      <c r="H25" s="339">
        <f t="shared" si="3"/>
        <v>2.1</v>
      </c>
      <c r="I25" s="380"/>
      <c r="J25" s="381">
        <f t="shared" si="0"/>
        <v>0</v>
      </c>
      <c r="K25" s="279">
        <f t="shared" si="1"/>
        <v>0</v>
      </c>
    </row>
    <row r="26" spans="1:11" ht="15.75" thickBot="1" x14ac:dyDescent="0.3">
      <c r="A26" s="302" t="s">
        <v>295</v>
      </c>
      <c r="B26" s="280">
        <f>+B13</f>
        <v>9.4E-2</v>
      </c>
      <c r="C26" s="312">
        <f>+B3</f>
        <v>300</v>
      </c>
      <c r="D26" s="339">
        <f t="shared" si="2"/>
        <v>28.2</v>
      </c>
      <c r="E26" s="380"/>
      <c r="F26" s="280">
        <f>+F13</f>
        <v>9.4E-2</v>
      </c>
      <c r="G26" s="312">
        <f>C26</f>
        <v>300</v>
      </c>
      <c r="H26" s="339">
        <f t="shared" si="3"/>
        <v>28.2</v>
      </c>
      <c r="I26" s="380"/>
      <c r="J26" s="381">
        <f t="shared" si="0"/>
        <v>0</v>
      </c>
      <c r="K26" s="279">
        <f t="shared" si="1"/>
        <v>0</v>
      </c>
    </row>
    <row r="27" spans="1:11" ht="15.75" thickBot="1" x14ac:dyDescent="0.3">
      <c r="A27" s="318"/>
      <c r="B27" s="319"/>
      <c r="C27" s="320"/>
      <c r="D27" s="323"/>
      <c r="E27" s="380"/>
      <c r="F27" s="388"/>
      <c r="G27" s="322"/>
      <c r="H27" s="323"/>
      <c r="I27" s="380"/>
      <c r="J27" s="389"/>
      <c r="K27" s="324"/>
    </row>
    <row r="28" spans="1:11" x14ac:dyDescent="0.25">
      <c r="A28" s="325" t="s">
        <v>285</v>
      </c>
      <c r="B28" s="326"/>
      <c r="C28" s="327"/>
      <c r="D28" s="390">
        <f>SUM(D21:D26)</f>
        <v>50.346760000000003</v>
      </c>
      <c r="E28" s="391"/>
      <c r="F28" s="331"/>
      <c r="G28" s="331"/>
      <c r="H28" s="390">
        <f>SUM(H21:H26)</f>
        <v>51.216759999999994</v>
      </c>
      <c r="I28" s="386"/>
      <c r="J28" s="390">
        <f>H28-D28</f>
        <v>0.86999999999999034</v>
      </c>
      <c r="K28" s="333">
        <f>IF((D28)=0,"",(J28/D28))</f>
        <v>1.7280158643773507E-2</v>
      </c>
    </row>
    <row r="29" spans="1:11" x14ac:dyDescent="0.25">
      <c r="A29" s="334" t="s">
        <v>286</v>
      </c>
      <c r="B29" s="326">
        <v>0.13</v>
      </c>
      <c r="C29" s="335"/>
      <c r="D29" s="392">
        <f>D28*B29</f>
        <v>6.5450788000000006</v>
      </c>
      <c r="E29" s="335"/>
      <c r="F29" s="326">
        <v>0.13</v>
      </c>
      <c r="G29" s="337"/>
      <c r="H29" s="392">
        <f>H28*F29</f>
        <v>6.6581787999999991</v>
      </c>
      <c r="I29" s="380"/>
      <c r="J29" s="392">
        <f>H29-D29</f>
        <v>0.11309999999999842</v>
      </c>
      <c r="K29" s="340">
        <f>IF((D29)=0,"",(J29/D29))</f>
        <v>1.7280158643773458E-2</v>
      </c>
    </row>
    <row r="30" spans="1:11" x14ac:dyDescent="0.25">
      <c r="A30" s="341" t="s">
        <v>287</v>
      </c>
      <c r="B30" s="337"/>
      <c r="C30" s="335"/>
      <c r="D30" s="392">
        <f>D28+D29</f>
        <v>56.891838800000002</v>
      </c>
      <c r="E30" s="335"/>
      <c r="F30" s="337"/>
      <c r="G30" s="337"/>
      <c r="H30" s="392">
        <f>H28+H29</f>
        <v>57.874938799999995</v>
      </c>
      <c r="I30" s="380"/>
      <c r="J30" s="392">
        <f>H30-D30</f>
        <v>0.9830999999999932</v>
      </c>
      <c r="K30" s="340">
        <f>IF((D30)=0,"",(J30/D30))</f>
        <v>1.728015864377358E-2</v>
      </c>
    </row>
    <row r="31" spans="1:11" x14ac:dyDescent="0.25">
      <c r="A31" s="343" t="s">
        <v>288</v>
      </c>
      <c r="B31" s="337"/>
      <c r="C31" s="335"/>
      <c r="D31" s="392">
        <f>-D30*0.1</f>
        <v>-5.6891838800000007</v>
      </c>
      <c r="E31" s="335"/>
      <c r="F31" s="337"/>
      <c r="G31" s="337"/>
      <c r="H31" s="392">
        <f>-H30*0.1</f>
        <v>-5.7874938799999995</v>
      </c>
      <c r="I31" s="380"/>
      <c r="J31" s="392">
        <f>H31-D31</f>
        <v>-9.8309999999998787E-2</v>
      </c>
      <c r="K31" s="340">
        <f>IF((D31)=0,"",(J31/D31))</f>
        <v>1.7280158643773486E-2</v>
      </c>
    </row>
    <row r="32" spans="1:11" ht="15.75" thickBot="1" x14ac:dyDescent="0.3">
      <c r="A32" s="344" t="s">
        <v>289</v>
      </c>
      <c r="B32" s="345"/>
      <c r="C32" s="346"/>
      <c r="D32" s="384">
        <f>D30+D31</f>
        <v>51.202654920000001</v>
      </c>
      <c r="E32" s="391"/>
      <c r="F32" s="349"/>
      <c r="G32" s="349"/>
      <c r="H32" s="384">
        <f>H30+H31</f>
        <v>52.087444919999996</v>
      </c>
      <c r="I32" s="386"/>
      <c r="J32" s="384">
        <f>H32-D32</f>
        <v>0.8847899999999953</v>
      </c>
      <c r="K32" s="299">
        <f>IF((D32)=0,"",(J32/D32))</f>
        <v>1.7280158643773608E-2</v>
      </c>
    </row>
    <row r="33" spans="1:11" ht="15.75" thickBot="1" x14ac:dyDescent="0.3">
      <c r="A33" s="318"/>
      <c r="B33" s="350"/>
      <c r="C33" s="351"/>
      <c r="D33" s="393"/>
      <c r="E33" s="394"/>
      <c r="F33" s="350"/>
      <c r="G33" s="355"/>
      <c r="H33" s="395"/>
      <c r="I33" s="394"/>
      <c r="J33" s="396"/>
      <c r="K33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R33"/>
  <sheetViews>
    <sheetView tabSelected="1" workbookViewId="0">
      <selection activeCell="D20" sqref="D20"/>
    </sheetView>
  </sheetViews>
  <sheetFormatPr defaultRowHeight="15" x14ac:dyDescent="0.25"/>
  <cols>
    <col min="1" max="1" width="54.140625" bestFit="1" customWidth="1"/>
    <col min="2" max="2" width="12.85546875" customWidth="1"/>
    <col min="3" max="3" width="8.85546875" customWidth="1"/>
    <col min="4" max="4" width="8.7109375" bestFit="1" customWidth="1"/>
    <col min="5" max="5" width="9.140625" style="397"/>
    <col min="6" max="6" width="9.85546875" bestFit="1" customWidth="1"/>
    <col min="7" max="7" width="8" bestFit="1" customWidth="1"/>
    <col min="8" max="8" width="8.7109375" bestFit="1" customWidth="1"/>
    <col min="9" max="9" width="9.140625" style="397"/>
    <col min="10" max="10" width="9.570312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296</v>
      </c>
      <c r="C1" s="247"/>
      <c r="D1" s="247"/>
      <c r="E1" s="247"/>
      <c r="F1" s="366"/>
      <c r="G1" s="366"/>
      <c r="H1" s="366"/>
      <c r="I1" s="372"/>
      <c r="J1" s="366"/>
      <c r="K1" s="367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373"/>
      <c r="F2" s="249"/>
      <c r="G2" s="249"/>
      <c r="H2" s="249"/>
      <c r="I2" s="373"/>
      <c r="J2" s="249"/>
      <c r="K2" s="249"/>
    </row>
    <row r="3" spans="1:11" x14ac:dyDescent="0.25">
      <c r="A3" s="246" t="s">
        <v>256</v>
      </c>
      <c r="B3" s="250">
        <v>300</v>
      </c>
      <c r="C3" s="251" t="s">
        <v>257</v>
      </c>
      <c r="D3" s="369"/>
      <c r="E3" s="374"/>
      <c r="F3" s="369"/>
      <c r="G3" s="369"/>
      <c r="H3" s="369"/>
      <c r="I3" s="374"/>
      <c r="J3" s="369"/>
      <c r="K3" s="369"/>
    </row>
    <row r="4" spans="1:11" x14ac:dyDescent="0.25">
      <c r="A4" s="365" t="s">
        <v>258</v>
      </c>
      <c r="B4" s="369"/>
      <c r="C4" s="369"/>
      <c r="D4" s="369"/>
      <c r="E4" s="374"/>
      <c r="F4" s="369"/>
      <c r="G4" s="369"/>
      <c r="H4" s="369"/>
      <c r="I4" s="374"/>
      <c r="J4" s="369"/>
      <c r="K4" s="369"/>
    </row>
    <row r="5" spans="1:11" x14ac:dyDescent="0.25">
      <c r="A5" s="254" t="s">
        <v>259</v>
      </c>
      <c r="B5" s="255"/>
      <c r="C5" s="256" t="s">
        <v>260</v>
      </c>
      <c r="D5" s="369"/>
      <c r="E5" s="374"/>
      <c r="F5" s="369"/>
      <c r="G5" s="369"/>
      <c r="H5" s="369"/>
      <c r="I5" s="374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378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8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Rates'!G45,2)</f>
        <v>8.4</v>
      </c>
      <c r="C9" s="274">
        <v>1</v>
      </c>
      <c r="D9" s="339">
        <f>C9*B9</f>
        <v>8.4</v>
      </c>
      <c r="E9" s="380"/>
      <c r="F9" s="273">
        <f>ROUND('January 01, 2016 Rates'!F45,2)</f>
        <v>8.52</v>
      </c>
      <c r="G9" s="277">
        <f>C9</f>
        <v>1</v>
      </c>
      <c r="H9" s="339">
        <f>G9*F9</f>
        <v>8.52</v>
      </c>
      <c r="I9" s="380"/>
      <c r="J9" s="381">
        <f t="shared" ref="J9:J26" si="0">H9-D9</f>
        <v>0.11999999999999922</v>
      </c>
      <c r="K9" s="279">
        <f t="shared" ref="K9:K26" si="1">IF((D9)=0,"",(J9/D9))</f>
        <v>1.4285714285714192E-2</v>
      </c>
    </row>
    <row r="10" spans="1:11" x14ac:dyDescent="0.25">
      <c r="A10" s="272" t="s">
        <v>26</v>
      </c>
      <c r="B10" s="280">
        <f>ROUND('January 01, 2016 Rates'!G47,4)</f>
        <v>1.5299999999999999E-2</v>
      </c>
      <c r="C10" s="281">
        <f>+B3</f>
        <v>300</v>
      </c>
      <c r="D10" s="339">
        <f>C10*B10</f>
        <v>4.59</v>
      </c>
      <c r="E10" s="380"/>
      <c r="F10" s="280">
        <f>ROUND('January 01, 2016 Rates'!F47,4)</f>
        <v>1.55E-2</v>
      </c>
      <c r="G10" s="283">
        <f>C10</f>
        <v>300</v>
      </c>
      <c r="H10" s="339">
        <f>G10*F10</f>
        <v>4.6500000000000004</v>
      </c>
      <c r="I10" s="380"/>
      <c r="J10" s="381">
        <f t="shared" si="0"/>
        <v>6.0000000000000497E-2</v>
      </c>
      <c r="K10" s="279">
        <f t="shared" si="1"/>
        <v>1.3071895424836709E-2</v>
      </c>
    </row>
    <row r="11" spans="1:11" x14ac:dyDescent="0.25">
      <c r="A11" s="284" t="s">
        <v>269</v>
      </c>
      <c r="B11" s="285">
        <v>0</v>
      </c>
      <c r="C11" s="286">
        <f>+B3</f>
        <v>300</v>
      </c>
      <c r="D11" s="382">
        <f>C11*B11</f>
        <v>0</v>
      </c>
      <c r="E11" s="380"/>
      <c r="F11" s="285">
        <v>0</v>
      </c>
      <c r="G11" s="289">
        <f>C11</f>
        <v>300</v>
      </c>
      <c r="H11" s="382">
        <f>G11*F11</f>
        <v>0</v>
      </c>
      <c r="I11" s="380"/>
      <c r="J11" s="383">
        <f t="shared" si="0"/>
        <v>0</v>
      </c>
      <c r="K11" s="291" t="str">
        <f t="shared" si="1"/>
        <v/>
      </c>
    </row>
    <row r="12" spans="1:11" x14ac:dyDescent="0.25">
      <c r="A12" s="292" t="s">
        <v>270</v>
      </c>
      <c r="B12" s="293"/>
      <c r="C12" s="294"/>
      <c r="D12" s="298">
        <f>SUM(D9:D11)</f>
        <v>12.99</v>
      </c>
      <c r="E12" s="380"/>
      <c r="F12" s="293"/>
      <c r="G12" s="297"/>
      <c r="H12" s="298">
        <f>SUM(H9:H11)</f>
        <v>13.17</v>
      </c>
      <c r="I12" s="380"/>
      <c r="J12" s="384">
        <f t="shared" si="0"/>
        <v>0.17999999999999972</v>
      </c>
      <c r="K12" s="299">
        <f t="shared" si="1"/>
        <v>1.3856812933025382E-2</v>
      </c>
    </row>
    <row r="13" spans="1:11" x14ac:dyDescent="0.25">
      <c r="A13" s="300" t="s">
        <v>271</v>
      </c>
      <c r="B13" s="280">
        <v>9.4E-2</v>
      </c>
      <c r="C13" s="301">
        <f>+B3*B2</f>
        <v>10.799999999999999</v>
      </c>
      <c r="D13" s="339">
        <f>B13*C13</f>
        <v>1.0151999999999999</v>
      </c>
      <c r="E13" s="380"/>
      <c r="F13" s="280">
        <v>9.4E-2</v>
      </c>
      <c r="G13" s="301">
        <f>C13</f>
        <v>10.799999999999999</v>
      </c>
      <c r="H13" s="339">
        <f>F13*G13</f>
        <v>1.0151999999999999</v>
      </c>
      <c r="I13" s="380"/>
      <c r="J13" s="381">
        <f t="shared" si="0"/>
        <v>0</v>
      </c>
      <c r="K13" s="279">
        <f t="shared" si="1"/>
        <v>0</v>
      </c>
    </row>
    <row r="14" spans="1:11" x14ac:dyDescent="0.25">
      <c r="A14" s="300" t="s">
        <v>349</v>
      </c>
      <c r="B14" s="280">
        <f>ROUND('January 01, 2016 Rates'!G49,4)</f>
        <v>0</v>
      </c>
      <c r="C14" s="301">
        <f>+B3</f>
        <v>300</v>
      </c>
      <c r="D14" s="339">
        <f>C14*B14</f>
        <v>0</v>
      </c>
      <c r="E14" s="380"/>
      <c r="F14" s="280">
        <f>ROUND('January 01, 2016 Rates'!F48+'January 01, 2016 Rates'!F49+'January 01, 2016 Rates'!F50+'January 01, 2016 Rates'!F52+'January 01, 2016 Rates'!F51,4)</f>
        <v>2.7000000000000001E-3</v>
      </c>
      <c r="G14" s="301">
        <f>C14</f>
        <v>300</v>
      </c>
      <c r="H14" s="339">
        <f>G14*F14</f>
        <v>0.81</v>
      </c>
      <c r="I14" s="380"/>
      <c r="J14" s="381">
        <f t="shared" si="0"/>
        <v>0.81</v>
      </c>
      <c r="K14" s="279" t="str">
        <f>IF((D14)=0,"",(J14/D14))</f>
        <v/>
      </c>
    </row>
    <row r="15" spans="1:11" x14ac:dyDescent="0.25">
      <c r="A15" s="302" t="s">
        <v>272</v>
      </c>
      <c r="B15" s="280">
        <f>ROUND('January 01, 2016 Rates'!G53,4)</f>
        <v>2.0000000000000001E-4</v>
      </c>
      <c r="C15" s="301">
        <f>+B3</f>
        <v>300</v>
      </c>
      <c r="D15" s="339">
        <f>C15*B15</f>
        <v>6.0000000000000005E-2</v>
      </c>
      <c r="E15" s="380"/>
      <c r="F15" s="280">
        <f>ROUND('January 01, 2016 Rates'!F53,4)</f>
        <v>2.0000000000000001E-4</v>
      </c>
      <c r="G15" s="301">
        <f>C15</f>
        <v>300</v>
      </c>
      <c r="H15" s="339">
        <f>G15*F15</f>
        <v>6.0000000000000005E-2</v>
      </c>
      <c r="I15" s="380"/>
      <c r="J15" s="381">
        <f t="shared" si="0"/>
        <v>0</v>
      </c>
      <c r="K15" s="279">
        <f t="shared" si="1"/>
        <v>0</v>
      </c>
    </row>
    <row r="16" spans="1:11" x14ac:dyDescent="0.25">
      <c r="A16" s="302" t="s">
        <v>273</v>
      </c>
      <c r="B16" s="280">
        <v>0</v>
      </c>
      <c r="C16" s="301">
        <v>1</v>
      </c>
      <c r="D16" s="339">
        <f>C16*B16</f>
        <v>0</v>
      </c>
      <c r="E16" s="380"/>
      <c r="F16" s="280">
        <v>0</v>
      </c>
      <c r="G16" s="301">
        <f>C16</f>
        <v>1</v>
      </c>
      <c r="H16" s="339">
        <f>G16*F16</f>
        <v>0</v>
      </c>
      <c r="I16" s="380"/>
      <c r="J16" s="381">
        <f t="shared" si="0"/>
        <v>0</v>
      </c>
      <c r="K16" s="279" t="str">
        <f t="shared" si="1"/>
        <v/>
      </c>
    </row>
    <row r="17" spans="1:18" x14ac:dyDescent="0.25">
      <c r="A17" s="302" t="s">
        <v>350</v>
      </c>
      <c r="B17" s="280">
        <v>0</v>
      </c>
      <c r="C17" s="301">
        <v>1</v>
      </c>
      <c r="D17" s="339">
        <f>C17*B17</f>
        <v>0</v>
      </c>
      <c r="E17" s="380"/>
      <c r="F17" s="273">
        <f>ROUND('January 01, 2016 Rates'!F46,2)</f>
        <v>0.39</v>
      </c>
      <c r="G17" s="431">
        <f>C17</f>
        <v>1</v>
      </c>
      <c r="H17" s="339">
        <f>G17*F17</f>
        <v>0.39</v>
      </c>
      <c r="I17" s="380"/>
      <c r="J17" s="381"/>
      <c r="K17" s="279"/>
    </row>
    <row r="18" spans="1:18" x14ac:dyDescent="0.25">
      <c r="A18" s="303" t="s">
        <v>274</v>
      </c>
      <c r="B18" s="304"/>
      <c r="C18" s="305"/>
      <c r="D18" s="309">
        <f>SUM(D12:D17)</f>
        <v>14.065200000000001</v>
      </c>
      <c r="E18" s="380"/>
      <c r="F18" s="304"/>
      <c r="G18" s="308"/>
      <c r="H18" s="309">
        <f>SUM(H12:H17)</f>
        <v>15.445200000000002</v>
      </c>
      <c r="I18" s="380"/>
      <c r="J18" s="385">
        <f t="shared" si="0"/>
        <v>1.3800000000000008</v>
      </c>
      <c r="K18" s="310">
        <f t="shared" si="1"/>
        <v>9.8114495350226136E-2</v>
      </c>
    </row>
    <row r="19" spans="1:18" x14ac:dyDescent="0.25">
      <c r="A19" s="311" t="s">
        <v>275</v>
      </c>
      <c r="B19" s="280">
        <f>ROUND('January 01, 2016 Rates'!G54,4)</f>
        <v>7.6E-3</v>
      </c>
      <c r="C19" s="312">
        <f>+B3</f>
        <v>300</v>
      </c>
      <c r="D19" s="339">
        <f>C19*B19</f>
        <v>2.2799999999999998</v>
      </c>
      <c r="E19" s="380"/>
      <c r="F19" s="280">
        <f>ROUND('January 01, 2016 Rates'!F54,4)</f>
        <v>7.4000000000000003E-3</v>
      </c>
      <c r="G19" s="313">
        <f>C19</f>
        <v>300</v>
      </c>
      <c r="H19" s="339">
        <f>G19*F19</f>
        <v>2.2200000000000002</v>
      </c>
      <c r="I19" s="380"/>
      <c r="J19" s="381">
        <f t="shared" si="0"/>
        <v>-5.9999999999999609E-2</v>
      </c>
      <c r="K19" s="279">
        <f t="shared" si="1"/>
        <v>-2.6315789473684043E-2</v>
      </c>
    </row>
    <row r="20" spans="1:18" x14ac:dyDescent="0.25">
      <c r="A20" s="314" t="s">
        <v>276</v>
      </c>
      <c r="B20" s="280">
        <f>ROUND('January 01, 2016 Rates'!G55,4)</f>
        <v>5.5999999999999999E-3</v>
      </c>
      <c r="C20" s="312">
        <f>+B3</f>
        <v>300</v>
      </c>
      <c r="D20" s="339">
        <f>C20*B20</f>
        <v>1.68</v>
      </c>
      <c r="E20" s="380"/>
      <c r="F20" s="280">
        <f>ROUND('January 01, 2016 Rates'!F55,4)</f>
        <v>5.7999999999999996E-3</v>
      </c>
      <c r="G20" s="313">
        <f>C20</f>
        <v>300</v>
      </c>
      <c r="H20" s="339">
        <f>G20*F20</f>
        <v>1.7399999999999998</v>
      </c>
      <c r="I20" s="380"/>
      <c r="J20" s="381">
        <f t="shared" si="0"/>
        <v>5.9999999999999831E-2</v>
      </c>
      <c r="K20" s="279">
        <f t="shared" si="1"/>
        <v>3.5714285714285615E-2</v>
      </c>
      <c r="R20" s="425"/>
    </row>
    <row r="21" spans="1:18" x14ac:dyDescent="0.25">
      <c r="A21" s="303" t="s">
        <v>277</v>
      </c>
      <c r="B21" s="304"/>
      <c r="C21" s="305"/>
      <c r="D21" s="309">
        <f>SUM(D18:D20)</f>
        <v>18.025200000000002</v>
      </c>
      <c r="E21" s="386"/>
      <c r="F21" s="387"/>
      <c r="G21" s="317"/>
      <c r="H21" s="309">
        <f>SUM(H18:H20)</f>
        <v>19.405200000000001</v>
      </c>
      <c r="I21" s="386"/>
      <c r="J21" s="385">
        <f t="shared" si="0"/>
        <v>1.379999999999999</v>
      </c>
      <c r="K21" s="310">
        <f t="shared" si="1"/>
        <v>7.6559483389920718E-2</v>
      </c>
    </row>
    <row r="22" spans="1:18" x14ac:dyDescent="0.25">
      <c r="A22" s="302" t="s">
        <v>278</v>
      </c>
      <c r="B22" s="280">
        <f>ROUND('January 01, 2016 Rates'!G56,4)</f>
        <v>4.4000000000000003E-3</v>
      </c>
      <c r="C22" s="312">
        <f>+B3+C13</f>
        <v>310.8</v>
      </c>
      <c r="D22" s="339">
        <f t="shared" ref="D22:D26" si="2">C22*B22</f>
        <v>1.3675200000000001</v>
      </c>
      <c r="E22" s="380"/>
      <c r="F22" s="280">
        <f>ROUND('January 01, 2016 Rates'!F56,4)</f>
        <v>4.4000000000000003E-3</v>
      </c>
      <c r="G22" s="313">
        <f>+C22</f>
        <v>310.8</v>
      </c>
      <c r="H22" s="339">
        <f t="shared" ref="H22:H26" si="3">G22*F22</f>
        <v>1.3675200000000001</v>
      </c>
      <c r="I22" s="380"/>
      <c r="J22" s="381">
        <f t="shared" si="0"/>
        <v>0</v>
      </c>
      <c r="K22" s="279">
        <f t="shared" si="1"/>
        <v>0</v>
      </c>
    </row>
    <row r="23" spans="1:18" x14ac:dyDescent="0.25">
      <c r="A23" s="302" t="s">
        <v>279</v>
      </c>
      <c r="B23" s="280">
        <f>ROUND('January 01, 2016 Rates'!G57,4)</f>
        <v>1.2999999999999999E-3</v>
      </c>
      <c r="C23" s="312">
        <f>+B3+C13</f>
        <v>310.8</v>
      </c>
      <c r="D23" s="339">
        <f t="shared" si="2"/>
        <v>0.40404000000000001</v>
      </c>
      <c r="E23" s="380"/>
      <c r="F23" s="280">
        <f>ROUND('January 01, 2016 Rates'!F57,4)</f>
        <v>1.2999999999999999E-3</v>
      </c>
      <c r="G23" s="313">
        <f>+C23</f>
        <v>310.8</v>
      </c>
      <c r="H23" s="339">
        <f t="shared" si="3"/>
        <v>0.40404000000000001</v>
      </c>
      <c r="I23" s="380"/>
      <c r="J23" s="381">
        <f t="shared" si="0"/>
        <v>0</v>
      </c>
      <c r="K23" s="279">
        <f t="shared" si="1"/>
        <v>0</v>
      </c>
    </row>
    <row r="24" spans="1:18" x14ac:dyDescent="0.25">
      <c r="A24" s="302" t="s">
        <v>280</v>
      </c>
      <c r="B24" s="280">
        <f>ROUND('January 01, 2016 Rates'!G58,2)</f>
        <v>0.25</v>
      </c>
      <c r="C24" s="312">
        <v>1</v>
      </c>
      <c r="D24" s="339">
        <f t="shared" si="2"/>
        <v>0.25</v>
      </c>
      <c r="E24" s="380"/>
      <c r="F24" s="280">
        <f>ROUND('January 01, 2016 Rates'!F58,4)</f>
        <v>0.25</v>
      </c>
      <c r="G24" s="313">
        <f>C24</f>
        <v>1</v>
      </c>
      <c r="H24" s="339">
        <f t="shared" si="3"/>
        <v>0.25</v>
      </c>
      <c r="I24" s="380"/>
      <c r="J24" s="381">
        <f t="shared" si="0"/>
        <v>0</v>
      </c>
      <c r="K24" s="279">
        <f t="shared" si="1"/>
        <v>0</v>
      </c>
    </row>
    <row r="25" spans="1:18" x14ac:dyDescent="0.25">
      <c r="A25" s="302" t="s">
        <v>281</v>
      </c>
      <c r="B25" s="280">
        <f>ROUND('January 01, 2016 Rates'!F59,4)</f>
        <v>7.0000000000000001E-3</v>
      </c>
      <c r="C25" s="312">
        <f>+B3</f>
        <v>300</v>
      </c>
      <c r="D25" s="339">
        <f t="shared" si="2"/>
        <v>2.1</v>
      </c>
      <c r="E25" s="380"/>
      <c r="F25" s="280">
        <f>ROUND('January 01, 2016 Rates'!F59,4)</f>
        <v>7.0000000000000001E-3</v>
      </c>
      <c r="G25" s="313">
        <f>C25</f>
        <v>300</v>
      </c>
      <c r="H25" s="339">
        <f t="shared" si="3"/>
        <v>2.1</v>
      </c>
      <c r="I25" s="380"/>
      <c r="J25" s="381">
        <f t="shared" si="0"/>
        <v>0</v>
      </c>
      <c r="K25" s="279">
        <f t="shared" si="1"/>
        <v>0</v>
      </c>
    </row>
    <row r="26" spans="1:18" ht="15.75" thickBot="1" x14ac:dyDescent="0.3">
      <c r="A26" s="302" t="s">
        <v>295</v>
      </c>
      <c r="B26" s="280">
        <f>+B13</f>
        <v>9.4E-2</v>
      </c>
      <c r="C26" s="312">
        <f>+B3</f>
        <v>300</v>
      </c>
      <c r="D26" s="339">
        <f t="shared" si="2"/>
        <v>28.2</v>
      </c>
      <c r="E26" s="380"/>
      <c r="F26" s="280">
        <f>+F13</f>
        <v>9.4E-2</v>
      </c>
      <c r="G26" s="312">
        <f>C26</f>
        <v>300</v>
      </c>
      <c r="H26" s="339">
        <f t="shared" si="3"/>
        <v>28.2</v>
      </c>
      <c r="I26" s="380"/>
      <c r="J26" s="381">
        <f t="shared" si="0"/>
        <v>0</v>
      </c>
      <c r="K26" s="279">
        <f t="shared" si="1"/>
        <v>0</v>
      </c>
    </row>
    <row r="27" spans="1:18" ht="15.75" thickBot="1" x14ac:dyDescent="0.3">
      <c r="A27" s="318"/>
      <c r="B27" s="319"/>
      <c r="C27" s="320"/>
      <c r="D27" s="323"/>
      <c r="E27" s="380"/>
      <c r="F27" s="388"/>
      <c r="G27" s="322"/>
      <c r="H27" s="323"/>
      <c r="I27" s="380"/>
      <c r="J27" s="389"/>
      <c r="K27" s="324"/>
    </row>
    <row r="28" spans="1:18" x14ac:dyDescent="0.25">
      <c r="A28" s="325" t="s">
        <v>285</v>
      </c>
      <c r="B28" s="326"/>
      <c r="C28" s="327"/>
      <c r="D28" s="390">
        <f>SUM(D21:D26)</f>
        <v>50.346760000000003</v>
      </c>
      <c r="E28" s="391"/>
      <c r="F28" s="331"/>
      <c r="G28" s="331"/>
      <c r="H28" s="390">
        <f>SUM(H21:H26)</f>
        <v>51.726759999999999</v>
      </c>
      <c r="I28" s="386"/>
      <c r="J28" s="390">
        <f>H28-D28</f>
        <v>1.3799999999999955</v>
      </c>
      <c r="K28" s="333">
        <f>IF((D28)=0,"",(J28/D28))</f>
        <v>2.7409906814261639E-2</v>
      </c>
    </row>
    <row r="29" spans="1:18" x14ac:dyDescent="0.25">
      <c r="A29" s="334" t="s">
        <v>286</v>
      </c>
      <c r="B29" s="326">
        <v>0.13</v>
      </c>
      <c r="C29" s="335"/>
      <c r="D29" s="392">
        <f>D28*B29</f>
        <v>6.5450788000000006</v>
      </c>
      <c r="E29" s="335"/>
      <c r="F29" s="326">
        <v>0.13</v>
      </c>
      <c r="G29" s="337"/>
      <c r="H29" s="392">
        <f>H28*F29</f>
        <v>6.7244788</v>
      </c>
      <c r="I29" s="380"/>
      <c r="J29" s="392">
        <f>H29-D29</f>
        <v>0.17939999999999934</v>
      </c>
      <c r="K29" s="340">
        <f>IF((D29)=0,"",(J29/D29))</f>
        <v>2.7409906814261628E-2</v>
      </c>
    </row>
    <row r="30" spans="1:18" x14ac:dyDescent="0.25">
      <c r="A30" s="341" t="s">
        <v>287</v>
      </c>
      <c r="B30" s="337"/>
      <c r="C30" s="335"/>
      <c r="D30" s="392">
        <f>D28+D29</f>
        <v>56.891838800000002</v>
      </c>
      <c r="E30" s="335"/>
      <c r="F30" s="337"/>
      <c r="G30" s="337"/>
      <c r="H30" s="392">
        <f>H28+H29</f>
        <v>58.451238799999999</v>
      </c>
      <c r="I30" s="380"/>
      <c r="J30" s="392">
        <f>H30-D30</f>
        <v>1.5593999999999966</v>
      </c>
      <c r="K30" s="340">
        <f>IF((D30)=0,"",(J30/D30))</f>
        <v>2.740990681426167E-2</v>
      </c>
    </row>
    <row r="31" spans="1:18" x14ac:dyDescent="0.25">
      <c r="A31" s="343" t="s">
        <v>288</v>
      </c>
      <c r="B31" s="337"/>
      <c r="C31" s="335"/>
      <c r="D31" s="392">
        <f>-D30*0.1</f>
        <v>-5.6891838800000007</v>
      </c>
      <c r="E31" s="335"/>
      <c r="F31" s="337"/>
      <c r="G31" s="337"/>
      <c r="H31" s="392">
        <f>-H30*0.1</f>
        <v>-5.84512388</v>
      </c>
      <c r="I31" s="380"/>
      <c r="J31" s="392">
        <f>H31-D31</f>
        <v>-0.1559399999999993</v>
      </c>
      <c r="K31" s="340">
        <f>IF((D31)=0,"",(J31/D31))</f>
        <v>2.7409906814261607E-2</v>
      </c>
    </row>
    <row r="32" spans="1:18" ht="15.75" thickBot="1" x14ac:dyDescent="0.3">
      <c r="A32" s="344" t="s">
        <v>289</v>
      </c>
      <c r="B32" s="345"/>
      <c r="C32" s="346"/>
      <c r="D32" s="384">
        <f>D30+D31</f>
        <v>51.202654920000001</v>
      </c>
      <c r="E32" s="391"/>
      <c r="F32" s="349"/>
      <c r="G32" s="349"/>
      <c r="H32" s="384">
        <f>H30+H31</f>
        <v>52.606114919999996</v>
      </c>
      <c r="I32" s="386"/>
      <c r="J32" s="384">
        <f>H32-D32</f>
        <v>1.4034599999999955</v>
      </c>
      <c r="K32" s="299">
        <f>IF((D32)=0,"",(J32/D32))</f>
        <v>2.7409906814261642E-2</v>
      </c>
    </row>
    <row r="33" spans="1:11" ht="15.75" thickBot="1" x14ac:dyDescent="0.3">
      <c r="A33" s="318"/>
      <c r="B33" s="350"/>
      <c r="C33" s="351"/>
      <c r="D33" s="393"/>
      <c r="E33" s="394"/>
      <c r="F33" s="350"/>
      <c r="G33" s="355"/>
      <c r="H33" s="395"/>
      <c r="I33" s="394"/>
      <c r="J33" s="396"/>
      <c r="K33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2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K43"/>
  <sheetViews>
    <sheetView tabSelected="1" workbookViewId="0">
      <selection activeCell="D20" sqref="D20"/>
    </sheetView>
  </sheetViews>
  <sheetFormatPr defaultRowHeight="15" x14ac:dyDescent="0.25"/>
  <cols>
    <col min="1" max="1" width="54.140625" bestFit="1" customWidth="1"/>
    <col min="2" max="2" width="13.140625" customWidth="1"/>
    <col min="3" max="3" width="9.85546875" bestFit="1" customWidth="1"/>
    <col min="4" max="4" width="12.7109375" bestFit="1" customWidth="1"/>
    <col min="6" max="6" width="11" bestFit="1" customWidth="1"/>
    <col min="7" max="7" width="9.85546875" bestFit="1" customWidth="1"/>
    <col min="8" max="8" width="12.7109375" bestFit="1" customWidth="1"/>
    <col min="10" max="10" width="9.8554687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297</v>
      </c>
      <c r="C1" s="247"/>
      <c r="D1" s="247"/>
      <c r="E1" s="247"/>
      <c r="F1" s="366"/>
      <c r="G1" s="366"/>
      <c r="H1" s="366"/>
      <c r="I1" s="366"/>
      <c r="J1" s="366"/>
      <c r="K1" s="367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100000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>
        <v>230</v>
      </c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259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6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Rates'!G61,2)</f>
        <v>71.64</v>
      </c>
      <c r="C9" s="274">
        <v>1</v>
      </c>
      <c r="D9" s="339">
        <f>C9*B9</f>
        <v>71.64</v>
      </c>
      <c r="E9" s="380"/>
      <c r="F9" s="273">
        <f>ROUND('January 01, 2016 Rates'!F61,2)</f>
        <v>72.680000000000007</v>
      </c>
      <c r="G9" s="277">
        <f>C9</f>
        <v>1</v>
      </c>
      <c r="H9" s="339">
        <f>G9*F9</f>
        <v>72.680000000000007</v>
      </c>
      <c r="I9" s="380"/>
      <c r="J9" s="381">
        <f>H9-D9</f>
        <v>1.0400000000000063</v>
      </c>
      <c r="K9" s="279">
        <f t="shared" ref="K9:K33" si="0">IF((D9)=0,"",(J9/D9))</f>
        <v>1.4517029592406564E-2</v>
      </c>
    </row>
    <row r="10" spans="1:11" x14ac:dyDescent="0.25">
      <c r="A10" s="272" t="s">
        <v>26</v>
      </c>
      <c r="B10" s="280">
        <f>ROUND('January 01, 2016 Rates'!G63,4)</f>
        <v>4.3117999999999999</v>
      </c>
      <c r="C10" s="281">
        <f>+B5</f>
        <v>230</v>
      </c>
      <c r="D10" s="339">
        <f>C10*B10</f>
        <v>991.71399999999994</v>
      </c>
      <c r="E10" s="380"/>
      <c r="F10" s="280">
        <f>ROUND('January 01, 2016 Rates'!F63,4)</f>
        <v>4.3742999999999999</v>
      </c>
      <c r="G10" s="283">
        <f>C10</f>
        <v>230</v>
      </c>
      <c r="H10" s="339">
        <f>G10*F10</f>
        <v>1006.0889999999999</v>
      </c>
      <c r="I10" s="380"/>
      <c r="J10" s="381">
        <f t="shared" ref="J10:J33" si="1">H10-D10</f>
        <v>14.375</v>
      </c>
      <c r="K10" s="279">
        <f t="shared" si="0"/>
        <v>1.4495106452061784E-2</v>
      </c>
    </row>
    <row r="11" spans="1:11" x14ac:dyDescent="0.25">
      <c r="A11" s="284" t="s">
        <v>269</v>
      </c>
      <c r="B11" s="285">
        <f>ROUND('January 01, 2016 Rates'!G66,4)</f>
        <v>0</v>
      </c>
      <c r="C11" s="286">
        <f>+B5</f>
        <v>230</v>
      </c>
      <c r="D11" s="382">
        <f>C11*B11</f>
        <v>0</v>
      </c>
      <c r="E11" s="380"/>
      <c r="F11" s="285">
        <v>0</v>
      </c>
      <c r="G11" s="289">
        <f>C11</f>
        <v>230</v>
      </c>
      <c r="H11" s="382">
        <f>G11*F11</f>
        <v>0</v>
      </c>
      <c r="I11" s="380"/>
      <c r="J11" s="383">
        <f t="shared" si="1"/>
        <v>0</v>
      </c>
      <c r="K11" s="291" t="str">
        <f t="shared" si="0"/>
        <v/>
      </c>
    </row>
    <row r="12" spans="1:11" x14ac:dyDescent="0.25">
      <c r="A12" s="292" t="s">
        <v>270</v>
      </c>
      <c r="B12" s="293"/>
      <c r="C12" s="294"/>
      <c r="D12" s="298">
        <f>SUM(D9:D11)</f>
        <v>1063.354</v>
      </c>
      <c r="E12" s="380"/>
      <c r="F12" s="293"/>
      <c r="G12" s="297"/>
      <c r="H12" s="298">
        <f>SUM(H9:H11)</f>
        <v>1078.769</v>
      </c>
      <c r="I12" s="380"/>
      <c r="J12" s="384">
        <f t="shared" si="1"/>
        <v>15.414999999999964</v>
      </c>
      <c r="K12" s="299">
        <f t="shared" si="0"/>
        <v>1.449658345198303E-2</v>
      </c>
    </row>
    <row r="13" spans="1:11" x14ac:dyDescent="0.25">
      <c r="A13" s="300" t="s">
        <v>349</v>
      </c>
      <c r="B13" s="280">
        <f>ROUND('January 01, 2016 Rates'!G65+'January 01, 2016 Rates'!G69,4)</f>
        <v>0</v>
      </c>
      <c r="C13" s="301">
        <f>+B5</f>
        <v>230</v>
      </c>
      <c r="D13" s="339">
        <f>C13*B13</f>
        <v>0</v>
      </c>
      <c r="E13" s="380"/>
      <c r="F13" s="280">
        <f>ROUND('January 01, 2016 Rates'!F64+'January 01, 2016 Rates'!F65+'January 01, 2016 Rates'!F66+'January 01, 2016 Rates'!F69+'January 01, 2016 Rates'!F67,4)</f>
        <v>0.82150000000000001</v>
      </c>
      <c r="G13" s="301">
        <f>C13</f>
        <v>230</v>
      </c>
      <c r="H13" s="339">
        <f>G13*F13</f>
        <v>188.94499999999999</v>
      </c>
      <c r="I13" s="380"/>
      <c r="J13" s="381">
        <f t="shared" si="1"/>
        <v>188.94499999999999</v>
      </c>
      <c r="K13" s="279" t="str">
        <f t="shared" si="0"/>
        <v/>
      </c>
    </row>
    <row r="14" spans="1:11" x14ac:dyDescent="0.25">
      <c r="A14" s="302" t="s">
        <v>272</v>
      </c>
      <c r="B14" s="280">
        <f>ROUND('January 01, 2016 Rates'!G70,4)</f>
        <v>8.0199999999999994E-2</v>
      </c>
      <c r="C14" s="301">
        <f>+B5</f>
        <v>230</v>
      </c>
      <c r="D14" s="339">
        <f>C14*B14</f>
        <v>18.445999999999998</v>
      </c>
      <c r="E14" s="380"/>
      <c r="F14" s="280">
        <f>ROUND('January 01, 2016 Rates'!F70,4)</f>
        <v>8.0199999999999994E-2</v>
      </c>
      <c r="G14" s="301">
        <f>C14</f>
        <v>230</v>
      </c>
      <c r="H14" s="339">
        <f>G14*F14</f>
        <v>18.445999999999998</v>
      </c>
      <c r="I14" s="380"/>
      <c r="J14" s="381">
        <f t="shared" si="1"/>
        <v>0</v>
      </c>
      <c r="K14" s="279">
        <f t="shared" si="0"/>
        <v>0</v>
      </c>
    </row>
    <row r="15" spans="1:11" x14ac:dyDescent="0.25">
      <c r="A15" s="302" t="s">
        <v>273</v>
      </c>
      <c r="B15" s="280">
        <v>0</v>
      </c>
      <c r="C15" s="301">
        <v>1</v>
      </c>
      <c r="D15" s="339">
        <f>C15*B15</f>
        <v>0</v>
      </c>
      <c r="E15" s="380"/>
      <c r="F15" s="280">
        <v>0</v>
      </c>
      <c r="G15" s="301">
        <f>C15</f>
        <v>1</v>
      </c>
      <c r="H15" s="339">
        <f>G15*F15</f>
        <v>0</v>
      </c>
      <c r="I15" s="380"/>
      <c r="J15" s="381">
        <f t="shared" si="1"/>
        <v>0</v>
      </c>
      <c r="K15" s="279" t="str">
        <f t="shared" si="0"/>
        <v/>
      </c>
    </row>
    <row r="16" spans="1:11" x14ac:dyDescent="0.25">
      <c r="A16" s="302" t="s">
        <v>350</v>
      </c>
      <c r="B16" s="280">
        <v>0</v>
      </c>
      <c r="C16" s="301">
        <v>1</v>
      </c>
      <c r="D16" s="339">
        <f>C16*B16</f>
        <v>0</v>
      </c>
      <c r="E16" s="380"/>
      <c r="F16" s="273">
        <f>ROUND('January 01, 2016 Rates'!F62,2)</f>
        <v>3.31</v>
      </c>
      <c r="G16" s="301">
        <f>C16</f>
        <v>1</v>
      </c>
      <c r="H16" s="339">
        <f>G16*F16</f>
        <v>3.31</v>
      </c>
      <c r="I16" s="380"/>
      <c r="J16" s="381"/>
      <c r="K16" s="279"/>
    </row>
    <row r="17" spans="1:11" x14ac:dyDescent="0.25">
      <c r="A17" s="303" t="s">
        <v>274</v>
      </c>
      <c r="B17" s="304"/>
      <c r="C17" s="305"/>
      <c r="D17" s="309">
        <f>SUM(D12:D16)</f>
        <v>1081.8</v>
      </c>
      <c r="E17" s="380"/>
      <c r="F17" s="304"/>
      <c r="G17" s="308"/>
      <c r="H17" s="309">
        <f>SUM(H12:H16)</f>
        <v>1289.4699999999998</v>
      </c>
      <c r="I17" s="380"/>
      <c r="J17" s="385">
        <f t="shared" si="1"/>
        <v>207.66999999999985</v>
      </c>
      <c r="K17" s="310">
        <f t="shared" si="0"/>
        <v>0.19196709188389707</v>
      </c>
    </row>
    <row r="18" spans="1:11" x14ac:dyDescent="0.25">
      <c r="A18" s="311" t="s">
        <v>145</v>
      </c>
      <c r="B18" s="280">
        <f>ROUND('January 01, 2016 Rates'!G79,4)</f>
        <v>-0.4</v>
      </c>
      <c r="C18" s="312">
        <f>B5</f>
        <v>230</v>
      </c>
      <c r="D18" s="339">
        <f>C18*B18</f>
        <v>-92</v>
      </c>
      <c r="E18" s="380"/>
      <c r="F18" s="280">
        <f>ROUND('January 01, 2016 Rates'!F79,4)</f>
        <v>-0.4</v>
      </c>
      <c r="G18" s="313">
        <f>C18</f>
        <v>230</v>
      </c>
      <c r="H18" s="339">
        <f>G18*F18</f>
        <v>-92</v>
      </c>
      <c r="I18" s="380"/>
      <c r="J18" s="381">
        <f t="shared" ref="J18" si="2">H18-D18</f>
        <v>0</v>
      </c>
      <c r="K18" s="279">
        <f t="shared" ref="K18" si="3">IF((D18)=0,"",(J18/D18))</f>
        <v>0</v>
      </c>
    </row>
    <row r="19" spans="1:11" x14ac:dyDescent="0.25">
      <c r="A19" s="311" t="s">
        <v>275</v>
      </c>
      <c r="B19" s="280">
        <f>ROUND('January 01, 2016 Rates'!G71,4)</f>
        <v>2.9272</v>
      </c>
      <c r="C19" s="312">
        <f>+B5</f>
        <v>230</v>
      </c>
      <c r="D19" s="339">
        <f>C19*B19</f>
        <v>673.25599999999997</v>
      </c>
      <c r="E19" s="380"/>
      <c r="F19" s="280">
        <f>ROUND('January 01, 2016 Rates'!F71,4)</f>
        <v>2.8685</v>
      </c>
      <c r="G19" s="313">
        <f>C19</f>
        <v>230</v>
      </c>
      <c r="H19" s="339">
        <f>G19*F19</f>
        <v>659.755</v>
      </c>
      <c r="I19" s="380"/>
      <c r="J19" s="381">
        <f t="shared" si="1"/>
        <v>-13.500999999999976</v>
      </c>
      <c r="K19" s="279">
        <f t="shared" si="0"/>
        <v>-2.0053293249521691E-2</v>
      </c>
    </row>
    <row r="20" spans="1:11" x14ac:dyDescent="0.25">
      <c r="A20" s="314" t="s">
        <v>276</v>
      </c>
      <c r="B20" s="280">
        <f>ROUND('January 01, 2016 Rates'!G72,4)</f>
        <v>2.1960000000000002</v>
      </c>
      <c r="C20" s="312">
        <f>+B5</f>
        <v>230</v>
      </c>
      <c r="D20" s="339">
        <f>C20*B20</f>
        <v>505.08000000000004</v>
      </c>
      <c r="E20" s="380"/>
      <c r="F20" s="280">
        <f>ROUND('January 01, 2016 Rates'!F72,4)</f>
        <v>2.2603</v>
      </c>
      <c r="G20" s="313">
        <f>C20</f>
        <v>230</v>
      </c>
      <c r="H20" s="339">
        <f>G20*F20</f>
        <v>519.86900000000003</v>
      </c>
      <c r="I20" s="380"/>
      <c r="J20" s="381">
        <f t="shared" si="1"/>
        <v>14.788999999999987</v>
      </c>
      <c r="K20" s="279">
        <f t="shared" si="0"/>
        <v>2.9280510018214908E-2</v>
      </c>
    </row>
    <row r="21" spans="1:11" x14ac:dyDescent="0.25">
      <c r="A21" s="303" t="s">
        <v>277</v>
      </c>
      <c r="B21" s="304"/>
      <c r="C21" s="305"/>
      <c r="D21" s="309">
        <f>SUM(D17:D20)</f>
        <v>2168.136</v>
      </c>
      <c r="E21" s="386"/>
      <c r="F21" s="387"/>
      <c r="G21" s="317"/>
      <c r="H21" s="309">
        <f>SUM(H17:H20)</f>
        <v>2377.0940000000001</v>
      </c>
      <c r="I21" s="386"/>
      <c r="J21" s="385">
        <f t="shared" si="1"/>
        <v>208.95800000000008</v>
      </c>
      <c r="K21" s="310">
        <f t="shared" si="0"/>
        <v>9.637679555157061E-2</v>
      </c>
    </row>
    <row r="22" spans="1:11" x14ac:dyDescent="0.25">
      <c r="A22" s="302" t="s">
        <v>278</v>
      </c>
      <c r="B22" s="280">
        <f>ROUND('January 01, 2016 Rates'!G75,4)</f>
        <v>4.4000000000000003E-3</v>
      </c>
      <c r="C22" s="312">
        <f>B3*(1+B2)</f>
        <v>103600</v>
      </c>
      <c r="D22" s="339">
        <f t="shared" ref="D22:D27" si="4">C22*B22</f>
        <v>455.84000000000003</v>
      </c>
      <c r="E22" s="380"/>
      <c r="F22" s="280">
        <f>ROUND('January 01, 2016 Rates'!F75,4)</f>
        <v>4.4000000000000003E-3</v>
      </c>
      <c r="G22" s="313">
        <f>+C22</f>
        <v>103600</v>
      </c>
      <c r="H22" s="339">
        <f t="shared" ref="H22:H27" si="5">G22*F22</f>
        <v>455.84000000000003</v>
      </c>
      <c r="I22" s="380"/>
      <c r="J22" s="381">
        <f t="shared" si="1"/>
        <v>0</v>
      </c>
      <c r="K22" s="279">
        <f t="shared" si="0"/>
        <v>0</v>
      </c>
    </row>
    <row r="23" spans="1:11" x14ac:dyDescent="0.25">
      <c r="A23" s="302" t="s">
        <v>279</v>
      </c>
      <c r="B23" s="280">
        <f>ROUND('January 01, 2016 Rates'!G76,4)</f>
        <v>1.2999999999999999E-3</v>
      </c>
      <c r="C23" s="312">
        <f>C22</f>
        <v>103600</v>
      </c>
      <c r="D23" s="339">
        <f t="shared" si="4"/>
        <v>134.68</v>
      </c>
      <c r="E23" s="380"/>
      <c r="F23" s="280">
        <f>ROUND('January 01, 2016 Rates'!F76,4)</f>
        <v>1.2999999999999999E-3</v>
      </c>
      <c r="G23" s="313">
        <f>+C23</f>
        <v>103600</v>
      </c>
      <c r="H23" s="339">
        <f t="shared" si="5"/>
        <v>134.68</v>
      </c>
      <c r="I23" s="380"/>
      <c r="J23" s="381">
        <f t="shared" si="1"/>
        <v>0</v>
      </c>
      <c r="K23" s="279">
        <f t="shared" si="0"/>
        <v>0</v>
      </c>
    </row>
    <row r="24" spans="1:11" x14ac:dyDescent="0.25">
      <c r="A24" s="302" t="s">
        <v>280</v>
      </c>
      <c r="B24" s="280">
        <f>ROUND('January 01, 2016 Rates'!G77,4)</f>
        <v>0.25</v>
      </c>
      <c r="C24" s="312">
        <v>1</v>
      </c>
      <c r="D24" s="339">
        <f t="shared" si="4"/>
        <v>0.25</v>
      </c>
      <c r="E24" s="380"/>
      <c r="F24" s="280">
        <f>ROUND('January 01, 2016 Rates'!F77,4)</f>
        <v>0.25</v>
      </c>
      <c r="G24" s="313">
        <f>C24</f>
        <v>1</v>
      </c>
      <c r="H24" s="339">
        <f t="shared" si="5"/>
        <v>0.25</v>
      </c>
      <c r="I24" s="380"/>
      <c r="J24" s="381">
        <f t="shared" si="1"/>
        <v>0</v>
      </c>
      <c r="K24" s="279">
        <f t="shared" si="0"/>
        <v>0</v>
      </c>
    </row>
    <row r="25" spans="1:11" x14ac:dyDescent="0.25">
      <c r="A25" s="302" t="s">
        <v>281</v>
      </c>
      <c r="B25" s="280">
        <f>ROUND('January 01, 2016 Rates'!G78,4)</f>
        <v>7.0000000000000001E-3</v>
      </c>
      <c r="C25" s="312">
        <f>+B3</f>
        <v>100000</v>
      </c>
      <c r="D25" s="339">
        <f t="shared" si="4"/>
        <v>700</v>
      </c>
      <c r="E25" s="380"/>
      <c r="F25" s="280">
        <f>ROUND('January 01, 2016 Rates'!F24,4)</f>
        <v>7.0000000000000001E-3</v>
      </c>
      <c r="G25" s="313">
        <f>C25</f>
        <v>100000</v>
      </c>
      <c r="H25" s="339">
        <f t="shared" si="5"/>
        <v>700</v>
      </c>
      <c r="I25" s="380"/>
      <c r="J25" s="381">
        <f t="shared" si="1"/>
        <v>0</v>
      </c>
      <c r="K25" s="279">
        <f t="shared" si="0"/>
        <v>0</v>
      </c>
    </row>
    <row r="26" spans="1:11" x14ac:dyDescent="0.25">
      <c r="A26" s="302" t="s">
        <v>295</v>
      </c>
      <c r="B26" s="280">
        <v>9.4E-2</v>
      </c>
      <c r="C26" s="312">
        <v>750</v>
      </c>
      <c r="D26" s="339">
        <f t="shared" si="4"/>
        <v>70.5</v>
      </c>
      <c r="E26" s="380"/>
      <c r="F26" s="280">
        <v>9.4E-2</v>
      </c>
      <c r="G26" s="312">
        <f>C26</f>
        <v>750</v>
      </c>
      <c r="H26" s="339">
        <f t="shared" si="5"/>
        <v>70.5</v>
      </c>
      <c r="I26" s="380"/>
      <c r="J26" s="381">
        <f t="shared" si="1"/>
        <v>0</v>
      </c>
      <c r="K26" s="279">
        <f t="shared" si="0"/>
        <v>0</v>
      </c>
    </row>
    <row r="27" spans="1:11" ht="15.75" thickBot="1" x14ac:dyDescent="0.3">
      <c r="A27" s="302" t="s">
        <v>295</v>
      </c>
      <c r="B27" s="280">
        <v>0.11</v>
      </c>
      <c r="C27" s="312">
        <f>+ROUND(C22-C26,0)</f>
        <v>102850</v>
      </c>
      <c r="D27" s="339">
        <f t="shared" si="4"/>
        <v>11313.5</v>
      </c>
      <c r="E27" s="380"/>
      <c r="F27" s="280">
        <v>0.11</v>
      </c>
      <c r="G27" s="312">
        <f>C27</f>
        <v>102850</v>
      </c>
      <c r="H27" s="339">
        <f t="shared" si="5"/>
        <v>11313.5</v>
      </c>
      <c r="I27" s="380"/>
      <c r="J27" s="381">
        <f t="shared" si="1"/>
        <v>0</v>
      </c>
      <c r="K27" s="279">
        <f t="shared" si="0"/>
        <v>0</v>
      </c>
    </row>
    <row r="28" spans="1:11" ht="15.75" thickBot="1" x14ac:dyDescent="0.3">
      <c r="A28" s="318"/>
      <c r="B28" s="319"/>
      <c r="C28" s="320"/>
      <c r="D28" s="323"/>
      <c r="E28" s="380"/>
      <c r="F28" s="388"/>
      <c r="G28" s="322"/>
      <c r="H28" s="323"/>
      <c r="I28" s="380"/>
      <c r="J28" s="389"/>
      <c r="K28" s="324"/>
    </row>
    <row r="29" spans="1:11" x14ac:dyDescent="0.25">
      <c r="A29" s="325" t="s">
        <v>285</v>
      </c>
      <c r="B29" s="326"/>
      <c r="C29" s="327"/>
      <c r="D29" s="390">
        <f>SUM(D21:D27)</f>
        <v>14842.905999999999</v>
      </c>
      <c r="E29" s="391"/>
      <c r="F29" s="331"/>
      <c r="G29" s="331"/>
      <c r="H29" s="390">
        <f>SUM(H21:H27)</f>
        <v>15051.864</v>
      </c>
      <c r="I29" s="386"/>
      <c r="J29" s="390">
        <f>H29-D29</f>
        <v>208.95800000000054</v>
      </c>
      <c r="K29" s="333">
        <f>IF((D29)=0,"",(J29/D29))</f>
        <v>1.4077970984927113E-2</v>
      </c>
    </row>
    <row r="30" spans="1:11" x14ac:dyDescent="0.25">
      <c r="A30" s="334" t="s">
        <v>286</v>
      </c>
      <c r="B30" s="326">
        <v>0.13</v>
      </c>
      <c r="C30" s="335"/>
      <c r="D30" s="392">
        <f>D29*B30</f>
        <v>1929.5777799999998</v>
      </c>
      <c r="E30" s="335"/>
      <c r="F30" s="326">
        <v>0.13</v>
      </c>
      <c r="G30" s="337"/>
      <c r="H30" s="392">
        <f>H29*F30</f>
        <v>1956.7423200000001</v>
      </c>
      <c r="I30" s="380"/>
      <c r="J30" s="392">
        <f t="shared" si="1"/>
        <v>27.164540000000216</v>
      </c>
      <c r="K30" s="340">
        <f t="shared" si="0"/>
        <v>1.4077970984927189E-2</v>
      </c>
    </row>
    <row r="31" spans="1:11" x14ac:dyDescent="0.25">
      <c r="A31" s="341" t="s">
        <v>287</v>
      </c>
      <c r="B31" s="337"/>
      <c r="C31" s="335"/>
      <c r="D31" s="392">
        <f>D29+D30</f>
        <v>16772.483779999999</v>
      </c>
      <c r="E31" s="335"/>
      <c r="F31" s="337"/>
      <c r="G31" s="337"/>
      <c r="H31" s="392">
        <f>H29+H30</f>
        <v>17008.606319999999</v>
      </c>
      <c r="I31" s="380"/>
      <c r="J31" s="392">
        <f t="shared" si="1"/>
        <v>236.1225400000003</v>
      </c>
      <c r="K31" s="340">
        <f t="shared" si="0"/>
        <v>1.4077970984927095E-2</v>
      </c>
    </row>
    <row r="32" spans="1:11" x14ac:dyDescent="0.25">
      <c r="A32" s="343" t="s">
        <v>288</v>
      </c>
      <c r="B32" s="337"/>
      <c r="C32" s="335"/>
      <c r="D32" s="392">
        <v>0</v>
      </c>
      <c r="E32" s="335"/>
      <c r="F32" s="337"/>
      <c r="G32" s="337"/>
      <c r="H32" s="392">
        <v>0</v>
      </c>
      <c r="I32" s="380"/>
      <c r="J32" s="392">
        <f t="shared" si="1"/>
        <v>0</v>
      </c>
      <c r="K32" s="340" t="str">
        <f t="shared" si="0"/>
        <v/>
      </c>
    </row>
    <row r="33" spans="1:11" ht="15.75" thickBot="1" x14ac:dyDescent="0.3">
      <c r="A33" s="344" t="s">
        <v>289</v>
      </c>
      <c r="B33" s="345"/>
      <c r="C33" s="346"/>
      <c r="D33" s="384">
        <f>D31+D32</f>
        <v>16772.483779999999</v>
      </c>
      <c r="E33" s="391"/>
      <c r="F33" s="349"/>
      <c r="G33" s="349"/>
      <c r="H33" s="384">
        <f>H31+H32</f>
        <v>17008.606319999999</v>
      </c>
      <c r="I33" s="386"/>
      <c r="J33" s="384">
        <f t="shared" si="1"/>
        <v>236.1225400000003</v>
      </c>
      <c r="K33" s="299">
        <f t="shared" si="0"/>
        <v>1.4077970984927095E-2</v>
      </c>
    </row>
    <row r="34" spans="1:11" ht="15.75" thickBot="1" x14ac:dyDescent="0.3">
      <c r="A34" s="318"/>
      <c r="B34" s="350"/>
      <c r="C34" s="351"/>
      <c r="D34" s="393"/>
      <c r="E34" s="394"/>
      <c r="F34" s="350"/>
      <c r="G34" s="355"/>
      <c r="H34" s="395"/>
      <c r="I34" s="394"/>
      <c r="J34" s="396"/>
      <c r="K34" s="358"/>
    </row>
    <row r="37" spans="1:11" x14ac:dyDescent="0.25">
      <c r="D37" s="401"/>
    </row>
    <row r="39" spans="1:11" x14ac:dyDescent="0.25">
      <c r="B39" s="403"/>
      <c r="C39" s="404"/>
      <c r="D39" s="401"/>
    </row>
    <row r="40" spans="1:11" x14ac:dyDescent="0.25">
      <c r="B40" s="403"/>
      <c r="C40" s="404"/>
      <c r="D40" s="401"/>
    </row>
    <row r="41" spans="1:11" x14ac:dyDescent="0.25">
      <c r="D41" s="401"/>
      <c r="E41" s="401"/>
    </row>
    <row r="42" spans="1:11" x14ac:dyDescent="0.25">
      <c r="C42" s="404"/>
    </row>
    <row r="43" spans="1:11" x14ac:dyDescent="0.25">
      <c r="D43" s="401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6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3"/>
  <sheetViews>
    <sheetView workbookViewId="0">
      <selection activeCell="F16" sqref="F16"/>
    </sheetView>
  </sheetViews>
  <sheetFormatPr defaultRowHeight="15" x14ac:dyDescent="0.25"/>
  <cols>
    <col min="1" max="1" width="54.140625" bestFit="1" customWidth="1"/>
    <col min="2" max="2" width="13.140625" customWidth="1"/>
    <col min="3" max="3" width="9.85546875" bestFit="1" customWidth="1"/>
    <col min="4" max="4" width="12.7109375" bestFit="1" customWidth="1"/>
    <col min="6" max="6" width="11" bestFit="1" customWidth="1"/>
    <col min="7" max="7" width="9.85546875" bestFit="1" customWidth="1"/>
    <col min="8" max="8" width="12.7109375" bestFit="1" customWidth="1"/>
    <col min="10" max="10" width="9.8554687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297</v>
      </c>
      <c r="C1" s="247"/>
      <c r="D1" s="247"/>
      <c r="E1" s="247"/>
      <c r="F1" s="366"/>
      <c r="G1" s="366"/>
      <c r="H1" s="366"/>
      <c r="I1" s="366"/>
      <c r="J1" s="366"/>
      <c r="K1" s="368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100000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>
        <v>230</v>
      </c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259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6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Rates'!G61,2)</f>
        <v>71.64</v>
      </c>
      <c r="C9" s="274">
        <v>1</v>
      </c>
      <c r="D9" s="339">
        <f>C9*B9</f>
        <v>71.64</v>
      </c>
      <c r="E9" s="380"/>
      <c r="F9" s="273">
        <f>ROUND('January 01, 2016 Rates'!F61,2)</f>
        <v>72.680000000000007</v>
      </c>
      <c r="G9" s="277">
        <f>C9</f>
        <v>1</v>
      </c>
      <c r="H9" s="339">
        <f>G9*F9</f>
        <v>72.680000000000007</v>
      </c>
      <c r="I9" s="380"/>
      <c r="J9" s="381">
        <f>H9-D9</f>
        <v>1.0400000000000063</v>
      </c>
      <c r="K9" s="279">
        <f t="shared" ref="K9:K33" si="0">IF((D9)=0,"",(J9/D9))</f>
        <v>1.4517029592406564E-2</v>
      </c>
    </row>
    <row r="10" spans="1:11" x14ac:dyDescent="0.25">
      <c r="A10" s="272" t="s">
        <v>26</v>
      </c>
      <c r="B10" s="280">
        <f>ROUND('January 01, 2016 Rates'!G63,4)</f>
        <v>4.3117999999999999</v>
      </c>
      <c r="C10" s="281">
        <f>+B5</f>
        <v>230</v>
      </c>
      <c r="D10" s="339">
        <f>C10*B10</f>
        <v>991.71399999999994</v>
      </c>
      <c r="E10" s="380"/>
      <c r="F10" s="280">
        <f>ROUND('January 01, 2016 Rates'!F63,4)</f>
        <v>4.3742999999999999</v>
      </c>
      <c r="G10" s="283">
        <f>C10</f>
        <v>230</v>
      </c>
      <c r="H10" s="339">
        <f>G10*F10</f>
        <v>1006.0889999999999</v>
      </c>
      <c r="I10" s="380"/>
      <c r="J10" s="381">
        <f t="shared" ref="J10:J33" si="1">H10-D10</f>
        <v>14.375</v>
      </c>
      <c r="K10" s="279">
        <f t="shared" si="0"/>
        <v>1.4495106452061784E-2</v>
      </c>
    </row>
    <row r="11" spans="1:11" x14ac:dyDescent="0.25">
      <c r="A11" s="284" t="s">
        <v>269</v>
      </c>
      <c r="B11" s="285">
        <f>ROUND('January 01, 2016 Rates'!G66,4)</f>
        <v>0</v>
      </c>
      <c r="C11" s="286">
        <f>+B5</f>
        <v>230</v>
      </c>
      <c r="D11" s="382">
        <f>C11*B11</f>
        <v>0</v>
      </c>
      <c r="E11" s="380"/>
      <c r="F11" s="285">
        <v>0</v>
      </c>
      <c r="G11" s="289">
        <f>C11</f>
        <v>230</v>
      </c>
      <c r="H11" s="382">
        <f>G11*F11</f>
        <v>0</v>
      </c>
      <c r="I11" s="380"/>
      <c r="J11" s="383">
        <f t="shared" si="1"/>
        <v>0</v>
      </c>
      <c r="K11" s="291" t="str">
        <f t="shared" si="0"/>
        <v/>
      </c>
    </row>
    <row r="12" spans="1:11" x14ac:dyDescent="0.25">
      <c r="A12" s="292" t="s">
        <v>270</v>
      </c>
      <c r="B12" s="293"/>
      <c r="C12" s="294"/>
      <c r="D12" s="298">
        <f>SUM(D9:D11)</f>
        <v>1063.354</v>
      </c>
      <c r="E12" s="380"/>
      <c r="F12" s="293"/>
      <c r="G12" s="297"/>
      <c r="H12" s="298">
        <f>SUM(H9:H11)</f>
        <v>1078.769</v>
      </c>
      <c r="I12" s="380"/>
      <c r="J12" s="384">
        <f t="shared" si="1"/>
        <v>15.414999999999964</v>
      </c>
      <c r="K12" s="299">
        <f t="shared" si="0"/>
        <v>1.449658345198303E-2</v>
      </c>
    </row>
    <row r="13" spans="1:11" x14ac:dyDescent="0.25">
      <c r="A13" s="300" t="s">
        <v>349</v>
      </c>
      <c r="B13" s="280">
        <f>ROUND('January 01, 2016 Rates'!G65+'January 01, 2016 Rates'!G69,4)</f>
        <v>0</v>
      </c>
      <c r="C13" s="301">
        <f>+B5</f>
        <v>230</v>
      </c>
      <c r="D13" s="339">
        <f>C13*B13</f>
        <v>0</v>
      </c>
      <c r="E13" s="380"/>
      <c r="F13" s="280">
        <f>ROUND('January 01, 2016 Rates'!F64+'January 01, 2016 Rates'!F66+'January 01, 2016 Rates'!F67,4)</f>
        <v>0.69099999999999995</v>
      </c>
      <c r="G13" s="301">
        <f>C13</f>
        <v>230</v>
      </c>
      <c r="H13" s="339">
        <f>G13*F13</f>
        <v>158.92999999999998</v>
      </c>
      <c r="I13" s="380"/>
      <c r="J13" s="381">
        <f t="shared" si="1"/>
        <v>158.92999999999998</v>
      </c>
      <c r="K13" s="279" t="str">
        <f t="shared" si="0"/>
        <v/>
      </c>
    </row>
    <row r="14" spans="1:11" x14ac:dyDescent="0.25">
      <c r="A14" s="302" t="s">
        <v>272</v>
      </c>
      <c r="B14" s="280">
        <f>ROUND('January 01, 2016 Rates'!G70,4)</f>
        <v>8.0199999999999994E-2</v>
      </c>
      <c r="C14" s="301">
        <f>+B5</f>
        <v>230</v>
      </c>
      <c r="D14" s="339">
        <f>C14*B14</f>
        <v>18.445999999999998</v>
      </c>
      <c r="E14" s="380"/>
      <c r="F14" s="280">
        <f>ROUND('January 01, 2016 Rates'!F70,4)</f>
        <v>8.0199999999999994E-2</v>
      </c>
      <c r="G14" s="301">
        <f>C14</f>
        <v>230</v>
      </c>
      <c r="H14" s="339">
        <f>G14*F14</f>
        <v>18.445999999999998</v>
      </c>
      <c r="I14" s="380"/>
      <c r="J14" s="381">
        <f t="shared" si="1"/>
        <v>0</v>
      </c>
      <c r="K14" s="279">
        <f t="shared" si="0"/>
        <v>0</v>
      </c>
    </row>
    <row r="15" spans="1:11" x14ac:dyDescent="0.25">
      <c r="A15" s="302" t="s">
        <v>273</v>
      </c>
      <c r="B15" s="280">
        <v>0</v>
      </c>
      <c r="C15" s="301">
        <v>1</v>
      </c>
      <c r="D15" s="339">
        <f>C15*B15</f>
        <v>0</v>
      </c>
      <c r="E15" s="380"/>
      <c r="F15" s="280">
        <v>0</v>
      </c>
      <c r="G15" s="301">
        <f>C15</f>
        <v>1</v>
      </c>
      <c r="H15" s="339">
        <f>G15*F15</f>
        <v>0</v>
      </c>
      <c r="I15" s="380"/>
      <c r="J15" s="381">
        <f t="shared" si="1"/>
        <v>0</v>
      </c>
      <c r="K15" s="279" t="str">
        <f t="shared" si="0"/>
        <v/>
      </c>
    </row>
    <row r="16" spans="1:11" x14ac:dyDescent="0.25">
      <c r="A16" s="302" t="s">
        <v>350</v>
      </c>
      <c r="B16" s="280">
        <v>0</v>
      </c>
      <c r="C16" s="301">
        <v>1</v>
      </c>
      <c r="D16" s="339">
        <f>C16*B16</f>
        <v>0</v>
      </c>
      <c r="E16" s="380"/>
      <c r="F16" s="273">
        <f>ROUND('January 01, 2016 Rates'!F62,2)</f>
        <v>3.31</v>
      </c>
      <c r="G16" s="301">
        <f>C16</f>
        <v>1</v>
      </c>
      <c r="H16" s="339">
        <f>G16*F16</f>
        <v>3.31</v>
      </c>
      <c r="I16" s="380"/>
      <c r="J16" s="381"/>
      <c r="K16" s="279"/>
    </row>
    <row r="17" spans="1:11" x14ac:dyDescent="0.25">
      <c r="A17" s="303" t="s">
        <v>274</v>
      </c>
      <c r="B17" s="304"/>
      <c r="C17" s="305"/>
      <c r="D17" s="309">
        <f>SUM(D12:D16)</f>
        <v>1081.8</v>
      </c>
      <c r="E17" s="380"/>
      <c r="F17" s="304"/>
      <c r="G17" s="308"/>
      <c r="H17" s="309">
        <f>SUM(H12:H16)</f>
        <v>1259.4549999999999</v>
      </c>
      <c r="I17" s="380"/>
      <c r="J17" s="385">
        <f t="shared" si="1"/>
        <v>177.65499999999997</v>
      </c>
      <c r="K17" s="310">
        <f t="shared" si="0"/>
        <v>0.16422166759105195</v>
      </c>
    </row>
    <row r="18" spans="1:11" x14ac:dyDescent="0.25">
      <c r="A18" s="311" t="s">
        <v>145</v>
      </c>
      <c r="B18" s="280">
        <f>ROUND('January 01, 2016 Rates'!G79,4)</f>
        <v>-0.4</v>
      </c>
      <c r="C18" s="312">
        <f>B5</f>
        <v>230</v>
      </c>
      <c r="D18" s="339">
        <f>C18*B18</f>
        <v>-92</v>
      </c>
      <c r="E18" s="380"/>
      <c r="F18" s="280">
        <f>ROUND('January 01, 2016 Rates'!F79,4)</f>
        <v>-0.4</v>
      </c>
      <c r="G18" s="313">
        <f>C18</f>
        <v>230</v>
      </c>
      <c r="H18" s="339">
        <f>G18*F18</f>
        <v>-92</v>
      </c>
      <c r="I18" s="380"/>
      <c r="J18" s="381">
        <f t="shared" si="1"/>
        <v>0</v>
      </c>
      <c r="K18" s="279">
        <f t="shared" si="0"/>
        <v>0</v>
      </c>
    </row>
    <row r="19" spans="1:11" x14ac:dyDescent="0.25">
      <c r="A19" s="311" t="s">
        <v>275</v>
      </c>
      <c r="B19" s="280">
        <f>ROUND('January 01, 2016 Rates'!G71,4)</f>
        <v>2.9272</v>
      </c>
      <c r="C19" s="312">
        <f>+B5</f>
        <v>230</v>
      </c>
      <c r="D19" s="339">
        <f>C19*B19</f>
        <v>673.25599999999997</v>
      </c>
      <c r="E19" s="380"/>
      <c r="F19" s="280">
        <f>ROUND('January 01, 2016 Rates'!F71,4)</f>
        <v>2.8685</v>
      </c>
      <c r="G19" s="313">
        <f>C19</f>
        <v>230</v>
      </c>
      <c r="H19" s="339">
        <f>G19*F19</f>
        <v>659.755</v>
      </c>
      <c r="I19" s="380"/>
      <c r="J19" s="381">
        <f t="shared" si="1"/>
        <v>-13.500999999999976</v>
      </c>
      <c r="K19" s="279">
        <f t="shared" si="0"/>
        <v>-2.0053293249521691E-2</v>
      </c>
    </row>
    <row r="20" spans="1:11" x14ac:dyDescent="0.25">
      <c r="A20" s="314" t="s">
        <v>276</v>
      </c>
      <c r="B20" s="280">
        <f>ROUND('January 01, 2016 Rates'!G72,4)</f>
        <v>2.1960000000000002</v>
      </c>
      <c r="C20" s="312">
        <f>+B5</f>
        <v>230</v>
      </c>
      <c r="D20" s="339">
        <f>C20*B20</f>
        <v>505.08000000000004</v>
      </c>
      <c r="E20" s="380"/>
      <c r="F20" s="280">
        <f>ROUND('January 01, 2016 Rates'!F72,4)</f>
        <v>2.2603</v>
      </c>
      <c r="G20" s="313">
        <f>C20</f>
        <v>230</v>
      </c>
      <c r="H20" s="339">
        <f>G20*F20</f>
        <v>519.86900000000003</v>
      </c>
      <c r="I20" s="380"/>
      <c r="J20" s="381">
        <f t="shared" si="1"/>
        <v>14.788999999999987</v>
      </c>
      <c r="K20" s="279">
        <f t="shared" si="0"/>
        <v>2.9280510018214908E-2</v>
      </c>
    </row>
    <row r="21" spans="1:11" x14ac:dyDescent="0.25">
      <c r="A21" s="303" t="s">
        <v>277</v>
      </c>
      <c r="B21" s="304"/>
      <c r="C21" s="305"/>
      <c r="D21" s="309">
        <f>SUM(D17:D20)</f>
        <v>2168.136</v>
      </c>
      <c r="E21" s="386"/>
      <c r="F21" s="387"/>
      <c r="G21" s="317"/>
      <c r="H21" s="309">
        <f>SUM(H17:H20)</f>
        <v>2347.0790000000002</v>
      </c>
      <c r="I21" s="386"/>
      <c r="J21" s="385">
        <f t="shared" si="1"/>
        <v>178.94300000000021</v>
      </c>
      <c r="K21" s="310">
        <f t="shared" si="0"/>
        <v>8.2533106779279622E-2</v>
      </c>
    </row>
    <row r="22" spans="1:11" x14ac:dyDescent="0.25">
      <c r="A22" s="302" t="s">
        <v>278</v>
      </c>
      <c r="B22" s="280">
        <f>ROUND('January 01, 2016 Rates'!G75,4)</f>
        <v>4.4000000000000003E-3</v>
      </c>
      <c r="C22" s="312">
        <f>B3*(1+B2)</f>
        <v>103600</v>
      </c>
      <c r="D22" s="339">
        <f t="shared" ref="D22:D27" si="2">C22*B22</f>
        <v>455.84000000000003</v>
      </c>
      <c r="E22" s="380"/>
      <c r="F22" s="280">
        <f>ROUND('January 01, 2016 Rates'!F75,4)</f>
        <v>4.4000000000000003E-3</v>
      </c>
      <c r="G22" s="313">
        <f>+C22</f>
        <v>103600</v>
      </c>
      <c r="H22" s="339">
        <f t="shared" ref="H22:H27" si="3">G22*F22</f>
        <v>455.84000000000003</v>
      </c>
      <c r="I22" s="380"/>
      <c r="J22" s="381">
        <f t="shared" si="1"/>
        <v>0</v>
      </c>
      <c r="K22" s="279">
        <f t="shared" si="0"/>
        <v>0</v>
      </c>
    </row>
    <row r="23" spans="1:11" x14ac:dyDescent="0.25">
      <c r="A23" s="302" t="s">
        <v>279</v>
      </c>
      <c r="B23" s="280">
        <f>ROUND('January 01, 2016 Rates'!G76,4)</f>
        <v>1.2999999999999999E-3</v>
      </c>
      <c r="C23" s="312">
        <f>C22</f>
        <v>103600</v>
      </c>
      <c r="D23" s="339">
        <f t="shared" si="2"/>
        <v>134.68</v>
      </c>
      <c r="E23" s="380"/>
      <c r="F23" s="280">
        <f>ROUND('January 01, 2016 Rates'!F76,4)</f>
        <v>1.2999999999999999E-3</v>
      </c>
      <c r="G23" s="313">
        <f>+C23</f>
        <v>103600</v>
      </c>
      <c r="H23" s="339">
        <f t="shared" si="3"/>
        <v>134.68</v>
      </c>
      <c r="I23" s="380"/>
      <c r="J23" s="381">
        <f t="shared" si="1"/>
        <v>0</v>
      </c>
      <c r="K23" s="279">
        <f t="shared" si="0"/>
        <v>0</v>
      </c>
    </row>
    <row r="24" spans="1:11" x14ac:dyDescent="0.25">
      <c r="A24" s="302" t="s">
        <v>280</v>
      </c>
      <c r="B24" s="280">
        <f>ROUND('January 01, 2016 Rates'!G77,4)</f>
        <v>0.25</v>
      </c>
      <c r="C24" s="312">
        <v>1</v>
      </c>
      <c r="D24" s="339">
        <f t="shared" si="2"/>
        <v>0.25</v>
      </c>
      <c r="E24" s="380"/>
      <c r="F24" s="280">
        <f>ROUND('January 01, 2016 Rates'!F77,4)</f>
        <v>0.25</v>
      </c>
      <c r="G24" s="313">
        <f>C24</f>
        <v>1</v>
      </c>
      <c r="H24" s="339">
        <f t="shared" si="3"/>
        <v>0.25</v>
      </c>
      <c r="I24" s="380"/>
      <c r="J24" s="381">
        <f t="shared" si="1"/>
        <v>0</v>
      </c>
      <c r="K24" s="279">
        <f t="shared" si="0"/>
        <v>0</v>
      </c>
    </row>
    <row r="25" spans="1:11" x14ac:dyDescent="0.25">
      <c r="A25" s="302" t="s">
        <v>281</v>
      </c>
      <c r="B25" s="280">
        <f>ROUND('January 01, 2016 Rates'!G78,4)</f>
        <v>7.0000000000000001E-3</v>
      </c>
      <c r="C25" s="312">
        <f>+B3</f>
        <v>100000</v>
      </c>
      <c r="D25" s="339">
        <f t="shared" si="2"/>
        <v>700</v>
      </c>
      <c r="E25" s="380"/>
      <c r="F25" s="280">
        <f>ROUND('January 01, 2016 Rates'!F24,4)</f>
        <v>7.0000000000000001E-3</v>
      </c>
      <c r="G25" s="313">
        <f>C25</f>
        <v>100000</v>
      </c>
      <c r="H25" s="339">
        <f t="shared" si="3"/>
        <v>700</v>
      </c>
      <c r="I25" s="380"/>
      <c r="J25" s="381">
        <f t="shared" si="1"/>
        <v>0</v>
      </c>
      <c r="K25" s="279">
        <f t="shared" si="0"/>
        <v>0</v>
      </c>
    </row>
    <row r="26" spans="1:11" x14ac:dyDescent="0.25">
      <c r="A26" s="302" t="s">
        <v>295</v>
      </c>
      <c r="B26" s="280">
        <v>9.4E-2</v>
      </c>
      <c r="C26" s="312">
        <v>750</v>
      </c>
      <c r="D26" s="339">
        <f t="shared" si="2"/>
        <v>70.5</v>
      </c>
      <c r="E26" s="380"/>
      <c r="F26" s="280">
        <v>9.4E-2</v>
      </c>
      <c r="G26" s="312">
        <f>C26</f>
        <v>750</v>
      </c>
      <c r="H26" s="339">
        <f t="shared" si="3"/>
        <v>70.5</v>
      </c>
      <c r="I26" s="380"/>
      <c r="J26" s="381">
        <f t="shared" si="1"/>
        <v>0</v>
      </c>
      <c r="K26" s="279">
        <f t="shared" si="0"/>
        <v>0</v>
      </c>
    </row>
    <row r="27" spans="1:11" ht="15.75" thickBot="1" x14ac:dyDescent="0.3">
      <c r="A27" s="302" t="s">
        <v>295</v>
      </c>
      <c r="B27" s="280">
        <v>0.11</v>
      </c>
      <c r="C27" s="312">
        <f>+ROUND(C22-C26,0)</f>
        <v>102850</v>
      </c>
      <c r="D27" s="339">
        <f t="shared" si="2"/>
        <v>11313.5</v>
      </c>
      <c r="E27" s="380"/>
      <c r="F27" s="280">
        <v>0.11</v>
      </c>
      <c r="G27" s="312">
        <f>C27</f>
        <v>102850</v>
      </c>
      <c r="H27" s="339">
        <f t="shared" si="3"/>
        <v>11313.5</v>
      </c>
      <c r="I27" s="380"/>
      <c r="J27" s="381">
        <f t="shared" si="1"/>
        <v>0</v>
      </c>
      <c r="K27" s="279">
        <f t="shared" si="0"/>
        <v>0</v>
      </c>
    </row>
    <row r="28" spans="1:11" ht="15.75" thickBot="1" x14ac:dyDescent="0.3">
      <c r="A28" s="318"/>
      <c r="B28" s="319"/>
      <c r="C28" s="320"/>
      <c r="D28" s="323"/>
      <c r="E28" s="380"/>
      <c r="F28" s="388"/>
      <c r="G28" s="322"/>
      <c r="H28" s="323"/>
      <c r="I28" s="380"/>
      <c r="J28" s="389"/>
      <c r="K28" s="324"/>
    </row>
    <row r="29" spans="1:11" x14ac:dyDescent="0.25">
      <c r="A29" s="325" t="s">
        <v>285</v>
      </c>
      <c r="B29" s="326"/>
      <c r="C29" s="327"/>
      <c r="D29" s="390">
        <f>SUM(D21:D27)</f>
        <v>14842.905999999999</v>
      </c>
      <c r="E29" s="391"/>
      <c r="F29" s="331"/>
      <c r="G29" s="331"/>
      <c r="H29" s="390">
        <f>SUM(H21:H27)</f>
        <v>15021.849</v>
      </c>
      <c r="I29" s="386"/>
      <c r="J29" s="390">
        <f>H29-D29</f>
        <v>178.94300000000112</v>
      </c>
      <c r="K29" s="333">
        <f>IF((D29)=0,"",(J29/D29))</f>
        <v>1.2055792848112165E-2</v>
      </c>
    </row>
    <row r="30" spans="1:11" x14ac:dyDescent="0.25">
      <c r="A30" s="334" t="s">
        <v>286</v>
      </c>
      <c r="B30" s="326">
        <v>0.13</v>
      </c>
      <c r="C30" s="335"/>
      <c r="D30" s="392">
        <f>D29*B30</f>
        <v>1929.5777799999998</v>
      </c>
      <c r="E30" s="335"/>
      <c r="F30" s="326">
        <v>0.13</v>
      </c>
      <c r="G30" s="337"/>
      <c r="H30" s="392">
        <f>H29*F30</f>
        <v>1952.8403700000001</v>
      </c>
      <c r="I30" s="380"/>
      <c r="J30" s="392">
        <f t="shared" si="1"/>
        <v>23.262590000000273</v>
      </c>
      <c r="K30" s="340">
        <f t="shared" si="0"/>
        <v>1.2055792848112231E-2</v>
      </c>
    </row>
    <row r="31" spans="1:11" x14ac:dyDescent="0.25">
      <c r="A31" s="341" t="s">
        <v>287</v>
      </c>
      <c r="B31" s="337"/>
      <c r="C31" s="335"/>
      <c r="D31" s="392">
        <f>D29+D30</f>
        <v>16772.483779999999</v>
      </c>
      <c r="E31" s="335"/>
      <c r="F31" s="337"/>
      <c r="G31" s="337"/>
      <c r="H31" s="392">
        <f>H29+H30</f>
        <v>16974.68937</v>
      </c>
      <c r="I31" s="380"/>
      <c r="J31" s="392">
        <f t="shared" si="1"/>
        <v>202.20559000000139</v>
      </c>
      <c r="K31" s="340">
        <f t="shared" si="0"/>
        <v>1.2055792848112172E-2</v>
      </c>
    </row>
    <row r="32" spans="1:11" x14ac:dyDescent="0.25">
      <c r="A32" s="343" t="s">
        <v>288</v>
      </c>
      <c r="B32" s="337"/>
      <c r="C32" s="335"/>
      <c r="D32" s="392">
        <v>0</v>
      </c>
      <c r="E32" s="335"/>
      <c r="F32" s="337"/>
      <c r="G32" s="337"/>
      <c r="H32" s="392">
        <v>0</v>
      </c>
      <c r="I32" s="380"/>
      <c r="J32" s="392">
        <f t="shared" si="1"/>
        <v>0</v>
      </c>
      <c r="K32" s="340" t="str">
        <f t="shared" si="0"/>
        <v/>
      </c>
    </row>
    <row r="33" spans="1:11" ht="15.75" thickBot="1" x14ac:dyDescent="0.3">
      <c r="A33" s="344" t="s">
        <v>289</v>
      </c>
      <c r="B33" s="345"/>
      <c r="C33" s="346"/>
      <c r="D33" s="384">
        <f>D31+D32</f>
        <v>16772.483779999999</v>
      </c>
      <c r="E33" s="391"/>
      <c r="F33" s="349"/>
      <c r="G33" s="349"/>
      <c r="H33" s="384">
        <f>H31+H32</f>
        <v>16974.68937</v>
      </c>
      <c r="I33" s="386"/>
      <c r="J33" s="384">
        <f t="shared" si="1"/>
        <v>202.20559000000139</v>
      </c>
      <c r="K33" s="299">
        <f t="shared" si="0"/>
        <v>1.2055792848112172E-2</v>
      </c>
    </row>
    <row r="34" spans="1:11" ht="15.75" thickBot="1" x14ac:dyDescent="0.3">
      <c r="A34" s="318"/>
      <c r="B34" s="350"/>
      <c r="C34" s="351"/>
      <c r="D34" s="393"/>
      <c r="E34" s="394"/>
      <c r="F34" s="350"/>
      <c r="G34" s="355"/>
      <c r="H34" s="395"/>
      <c r="I34" s="394"/>
      <c r="J34" s="396"/>
      <c r="K34" s="358"/>
    </row>
    <row r="37" spans="1:11" x14ac:dyDescent="0.25">
      <c r="D37" s="401"/>
    </row>
    <row r="39" spans="1:11" x14ac:dyDescent="0.25">
      <c r="B39" s="403"/>
      <c r="C39" s="404"/>
      <c r="D39" s="401"/>
    </row>
    <row r="40" spans="1:11" x14ac:dyDescent="0.25">
      <c r="B40" s="403"/>
      <c r="C40" s="404"/>
      <c r="D40" s="401"/>
    </row>
    <row r="41" spans="1:11" x14ac:dyDescent="0.25">
      <c r="D41" s="401"/>
      <c r="E41" s="401"/>
    </row>
    <row r="42" spans="1:11" x14ac:dyDescent="0.25">
      <c r="C42" s="404"/>
    </row>
    <row r="43" spans="1:11" x14ac:dyDescent="0.25">
      <c r="D43" s="401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5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K34"/>
  <sheetViews>
    <sheetView tabSelected="1" workbookViewId="0">
      <selection activeCell="D20" sqref="D20"/>
    </sheetView>
  </sheetViews>
  <sheetFormatPr defaultRowHeight="15" x14ac:dyDescent="0.25"/>
  <cols>
    <col min="1" max="1" width="54.140625" bestFit="1" customWidth="1"/>
    <col min="2" max="2" width="14" customWidth="1"/>
    <col min="3" max="3" width="9.85546875" bestFit="1" customWidth="1"/>
    <col min="4" max="4" width="12.7109375" bestFit="1" customWidth="1"/>
    <col min="6" max="6" width="11" bestFit="1" customWidth="1"/>
    <col min="7" max="7" width="9.85546875" bestFit="1" customWidth="1"/>
    <col min="8" max="8" width="12.7109375" bestFit="1" customWidth="1"/>
    <col min="10" max="10" width="9.570312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298</v>
      </c>
      <c r="C1" s="247"/>
      <c r="D1" s="247"/>
      <c r="E1" s="247"/>
      <c r="F1" s="247"/>
      <c r="G1" s="366"/>
      <c r="H1" s="366"/>
      <c r="I1" s="366"/>
      <c r="J1" s="366"/>
      <c r="K1" s="367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100000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>
        <v>230</v>
      </c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259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6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Rates'!G61,2)</f>
        <v>71.64</v>
      </c>
      <c r="C9" s="274">
        <v>1</v>
      </c>
      <c r="D9" s="339">
        <f>C9*B9</f>
        <v>71.64</v>
      </c>
      <c r="E9" s="380"/>
      <c r="F9" s="273">
        <f>ROUND('January 01, 2016 Rates'!F61,2)</f>
        <v>72.680000000000007</v>
      </c>
      <c r="G9" s="277">
        <f>C9</f>
        <v>1</v>
      </c>
      <c r="H9" s="339">
        <f>G9*F9</f>
        <v>72.680000000000007</v>
      </c>
      <c r="I9" s="380"/>
      <c r="J9" s="381">
        <f>H9-D9</f>
        <v>1.0400000000000063</v>
      </c>
      <c r="K9" s="279">
        <f t="shared" ref="K9:K33" si="0">IF((D9)=0,"",(J9/D9))</f>
        <v>1.4517029592406564E-2</v>
      </c>
    </row>
    <row r="10" spans="1:11" x14ac:dyDescent="0.25">
      <c r="A10" s="272" t="s">
        <v>26</v>
      </c>
      <c r="B10" s="280">
        <f>ROUND('January 01, 2016 Rates'!G63,4)</f>
        <v>4.3117999999999999</v>
      </c>
      <c r="C10" s="281">
        <f>+B5</f>
        <v>230</v>
      </c>
      <c r="D10" s="339">
        <f>C10*B10</f>
        <v>991.71399999999994</v>
      </c>
      <c r="E10" s="380"/>
      <c r="F10" s="280">
        <f>ROUND('January 01, 2016 Rates'!F63,4)</f>
        <v>4.3742999999999999</v>
      </c>
      <c r="G10" s="283">
        <f>C10</f>
        <v>230</v>
      </c>
      <c r="H10" s="339">
        <f>G10*F10</f>
        <v>1006.0889999999999</v>
      </c>
      <c r="I10" s="380"/>
      <c r="J10" s="381">
        <f t="shared" ref="J10:J33" si="1">H10-D10</f>
        <v>14.375</v>
      </c>
      <c r="K10" s="279">
        <f t="shared" si="0"/>
        <v>1.4495106452061784E-2</v>
      </c>
    </row>
    <row r="11" spans="1:11" x14ac:dyDescent="0.25">
      <c r="A11" s="284" t="s">
        <v>269</v>
      </c>
      <c r="B11" s="285">
        <f>ROUND('January 01, 2016 Rates'!G66,4)</f>
        <v>0</v>
      </c>
      <c r="C11" s="286">
        <f>+B5</f>
        <v>230</v>
      </c>
      <c r="D11" s="382">
        <f>C11*B11</f>
        <v>0</v>
      </c>
      <c r="E11" s="380"/>
      <c r="F11" s="285">
        <v>0</v>
      </c>
      <c r="G11" s="289">
        <f>C11</f>
        <v>230</v>
      </c>
      <c r="H11" s="382">
        <f>G11*F11</f>
        <v>0</v>
      </c>
      <c r="I11" s="380"/>
      <c r="J11" s="383">
        <f t="shared" si="1"/>
        <v>0</v>
      </c>
      <c r="K11" s="291" t="str">
        <f t="shared" si="0"/>
        <v/>
      </c>
    </row>
    <row r="12" spans="1:11" x14ac:dyDescent="0.25">
      <c r="A12" s="292" t="s">
        <v>270</v>
      </c>
      <c r="B12" s="293"/>
      <c r="C12" s="294"/>
      <c r="D12" s="298">
        <f>SUM(D9:D11)</f>
        <v>1063.354</v>
      </c>
      <c r="E12" s="380"/>
      <c r="F12" s="293"/>
      <c r="G12" s="297"/>
      <c r="H12" s="298">
        <f>SUM(H9:H11)</f>
        <v>1078.769</v>
      </c>
      <c r="I12" s="380"/>
      <c r="J12" s="384">
        <f t="shared" si="1"/>
        <v>15.414999999999964</v>
      </c>
      <c r="K12" s="299">
        <f t="shared" si="0"/>
        <v>1.449658345198303E-2</v>
      </c>
    </row>
    <row r="13" spans="1:11" x14ac:dyDescent="0.25">
      <c r="A13" s="300" t="s">
        <v>349</v>
      </c>
      <c r="B13" s="280">
        <f>ROUND('January 01, 2016 Rates'!G65+'January 01, 2016 Rates'!G69,4)</f>
        <v>0</v>
      </c>
      <c r="C13" s="301">
        <f>+B5</f>
        <v>230</v>
      </c>
      <c r="D13" s="339">
        <f>C13*B13</f>
        <v>0</v>
      </c>
      <c r="E13" s="380"/>
      <c r="F13" s="280">
        <f>ROUND('January 01, 2016 Rates'!F64+'January 01, 2016 Rates'!F65+'January 01, 2016 Rates'!F66+'January 01, 2016 Rates'!F68+'January 01, 2016 Rates'!F67,4)</f>
        <v>1.0812999999999999</v>
      </c>
      <c r="G13" s="301">
        <f>C13</f>
        <v>230</v>
      </c>
      <c r="H13" s="339">
        <f>G13*F13</f>
        <v>248.69899999999998</v>
      </c>
      <c r="I13" s="380"/>
      <c r="J13" s="381">
        <f t="shared" si="1"/>
        <v>248.69899999999998</v>
      </c>
      <c r="K13" s="279" t="str">
        <f t="shared" si="0"/>
        <v/>
      </c>
    </row>
    <row r="14" spans="1:11" x14ac:dyDescent="0.25">
      <c r="A14" s="302" t="s">
        <v>272</v>
      </c>
      <c r="B14" s="280">
        <f>ROUND('January 01, 2016 Rates'!G70,4)</f>
        <v>8.0199999999999994E-2</v>
      </c>
      <c r="C14" s="301">
        <f>+B5</f>
        <v>230</v>
      </c>
      <c r="D14" s="339">
        <f>C14*B14</f>
        <v>18.445999999999998</v>
      </c>
      <c r="E14" s="380"/>
      <c r="F14" s="280">
        <f>ROUND('January 01, 2016 Rates'!F70,4)</f>
        <v>8.0199999999999994E-2</v>
      </c>
      <c r="G14" s="301">
        <f>C14</f>
        <v>230</v>
      </c>
      <c r="H14" s="339">
        <f>G14*F14</f>
        <v>18.445999999999998</v>
      </c>
      <c r="I14" s="380"/>
      <c r="J14" s="381">
        <f t="shared" si="1"/>
        <v>0</v>
      </c>
      <c r="K14" s="279">
        <f t="shared" si="0"/>
        <v>0</v>
      </c>
    </row>
    <row r="15" spans="1:11" x14ac:dyDescent="0.25">
      <c r="A15" s="302" t="s">
        <v>273</v>
      </c>
      <c r="B15" s="280">
        <v>0</v>
      </c>
      <c r="C15" s="301">
        <v>1</v>
      </c>
      <c r="D15" s="339">
        <f>C15*B15</f>
        <v>0</v>
      </c>
      <c r="E15" s="380"/>
      <c r="F15" s="280">
        <v>0</v>
      </c>
      <c r="G15" s="301">
        <f>C15</f>
        <v>1</v>
      </c>
      <c r="H15" s="339">
        <f>G15*F15</f>
        <v>0</v>
      </c>
      <c r="I15" s="380"/>
      <c r="J15" s="381">
        <f t="shared" si="1"/>
        <v>0</v>
      </c>
      <c r="K15" s="279" t="str">
        <f t="shared" si="0"/>
        <v/>
      </c>
    </row>
    <row r="16" spans="1:11" x14ac:dyDescent="0.25">
      <c r="A16" s="302" t="s">
        <v>350</v>
      </c>
      <c r="B16" s="280">
        <v>0</v>
      </c>
      <c r="C16" s="301">
        <v>1</v>
      </c>
      <c r="D16" s="339">
        <f>C16*B16</f>
        <v>0</v>
      </c>
      <c r="E16" s="380"/>
      <c r="F16" s="273">
        <f>ROUND('January 01, 2016 Rates'!F62,2)</f>
        <v>3.31</v>
      </c>
      <c r="G16" s="301">
        <f>C16</f>
        <v>1</v>
      </c>
      <c r="H16" s="339">
        <f>G16*F16</f>
        <v>3.31</v>
      </c>
      <c r="I16" s="380"/>
      <c r="J16" s="381"/>
      <c r="K16" s="279"/>
    </row>
    <row r="17" spans="1:11" x14ac:dyDescent="0.25">
      <c r="A17" s="303" t="s">
        <v>274</v>
      </c>
      <c r="B17" s="304"/>
      <c r="C17" s="305"/>
      <c r="D17" s="309">
        <f>SUM(D12:D16)</f>
        <v>1081.8</v>
      </c>
      <c r="E17" s="380"/>
      <c r="F17" s="304"/>
      <c r="G17" s="308"/>
      <c r="H17" s="309">
        <f>SUM(H12:H16)</f>
        <v>1349.2239999999999</v>
      </c>
      <c r="I17" s="380"/>
      <c r="J17" s="385">
        <f t="shared" si="1"/>
        <v>267.42399999999998</v>
      </c>
      <c r="K17" s="310">
        <f t="shared" si="0"/>
        <v>0.24720281013126269</v>
      </c>
    </row>
    <row r="18" spans="1:11" x14ac:dyDescent="0.25">
      <c r="A18" s="311" t="s">
        <v>145</v>
      </c>
      <c r="B18" s="280">
        <f>ROUND('January 01, 2016 Rates'!G79,4)</f>
        <v>-0.4</v>
      </c>
      <c r="C18" s="312">
        <f>B5</f>
        <v>230</v>
      </c>
      <c r="D18" s="339">
        <f>C18*B18</f>
        <v>-92</v>
      </c>
      <c r="E18" s="380"/>
      <c r="F18" s="280">
        <f>ROUND('January 01, 2016 Rates'!F79,4)</f>
        <v>-0.4</v>
      </c>
      <c r="G18" s="313">
        <f>C18</f>
        <v>230</v>
      </c>
      <c r="H18" s="339">
        <f>G18*F18</f>
        <v>-92</v>
      </c>
      <c r="I18" s="380"/>
      <c r="J18" s="381">
        <f t="shared" ref="J18" si="2">H18-D18</f>
        <v>0</v>
      </c>
      <c r="K18" s="279">
        <f t="shared" ref="K18" si="3">IF((D18)=0,"",(J18/D18))</f>
        <v>0</v>
      </c>
    </row>
    <row r="19" spans="1:11" x14ac:dyDescent="0.25">
      <c r="A19" s="311" t="s">
        <v>275</v>
      </c>
      <c r="B19" s="280">
        <f>ROUND('January 01, 2016 Rates'!G71,4)</f>
        <v>2.9272</v>
      </c>
      <c r="C19" s="312">
        <f>+B5</f>
        <v>230</v>
      </c>
      <c r="D19" s="339">
        <f>C19*B19</f>
        <v>673.25599999999997</v>
      </c>
      <c r="E19" s="380"/>
      <c r="F19" s="280">
        <f>ROUND('January 01, 2016 Rates'!F71,4)</f>
        <v>2.8685</v>
      </c>
      <c r="G19" s="313">
        <f>C19</f>
        <v>230</v>
      </c>
      <c r="H19" s="339">
        <f>G19*F19</f>
        <v>659.755</v>
      </c>
      <c r="I19" s="380"/>
      <c r="J19" s="381">
        <f t="shared" si="1"/>
        <v>-13.500999999999976</v>
      </c>
      <c r="K19" s="279">
        <f t="shared" si="0"/>
        <v>-2.0053293249521691E-2</v>
      </c>
    </row>
    <row r="20" spans="1:11" x14ac:dyDescent="0.25">
      <c r="A20" s="314" t="s">
        <v>276</v>
      </c>
      <c r="B20" s="280">
        <f>ROUND('January 01, 2016 Rates'!G72,4)</f>
        <v>2.1960000000000002</v>
      </c>
      <c r="C20" s="312">
        <f>+B5</f>
        <v>230</v>
      </c>
      <c r="D20" s="339">
        <f>C20*B20</f>
        <v>505.08000000000004</v>
      </c>
      <c r="E20" s="380"/>
      <c r="F20" s="280">
        <f>ROUND('January 01, 2016 Rates'!F72,4)</f>
        <v>2.2603</v>
      </c>
      <c r="G20" s="313">
        <f>C20</f>
        <v>230</v>
      </c>
      <c r="H20" s="339">
        <f>G20*F20</f>
        <v>519.86900000000003</v>
      </c>
      <c r="I20" s="380"/>
      <c r="J20" s="381">
        <f t="shared" si="1"/>
        <v>14.788999999999987</v>
      </c>
      <c r="K20" s="279">
        <f t="shared" si="0"/>
        <v>2.9280510018214908E-2</v>
      </c>
    </row>
    <row r="21" spans="1:11" x14ac:dyDescent="0.25">
      <c r="A21" s="303" t="s">
        <v>277</v>
      </c>
      <c r="B21" s="304"/>
      <c r="C21" s="305"/>
      <c r="D21" s="309">
        <f>SUM(D17:D20)</f>
        <v>2168.136</v>
      </c>
      <c r="E21" s="386"/>
      <c r="F21" s="387"/>
      <c r="G21" s="317"/>
      <c r="H21" s="309">
        <f>SUM(H17:H20)</f>
        <v>2436.848</v>
      </c>
      <c r="I21" s="386"/>
      <c r="J21" s="385">
        <f t="shared" si="1"/>
        <v>268.71199999999999</v>
      </c>
      <c r="K21" s="310">
        <f t="shared" si="0"/>
        <v>0.12393687480859134</v>
      </c>
    </row>
    <row r="22" spans="1:11" x14ac:dyDescent="0.25">
      <c r="A22" s="302" t="s">
        <v>278</v>
      </c>
      <c r="B22" s="280">
        <f>ROUND('January 01, 2016 Rates'!G75,4)</f>
        <v>4.4000000000000003E-3</v>
      </c>
      <c r="C22" s="312">
        <f>B3*(1+B2)</f>
        <v>103600</v>
      </c>
      <c r="D22" s="339">
        <f t="shared" ref="D22:D27" si="4">C22*B22</f>
        <v>455.84000000000003</v>
      </c>
      <c r="E22" s="380"/>
      <c r="F22" s="280">
        <f>ROUND('January 01, 2016 Rates'!F75,4)</f>
        <v>4.4000000000000003E-3</v>
      </c>
      <c r="G22" s="313">
        <f>+C22</f>
        <v>103600</v>
      </c>
      <c r="H22" s="339">
        <f t="shared" ref="H22:H27" si="5">G22*F22</f>
        <v>455.84000000000003</v>
      </c>
      <c r="I22" s="380"/>
      <c r="J22" s="381">
        <f t="shared" si="1"/>
        <v>0</v>
      </c>
      <c r="K22" s="279">
        <f t="shared" si="0"/>
        <v>0</v>
      </c>
    </row>
    <row r="23" spans="1:11" x14ac:dyDescent="0.25">
      <c r="A23" s="302" t="s">
        <v>279</v>
      </c>
      <c r="B23" s="280">
        <f>ROUND('January 01, 2016 Rates'!G76,4)</f>
        <v>1.2999999999999999E-3</v>
      </c>
      <c r="C23" s="312">
        <f>C22</f>
        <v>103600</v>
      </c>
      <c r="D23" s="339">
        <f t="shared" si="4"/>
        <v>134.68</v>
      </c>
      <c r="E23" s="380"/>
      <c r="F23" s="280">
        <f>ROUND('January 01, 2016 Rates'!F76,4)</f>
        <v>1.2999999999999999E-3</v>
      </c>
      <c r="G23" s="313">
        <f>+C23</f>
        <v>103600</v>
      </c>
      <c r="H23" s="339">
        <f t="shared" si="5"/>
        <v>134.68</v>
      </c>
      <c r="I23" s="380"/>
      <c r="J23" s="381">
        <f t="shared" si="1"/>
        <v>0</v>
      </c>
      <c r="K23" s="279">
        <f t="shared" si="0"/>
        <v>0</v>
      </c>
    </row>
    <row r="24" spans="1:11" x14ac:dyDescent="0.25">
      <c r="A24" s="302" t="s">
        <v>280</v>
      </c>
      <c r="B24" s="280">
        <f>ROUND('January 01, 2016 Rates'!G77,4)</f>
        <v>0.25</v>
      </c>
      <c r="C24" s="312">
        <v>1</v>
      </c>
      <c r="D24" s="339">
        <f t="shared" si="4"/>
        <v>0.25</v>
      </c>
      <c r="E24" s="380"/>
      <c r="F24" s="280">
        <f>ROUND('January 01, 2016 Rates'!F77,4)</f>
        <v>0.25</v>
      </c>
      <c r="G24" s="313">
        <f>C24</f>
        <v>1</v>
      </c>
      <c r="H24" s="339">
        <f t="shared" si="5"/>
        <v>0.25</v>
      </c>
      <c r="I24" s="380"/>
      <c r="J24" s="381">
        <f t="shared" si="1"/>
        <v>0</v>
      </c>
      <c r="K24" s="279">
        <f t="shared" si="0"/>
        <v>0</v>
      </c>
    </row>
    <row r="25" spans="1:11" x14ac:dyDescent="0.25">
      <c r="A25" s="302" t="s">
        <v>281</v>
      </c>
      <c r="B25" s="280">
        <f>ROUND('January 01, 2016 Rates'!G78,4)</f>
        <v>7.0000000000000001E-3</v>
      </c>
      <c r="C25" s="312">
        <f>+B3</f>
        <v>100000</v>
      </c>
      <c r="D25" s="339">
        <f t="shared" si="4"/>
        <v>700</v>
      </c>
      <c r="E25" s="380"/>
      <c r="F25" s="280">
        <f>ROUND('January 01, 2016 Rates'!F24,4)</f>
        <v>7.0000000000000001E-3</v>
      </c>
      <c r="G25" s="313">
        <f>C25</f>
        <v>100000</v>
      </c>
      <c r="H25" s="339">
        <f t="shared" si="5"/>
        <v>700</v>
      </c>
      <c r="I25" s="380"/>
      <c r="J25" s="381">
        <f t="shared" si="1"/>
        <v>0</v>
      </c>
      <c r="K25" s="279">
        <f t="shared" si="0"/>
        <v>0</v>
      </c>
    </row>
    <row r="26" spans="1:11" x14ac:dyDescent="0.25">
      <c r="A26" s="302" t="s">
        <v>295</v>
      </c>
      <c r="B26" s="280">
        <v>9.4E-2</v>
      </c>
      <c r="C26" s="312">
        <v>750</v>
      </c>
      <c r="D26" s="339">
        <f t="shared" si="4"/>
        <v>70.5</v>
      </c>
      <c r="E26" s="380"/>
      <c r="F26" s="280">
        <v>9.4E-2</v>
      </c>
      <c r="G26" s="312">
        <f>C26</f>
        <v>750</v>
      </c>
      <c r="H26" s="339">
        <f t="shared" si="5"/>
        <v>70.5</v>
      </c>
      <c r="I26" s="380"/>
      <c r="J26" s="381">
        <f t="shared" si="1"/>
        <v>0</v>
      </c>
      <c r="K26" s="279">
        <f t="shared" si="0"/>
        <v>0</v>
      </c>
    </row>
    <row r="27" spans="1:11" ht="15.75" thickBot="1" x14ac:dyDescent="0.3">
      <c r="A27" s="302" t="s">
        <v>295</v>
      </c>
      <c r="B27" s="280">
        <v>0.11</v>
      </c>
      <c r="C27" s="312">
        <f>+ROUND(C22-C26,0)</f>
        <v>102850</v>
      </c>
      <c r="D27" s="339">
        <f t="shared" si="4"/>
        <v>11313.5</v>
      </c>
      <c r="E27" s="380"/>
      <c r="F27" s="280">
        <v>0.11</v>
      </c>
      <c r="G27" s="312">
        <f>C27</f>
        <v>102850</v>
      </c>
      <c r="H27" s="339">
        <f t="shared" si="5"/>
        <v>11313.5</v>
      </c>
      <c r="I27" s="380"/>
      <c r="J27" s="381">
        <f t="shared" si="1"/>
        <v>0</v>
      </c>
      <c r="K27" s="279">
        <f t="shared" si="0"/>
        <v>0</v>
      </c>
    </row>
    <row r="28" spans="1:11" ht="15.75" thickBot="1" x14ac:dyDescent="0.3">
      <c r="A28" s="318"/>
      <c r="B28" s="319"/>
      <c r="C28" s="320"/>
      <c r="D28" s="323"/>
      <c r="E28" s="380"/>
      <c r="F28" s="388"/>
      <c r="G28" s="322"/>
      <c r="H28" s="323"/>
      <c r="I28" s="380"/>
      <c r="J28" s="389"/>
      <c r="K28" s="324"/>
    </row>
    <row r="29" spans="1:11" x14ac:dyDescent="0.25">
      <c r="A29" s="325" t="s">
        <v>285</v>
      </c>
      <c r="B29" s="326"/>
      <c r="C29" s="327"/>
      <c r="D29" s="390">
        <f>SUM(D21:D27)</f>
        <v>14842.905999999999</v>
      </c>
      <c r="E29" s="391"/>
      <c r="F29" s="331"/>
      <c r="G29" s="331"/>
      <c r="H29" s="390">
        <f>SUM(H21:H27)</f>
        <v>15111.618</v>
      </c>
      <c r="I29" s="386"/>
      <c r="J29" s="390">
        <f>H29-D29</f>
        <v>268.71200000000135</v>
      </c>
      <c r="K29" s="333">
        <f>IF((D29)=0,"",(J29/D29))</f>
        <v>1.810373251706919E-2</v>
      </c>
    </row>
    <row r="30" spans="1:11" x14ac:dyDescent="0.25">
      <c r="A30" s="334" t="s">
        <v>286</v>
      </c>
      <c r="B30" s="326">
        <v>0.13</v>
      </c>
      <c r="C30" s="335"/>
      <c r="D30" s="392">
        <f>D29*B30</f>
        <v>1929.5777799999998</v>
      </c>
      <c r="E30" s="335"/>
      <c r="F30" s="326">
        <v>0.13</v>
      </c>
      <c r="G30" s="337"/>
      <c r="H30" s="392">
        <f>H29*F30</f>
        <v>1964.51034</v>
      </c>
      <c r="I30" s="380"/>
      <c r="J30" s="392">
        <f t="shared" si="1"/>
        <v>34.932560000000194</v>
      </c>
      <c r="K30" s="340">
        <f t="shared" si="0"/>
        <v>1.8103732517069197E-2</v>
      </c>
    </row>
    <row r="31" spans="1:11" x14ac:dyDescent="0.25">
      <c r="A31" s="341" t="s">
        <v>287</v>
      </c>
      <c r="B31" s="337"/>
      <c r="C31" s="335"/>
      <c r="D31" s="392">
        <f>D29+D30</f>
        <v>16772.483779999999</v>
      </c>
      <c r="E31" s="335"/>
      <c r="F31" s="337"/>
      <c r="G31" s="337"/>
      <c r="H31" s="392">
        <f>H29+H30</f>
        <v>17076.128339999999</v>
      </c>
      <c r="I31" s="380"/>
      <c r="J31" s="392">
        <f t="shared" si="1"/>
        <v>303.64456000000064</v>
      </c>
      <c r="K31" s="340">
        <f t="shared" si="0"/>
        <v>1.8103732517069135E-2</v>
      </c>
    </row>
    <row r="32" spans="1:11" x14ac:dyDescent="0.25">
      <c r="A32" s="343" t="s">
        <v>288</v>
      </c>
      <c r="B32" s="337"/>
      <c r="C32" s="335"/>
      <c r="D32" s="392">
        <v>0</v>
      </c>
      <c r="E32" s="335"/>
      <c r="F32" s="337"/>
      <c r="G32" s="337"/>
      <c r="H32" s="392">
        <v>0</v>
      </c>
      <c r="I32" s="380"/>
      <c r="J32" s="392">
        <f t="shared" si="1"/>
        <v>0</v>
      </c>
      <c r="K32" s="340" t="str">
        <f t="shared" si="0"/>
        <v/>
      </c>
    </row>
    <row r="33" spans="1:11" ht="15.75" thickBot="1" x14ac:dyDescent="0.3">
      <c r="A33" s="344" t="s">
        <v>289</v>
      </c>
      <c r="B33" s="345"/>
      <c r="C33" s="346"/>
      <c r="D33" s="384">
        <f>D31+D32</f>
        <v>16772.483779999999</v>
      </c>
      <c r="E33" s="391"/>
      <c r="F33" s="349"/>
      <c r="G33" s="349"/>
      <c r="H33" s="384">
        <f>H31+H32</f>
        <v>17076.128339999999</v>
      </c>
      <c r="I33" s="386"/>
      <c r="J33" s="384">
        <f t="shared" si="1"/>
        <v>303.64456000000064</v>
      </c>
      <c r="K33" s="299">
        <f t="shared" si="0"/>
        <v>1.8103732517069135E-2</v>
      </c>
    </row>
    <row r="34" spans="1:11" ht="15.75" thickBot="1" x14ac:dyDescent="0.3">
      <c r="A34" s="318"/>
      <c r="B34" s="350"/>
      <c r="C34" s="351"/>
      <c r="D34" s="393"/>
      <c r="E34" s="394"/>
      <c r="F34" s="350"/>
      <c r="G34" s="355"/>
      <c r="H34" s="395"/>
      <c r="I34" s="394"/>
      <c r="J34" s="396"/>
      <c r="K34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K34"/>
  <sheetViews>
    <sheetView tabSelected="1" workbookViewId="0">
      <selection activeCell="D20" sqref="D20"/>
    </sheetView>
  </sheetViews>
  <sheetFormatPr defaultRowHeight="15" x14ac:dyDescent="0.25"/>
  <cols>
    <col min="1" max="1" width="54.140625" bestFit="1" customWidth="1"/>
    <col min="2" max="2" width="16.42578125" customWidth="1"/>
    <col min="3" max="3" width="9.85546875" bestFit="1" customWidth="1"/>
    <col min="4" max="4" width="12.7109375" bestFit="1" customWidth="1"/>
    <col min="6" max="6" width="14" bestFit="1" customWidth="1"/>
    <col min="7" max="7" width="9.85546875" bestFit="1" customWidth="1"/>
    <col min="8" max="8" width="12.7109375" bestFit="1" customWidth="1"/>
    <col min="10" max="10" width="11.570312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299</v>
      </c>
      <c r="C1" s="247"/>
      <c r="D1" s="247"/>
      <c r="E1" s="247"/>
      <c r="F1" s="366"/>
      <c r="G1" s="366"/>
      <c r="H1" s="366"/>
      <c r="I1" s="366"/>
      <c r="J1" s="366"/>
      <c r="K1" s="367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400000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>
        <v>2250</v>
      </c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259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6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Rates'!G81,2)</f>
        <v>1631.56</v>
      </c>
      <c r="C9" s="274">
        <v>1</v>
      </c>
      <c r="D9" s="339">
        <f>C9*B9</f>
        <v>1631.56</v>
      </c>
      <c r="E9" s="380"/>
      <c r="F9" s="273">
        <f>ROUND('January 01, 2016 Rates'!F81,2)</f>
        <v>1655.22</v>
      </c>
      <c r="G9" s="277">
        <f>C9</f>
        <v>1</v>
      </c>
      <c r="H9" s="339">
        <f>G9*F9</f>
        <v>1655.22</v>
      </c>
      <c r="I9" s="380"/>
      <c r="J9" s="381">
        <f>H9-D9</f>
        <v>23.660000000000082</v>
      </c>
      <c r="K9" s="279">
        <f t="shared" ref="K9:K33" si="0">IF((D9)=0,"",(J9/D9))</f>
        <v>1.4501458726617521E-2</v>
      </c>
    </row>
    <row r="10" spans="1:11" x14ac:dyDescent="0.25">
      <c r="A10" s="272" t="s">
        <v>26</v>
      </c>
      <c r="B10" s="280">
        <f>ROUND('January 01, 2016 Rates'!G83,4)</f>
        <v>2.2187000000000001</v>
      </c>
      <c r="C10" s="281">
        <f>+B5</f>
        <v>2250</v>
      </c>
      <c r="D10" s="339">
        <f>C10*B10</f>
        <v>4992.0749999999998</v>
      </c>
      <c r="E10" s="380"/>
      <c r="F10" s="280">
        <f>ROUND('January 01, 2016 Rates'!F83,4)</f>
        <v>2.2509000000000001</v>
      </c>
      <c r="G10" s="283">
        <f>C10</f>
        <v>2250</v>
      </c>
      <c r="H10" s="339">
        <f>G10*F10</f>
        <v>5064.5250000000005</v>
      </c>
      <c r="I10" s="380"/>
      <c r="J10" s="381">
        <f t="shared" ref="J10:J33" si="1">H10-D10</f>
        <v>72.450000000000728</v>
      </c>
      <c r="K10" s="279">
        <f t="shared" si="0"/>
        <v>1.4513003109929383E-2</v>
      </c>
    </row>
    <row r="11" spans="1:11" x14ac:dyDescent="0.25">
      <c r="A11" s="284" t="s">
        <v>269</v>
      </c>
      <c r="B11" s="285">
        <f>ROUND('January 01, 2016 Rates'!G87,4)</f>
        <v>0</v>
      </c>
      <c r="C11" s="286">
        <f>+B5</f>
        <v>2250</v>
      </c>
      <c r="D11" s="382">
        <f>C11*B11</f>
        <v>0</v>
      </c>
      <c r="E11" s="380"/>
      <c r="F11" s="285">
        <v>0</v>
      </c>
      <c r="G11" s="289">
        <f>C11</f>
        <v>2250</v>
      </c>
      <c r="H11" s="382">
        <f>G11*F11</f>
        <v>0</v>
      </c>
      <c r="I11" s="380"/>
      <c r="J11" s="383">
        <f t="shared" si="1"/>
        <v>0</v>
      </c>
      <c r="K11" s="291" t="str">
        <f t="shared" si="0"/>
        <v/>
      </c>
    </row>
    <row r="12" spans="1:11" x14ac:dyDescent="0.25">
      <c r="A12" s="292" t="s">
        <v>270</v>
      </c>
      <c r="B12" s="293"/>
      <c r="C12" s="294"/>
      <c r="D12" s="298">
        <f>SUM(D9:D11)</f>
        <v>6623.6350000000002</v>
      </c>
      <c r="E12" s="380"/>
      <c r="F12" s="293"/>
      <c r="G12" s="297"/>
      <c r="H12" s="298">
        <f>SUM(H9:H11)</f>
        <v>6719.7450000000008</v>
      </c>
      <c r="I12" s="380"/>
      <c r="J12" s="384">
        <f t="shared" si="1"/>
        <v>96.110000000000582</v>
      </c>
      <c r="K12" s="299">
        <f t="shared" si="0"/>
        <v>1.4510159451721084E-2</v>
      </c>
    </row>
    <row r="13" spans="1:11" x14ac:dyDescent="0.25">
      <c r="A13" s="300" t="s">
        <v>349</v>
      </c>
      <c r="B13" s="280">
        <f>ROUND('January 01, 2016 Rates'!G90+'January 01, 2016 Rates'!G85,4)</f>
        <v>0</v>
      </c>
      <c r="C13" s="301">
        <f>+B5</f>
        <v>2250</v>
      </c>
      <c r="D13" s="339">
        <f>C13*B13</f>
        <v>0</v>
      </c>
      <c r="E13" s="380"/>
      <c r="F13" s="280">
        <f>ROUND('January 01, 2016 Rates'!F84+'January 01, 2016 Rates'!F85+'January 01, 2016 Rates'!F87+'January 01, 2016 Rates'!F90+'January 01, 2016 Rates'!F88,4)</f>
        <v>1.2152000000000001</v>
      </c>
      <c r="G13" s="301">
        <f>C13</f>
        <v>2250</v>
      </c>
      <c r="H13" s="339">
        <f>G13*F13</f>
        <v>2734.2000000000003</v>
      </c>
      <c r="I13" s="380"/>
      <c r="J13" s="381">
        <f t="shared" si="1"/>
        <v>2734.2000000000003</v>
      </c>
      <c r="K13" s="279" t="str">
        <f t="shared" si="0"/>
        <v/>
      </c>
    </row>
    <row r="14" spans="1:11" x14ac:dyDescent="0.25">
      <c r="A14" s="302" t="s">
        <v>272</v>
      </c>
      <c r="B14" s="280">
        <f>ROUND('January 01, 2016 Rates'!G91,4)</f>
        <v>7.8399999999999997E-2</v>
      </c>
      <c r="C14" s="301">
        <f>+B5</f>
        <v>2250</v>
      </c>
      <c r="D14" s="339">
        <f>C14*B14</f>
        <v>176.4</v>
      </c>
      <c r="E14" s="380"/>
      <c r="F14" s="280">
        <f>ROUND('January 01, 2016 Rates'!F91,4)</f>
        <v>7.8399999999999997E-2</v>
      </c>
      <c r="G14" s="301">
        <f>C14</f>
        <v>2250</v>
      </c>
      <c r="H14" s="339">
        <f>G14*F14</f>
        <v>176.4</v>
      </c>
      <c r="I14" s="380"/>
      <c r="J14" s="381">
        <f t="shared" si="1"/>
        <v>0</v>
      </c>
      <c r="K14" s="279">
        <f t="shared" si="0"/>
        <v>0</v>
      </c>
    </row>
    <row r="15" spans="1:11" x14ac:dyDescent="0.25">
      <c r="A15" s="302" t="s">
        <v>273</v>
      </c>
      <c r="B15" s="280">
        <v>0</v>
      </c>
      <c r="C15" s="301">
        <v>1</v>
      </c>
      <c r="D15" s="339">
        <f>C15*B15</f>
        <v>0</v>
      </c>
      <c r="E15" s="380"/>
      <c r="F15" s="280">
        <v>0</v>
      </c>
      <c r="G15" s="301">
        <f>C15</f>
        <v>1</v>
      </c>
      <c r="H15" s="339">
        <f>G15*F15</f>
        <v>0</v>
      </c>
      <c r="I15" s="380"/>
      <c r="J15" s="381">
        <f t="shared" si="1"/>
        <v>0</v>
      </c>
      <c r="K15" s="279" t="str">
        <f t="shared" si="0"/>
        <v/>
      </c>
    </row>
    <row r="16" spans="1:11" x14ac:dyDescent="0.25">
      <c r="A16" s="302" t="s">
        <v>350</v>
      </c>
      <c r="B16" s="280">
        <v>0</v>
      </c>
      <c r="C16" s="301">
        <v>1</v>
      </c>
      <c r="D16" s="339">
        <f>C16*B16</f>
        <v>0</v>
      </c>
      <c r="E16" s="380"/>
      <c r="F16" s="273">
        <f>ROUND('January 01, 2016 Rates'!F82,2)</f>
        <v>75.28</v>
      </c>
      <c r="G16" s="301">
        <f>C16</f>
        <v>1</v>
      </c>
      <c r="H16" s="339">
        <f>G16*F16</f>
        <v>75.28</v>
      </c>
      <c r="I16" s="380"/>
      <c r="J16" s="381"/>
      <c r="K16" s="279"/>
    </row>
    <row r="17" spans="1:11" x14ac:dyDescent="0.25">
      <c r="A17" s="303" t="s">
        <v>274</v>
      </c>
      <c r="B17" s="304"/>
      <c r="C17" s="305"/>
      <c r="D17" s="309">
        <f>SUM(D12:D16)</f>
        <v>6800.0349999999999</v>
      </c>
      <c r="E17" s="380"/>
      <c r="F17" s="304"/>
      <c r="G17" s="308"/>
      <c r="H17" s="309">
        <f>SUM(H12:H16)</f>
        <v>9705.6250000000018</v>
      </c>
      <c r="I17" s="380"/>
      <c r="J17" s="385">
        <f t="shared" si="1"/>
        <v>2905.590000000002</v>
      </c>
      <c r="K17" s="310">
        <f t="shared" si="0"/>
        <v>0.42729044776975444</v>
      </c>
    </row>
    <row r="18" spans="1:11" x14ac:dyDescent="0.25">
      <c r="A18" s="311" t="s">
        <v>145</v>
      </c>
      <c r="B18" s="280">
        <f>ROUND('January 01, 2016 Rates'!G98,4)</f>
        <v>-0.4</v>
      </c>
      <c r="C18" s="312">
        <f>B5</f>
        <v>2250</v>
      </c>
      <c r="D18" s="339">
        <f>C18*B18</f>
        <v>-900</v>
      </c>
      <c r="E18" s="380"/>
      <c r="F18" s="280">
        <f>ROUND('January 01, 2016 Rates'!F98,4)</f>
        <v>-0.4</v>
      </c>
      <c r="G18" s="313">
        <f>C18</f>
        <v>2250</v>
      </c>
      <c r="H18" s="339">
        <f>G18*F18</f>
        <v>-900</v>
      </c>
      <c r="I18" s="380"/>
      <c r="J18" s="381">
        <f t="shared" ref="J18" si="2">H18-D18</f>
        <v>0</v>
      </c>
      <c r="K18" s="279">
        <f t="shared" ref="K18" si="3">IF((D18)=0,"",(J18/D18))</f>
        <v>0</v>
      </c>
    </row>
    <row r="19" spans="1:11" x14ac:dyDescent="0.25">
      <c r="A19" s="311" t="s">
        <v>275</v>
      </c>
      <c r="B19" s="280">
        <f>ROUND('January 01, 2016 Rates'!G92,4)</f>
        <v>2.8319999999999999</v>
      </c>
      <c r="C19" s="312">
        <f>+B5</f>
        <v>2250</v>
      </c>
      <c r="D19" s="339">
        <f>C19*B19</f>
        <v>6372</v>
      </c>
      <c r="E19" s="380"/>
      <c r="F19" s="280">
        <f>ROUND('January 01, 2016 Rates'!F92,4)</f>
        <v>2.7751999999999999</v>
      </c>
      <c r="G19" s="313">
        <f>C19</f>
        <v>2250</v>
      </c>
      <c r="H19" s="339">
        <f>G19*F19</f>
        <v>6244.2</v>
      </c>
      <c r="I19" s="380"/>
      <c r="J19" s="381">
        <f t="shared" si="1"/>
        <v>-127.80000000000018</v>
      </c>
      <c r="K19" s="279">
        <f t="shared" si="0"/>
        <v>-2.0056497175141273E-2</v>
      </c>
    </row>
    <row r="20" spans="1:11" x14ac:dyDescent="0.25">
      <c r="A20" s="314" t="s">
        <v>276</v>
      </c>
      <c r="B20" s="280">
        <f>ROUND('January 01, 2016 Rates'!G93,4)</f>
        <v>2.1488</v>
      </c>
      <c r="C20" s="312">
        <f>+B5</f>
        <v>2250</v>
      </c>
      <c r="D20" s="339">
        <f>C20*B20</f>
        <v>4834.8</v>
      </c>
      <c r="E20" s="380"/>
      <c r="F20" s="280">
        <f>ROUND('January 01, 2016 Rates'!F93,4)</f>
        <v>2.2117</v>
      </c>
      <c r="G20" s="313">
        <f>C20</f>
        <v>2250</v>
      </c>
      <c r="H20" s="339">
        <f>G20*F20</f>
        <v>4976.3249999999998</v>
      </c>
      <c r="I20" s="380"/>
      <c r="J20" s="381">
        <f t="shared" si="1"/>
        <v>141.52499999999964</v>
      </c>
      <c r="K20" s="279">
        <f t="shared" si="0"/>
        <v>2.9272151898734101E-2</v>
      </c>
    </row>
    <row r="21" spans="1:11" x14ac:dyDescent="0.25">
      <c r="A21" s="303" t="s">
        <v>277</v>
      </c>
      <c r="B21" s="304"/>
      <c r="C21" s="305"/>
      <c r="D21" s="309">
        <f>SUM(D17:D20)</f>
        <v>17106.834999999999</v>
      </c>
      <c r="E21" s="386"/>
      <c r="F21" s="387"/>
      <c r="G21" s="317"/>
      <c r="H21" s="309">
        <f>SUM(H17:H20)</f>
        <v>20026.150000000001</v>
      </c>
      <c r="I21" s="386"/>
      <c r="J21" s="385">
        <f t="shared" si="1"/>
        <v>2919.3150000000023</v>
      </c>
      <c r="K21" s="310">
        <f t="shared" si="0"/>
        <v>0.17065196455101148</v>
      </c>
    </row>
    <row r="22" spans="1:11" x14ac:dyDescent="0.25">
      <c r="A22" s="302" t="s">
        <v>278</v>
      </c>
      <c r="B22" s="280">
        <f>ROUND('January 01, 2016 Rates'!G94,4)</f>
        <v>4.4000000000000003E-3</v>
      </c>
      <c r="C22" s="312">
        <f>B3*(1+B2)</f>
        <v>414400</v>
      </c>
      <c r="D22" s="339">
        <f t="shared" ref="D22:D27" si="4">C22*B22</f>
        <v>1823.3600000000001</v>
      </c>
      <c r="E22" s="380"/>
      <c r="F22" s="280">
        <f>ROUND('January 01, 2016 Rates'!F94,4)</f>
        <v>4.4000000000000003E-3</v>
      </c>
      <c r="G22" s="313">
        <f>+C22</f>
        <v>414400</v>
      </c>
      <c r="H22" s="339">
        <f t="shared" ref="H22:H27" si="5">G22*F22</f>
        <v>1823.3600000000001</v>
      </c>
      <c r="I22" s="380"/>
      <c r="J22" s="381">
        <f t="shared" si="1"/>
        <v>0</v>
      </c>
      <c r="K22" s="279">
        <f t="shared" si="0"/>
        <v>0</v>
      </c>
    </row>
    <row r="23" spans="1:11" x14ac:dyDescent="0.25">
      <c r="A23" s="302" t="s">
        <v>279</v>
      </c>
      <c r="B23" s="280">
        <f>ROUND('January 01, 2016 Rates'!G95,4)</f>
        <v>1.2999999999999999E-3</v>
      </c>
      <c r="C23" s="312">
        <f>C22</f>
        <v>414400</v>
      </c>
      <c r="D23" s="339">
        <f t="shared" si="4"/>
        <v>538.72</v>
      </c>
      <c r="E23" s="380"/>
      <c r="F23" s="280">
        <f>ROUND('January 01, 2016 Rates'!F95,4)</f>
        <v>1.2999999999999999E-3</v>
      </c>
      <c r="G23" s="313">
        <f>+C23</f>
        <v>414400</v>
      </c>
      <c r="H23" s="339">
        <f t="shared" si="5"/>
        <v>538.72</v>
      </c>
      <c r="I23" s="380"/>
      <c r="J23" s="381">
        <f t="shared" si="1"/>
        <v>0</v>
      </c>
      <c r="K23" s="279">
        <f t="shared" si="0"/>
        <v>0</v>
      </c>
    </row>
    <row r="24" spans="1:11" x14ac:dyDescent="0.25">
      <c r="A24" s="302" t="s">
        <v>280</v>
      </c>
      <c r="B24" s="280">
        <f>ROUND('January 01, 2016 Rates'!G96,4)</f>
        <v>0.25</v>
      </c>
      <c r="C24" s="312">
        <v>1</v>
      </c>
      <c r="D24" s="339">
        <f t="shared" si="4"/>
        <v>0.25</v>
      </c>
      <c r="E24" s="380"/>
      <c r="F24" s="280">
        <f>ROUND('January 01, 2016 Rates'!F96,4)</f>
        <v>0.25</v>
      </c>
      <c r="G24" s="313">
        <f>C24</f>
        <v>1</v>
      </c>
      <c r="H24" s="339">
        <f t="shared" si="5"/>
        <v>0.25</v>
      </c>
      <c r="I24" s="380"/>
      <c r="J24" s="381">
        <f t="shared" si="1"/>
        <v>0</v>
      </c>
      <c r="K24" s="279">
        <f t="shared" si="0"/>
        <v>0</v>
      </c>
    </row>
    <row r="25" spans="1:11" x14ac:dyDescent="0.25">
      <c r="A25" s="302" t="s">
        <v>281</v>
      </c>
      <c r="B25" s="280">
        <f>ROUND('January 01, 2016 Rates'!G97,4)</f>
        <v>7.0000000000000001E-3</v>
      </c>
      <c r="C25" s="312">
        <f>+B3</f>
        <v>400000</v>
      </c>
      <c r="D25" s="339">
        <f t="shared" si="4"/>
        <v>2800</v>
      </c>
      <c r="E25" s="380"/>
      <c r="F25" s="280">
        <f>ROUND('January 01, 2016 Rates'!F97,4)</f>
        <v>7.0000000000000001E-3</v>
      </c>
      <c r="G25" s="313">
        <f>C25</f>
        <v>400000</v>
      </c>
      <c r="H25" s="339">
        <f t="shared" si="5"/>
        <v>2800</v>
      </c>
      <c r="I25" s="380"/>
      <c r="J25" s="381">
        <f t="shared" si="1"/>
        <v>0</v>
      </c>
      <c r="K25" s="279">
        <f t="shared" si="0"/>
        <v>0</v>
      </c>
    </row>
    <row r="26" spans="1:11" x14ac:dyDescent="0.25">
      <c r="A26" s="302" t="s">
        <v>295</v>
      </c>
      <c r="B26" s="280">
        <v>9.4E-2</v>
      </c>
      <c r="C26" s="312">
        <v>750</v>
      </c>
      <c r="D26" s="339">
        <f t="shared" si="4"/>
        <v>70.5</v>
      </c>
      <c r="E26" s="380"/>
      <c r="F26" s="280">
        <v>9.4E-2</v>
      </c>
      <c r="G26" s="312">
        <f>C26</f>
        <v>750</v>
      </c>
      <c r="H26" s="339">
        <f t="shared" si="5"/>
        <v>70.5</v>
      </c>
      <c r="I26" s="380"/>
      <c r="J26" s="381">
        <f t="shared" si="1"/>
        <v>0</v>
      </c>
      <c r="K26" s="279">
        <f t="shared" si="0"/>
        <v>0</v>
      </c>
    </row>
    <row r="27" spans="1:11" ht="15.75" thickBot="1" x14ac:dyDescent="0.3">
      <c r="A27" s="302" t="s">
        <v>295</v>
      </c>
      <c r="B27" s="280">
        <v>0.11</v>
      </c>
      <c r="C27" s="312">
        <f>+ROUND(C22-C26,0)</f>
        <v>413650</v>
      </c>
      <c r="D27" s="339">
        <f t="shared" si="4"/>
        <v>45501.5</v>
      </c>
      <c r="E27" s="380"/>
      <c r="F27" s="280">
        <v>0.11</v>
      </c>
      <c r="G27" s="312">
        <f>C27</f>
        <v>413650</v>
      </c>
      <c r="H27" s="339">
        <f t="shared" si="5"/>
        <v>45501.5</v>
      </c>
      <c r="I27" s="380"/>
      <c r="J27" s="381">
        <f t="shared" si="1"/>
        <v>0</v>
      </c>
      <c r="K27" s="279">
        <f t="shared" si="0"/>
        <v>0</v>
      </c>
    </row>
    <row r="28" spans="1:11" ht="15.75" thickBot="1" x14ac:dyDescent="0.3">
      <c r="A28" s="318"/>
      <c r="B28" s="319"/>
      <c r="C28" s="320"/>
      <c r="D28" s="323"/>
      <c r="E28" s="380"/>
      <c r="F28" s="388"/>
      <c r="G28" s="322"/>
      <c r="H28" s="323"/>
      <c r="I28" s="380"/>
      <c r="J28" s="389"/>
      <c r="K28" s="324"/>
    </row>
    <row r="29" spans="1:11" x14ac:dyDescent="0.25">
      <c r="A29" s="325" t="s">
        <v>285</v>
      </c>
      <c r="B29" s="326"/>
      <c r="C29" s="327"/>
      <c r="D29" s="390">
        <f>SUM(D21:D27)</f>
        <v>67841.165000000008</v>
      </c>
      <c r="E29" s="391"/>
      <c r="F29" s="331"/>
      <c r="G29" s="331"/>
      <c r="H29" s="390">
        <f>SUM(H21:H27)</f>
        <v>70760.48000000001</v>
      </c>
      <c r="I29" s="386"/>
      <c r="J29" s="390">
        <f>H29-D29</f>
        <v>2919.3150000000023</v>
      </c>
      <c r="K29" s="333">
        <f>IF((D29)=0,"",(J29/D29))</f>
        <v>4.3031616570853436E-2</v>
      </c>
    </row>
    <row r="30" spans="1:11" x14ac:dyDescent="0.25">
      <c r="A30" s="334" t="s">
        <v>286</v>
      </c>
      <c r="B30" s="326">
        <v>0.13</v>
      </c>
      <c r="C30" s="335"/>
      <c r="D30" s="392">
        <f>D29*B30</f>
        <v>8819.3514500000019</v>
      </c>
      <c r="E30" s="335"/>
      <c r="F30" s="326">
        <v>0.13</v>
      </c>
      <c r="G30" s="337"/>
      <c r="H30" s="392">
        <f>H29*F30</f>
        <v>9198.8624000000018</v>
      </c>
      <c r="I30" s="380"/>
      <c r="J30" s="392">
        <f t="shared" si="1"/>
        <v>379.51094999999987</v>
      </c>
      <c r="K30" s="340">
        <f t="shared" si="0"/>
        <v>4.303161657085338E-2</v>
      </c>
    </row>
    <row r="31" spans="1:11" x14ac:dyDescent="0.25">
      <c r="A31" s="341" t="s">
        <v>287</v>
      </c>
      <c r="B31" s="337"/>
      <c r="C31" s="335"/>
      <c r="D31" s="392">
        <f>D29+D30</f>
        <v>76660.51645000001</v>
      </c>
      <c r="E31" s="335"/>
      <c r="F31" s="337"/>
      <c r="G31" s="337"/>
      <c r="H31" s="392">
        <f>H29+H30</f>
        <v>79959.342400000009</v>
      </c>
      <c r="I31" s="380"/>
      <c r="J31" s="392">
        <f t="shared" si="1"/>
        <v>3298.8259499999986</v>
      </c>
      <c r="K31" s="340">
        <f t="shared" si="0"/>
        <v>4.303161657085338E-2</v>
      </c>
    </row>
    <row r="32" spans="1:11" x14ac:dyDescent="0.25">
      <c r="A32" s="343" t="s">
        <v>288</v>
      </c>
      <c r="B32" s="337"/>
      <c r="C32" s="335"/>
      <c r="D32" s="392">
        <v>0</v>
      </c>
      <c r="E32" s="335"/>
      <c r="F32" s="337"/>
      <c r="G32" s="337"/>
      <c r="H32" s="392">
        <v>0</v>
      </c>
      <c r="I32" s="380"/>
      <c r="J32" s="392">
        <f t="shared" si="1"/>
        <v>0</v>
      </c>
      <c r="K32" s="340" t="str">
        <f t="shared" si="0"/>
        <v/>
      </c>
    </row>
    <row r="33" spans="1:11" ht="15.75" thickBot="1" x14ac:dyDescent="0.3">
      <c r="A33" s="344" t="s">
        <v>289</v>
      </c>
      <c r="B33" s="345"/>
      <c r="C33" s="346"/>
      <c r="D33" s="384">
        <f>D31+D32</f>
        <v>76660.51645000001</v>
      </c>
      <c r="E33" s="391"/>
      <c r="F33" s="349"/>
      <c r="G33" s="349"/>
      <c r="H33" s="384">
        <f>H31+H32</f>
        <v>79959.342400000009</v>
      </c>
      <c r="I33" s="386"/>
      <c r="J33" s="384">
        <f t="shared" si="1"/>
        <v>3298.8259499999986</v>
      </c>
      <c r="K33" s="299">
        <f t="shared" si="0"/>
        <v>4.303161657085338E-2</v>
      </c>
    </row>
    <row r="34" spans="1:11" ht="15.75" thickBot="1" x14ac:dyDescent="0.3">
      <c r="A34" s="318"/>
      <c r="B34" s="350"/>
      <c r="C34" s="351"/>
      <c r="D34" s="393"/>
      <c r="E34" s="394"/>
      <c r="F34" s="350"/>
      <c r="G34" s="355"/>
      <c r="H34" s="395"/>
      <c r="I34" s="394"/>
      <c r="J34" s="396"/>
      <c r="K34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4"/>
  <sheetViews>
    <sheetView workbookViewId="0">
      <selection activeCell="F16" sqref="F16"/>
    </sheetView>
  </sheetViews>
  <sheetFormatPr defaultRowHeight="15" x14ac:dyDescent="0.25"/>
  <cols>
    <col min="1" max="1" width="54.140625" bestFit="1" customWidth="1"/>
    <col min="2" max="2" width="16.42578125" customWidth="1"/>
    <col min="3" max="3" width="9.85546875" bestFit="1" customWidth="1"/>
    <col min="4" max="4" width="12.7109375" bestFit="1" customWidth="1"/>
    <col min="6" max="6" width="14" bestFit="1" customWidth="1"/>
    <col min="7" max="7" width="9.85546875" bestFit="1" customWidth="1"/>
    <col min="8" max="8" width="12.7109375" bestFit="1" customWidth="1"/>
    <col min="10" max="10" width="11.570312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299</v>
      </c>
      <c r="C1" s="247"/>
      <c r="D1" s="247"/>
      <c r="E1" s="247"/>
      <c r="F1" s="366"/>
      <c r="G1" s="366"/>
      <c r="H1" s="366"/>
      <c r="I1" s="366"/>
      <c r="J1" s="366"/>
      <c r="K1" s="368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400000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>
        <v>2250</v>
      </c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259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6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Rates'!G81,2)</f>
        <v>1631.56</v>
      </c>
      <c r="C9" s="274">
        <v>1</v>
      </c>
      <c r="D9" s="339">
        <f>C9*B9</f>
        <v>1631.56</v>
      </c>
      <c r="E9" s="380"/>
      <c r="F9" s="273">
        <f>ROUND('January 01, 2016 Rates'!F81,2)</f>
        <v>1655.22</v>
      </c>
      <c r="G9" s="277">
        <f>C9</f>
        <v>1</v>
      </c>
      <c r="H9" s="339">
        <f>G9*F9</f>
        <v>1655.22</v>
      </c>
      <c r="I9" s="380"/>
      <c r="J9" s="381">
        <f>H9-D9</f>
        <v>23.660000000000082</v>
      </c>
      <c r="K9" s="279">
        <f t="shared" ref="K9:K33" si="0">IF((D9)=0,"",(J9/D9))</f>
        <v>1.4501458726617521E-2</v>
      </c>
    </row>
    <row r="10" spans="1:11" x14ac:dyDescent="0.25">
      <c r="A10" s="272" t="s">
        <v>26</v>
      </c>
      <c r="B10" s="280">
        <f>ROUND('January 01, 2016 Rates'!G83,4)</f>
        <v>2.2187000000000001</v>
      </c>
      <c r="C10" s="281">
        <f>+B5</f>
        <v>2250</v>
      </c>
      <c r="D10" s="339">
        <f>C10*B10</f>
        <v>4992.0749999999998</v>
      </c>
      <c r="E10" s="380"/>
      <c r="F10" s="280">
        <f>ROUND('January 01, 2016 Rates'!F83,4)</f>
        <v>2.2509000000000001</v>
      </c>
      <c r="G10" s="283">
        <f>C10</f>
        <v>2250</v>
      </c>
      <c r="H10" s="339">
        <f>G10*F10</f>
        <v>5064.5250000000005</v>
      </c>
      <c r="I10" s="380"/>
      <c r="J10" s="381">
        <f t="shared" ref="J10:J33" si="1">H10-D10</f>
        <v>72.450000000000728</v>
      </c>
      <c r="K10" s="279">
        <f t="shared" si="0"/>
        <v>1.4513003109929383E-2</v>
      </c>
    </row>
    <row r="11" spans="1:11" x14ac:dyDescent="0.25">
      <c r="A11" s="284" t="s">
        <v>269</v>
      </c>
      <c r="B11" s="285">
        <f>ROUND('January 01, 2016 Rates'!G87,4)</f>
        <v>0</v>
      </c>
      <c r="C11" s="286">
        <f>+B5</f>
        <v>2250</v>
      </c>
      <c r="D11" s="382">
        <f>C11*B11</f>
        <v>0</v>
      </c>
      <c r="E11" s="380"/>
      <c r="F11" s="285">
        <v>0</v>
      </c>
      <c r="G11" s="289">
        <f>C11</f>
        <v>2250</v>
      </c>
      <c r="H11" s="382">
        <f>G11*F11</f>
        <v>0</v>
      </c>
      <c r="I11" s="380"/>
      <c r="J11" s="383">
        <f t="shared" si="1"/>
        <v>0</v>
      </c>
      <c r="K11" s="291" t="str">
        <f t="shared" si="0"/>
        <v/>
      </c>
    </row>
    <row r="12" spans="1:11" x14ac:dyDescent="0.25">
      <c r="A12" s="292" t="s">
        <v>270</v>
      </c>
      <c r="B12" s="293"/>
      <c r="C12" s="294"/>
      <c r="D12" s="298">
        <f>SUM(D9:D11)</f>
        <v>6623.6350000000002</v>
      </c>
      <c r="E12" s="380"/>
      <c r="F12" s="293"/>
      <c r="G12" s="297"/>
      <c r="H12" s="298">
        <f>SUM(H9:H11)</f>
        <v>6719.7450000000008</v>
      </c>
      <c r="I12" s="380"/>
      <c r="J12" s="384">
        <f t="shared" si="1"/>
        <v>96.110000000000582</v>
      </c>
      <c r="K12" s="299">
        <f t="shared" si="0"/>
        <v>1.4510159451721084E-2</v>
      </c>
    </row>
    <row r="13" spans="1:11" x14ac:dyDescent="0.25">
      <c r="A13" s="300" t="s">
        <v>349</v>
      </c>
      <c r="B13" s="280">
        <f>ROUND('January 01, 2016 Rates'!G90+'January 01, 2016 Rates'!G85,4)</f>
        <v>0</v>
      </c>
      <c r="C13" s="301">
        <f>+B5</f>
        <v>2250</v>
      </c>
      <c r="D13" s="339">
        <f>C13*B13</f>
        <v>0</v>
      </c>
      <c r="E13" s="380"/>
      <c r="F13" s="280">
        <f>ROUND('January 01, 2016 Rates'!F84+'January 01, 2016 Rates'!F87+'January 01, 2016 Rates'!F88,4)</f>
        <v>0.72570000000000001</v>
      </c>
      <c r="G13" s="301">
        <f>C13</f>
        <v>2250</v>
      </c>
      <c r="H13" s="339">
        <f>G13*F13</f>
        <v>1632.825</v>
      </c>
      <c r="I13" s="380"/>
      <c r="J13" s="381">
        <f t="shared" si="1"/>
        <v>1632.825</v>
      </c>
      <c r="K13" s="279" t="str">
        <f t="shared" si="0"/>
        <v/>
      </c>
    </row>
    <row r="14" spans="1:11" x14ac:dyDescent="0.25">
      <c r="A14" s="302" t="s">
        <v>272</v>
      </c>
      <c r="B14" s="280">
        <f>ROUND('January 01, 2016 Rates'!G91,4)</f>
        <v>7.8399999999999997E-2</v>
      </c>
      <c r="C14" s="301">
        <f>+B5</f>
        <v>2250</v>
      </c>
      <c r="D14" s="339">
        <f>C14*B14</f>
        <v>176.4</v>
      </c>
      <c r="E14" s="380"/>
      <c r="F14" s="280">
        <f>ROUND('January 01, 2016 Rates'!F91,4)</f>
        <v>7.8399999999999997E-2</v>
      </c>
      <c r="G14" s="301">
        <f>C14</f>
        <v>2250</v>
      </c>
      <c r="H14" s="339">
        <f>G14*F14</f>
        <v>176.4</v>
      </c>
      <c r="I14" s="380"/>
      <c r="J14" s="381">
        <f t="shared" si="1"/>
        <v>0</v>
      </c>
      <c r="K14" s="279">
        <f t="shared" si="0"/>
        <v>0</v>
      </c>
    </row>
    <row r="15" spans="1:11" x14ac:dyDescent="0.25">
      <c r="A15" s="302" t="s">
        <v>273</v>
      </c>
      <c r="B15" s="280">
        <v>0</v>
      </c>
      <c r="C15" s="301">
        <v>1</v>
      </c>
      <c r="D15" s="339">
        <f>C15*B15</f>
        <v>0</v>
      </c>
      <c r="E15" s="380"/>
      <c r="F15" s="280">
        <v>0</v>
      </c>
      <c r="G15" s="301">
        <f>C15</f>
        <v>1</v>
      </c>
      <c r="H15" s="339">
        <f>G15*F15</f>
        <v>0</v>
      </c>
      <c r="I15" s="380"/>
      <c r="J15" s="381">
        <f t="shared" si="1"/>
        <v>0</v>
      </c>
      <c r="K15" s="279" t="str">
        <f t="shared" si="0"/>
        <v/>
      </c>
    </row>
    <row r="16" spans="1:11" x14ac:dyDescent="0.25">
      <c r="A16" s="302" t="s">
        <v>350</v>
      </c>
      <c r="B16" s="280">
        <v>0</v>
      </c>
      <c r="C16" s="301">
        <v>1</v>
      </c>
      <c r="D16" s="339">
        <f>C16*B16</f>
        <v>0</v>
      </c>
      <c r="E16" s="380"/>
      <c r="F16" s="273">
        <f>ROUND('January 01, 2016 Rates'!F82,2)</f>
        <v>75.28</v>
      </c>
      <c r="G16" s="301">
        <f>C16</f>
        <v>1</v>
      </c>
      <c r="H16" s="339">
        <f>G16*F16</f>
        <v>75.28</v>
      </c>
      <c r="I16" s="380"/>
      <c r="J16" s="381"/>
      <c r="K16" s="279"/>
    </row>
    <row r="17" spans="1:11" x14ac:dyDescent="0.25">
      <c r="A17" s="303" t="s">
        <v>274</v>
      </c>
      <c r="B17" s="304"/>
      <c r="C17" s="305"/>
      <c r="D17" s="309">
        <f>SUM(D12:D16)</f>
        <v>6800.0349999999999</v>
      </c>
      <c r="E17" s="380"/>
      <c r="F17" s="304"/>
      <c r="G17" s="308"/>
      <c r="H17" s="309">
        <f>SUM(H12:H16)</f>
        <v>8604.2500000000018</v>
      </c>
      <c r="I17" s="380"/>
      <c r="J17" s="385">
        <f t="shared" si="1"/>
        <v>1804.215000000002</v>
      </c>
      <c r="K17" s="310">
        <f t="shared" si="0"/>
        <v>0.26532436965398004</v>
      </c>
    </row>
    <row r="18" spans="1:11" x14ac:dyDescent="0.25">
      <c r="A18" s="311" t="s">
        <v>145</v>
      </c>
      <c r="B18" s="280">
        <f>ROUND('January 01, 2016 Rates'!G98,4)</f>
        <v>-0.4</v>
      </c>
      <c r="C18" s="312">
        <f>B5</f>
        <v>2250</v>
      </c>
      <c r="D18" s="339">
        <f>C18*B18</f>
        <v>-900</v>
      </c>
      <c r="E18" s="380"/>
      <c r="F18" s="280">
        <f>ROUND('January 01, 2016 Rates'!F98,4)</f>
        <v>-0.4</v>
      </c>
      <c r="G18" s="313">
        <f>C18</f>
        <v>2250</v>
      </c>
      <c r="H18" s="339">
        <f>G18*F18</f>
        <v>-900</v>
      </c>
      <c r="I18" s="380"/>
      <c r="J18" s="381">
        <f t="shared" si="1"/>
        <v>0</v>
      </c>
      <c r="K18" s="279">
        <f t="shared" si="0"/>
        <v>0</v>
      </c>
    </row>
    <row r="19" spans="1:11" x14ac:dyDescent="0.25">
      <c r="A19" s="311" t="s">
        <v>275</v>
      </c>
      <c r="B19" s="280">
        <f>ROUND('January 01, 2016 Rates'!G92,4)</f>
        <v>2.8319999999999999</v>
      </c>
      <c r="C19" s="312">
        <f>+B5</f>
        <v>2250</v>
      </c>
      <c r="D19" s="339">
        <f>C19*B19</f>
        <v>6372</v>
      </c>
      <c r="E19" s="380"/>
      <c r="F19" s="280">
        <f>ROUND('January 01, 2016 Rates'!F92,4)</f>
        <v>2.7751999999999999</v>
      </c>
      <c r="G19" s="313">
        <f>C19</f>
        <v>2250</v>
      </c>
      <c r="H19" s="339">
        <f>G19*F19</f>
        <v>6244.2</v>
      </c>
      <c r="I19" s="380"/>
      <c r="J19" s="381">
        <f t="shared" si="1"/>
        <v>-127.80000000000018</v>
      </c>
      <c r="K19" s="279">
        <f t="shared" si="0"/>
        <v>-2.0056497175141273E-2</v>
      </c>
    </row>
    <row r="20" spans="1:11" x14ac:dyDescent="0.25">
      <c r="A20" s="314" t="s">
        <v>276</v>
      </c>
      <c r="B20" s="280">
        <f>ROUND('January 01, 2016 Rates'!G93,4)</f>
        <v>2.1488</v>
      </c>
      <c r="C20" s="312">
        <f>+B5</f>
        <v>2250</v>
      </c>
      <c r="D20" s="339">
        <f>C20*B20</f>
        <v>4834.8</v>
      </c>
      <c r="E20" s="380"/>
      <c r="F20" s="280">
        <f>ROUND('January 01, 2016 Rates'!F93,4)</f>
        <v>2.2117</v>
      </c>
      <c r="G20" s="313">
        <f>C20</f>
        <v>2250</v>
      </c>
      <c r="H20" s="339">
        <f>G20*F20</f>
        <v>4976.3249999999998</v>
      </c>
      <c r="I20" s="380"/>
      <c r="J20" s="381">
        <f t="shared" si="1"/>
        <v>141.52499999999964</v>
      </c>
      <c r="K20" s="279">
        <f t="shared" si="0"/>
        <v>2.9272151898734101E-2</v>
      </c>
    </row>
    <row r="21" spans="1:11" x14ac:dyDescent="0.25">
      <c r="A21" s="303" t="s">
        <v>277</v>
      </c>
      <c r="B21" s="304"/>
      <c r="C21" s="305"/>
      <c r="D21" s="309">
        <f>SUM(D17:D20)</f>
        <v>17106.834999999999</v>
      </c>
      <c r="E21" s="386"/>
      <c r="F21" s="387"/>
      <c r="G21" s="317"/>
      <c r="H21" s="309">
        <f>SUM(H17:H20)</f>
        <v>18924.775000000001</v>
      </c>
      <c r="I21" s="386"/>
      <c r="J21" s="385">
        <f t="shared" si="1"/>
        <v>1817.9400000000023</v>
      </c>
      <c r="K21" s="310">
        <f t="shared" si="0"/>
        <v>0.10626980385325528</v>
      </c>
    </row>
    <row r="22" spans="1:11" x14ac:dyDescent="0.25">
      <c r="A22" s="302" t="s">
        <v>278</v>
      </c>
      <c r="B22" s="280">
        <f>ROUND('January 01, 2016 Rates'!G94,4)</f>
        <v>4.4000000000000003E-3</v>
      </c>
      <c r="C22" s="312">
        <f>B3*(1+B2)</f>
        <v>414400</v>
      </c>
      <c r="D22" s="339">
        <f t="shared" ref="D22:D27" si="2">C22*B22</f>
        <v>1823.3600000000001</v>
      </c>
      <c r="E22" s="380"/>
      <c r="F22" s="280">
        <f>ROUND('January 01, 2016 Rates'!F94,4)</f>
        <v>4.4000000000000003E-3</v>
      </c>
      <c r="G22" s="313">
        <f>+C22</f>
        <v>414400</v>
      </c>
      <c r="H22" s="339">
        <f t="shared" ref="H22:H27" si="3">G22*F22</f>
        <v>1823.3600000000001</v>
      </c>
      <c r="I22" s="380"/>
      <c r="J22" s="381">
        <f t="shared" si="1"/>
        <v>0</v>
      </c>
      <c r="K22" s="279">
        <f t="shared" si="0"/>
        <v>0</v>
      </c>
    </row>
    <row r="23" spans="1:11" x14ac:dyDescent="0.25">
      <c r="A23" s="302" t="s">
        <v>279</v>
      </c>
      <c r="B23" s="280">
        <f>ROUND('January 01, 2016 Rates'!G95,4)</f>
        <v>1.2999999999999999E-3</v>
      </c>
      <c r="C23" s="312">
        <f>C22</f>
        <v>414400</v>
      </c>
      <c r="D23" s="339">
        <f t="shared" si="2"/>
        <v>538.72</v>
      </c>
      <c r="E23" s="380"/>
      <c r="F23" s="280">
        <f>ROUND('January 01, 2016 Rates'!F95,4)</f>
        <v>1.2999999999999999E-3</v>
      </c>
      <c r="G23" s="313">
        <f>+C23</f>
        <v>414400</v>
      </c>
      <c r="H23" s="339">
        <f t="shared" si="3"/>
        <v>538.72</v>
      </c>
      <c r="I23" s="380"/>
      <c r="J23" s="381">
        <f t="shared" si="1"/>
        <v>0</v>
      </c>
      <c r="K23" s="279">
        <f t="shared" si="0"/>
        <v>0</v>
      </c>
    </row>
    <row r="24" spans="1:11" x14ac:dyDescent="0.25">
      <c r="A24" s="302" t="s">
        <v>280</v>
      </c>
      <c r="B24" s="280">
        <f>ROUND('January 01, 2016 Rates'!G96,4)</f>
        <v>0.25</v>
      </c>
      <c r="C24" s="312">
        <v>1</v>
      </c>
      <c r="D24" s="339">
        <f t="shared" si="2"/>
        <v>0.25</v>
      </c>
      <c r="E24" s="380"/>
      <c r="F24" s="280">
        <f>ROUND('January 01, 2016 Rates'!F96,4)</f>
        <v>0.25</v>
      </c>
      <c r="G24" s="313">
        <f>C24</f>
        <v>1</v>
      </c>
      <c r="H24" s="339">
        <f t="shared" si="3"/>
        <v>0.25</v>
      </c>
      <c r="I24" s="380"/>
      <c r="J24" s="381">
        <f t="shared" si="1"/>
        <v>0</v>
      </c>
      <c r="K24" s="279">
        <f t="shared" si="0"/>
        <v>0</v>
      </c>
    </row>
    <row r="25" spans="1:11" x14ac:dyDescent="0.25">
      <c r="A25" s="302" t="s">
        <v>281</v>
      </c>
      <c r="B25" s="280">
        <f>ROUND('January 01, 2016 Rates'!G97,4)</f>
        <v>7.0000000000000001E-3</v>
      </c>
      <c r="C25" s="312">
        <f>+B3</f>
        <v>400000</v>
      </c>
      <c r="D25" s="339">
        <f t="shared" si="2"/>
        <v>2800</v>
      </c>
      <c r="E25" s="380"/>
      <c r="F25" s="280">
        <f>ROUND('January 01, 2016 Rates'!F97,4)</f>
        <v>7.0000000000000001E-3</v>
      </c>
      <c r="G25" s="313">
        <f>C25</f>
        <v>400000</v>
      </c>
      <c r="H25" s="339">
        <f t="shared" si="3"/>
        <v>2800</v>
      </c>
      <c r="I25" s="380"/>
      <c r="J25" s="381">
        <f t="shared" si="1"/>
        <v>0</v>
      </c>
      <c r="K25" s="279">
        <f t="shared" si="0"/>
        <v>0</v>
      </c>
    </row>
    <row r="26" spans="1:11" x14ac:dyDescent="0.25">
      <c r="A26" s="302" t="s">
        <v>295</v>
      </c>
      <c r="B26" s="280">
        <v>9.4E-2</v>
      </c>
      <c r="C26" s="312">
        <v>750</v>
      </c>
      <c r="D26" s="339">
        <f t="shared" si="2"/>
        <v>70.5</v>
      </c>
      <c r="E26" s="380"/>
      <c r="F26" s="280">
        <v>9.4E-2</v>
      </c>
      <c r="G26" s="312">
        <f>C26</f>
        <v>750</v>
      </c>
      <c r="H26" s="339">
        <f t="shared" si="3"/>
        <v>70.5</v>
      </c>
      <c r="I26" s="380"/>
      <c r="J26" s="381">
        <f t="shared" si="1"/>
        <v>0</v>
      </c>
      <c r="K26" s="279">
        <f t="shared" si="0"/>
        <v>0</v>
      </c>
    </row>
    <row r="27" spans="1:11" ht="15.75" thickBot="1" x14ac:dyDescent="0.3">
      <c r="A27" s="302" t="s">
        <v>295</v>
      </c>
      <c r="B27" s="280">
        <v>0.11</v>
      </c>
      <c r="C27" s="312">
        <f>+ROUND(C22-C26,0)</f>
        <v>413650</v>
      </c>
      <c r="D27" s="339">
        <f t="shared" si="2"/>
        <v>45501.5</v>
      </c>
      <c r="E27" s="380"/>
      <c r="F27" s="280">
        <v>0.11</v>
      </c>
      <c r="G27" s="312">
        <f>C27</f>
        <v>413650</v>
      </c>
      <c r="H27" s="339">
        <f t="shared" si="3"/>
        <v>45501.5</v>
      </c>
      <c r="I27" s="380"/>
      <c r="J27" s="381">
        <f t="shared" si="1"/>
        <v>0</v>
      </c>
      <c r="K27" s="279">
        <f t="shared" si="0"/>
        <v>0</v>
      </c>
    </row>
    <row r="28" spans="1:11" ht="15.75" thickBot="1" x14ac:dyDescent="0.3">
      <c r="A28" s="318"/>
      <c r="B28" s="319"/>
      <c r="C28" s="320"/>
      <c r="D28" s="323"/>
      <c r="E28" s="380"/>
      <c r="F28" s="388"/>
      <c r="G28" s="322"/>
      <c r="H28" s="323"/>
      <c r="I28" s="380"/>
      <c r="J28" s="389"/>
      <c r="K28" s="324"/>
    </row>
    <row r="29" spans="1:11" x14ac:dyDescent="0.25">
      <c r="A29" s="325" t="s">
        <v>285</v>
      </c>
      <c r="B29" s="326"/>
      <c r="C29" s="327"/>
      <c r="D29" s="390">
        <f>SUM(D21:D27)</f>
        <v>67841.165000000008</v>
      </c>
      <c r="E29" s="391"/>
      <c r="F29" s="331"/>
      <c r="G29" s="331"/>
      <c r="H29" s="390">
        <f>SUM(H21:H27)</f>
        <v>69659.10500000001</v>
      </c>
      <c r="I29" s="386"/>
      <c r="J29" s="390">
        <f>H29-D29</f>
        <v>1817.9400000000023</v>
      </c>
      <c r="K29" s="333">
        <f>IF((D29)=0,"",(J29/D29))</f>
        <v>2.6797004444130669E-2</v>
      </c>
    </row>
    <row r="30" spans="1:11" x14ac:dyDescent="0.25">
      <c r="A30" s="334" t="s">
        <v>286</v>
      </c>
      <c r="B30" s="326">
        <v>0.13</v>
      </c>
      <c r="C30" s="335"/>
      <c r="D30" s="392">
        <f>D29*B30</f>
        <v>8819.3514500000019</v>
      </c>
      <c r="E30" s="335"/>
      <c r="F30" s="326">
        <v>0.13</v>
      </c>
      <c r="G30" s="337"/>
      <c r="H30" s="392">
        <f>H29*F30</f>
        <v>9055.6836500000009</v>
      </c>
      <c r="I30" s="380"/>
      <c r="J30" s="392">
        <f t="shared" si="1"/>
        <v>236.33219999999892</v>
      </c>
      <c r="K30" s="340">
        <f t="shared" si="0"/>
        <v>2.6797004444130513E-2</v>
      </c>
    </row>
    <row r="31" spans="1:11" x14ac:dyDescent="0.25">
      <c r="A31" s="341" t="s">
        <v>287</v>
      </c>
      <c r="B31" s="337"/>
      <c r="C31" s="335"/>
      <c r="D31" s="392">
        <f>D29+D30</f>
        <v>76660.51645000001</v>
      </c>
      <c r="E31" s="335"/>
      <c r="F31" s="337"/>
      <c r="G31" s="337"/>
      <c r="H31" s="392">
        <f>H29+H30</f>
        <v>78714.788650000017</v>
      </c>
      <c r="I31" s="380"/>
      <c r="J31" s="392">
        <f t="shared" si="1"/>
        <v>2054.2722000000067</v>
      </c>
      <c r="K31" s="340">
        <f t="shared" si="0"/>
        <v>2.6797004444130725E-2</v>
      </c>
    </row>
    <row r="32" spans="1:11" x14ac:dyDescent="0.25">
      <c r="A32" s="343" t="s">
        <v>288</v>
      </c>
      <c r="B32" s="337"/>
      <c r="C32" s="335"/>
      <c r="D32" s="392">
        <v>0</v>
      </c>
      <c r="E32" s="335"/>
      <c r="F32" s="337"/>
      <c r="G32" s="337"/>
      <c r="H32" s="392">
        <v>0</v>
      </c>
      <c r="I32" s="380"/>
      <c r="J32" s="392">
        <f t="shared" si="1"/>
        <v>0</v>
      </c>
      <c r="K32" s="340" t="str">
        <f t="shared" si="0"/>
        <v/>
      </c>
    </row>
    <row r="33" spans="1:11" ht="15.75" thickBot="1" x14ac:dyDescent="0.3">
      <c r="A33" s="344" t="s">
        <v>289</v>
      </c>
      <c r="B33" s="345"/>
      <c r="C33" s="346"/>
      <c r="D33" s="384">
        <f>D31+D32</f>
        <v>76660.51645000001</v>
      </c>
      <c r="E33" s="391"/>
      <c r="F33" s="349"/>
      <c r="G33" s="349"/>
      <c r="H33" s="384">
        <f>H31+H32</f>
        <v>78714.788650000017</v>
      </c>
      <c r="I33" s="386"/>
      <c r="J33" s="384">
        <f t="shared" si="1"/>
        <v>2054.2722000000067</v>
      </c>
      <c r="K33" s="299">
        <f t="shared" si="0"/>
        <v>2.6797004444130725E-2</v>
      </c>
    </row>
    <row r="34" spans="1:11" ht="15.75" thickBot="1" x14ac:dyDescent="0.3">
      <c r="A34" s="318"/>
      <c r="B34" s="350"/>
      <c r="C34" s="351"/>
      <c r="D34" s="393"/>
      <c r="E34" s="394"/>
      <c r="F34" s="350"/>
      <c r="G34" s="355"/>
      <c r="H34" s="395"/>
      <c r="I34" s="394"/>
      <c r="J34" s="396"/>
      <c r="K34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2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K34"/>
  <sheetViews>
    <sheetView tabSelected="1" workbookViewId="0">
      <selection activeCell="D20" sqref="D20"/>
    </sheetView>
  </sheetViews>
  <sheetFormatPr defaultRowHeight="15" x14ac:dyDescent="0.25"/>
  <cols>
    <col min="1" max="1" width="54.140625" bestFit="1" customWidth="1"/>
    <col min="2" max="2" width="16.42578125" customWidth="1"/>
    <col min="3" max="3" width="9.85546875" bestFit="1" customWidth="1"/>
    <col min="4" max="4" width="12.7109375" bestFit="1" customWidth="1"/>
    <col min="6" max="6" width="14" bestFit="1" customWidth="1"/>
    <col min="7" max="7" width="9.85546875" bestFit="1" customWidth="1"/>
    <col min="8" max="8" width="12.7109375" bestFit="1" customWidth="1"/>
    <col min="10" max="10" width="11.570312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300</v>
      </c>
      <c r="C1" s="247"/>
      <c r="D1" s="247"/>
      <c r="E1" s="247"/>
      <c r="F1" s="366"/>
      <c r="G1" s="366"/>
      <c r="H1" s="366"/>
      <c r="I1" s="366"/>
      <c r="J1" s="366"/>
      <c r="K1" s="367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400000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>
        <v>2250</v>
      </c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259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6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Rates'!G81,2)</f>
        <v>1631.56</v>
      </c>
      <c r="C9" s="274">
        <v>1</v>
      </c>
      <c r="D9" s="339">
        <f>C9*B9</f>
        <v>1631.56</v>
      </c>
      <c r="E9" s="380"/>
      <c r="F9" s="273">
        <f>ROUND('January 01, 2016 Rates'!F81,2)</f>
        <v>1655.22</v>
      </c>
      <c r="G9" s="277">
        <f>C9</f>
        <v>1</v>
      </c>
      <c r="H9" s="339">
        <f>G9*F9</f>
        <v>1655.22</v>
      </c>
      <c r="I9" s="380"/>
      <c r="J9" s="381">
        <f>H9-D9</f>
        <v>23.660000000000082</v>
      </c>
      <c r="K9" s="279">
        <f t="shared" ref="K9:K33" si="0">IF((D9)=0,"",(J9/D9))</f>
        <v>1.4501458726617521E-2</v>
      </c>
    </row>
    <row r="10" spans="1:11" x14ac:dyDescent="0.25">
      <c r="A10" s="272" t="s">
        <v>26</v>
      </c>
      <c r="B10" s="280">
        <f>ROUND('January 01, 2016 Rates'!G83,4)</f>
        <v>2.2187000000000001</v>
      </c>
      <c r="C10" s="281">
        <f>+B5</f>
        <v>2250</v>
      </c>
      <c r="D10" s="339">
        <f>C10*B10</f>
        <v>4992.0749999999998</v>
      </c>
      <c r="E10" s="380"/>
      <c r="F10" s="280">
        <f>ROUND('January 01, 2016 Rates'!F83,4)</f>
        <v>2.2509000000000001</v>
      </c>
      <c r="G10" s="283">
        <f>C10</f>
        <v>2250</v>
      </c>
      <c r="H10" s="339">
        <f>G10*F10</f>
        <v>5064.5250000000005</v>
      </c>
      <c r="I10" s="380"/>
      <c r="J10" s="381">
        <f t="shared" ref="J10:J33" si="1">H10-D10</f>
        <v>72.450000000000728</v>
      </c>
      <c r="K10" s="279">
        <f t="shared" si="0"/>
        <v>1.4513003109929383E-2</v>
      </c>
    </row>
    <row r="11" spans="1:11" x14ac:dyDescent="0.25">
      <c r="A11" s="284" t="s">
        <v>269</v>
      </c>
      <c r="B11" s="285">
        <f>ROUND('January 01, 2016 Rates'!G87,4)</f>
        <v>0</v>
      </c>
      <c r="C11" s="286">
        <f>+B5</f>
        <v>2250</v>
      </c>
      <c r="D11" s="382">
        <f>C11*B11</f>
        <v>0</v>
      </c>
      <c r="E11" s="380"/>
      <c r="F11" s="285">
        <v>0</v>
      </c>
      <c r="G11" s="289">
        <f>C11</f>
        <v>2250</v>
      </c>
      <c r="H11" s="382">
        <f>G11*F11</f>
        <v>0</v>
      </c>
      <c r="I11" s="380"/>
      <c r="J11" s="383">
        <f t="shared" si="1"/>
        <v>0</v>
      </c>
      <c r="K11" s="291" t="str">
        <f t="shared" si="0"/>
        <v/>
      </c>
    </row>
    <row r="12" spans="1:11" x14ac:dyDescent="0.25">
      <c r="A12" s="292" t="s">
        <v>270</v>
      </c>
      <c r="B12" s="293"/>
      <c r="C12" s="294"/>
      <c r="D12" s="298">
        <f>SUM(D9:D11)</f>
        <v>6623.6350000000002</v>
      </c>
      <c r="E12" s="380"/>
      <c r="F12" s="293"/>
      <c r="G12" s="297"/>
      <c r="H12" s="298">
        <f>SUM(H9:H11)</f>
        <v>6719.7450000000008</v>
      </c>
      <c r="I12" s="380"/>
      <c r="J12" s="384">
        <f t="shared" si="1"/>
        <v>96.110000000000582</v>
      </c>
      <c r="K12" s="299">
        <f t="shared" si="0"/>
        <v>1.4510159451721084E-2</v>
      </c>
    </row>
    <row r="13" spans="1:11" x14ac:dyDescent="0.25">
      <c r="A13" s="300" t="s">
        <v>349</v>
      </c>
      <c r="B13" s="280">
        <f>ROUND('January 01, 2016 Rates'!G90+'January 01, 2016 Rates'!G85,4)</f>
        <v>0</v>
      </c>
      <c r="C13" s="301">
        <f>+B5</f>
        <v>2250</v>
      </c>
      <c r="D13" s="339">
        <f>C13*B13</f>
        <v>0</v>
      </c>
      <c r="E13" s="380"/>
      <c r="F13" s="280">
        <f>ROUND('January 01, 2016 Rates'!F84+'January 01, 2016 Rates'!F85+'January 01, 2016 Rates'!F87+'January 01, 2016 Rates'!F89+'January 01, 2016 Rates'!F88,4)</f>
        <v>1.5197000000000001</v>
      </c>
      <c r="G13" s="301">
        <f>C13</f>
        <v>2250</v>
      </c>
      <c r="H13" s="339">
        <f>G13*F13</f>
        <v>3419.3250000000003</v>
      </c>
      <c r="I13" s="380"/>
      <c r="J13" s="381">
        <f t="shared" si="1"/>
        <v>3419.3250000000003</v>
      </c>
      <c r="K13" s="279" t="str">
        <f t="shared" si="0"/>
        <v/>
      </c>
    </row>
    <row r="14" spans="1:11" x14ac:dyDescent="0.25">
      <c r="A14" s="302" t="s">
        <v>272</v>
      </c>
      <c r="B14" s="280">
        <f>ROUND('January 01, 2016 Rates'!G91,4)</f>
        <v>7.8399999999999997E-2</v>
      </c>
      <c r="C14" s="301">
        <f>+B5</f>
        <v>2250</v>
      </c>
      <c r="D14" s="339">
        <f>C14*B14</f>
        <v>176.4</v>
      </c>
      <c r="E14" s="380"/>
      <c r="F14" s="280">
        <f>ROUND('January 01, 2016 Rates'!F91,4)</f>
        <v>7.8399999999999997E-2</v>
      </c>
      <c r="G14" s="301">
        <f>C14</f>
        <v>2250</v>
      </c>
      <c r="H14" s="339">
        <f>G14*F14</f>
        <v>176.4</v>
      </c>
      <c r="I14" s="380"/>
      <c r="J14" s="381">
        <f t="shared" si="1"/>
        <v>0</v>
      </c>
      <c r="K14" s="279">
        <f t="shared" si="0"/>
        <v>0</v>
      </c>
    </row>
    <row r="15" spans="1:11" x14ac:dyDescent="0.25">
      <c r="A15" s="302" t="s">
        <v>273</v>
      </c>
      <c r="B15" s="280">
        <v>0</v>
      </c>
      <c r="C15" s="301">
        <v>1</v>
      </c>
      <c r="D15" s="339">
        <f>C15*B15</f>
        <v>0</v>
      </c>
      <c r="E15" s="380"/>
      <c r="F15" s="280">
        <v>0</v>
      </c>
      <c r="G15" s="301">
        <f>C15</f>
        <v>1</v>
      </c>
      <c r="H15" s="339">
        <f>G15*F15</f>
        <v>0</v>
      </c>
      <c r="I15" s="380"/>
      <c r="J15" s="381">
        <f t="shared" si="1"/>
        <v>0</v>
      </c>
      <c r="K15" s="279" t="str">
        <f t="shared" si="0"/>
        <v/>
      </c>
    </row>
    <row r="16" spans="1:11" x14ac:dyDescent="0.25">
      <c r="A16" s="302" t="s">
        <v>350</v>
      </c>
      <c r="B16" s="280">
        <v>0</v>
      </c>
      <c r="C16" s="301">
        <v>1</v>
      </c>
      <c r="D16" s="339">
        <f>C16*B16</f>
        <v>0</v>
      </c>
      <c r="E16" s="380"/>
      <c r="F16" s="273">
        <f>ROUND('January 01, 2016 Rates'!F82,2)</f>
        <v>75.28</v>
      </c>
      <c r="G16" s="301">
        <f>C16</f>
        <v>1</v>
      </c>
      <c r="H16" s="339">
        <f>G16*F16</f>
        <v>75.28</v>
      </c>
      <c r="I16" s="380"/>
      <c r="J16" s="381"/>
      <c r="K16" s="279"/>
    </row>
    <row r="17" spans="1:11" x14ac:dyDescent="0.25">
      <c r="A17" s="303" t="s">
        <v>274</v>
      </c>
      <c r="B17" s="304"/>
      <c r="C17" s="305"/>
      <c r="D17" s="309">
        <f>SUM(D12:D16)</f>
        <v>6800.0349999999999</v>
      </c>
      <c r="E17" s="380"/>
      <c r="F17" s="304"/>
      <c r="G17" s="308"/>
      <c r="H17" s="309">
        <f>SUM(H12:H16)</f>
        <v>10390.750000000002</v>
      </c>
      <c r="I17" s="380"/>
      <c r="J17" s="385">
        <f t="shared" si="1"/>
        <v>3590.715000000002</v>
      </c>
      <c r="K17" s="310">
        <f t="shared" si="0"/>
        <v>0.52804360565791231</v>
      </c>
    </row>
    <row r="18" spans="1:11" x14ac:dyDescent="0.25">
      <c r="A18" s="311" t="s">
        <v>145</v>
      </c>
      <c r="B18" s="280">
        <f>ROUND('January 01, 2016 Rates'!G98,4)</f>
        <v>-0.4</v>
      </c>
      <c r="C18" s="312">
        <f>B5</f>
        <v>2250</v>
      </c>
      <c r="D18" s="339">
        <f>C18*B18</f>
        <v>-900</v>
      </c>
      <c r="E18" s="380"/>
      <c r="F18" s="280">
        <f>ROUND('January 01, 2016 Rates'!F98,4)</f>
        <v>-0.4</v>
      </c>
      <c r="G18" s="313">
        <f>C18</f>
        <v>2250</v>
      </c>
      <c r="H18" s="339">
        <f>G18*F18</f>
        <v>-900</v>
      </c>
      <c r="I18" s="380"/>
      <c r="J18" s="381">
        <f t="shared" ref="J18" si="2">H18-D18</f>
        <v>0</v>
      </c>
      <c r="K18" s="279">
        <f t="shared" ref="K18" si="3">IF((D18)=0,"",(J18/D18))</f>
        <v>0</v>
      </c>
    </row>
    <row r="19" spans="1:11" x14ac:dyDescent="0.25">
      <c r="A19" s="311" t="s">
        <v>275</v>
      </c>
      <c r="B19" s="280">
        <f>ROUND('January 01, 2016 Rates'!G92,4)</f>
        <v>2.8319999999999999</v>
      </c>
      <c r="C19" s="312">
        <f>+B5</f>
        <v>2250</v>
      </c>
      <c r="D19" s="339">
        <f>C19*B19</f>
        <v>6372</v>
      </c>
      <c r="E19" s="380"/>
      <c r="F19" s="280">
        <f>ROUND('January 01, 2016 Rates'!F92,4)</f>
        <v>2.7751999999999999</v>
      </c>
      <c r="G19" s="313">
        <f>C19</f>
        <v>2250</v>
      </c>
      <c r="H19" s="339">
        <f>G19*F19</f>
        <v>6244.2</v>
      </c>
      <c r="I19" s="380"/>
      <c r="J19" s="381">
        <f t="shared" si="1"/>
        <v>-127.80000000000018</v>
      </c>
      <c r="K19" s="279">
        <f t="shared" si="0"/>
        <v>-2.0056497175141273E-2</v>
      </c>
    </row>
    <row r="20" spans="1:11" x14ac:dyDescent="0.25">
      <c r="A20" s="314" t="s">
        <v>276</v>
      </c>
      <c r="B20" s="280">
        <f>ROUND('January 01, 2016 Rates'!G93,4)</f>
        <v>2.1488</v>
      </c>
      <c r="C20" s="312">
        <f>+B5</f>
        <v>2250</v>
      </c>
      <c r="D20" s="339">
        <f>C20*B20</f>
        <v>4834.8</v>
      </c>
      <c r="E20" s="380"/>
      <c r="F20" s="280">
        <f>ROUND('January 01, 2016 Rates'!F93,4)</f>
        <v>2.2117</v>
      </c>
      <c r="G20" s="313">
        <f>C20</f>
        <v>2250</v>
      </c>
      <c r="H20" s="339">
        <f>G20*F20</f>
        <v>4976.3249999999998</v>
      </c>
      <c r="I20" s="380"/>
      <c r="J20" s="381">
        <f t="shared" si="1"/>
        <v>141.52499999999964</v>
      </c>
      <c r="K20" s="279">
        <f t="shared" si="0"/>
        <v>2.9272151898734101E-2</v>
      </c>
    </row>
    <row r="21" spans="1:11" x14ac:dyDescent="0.25">
      <c r="A21" s="303" t="s">
        <v>277</v>
      </c>
      <c r="B21" s="304"/>
      <c r="C21" s="305"/>
      <c r="D21" s="309">
        <f>SUM(D17:D20)</f>
        <v>17106.834999999999</v>
      </c>
      <c r="E21" s="386"/>
      <c r="F21" s="387"/>
      <c r="G21" s="317"/>
      <c r="H21" s="309">
        <f>SUM(H17:H20)</f>
        <v>20711.275000000001</v>
      </c>
      <c r="I21" s="386"/>
      <c r="J21" s="385">
        <f t="shared" si="1"/>
        <v>3604.4400000000023</v>
      </c>
      <c r="K21" s="310">
        <f t="shared" si="0"/>
        <v>0.21070174582264939</v>
      </c>
    </row>
    <row r="22" spans="1:11" x14ac:dyDescent="0.25">
      <c r="A22" s="302" t="s">
        <v>278</v>
      </c>
      <c r="B22" s="280">
        <f>ROUND('January 01, 2016 Rates'!G94,4)</f>
        <v>4.4000000000000003E-3</v>
      </c>
      <c r="C22" s="312">
        <f>B3*(1+B2)</f>
        <v>414400</v>
      </c>
      <c r="D22" s="339">
        <f t="shared" ref="D22:D27" si="4">C22*B22</f>
        <v>1823.3600000000001</v>
      </c>
      <c r="E22" s="380"/>
      <c r="F22" s="280">
        <f>ROUND('January 01, 2016 Rates'!F94,4)</f>
        <v>4.4000000000000003E-3</v>
      </c>
      <c r="G22" s="313">
        <f>+C22</f>
        <v>414400</v>
      </c>
      <c r="H22" s="339">
        <f t="shared" ref="H22:H27" si="5">G22*F22</f>
        <v>1823.3600000000001</v>
      </c>
      <c r="I22" s="380"/>
      <c r="J22" s="381">
        <f t="shared" si="1"/>
        <v>0</v>
      </c>
      <c r="K22" s="279">
        <f t="shared" si="0"/>
        <v>0</v>
      </c>
    </row>
    <row r="23" spans="1:11" x14ac:dyDescent="0.25">
      <c r="A23" s="302" t="s">
        <v>279</v>
      </c>
      <c r="B23" s="280">
        <f>ROUND('January 01, 2016 Rates'!G95,4)</f>
        <v>1.2999999999999999E-3</v>
      </c>
      <c r="C23" s="312">
        <f>C22</f>
        <v>414400</v>
      </c>
      <c r="D23" s="339">
        <f t="shared" si="4"/>
        <v>538.72</v>
      </c>
      <c r="E23" s="380"/>
      <c r="F23" s="280">
        <f>ROUND('January 01, 2016 Rates'!F95,4)</f>
        <v>1.2999999999999999E-3</v>
      </c>
      <c r="G23" s="313">
        <f>+C23</f>
        <v>414400</v>
      </c>
      <c r="H23" s="339">
        <f t="shared" si="5"/>
        <v>538.72</v>
      </c>
      <c r="I23" s="380"/>
      <c r="J23" s="381">
        <f t="shared" si="1"/>
        <v>0</v>
      </c>
      <c r="K23" s="279">
        <f t="shared" si="0"/>
        <v>0</v>
      </c>
    </row>
    <row r="24" spans="1:11" x14ac:dyDescent="0.25">
      <c r="A24" s="302" t="s">
        <v>280</v>
      </c>
      <c r="B24" s="280">
        <f>ROUND('January 01, 2016 Rates'!G96,4)</f>
        <v>0.25</v>
      </c>
      <c r="C24" s="312">
        <v>1</v>
      </c>
      <c r="D24" s="339">
        <f t="shared" si="4"/>
        <v>0.25</v>
      </c>
      <c r="E24" s="380"/>
      <c r="F24" s="280">
        <f>ROUND('January 01, 2016 Rates'!F96,4)</f>
        <v>0.25</v>
      </c>
      <c r="G24" s="313">
        <f>C24</f>
        <v>1</v>
      </c>
      <c r="H24" s="339">
        <f t="shared" si="5"/>
        <v>0.25</v>
      </c>
      <c r="I24" s="380"/>
      <c r="J24" s="381">
        <f t="shared" si="1"/>
        <v>0</v>
      </c>
      <c r="K24" s="279">
        <f t="shared" si="0"/>
        <v>0</v>
      </c>
    </row>
    <row r="25" spans="1:11" x14ac:dyDescent="0.25">
      <c r="A25" s="302" t="s">
        <v>281</v>
      </c>
      <c r="B25" s="280">
        <f>ROUND('January 01, 2016 Rates'!G97,4)</f>
        <v>7.0000000000000001E-3</v>
      </c>
      <c r="C25" s="312">
        <f>+B3</f>
        <v>400000</v>
      </c>
      <c r="D25" s="339">
        <f t="shared" si="4"/>
        <v>2800</v>
      </c>
      <c r="E25" s="380"/>
      <c r="F25" s="280">
        <f>ROUND('January 01, 2016 Rates'!F97,4)</f>
        <v>7.0000000000000001E-3</v>
      </c>
      <c r="G25" s="313">
        <f>C25</f>
        <v>400000</v>
      </c>
      <c r="H25" s="339">
        <f t="shared" si="5"/>
        <v>2800</v>
      </c>
      <c r="I25" s="380"/>
      <c r="J25" s="381">
        <f t="shared" si="1"/>
        <v>0</v>
      </c>
      <c r="K25" s="279">
        <f t="shared" si="0"/>
        <v>0</v>
      </c>
    </row>
    <row r="26" spans="1:11" x14ac:dyDescent="0.25">
      <c r="A26" s="302" t="s">
        <v>295</v>
      </c>
      <c r="B26" s="280">
        <v>9.4E-2</v>
      </c>
      <c r="C26" s="312">
        <v>750</v>
      </c>
      <c r="D26" s="339">
        <f t="shared" si="4"/>
        <v>70.5</v>
      </c>
      <c r="E26" s="380"/>
      <c r="F26" s="280">
        <v>9.4E-2</v>
      </c>
      <c r="G26" s="312">
        <f>C26</f>
        <v>750</v>
      </c>
      <c r="H26" s="339">
        <f t="shared" si="5"/>
        <v>70.5</v>
      </c>
      <c r="I26" s="380"/>
      <c r="J26" s="381">
        <f t="shared" si="1"/>
        <v>0</v>
      </c>
      <c r="K26" s="279">
        <f t="shared" si="0"/>
        <v>0</v>
      </c>
    </row>
    <row r="27" spans="1:11" ht="15.75" thickBot="1" x14ac:dyDescent="0.3">
      <c r="A27" s="302" t="s">
        <v>295</v>
      </c>
      <c r="B27" s="280">
        <v>0.11</v>
      </c>
      <c r="C27" s="312">
        <f>+ROUND(C22-C26,0)</f>
        <v>413650</v>
      </c>
      <c r="D27" s="339">
        <f t="shared" si="4"/>
        <v>45501.5</v>
      </c>
      <c r="E27" s="380"/>
      <c r="F27" s="280">
        <v>0.11</v>
      </c>
      <c r="G27" s="312">
        <f>C27</f>
        <v>413650</v>
      </c>
      <c r="H27" s="339">
        <f t="shared" si="5"/>
        <v>45501.5</v>
      </c>
      <c r="I27" s="380"/>
      <c r="J27" s="381">
        <f t="shared" si="1"/>
        <v>0</v>
      </c>
      <c r="K27" s="279">
        <f t="shared" si="0"/>
        <v>0</v>
      </c>
    </row>
    <row r="28" spans="1:11" ht="15.75" thickBot="1" x14ac:dyDescent="0.3">
      <c r="A28" s="318"/>
      <c r="B28" s="319"/>
      <c r="C28" s="320"/>
      <c r="D28" s="323"/>
      <c r="E28" s="380"/>
      <c r="F28" s="388"/>
      <c r="G28" s="322"/>
      <c r="H28" s="323"/>
      <c r="I28" s="380"/>
      <c r="J28" s="389"/>
      <c r="K28" s="324"/>
    </row>
    <row r="29" spans="1:11" x14ac:dyDescent="0.25">
      <c r="A29" s="325" t="s">
        <v>285</v>
      </c>
      <c r="B29" s="326"/>
      <c r="C29" s="327"/>
      <c r="D29" s="390">
        <f>SUM(D21:D27)</f>
        <v>67841.165000000008</v>
      </c>
      <c r="E29" s="391"/>
      <c r="F29" s="331"/>
      <c r="G29" s="331"/>
      <c r="H29" s="390">
        <f>SUM(H21:H27)</f>
        <v>71445.60500000001</v>
      </c>
      <c r="I29" s="386"/>
      <c r="J29" s="390">
        <f>H29-D29</f>
        <v>3604.4400000000023</v>
      </c>
      <c r="K29" s="333">
        <f>IF((D29)=0,"",(J29/D29))</f>
        <v>5.3130573450500179E-2</v>
      </c>
    </row>
    <row r="30" spans="1:11" x14ac:dyDescent="0.25">
      <c r="A30" s="334" t="s">
        <v>286</v>
      </c>
      <c r="B30" s="326">
        <v>0.13</v>
      </c>
      <c r="C30" s="335"/>
      <c r="D30" s="392">
        <f>D29*B30</f>
        <v>8819.3514500000019</v>
      </c>
      <c r="E30" s="335"/>
      <c r="F30" s="326">
        <v>0.13</v>
      </c>
      <c r="G30" s="337"/>
      <c r="H30" s="392">
        <f>H29*F30</f>
        <v>9287.9286500000017</v>
      </c>
      <c r="I30" s="380"/>
      <c r="J30" s="392">
        <f t="shared" si="1"/>
        <v>468.57719999999972</v>
      </c>
      <c r="K30" s="340">
        <f t="shared" si="0"/>
        <v>5.313057345050011E-2</v>
      </c>
    </row>
    <row r="31" spans="1:11" x14ac:dyDescent="0.25">
      <c r="A31" s="341" t="s">
        <v>287</v>
      </c>
      <c r="B31" s="337"/>
      <c r="C31" s="335"/>
      <c r="D31" s="392">
        <f>D29+D30</f>
        <v>76660.51645000001</v>
      </c>
      <c r="E31" s="335"/>
      <c r="F31" s="337"/>
      <c r="G31" s="337"/>
      <c r="H31" s="392">
        <f>H29+H30</f>
        <v>80733.533650000012</v>
      </c>
      <c r="I31" s="380"/>
      <c r="J31" s="392">
        <f t="shared" si="1"/>
        <v>4073.017200000002</v>
      </c>
      <c r="K31" s="340">
        <f t="shared" si="0"/>
        <v>5.3130573450500172E-2</v>
      </c>
    </row>
    <row r="32" spans="1:11" x14ac:dyDescent="0.25">
      <c r="A32" s="343" t="s">
        <v>288</v>
      </c>
      <c r="B32" s="337"/>
      <c r="C32" s="335"/>
      <c r="D32" s="392">
        <v>0</v>
      </c>
      <c r="E32" s="335"/>
      <c r="F32" s="337"/>
      <c r="G32" s="337"/>
      <c r="H32" s="392">
        <v>0</v>
      </c>
      <c r="I32" s="380"/>
      <c r="J32" s="392">
        <f t="shared" si="1"/>
        <v>0</v>
      </c>
      <c r="K32" s="340" t="str">
        <f t="shared" si="0"/>
        <v/>
      </c>
    </row>
    <row r="33" spans="1:11" ht="15.75" thickBot="1" x14ac:dyDescent="0.3">
      <c r="A33" s="344" t="s">
        <v>289</v>
      </c>
      <c r="B33" s="345"/>
      <c r="C33" s="346"/>
      <c r="D33" s="384">
        <f>D31+D32</f>
        <v>76660.51645000001</v>
      </c>
      <c r="E33" s="391"/>
      <c r="F33" s="349"/>
      <c r="G33" s="349"/>
      <c r="H33" s="384">
        <f>H31+H32</f>
        <v>80733.533650000012</v>
      </c>
      <c r="I33" s="386"/>
      <c r="J33" s="384">
        <f t="shared" si="1"/>
        <v>4073.017200000002</v>
      </c>
      <c r="K33" s="299">
        <f t="shared" si="0"/>
        <v>5.3130573450500172E-2</v>
      </c>
    </row>
    <row r="34" spans="1:11" ht="15.75" thickBot="1" x14ac:dyDescent="0.3">
      <c r="A34" s="318"/>
      <c r="B34" s="350"/>
      <c r="C34" s="351"/>
      <c r="D34" s="393"/>
      <c r="E34" s="394"/>
      <c r="F34" s="350"/>
      <c r="G34" s="355"/>
      <c r="H34" s="395"/>
      <c r="I34" s="394"/>
      <c r="J34" s="396"/>
      <c r="K34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38"/>
  <sheetViews>
    <sheetView tabSelected="1" workbookViewId="0">
      <selection activeCell="D20" sqref="D20"/>
    </sheetView>
  </sheetViews>
  <sheetFormatPr defaultRowHeight="15" x14ac:dyDescent="0.25"/>
  <cols>
    <col min="1" max="1" width="54.140625" bestFit="1" customWidth="1"/>
    <col min="2" max="2" width="17.140625" customWidth="1"/>
    <col min="3" max="3" width="11.5703125" bestFit="1" customWidth="1"/>
    <col min="4" max="4" width="14" bestFit="1" customWidth="1"/>
    <col min="6" max="6" width="15.140625" bestFit="1" customWidth="1"/>
    <col min="7" max="7" width="11.5703125" bestFit="1" customWidth="1"/>
    <col min="8" max="8" width="14" bestFit="1" customWidth="1"/>
    <col min="10" max="10" width="12.710937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301</v>
      </c>
      <c r="C1" s="366"/>
      <c r="D1" s="366"/>
      <c r="E1" s="366"/>
      <c r="F1" s="366"/>
      <c r="G1" s="366"/>
      <c r="H1" s="366"/>
      <c r="I1" s="366"/>
      <c r="J1" s="366"/>
      <c r="K1" s="367"/>
    </row>
    <row r="2" spans="1:11" ht="15.75" x14ac:dyDescent="0.25">
      <c r="A2" s="246" t="s">
        <v>255</v>
      </c>
      <c r="B2" s="248">
        <f>1.45/100</f>
        <v>1.4499999999999999E-2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3000000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>
        <v>5000</v>
      </c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259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6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Rates'!G100,2)</f>
        <v>12864.22</v>
      </c>
      <c r="C9" s="274">
        <v>1</v>
      </c>
      <c r="D9" s="339">
        <f>C9*B9</f>
        <v>12864.22</v>
      </c>
      <c r="E9" s="380"/>
      <c r="F9" s="273">
        <f>ROUND('January 01, 2016 Rates'!F100,2)</f>
        <v>13050.75</v>
      </c>
      <c r="G9" s="277">
        <f>C9</f>
        <v>1</v>
      </c>
      <c r="H9" s="339">
        <f>G9*F9</f>
        <v>13050.75</v>
      </c>
      <c r="I9" s="380"/>
      <c r="J9" s="381">
        <f>H9-D9</f>
        <v>186.53000000000065</v>
      </c>
      <c r="K9" s="279">
        <f t="shared" ref="K9:K33" si="0">IF((D9)=0,"",(J9/D9))</f>
        <v>1.449990749536316E-2</v>
      </c>
    </row>
    <row r="10" spans="1:11" x14ac:dyDescent="0.25">
      <c r="A10" s="272" t="s">
        <v>26</v>
      </c>
      <c r="B10" s="280">
        <f>ROUND('January 01, 2016 Rates'!G102,4)</f>
        <v>2.7538999999999998</v>
      </c>
      <c r="C10" s="281">
        <f>+B5</f>
        <v>5000</v>
      </c>
      <c r="D10" s="339">
        <f>C10*B10</f>
        <v>13769.499999999998</v>
      </c>
      <c r="E10" s="380"/>
      <c r="F10" s="280">
        <f>ROUND('January 01, 2016 Rates'!F102,4)</f>
        <v>2.7938000000000001</v>
      </c>
      <c r="G10" s="283">
        <f>C10</f>
        <v>5000</v>
      </c>
      <c r="H10" s="339">
        <f>G10*F10</f>
        <v>13969</v>
      </c>
      <c r="I10" s="380"/>
      <c r="J10" s="381">
        <f t="shared" ref="J10:J33" si="1">H10-D10</f>
        <v>199.50000000000182</v>
      </c>
      <c r="K10" s="279">
        <f t="shared" si="0"/>
        <v>1.4488543520098903E-2</v>
      </c>
    </row>
    <row r="11" spans="1:11" x14ac:dyDescent="0.25">
      <c r="A11" s="284" t="s">
        <v>269</v>
      </c>
      <c r="B11" s="285">
        <f>ROUND('January 01, 2016 Rates'!G106,4)</f>
        <v>0</v>
      </c>
      <c r="C11" s="286">
        <f>+B5</f>
        <v>5000</v>
      </c>
      <c r="D11" s="382">
        <f>C11*B11</f>
        <v>0</v>
      </c>
      <c r="E11" s="380"/>
      <c r="F11" s="285">
        <v>0</v>
      </c>
      <c r="G11" s="289">
        <f>C11</f>
        <v>5000</v>
      </c>
      <c r="H11" s="382">
        <f>G11*F11</f>
        <v>0</v>
      </c>
      <c r="I11" s="380"/>
      <c r="J11" s="383">
        <f t="shared" si="1"/>
        <v>0</v>
      </c>
      <c r="K11" s="291" t="str">
        <f t="shared" si="0"/>
        <v/>
      </c>
    </row>
    <row r="12" spans="1:11" x14ac:dyDescent="0.25">
      <c r="A12" s="292" t="s">
        <v>270</v>
      </c>
      <c r="B12" s="293"/>
      <c r="C12" s="294"/>
      <c r="D12" s="298">
        <f>SUM(D9:D11)</f>
        <v>26633.719999999998</v>
      </c>
      <c r="E12" s="380"/>
      <c r="F12" s="293"/>
      <c r="G12" s="297"/>
      <c r="H12" s="298">
        <f>SUM(H9:H11)</f>
        <v>27019.75</v>
      </c>
      <c r="I12" s="380"/>
      <c r="J12" s="384">
        <f t="shared" si="1"/>
        <v>386.03000000000247</v>
      </c>
      <c r="K12" s="299">
        <f t="shared" si="0"/>
        <v>1.449403237700188E-2</v>
      </c>
    </row>
    <row r="13" spans="1:11" x14ac:dyDescent="0.25">
      <c r="A13" s="300" t="s">
        <v>349</v>
      </c>
      <c r="B13" s="280">
        <f>ROUND('January 01, 2016 Rates'!G104+'January 01, 2016 Rates'!G108,4)</f>
        <v>0</v>
      </c>
      <c r="C13" s="301">
        <f>+B5</f>
        <v>5000</v>
      </c>
      <c r="D13" s="339">
        <f>C13*B13</f>
        <v>0</v>
      </c>
      <c r="E13" s="380"/>
      <c r="F13" s="280">
        <f>ROUND('January 01, 2016 Rates'!F103+'January 01, 2016 Rates'!F104+'January 01, 2016 Rates'!F106+'January 01, 2016 Rates'!F108+'January 01, 2016 Rates'!F107,4)</f>
        <v>9.6199999999999994E-2</v>
      </c>
      <c r="G13" s="301">
        <f>C13</f>
        <v>5000</v>
      </c>
      <c r="H13" s="339">
        <f>G13*F13</f>
        <v>480.99999999999994</v>
      </c>
      <c r="I13" s="380"/>
      <c r="J13" s="381">
        <f t="shared" si="1"/>
        <v>480.99999999999994</v>
      </c>
      <c r="K13" s="279" t="str">
        <f t="shared" si="0"/>
        <v/>
      </c>
    </row>
    <row r="14" spans="1:11" x14ac:dyDescent="0.25">
      <c r="A14" s="302" t="s">
        <v>272</v>
      </c>
      <c r="B14" s="280">
        <f>ROUND('January 01, 2016 Rates'!G110,4)</f>
        <v>8.3799999999999999E-2</v>
      </c>
      <c r="C14" s="301">
        <f>+B5</f>
        <v>5000</v>
      </c>
      <c r="D14" s="339">
        <f>C14*B14</f>
        <v>419</v>
      </c>
      <c r="E14" s="380"/>
      <c r="F14" s="280">
        <f>ROUND('January 01, 2016 Rates'!F110,4)</f>
        <v>8.3799999999999999E-2</v>
      </c>
      <c r="G14" s="301">
        <f>C14</f>
        <v>5000</v>
      </c>
      <c r="H14" s="339">
        <f>G14*F14</f>
        <v>419</v>
      </c>
      <c r="I14" s="380"/>
      <c r="J14" s="381">
        <f t="shared" si="1"/>
        <v>0</v>
      </c>
      <c r="K14" s="279">
        <f t="shared" si="0"/>
        <v>0</v>
      </c>
    </row>
    <row r="15" spans="1:11" x14ac:dyDescent="0.25">
      <c r="A15" s="302" t="s">
        <v>273</v>
      </c>
      <c r="B15" s="280">
        <v>0</v>
      </c>
      <c r="C15" s="301">
        <v>1</v>
      </c>
      <c r="D15" s="339">
        <f>C15*B15</f>
        <v>0</v>
      </c>
      <c r="E15" s="380"/>
      <c r="F15" s="280">
        <v>0</v>
      </c>
      <c r="G15" s="301">
        <f>C15</f>
        <v>1</v>
      </c>
      <c r="H15" s="339">
        <f>G15*F15</f>
        <v>0</v>
      </c>
      <c r="I15" s="380"/>
      <c r="J15" s="381">
        <f t="shared" si="1"/>
        <v>0</v>
      </c>
      <c r="K15" s="279" t="str">
        <f t="shared" si="0"/>
        <v/>
      </c>
    </row>
    <row r="16" spans="1:11" x14ac:dyDescent="0.25">
      <c r="A16" s="302" t="s">
        <v>350</v>
      </c>
      <c r="B16" s="280">
        <v>0</v>
      </c>
      <c r="C16" s="301">
        <v>1</v>
      </c>
      <c r="D16" s="339">
        <f>C16*B16</f>
        <v>0</v>
      </c>
      <c r="E16" s="380"/>
      <c r="F16" s="273">
        <f>ROUND('January 01, 2016 Rates'!F101,2)</f>
        <v>593.53</v>
      </c>
      <c r="G16" s="301">
        <f>C16</f>
        <v>1</v>
      </c>
      <c r="H16" s="339">
        <f>G16*F16</f>
        <v>593.53</v>
      </c>
      <c r="I16" s="380"/>
      <c r="J16" s="381"/>
      <c r="K16" s="279"/>
    </row>
    <row r="17" spans="1:11" x14ac:dyDescent="0.25">
      <c r="A17" s="303" t="s">
        <v>274</v>
      </c>
      <c r="B17" s="304"/>
      <c r="C17" s="305"/>
      <c r="D17" s="309">
        <f>SUM(D12:D16)</f>
        <v>27052.719999999998</v>
      </c>
      <c r="E17" s="380"/>
      <c r="F17" s="304"/>
      <c r="G17" s="308"/>
      <c r="H17" s="309">
        <f>SUM(H12:H16)</f>
        <v>28513.279999999999</v>
      </c>
      <c r="I17" s="380"/>
      <c r="J17" s="385">
        <f t="shared" si="1"/>
        <v>1460.5600000000013</v>
      </c>
      <c r="K17" s="310">
        <f t="shared" si="0"/>
        <v>5.3989395521041927E-2</v>
      </c>
    </row>
    <row r="18" spans="1:11" x14ac:dyDescent="0.25">
      <c r="A18" s="311" t="s">
        <v>145</v>
      </c>
      <c r="B18" s="280">
        <f>ROUND('January 01, 2016 Rates'!G117,4)</f>
        <v>-0.4</v>
      </c>
      <c r="C18" s="312">
        <f>B5</f>
        <v>5000</v>
      </c>
      <c r="D18" s="339">
        <f>C18*B18</f>
        <v>-2000</v>
      </c>
      <c r="E18" s="380"/>
      <c r="F18" s="280">
        <f>ROUND('January 01, 2016 Rates'!F117,4)</f>
        <v>-0.4</v>
      </c>
      <c r="G18" s="313">
        <f>C18</f>
        <v>5000</v>
      </c>
      <c r="H18" s="339">
        <f>G18*F18</f>
        <v>-2000</v>
      </c>
      <c r="I18" s="380"/>
      <c r="J18" s="381">
        <f t="shared" ref="J18" si="2">H18-D18</f>
        <v>0</v>
      </c>
      <c r="K18" s="279">
        <f t="shared" ref="K18" si="3">IF((D18)=0,"",(J18/D18))</f>
        <v>0</v>
      </c>
    </row>
    <row r="19" spans="1:11" x14ac:dyDescent="0.25">
      <c r="A19" s="311" t="s">
        <v>275</v>
      </c>
      <c r="B19" s="280">
        <f>ROUND('January 01, 2016 Rates'!G111,4)</f>
        <v>3.0219999999999998</v>
      </c>
      <c r="C19" s="312">
        <f>+B5</f>
        <v>5000</v>
      </c>
      <c r="D19" s="339">
        <f>C19*B19</f>
        <v>15109.999999999998</v>
      </c>
      <c r="E19" s="380"/>
      <c r="F19" s="280">
        <f>ROUND('January 01, 2016 Rates'!F111,4)</f>
        <v>2.9613999999999998</v>
      </c>
      <c r="G19" s="313">
        <f>C19</f>
        <v>5000</v>
      </c>
      <c r="H19" s="339">
        <f>G19*F19</f>
        <v>14806.999999999998</v>
      </c>
      <c r="I19" s="380"/>
      <c r="J19" s="381">
        <f t="shared" si="1"/>
        <v>-303</v>
      </c>
      <c r="K19" s="279">
        <f t="shared" si="0"/>
        <v>-2.0052945069490406E-2</v>
      </c>
    </row>
    <row r="20" spans="1:11" x14ac:dyDescent="0.25">
      <c r="A20" s="314" t="s">
        <v>276</v>
      </c>
      <c r="B20" s="280">
        <f>ROUND('January 01, 2016 Rates'!G112,4)</f>
        <v>2.2949999999999999</v>
      </c>
      <c r="C20" s="312">
        <f>+B5</f>
        <v>5000</v>
      </c>
      <c r="D20" s="339">
        <f>C20*B20</f>
        <v>11475</v>
      </c>
      <c r="E20" s="380"/>
      <c r="F20" s="280">
        <f>ROUND('January 01, 2016 Rates'!F112,4)</f>
        <v>2.3622000000000001</v>
      </c>
      <c r="G20" s="313">
        <f>C20</f>
        <v>5000</v>
      </c>
      <c r="H20" s="339">
        <f>G20*F20</f>
        <v>11811</v>
      </c>
      <c r="I20" s="380"/>
      <c r="J20" s="381">
        <f t="shared" si="1"/>
        <v>336</v>
      </c>
      <c r="K20" s="279">
        <f t="shared" si="0"/>
        <v>2.9281045751633986E-2</v>
      </c>
    </row>
    <row r="21" spans="1:11" x14ac:dyDescent="0.25">
      <c r="A21" s="303" t="s">
        <v>277</v>
      </c>
      <c r="B21" s="304"/>
      <c r="C21" s="305"/>
      <c r="D21" s="309">
        <f>SUM(D17:D20)</f>
        <v>51637.719999999994</v>
      </c>
      <c r="E21" s="386"/>
      <c r="F21" s="387"/>
      <c r="G21" s="317"/>
      <c r="H21" s="309">
        <f>SUM(H17:H20)</f>
        <v>53131.28</v>
      </c>
      <c r="I21" s="386"/>
      <c r="J21" s="385">
        <f t="shared" si="1"/>
        <v>1493.5600000000049</v>
      </c>
      <c r="K21" s="310">
        <f t="shared" si="0"/>
        <v>2.8923817705351924E-2</v>
      </c>
    </row>
    <row r="22" spans="1:11" x14ac:dyDescent="0.25">
      <c r="A22" s="302" t="s">
        <v>278</v>
      </c>
      <c r="B22" s="280">
        <f>ROUND('January 01, 2016 Rates'!G113,4)</f>
        <v>4.4000000000000003E-3</v>
      </c>
      <c r="C22" s="312">
        <f>B3*(1+B2)</f>
        <v>3043500</v>
      </c>
      <c r="D22" s="339">
        <f t="shared" ref="D22:D26" si="4">C22*B22</f>
        <v>13391.400000000001</v>
      </c>
      <c r="E22" s="380"/>
      <c r="F22" s="280">
        <f>ROUND('January 01, 2016 Rates'!F113,4)</f>
        <v>4.4000000000000003E-3</v>
      </c>
      <c r="G22" s="313">
        <f>+C22</f>
        <v>3043500</v>
      </c>
      <c r="H22" s="339">
        <f t="shared" ref="H22:H26" si="5">G22*F22</f>
        <v>13391.400000000001</v>
      </c>
      <c r="I22" s="380"/>
      <c r="J22" s="381">
        <f t="shared" si="1"/>
        <v>0</v>
      </c>
      <c r="K22" s="279">
        <f t="shared" si="0"/>
        <v>0</v>
      </c>
    </row>
    <row r="23" spans="1:11" x14ac:dyDescent="0.25">
      <c r="A23" s="302" t="s">
        <v>279</v>
      </c>
      <c r="B23" s="280">
        <f>ROUND('January 01, 2016 Rates'!G114,4)</f>
        <v>1.2999999999999999E-3</v>
      </c>
      <c r="C23" s="312">
        <f>C22</f>
        <v>3043500</v>
      </c>
      <c r="D23" s="339">
        <f t="shared" si="4"/>
        <v>3956.5499999999997</v>
      </c>
      <c r="E23" s="380"/>
      <c r="F23" s="280">
        <f>ROUND('January 01, 2016 Rates'!F114,4)</f>
        <v>1.2999999999999999E-3</v>
      </c>
      <c r="G23" s="313">
        <f>C23</f>
        <v>3043500</v>
      </c>
      <c r="H23" s="339">
        <f t="shared" si="5"/>
        <v>3956.5499999999997</v>
      </c>
      <c r="I23" s="380"/>
      <c r="J23" s="381">
        <f t="shared" si="1"/>
        <v>0</v>
      </c>
      <c r="K23" s="279">
        <f t="shared" si="0"/>
        <v>0</v>
      </c>
    </row>
    <row r="24" spans="1:11" x14ac:dyDescent="0.25">
      <c r="A24" s="302" t="s">
        <v>280</v>
      </c>
      <c r="B24" s="280">
        <f>ROUND('January 01, 2016 Rates'!G115,4)</f>
        <v>0.25</v>
      </c>
      <c r="C24" s="312">
        <v>1</v>
      </c>
      <c r="D24" s="339">
        <f t="shared" si="4"/>
        <v>0.25</v>
      </c>
      <c r="E24" s="380"/>
      <c r="F24" s="280">
        <f>ROUND('January 01, 2016 Rates'!F115,4)</f>
        <v>0.25</v>
      </c>
      <c r="G24" s="313">
        <f>C24</f>
        <v>1</v>
      </c>
      <c r="H24" s="339">
        <f t="shared" si="5"/>
        <v>0.25</v>
      </c>
      <c r="I24" s="380"/>
      <c r="J24" s="381">
        <f t="shared" si="1"/>
        <v>0</v>
      </c>
      <c r="K24" s="279">
        <f t="shared" si="0"/>
        <v>0</v>
      </c>
    </row>
    <row r="25" spans="1:11" x14ac:dyDescent="0.25">
      <c r="A25" s="302" t="s">
        <v>281</v>
      </c>
      <c r="B25" s="280">
        <f>ROUND('January 01, 2016 Rates'!G116,4)</f>
        <v>7.0000000000000001E-3</v>
      </c>
      <c r="C25" s="312">
        <f>+B3</f>
        <v>3000000</v>
      </c>
      <c r="D25" s="339">
        <f t="shared" si="4"/>
        <v>21000</v>
      </c>
      <c r="E25" s="380"/>
      <c r="F25" s="280">
        <f>ROUND('January 01, 2016 Rates'!F116,4)</f>
        <v>7.0000000000000001E-3</v>
      </c>
      <c r="G25" s="313">
        <f>C25</f>
        <v>3000000</v>
      </c>
      <c r="H25" s="339">
        <f t="shared" si="5"/>
        <v>21000</v>
      </c>
      <c r="I25" s="380"/>
      <c r="J25" s="381">
        <f t="shared" si="1"/>
        <v>0</v>
      </c>
      <c r="K25" s="279">
        <f t="shared" si="0"/>
        <v>0</v>
      </c>
    </row>
    <row r="26" spans="1:11" x14ac:dyDescent="0.25">
      <c r="A26" s="302" t="s">
        <v>295</v>
      </c>
      <c r="B26" s="280">
        <v>9.4E-2</v>
      </c>
      <c r="C26" s="312">
        <v>750</v>
      </c>
      <c r="D26" s="339">
        <f t="shared" si="4"/>
        <v>70.5</v>
      </c>
      <c r="E26" s="380"/>
      <c r="F26" s="280">
        <v>9.4E-2</v>
      </c>
      <c r="G26" s="312">
        <f>C26</f>
        <v>750</v>
      </c>
      <c r="H26" s="339">
        <f t="shared" si="5"/>
        <v>70.5</v>
      </c>
      <c r="I26" s="380"/>
      <c r="J26" s="381">
        <f t="shared" si="1"/>
        <v>0</v>
      </c>
      <c r="K26" s="279">
        <f t="shared" si="0"/>
        <v>0</v>
      </c>
    </row>
    <row r="27" spans="1:11" ht="15.75" thickBot="1" x14ac:dyDescent="0.3">
      <c r="A27" s="302" t="s">
        <v>295</v>
      </c>
      <c r="B27" s="280">
        <v>0.11</v>
      </c>
      <c r="C27" s="312">
        <f>+ROUND(C22-C26,0)</f>
        <v>3042750</v>
      </c>
      <c r="D27" s="339">
        <f>+C27*B27</f>
        <v>334702.5</v>
      </c>
      <c r="E27" s="380"/>
      <c r="F27" s="280">
        <v>0.11</v>
      </c>
      <c r="G27" s="312">
        <f>C27</f>
        <v>3042750</v>
      </c>
      <c r="H27" s="339">
        <f>+G27*F27</f>
        <v>334702.5</v>
      </c>
      <c r="I27" s="380"/>
      <c r="J27" s="381">
        <f t="shared" si="1"/>
        <v>0</v>
      </c>
      <c r="K27" s="279">
        <f t="shared" si="0"/>
        <v>0</v>
      </c>
    </row>
    <row r="28" spans="1:11" ht="15.75" thickBot="1" x14ac:dyDescent="0.3">
      <c r="A28" s="318"/>
      <c r="B28" s="319"/>
      <c r="C28" s="320"/>
      <c r="D28" s="323"/>
      <c r="E28" s="380"/>
      <c r="F28" s="388"/>
      <c r="G28" s="322"/>
      <c r="H28" s="323"/>
      <c r="I28" s="380"/>
      <c r="J28" s="389"/>
      <c r="K28" s="324"/>
    </row>
    <row r="29" spans="1:11" x14ac:dyDescent="0.25">
      <c r="A29" s="325" t="s">
        <v>285</v>
      </c>
      <c r="B29" s="326"/>
      <c r="C29" s="327"/>
      <c r="D29" s="390">
        <f>SUM(D21:D27)</f>
        <v>424758.92</v>
      </c>
      <c r="E29" s="391"/>
      <c r="F29" s="331"/>
      <c r="G29" s="331"/>
      <c r="H29" s="390">
        <f>SUM(H21:H27)</f>
        <v>426252.48</v>
      </c>
      <c r="I29" s="386"/>
      <c r="J29" s="390">
        <f>H29-D29</f>
        <v>1493.5599999999977</v>
      </c>
      <c r="K29" s="333">
        <f>IF((D29)=0,"",(J29/D29))</f>
        <v>3.5162534079331348E-3</v>
      </c>
    </row>
    <row r="30" spans="1:11" x14ac:dyDescent="0.25">
      <c r="A30" s="334" t="s">
        <v>286</v>
      </c>
      <c r="B30" s="326">
        <v>0.13</v>
      </c>
      <c r="C30" s="335"/>
      <c r="D30" s="392">
        <f>D29*B30</f>
        <v>55218.659599999999</v>
      </c>
      <c r="E30" s="335"/>
      <c r="F30" s="326">
        <v>0.13</v>
      </c>
      <c r="G30" s="337"/>
      <c r="H30" s="392">
        <f>H29*F30</f>
        <v>55412.822399999997</v>
      </c>
      <c r="I30" s="380"/>
      <c r="J30" s="392">
        <f t="shared" si="1"/>
        <v>194.16279999999824</v>
      </c>
      <c r="K30" s="340">
        <f t="shared" si="0"/>
        <v>3.5162534079331083E-3</v>
      </c>
    </row>
    <row r="31" spans="1:11" x14ac:dyDescent="0.25">
      <c r="A31" s="341" t="s">
        <v>287</v>
      </c>
      <c r="B31" s="337"/>
      <c r="C31" s="335"/>
      <c r="D31" s="392">
        <f>D29+D30</f>
        <v>479977.5796</v>
      </c>
      <c r="E31" s="335"/>
      <c r="F31" s="337"/>
      <c r="G31" s="337"/>
      <c r="H31" s="392">
        <f>H29+H30</f>
        <v>481665.30239999999</v>
      </c>
      <c r="I31" s="380"/>
      <c r="J31" s="392">
        <f t="shared" si="1"/>
        <v>1687.7227999999886</v>
      </c>
      <c r="K31" s="340">
        <f t="shared" si="0"/>
        <v>3.5162534079331165E-3</v>
      </c>
    </row>
    <row r="32" spans="1:11" x14ac:dyDescent="0.25">
      <c r="A32" s="343" t="s">
        <v>288</v>
      </c>
      <c r="B32" s="337"/>
      <c r="C32" s="335"/>
      <c r="D32" s="392">
        <v>0</v>
      </c>
      <c r="E32" s="335"/>
      <c r="F32" s="337"/>
      <c r="G32" s="337"/>
      <c r="H32" s="392">
        <v>0</v>
      </c>
      <c r="I32" s="380"/>
      <c r="J32" s="392">
        <f t="shared" si="1"/>
        <v>0</v>
      </c>
      <c r="K32" s="340" t="str">
        <f t="shared" si="0"/>
        <v/>
      </c>
    </row>
    <row r="33" spans="1:11" ht="15.75" thickBot="1" x14ac:dyDescent="0.3">
      <c r="A33" s="344" t="s">
        <v>289</v>
      </c>
      <c r="B33" s="345"/>
      <c r="C33" s="346"/>
      <c r="D33" s="384">
        <f>D31+D32</f>
        <v>479977.5796</v>
      </c>
      <c r="E33" s="391"/>
      <c r="F33" s="349"/>
      <c r="G33" s="349"/>
      <c r="H33" s="384">
        <f>H31+H32</f>
        <v>481665.30239999999</v>
      </c>
      <c r="I33" s="386"/>
      <c r="J33" s="384">
        <f t="shared" si="1"/>
        <v>1687.7227999999886</v>
      </c>
      <c r="K33" s="299">
        <f t="shared" si="0"/>
        <v>3.5162534079331165E-3</v>
      </c>
    </row>
    <row r="34" spans="1:11" ht="15.75" thickBot="1" x14ac:dyDescent="0.3">
      <c r="A34" s="318"/>
      <c r="B34" s="350"/>
      <c r="C34" s="351"/>
      <c r="D34" s="393"/>
      <c r="E34" s="394"/>
      <c r="F34" s="350"/>
      <c r="G34" s="355"/>
      <c r="H34" s="395"/>
      <c r="I34" s="394"/>
      <c r="J34" s="396"/>
      <c r="K34" s="358"/>
    </row>
    <row r="38" spans="1:11" ht="16.5" customHeight="1" x14ac:dyDescent="0.25"/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FFFF00"/>
    <pageSetUpPr fitToPage="1"/>
  </sheetPr>
  <dimension ref="A1:K34"/>
  <sheetViews>
    <sheetView tabSelected="1" workbookViewId="0">
      <selection activeCell="D20" sqref="D20"/>
    </sheetView>
  </sheetViews>
  <sheetFormatPr defaultRowHeight="15" x14ac:dyDescent="0.25"/>
  <cols>
    <col min="1" max="1" width="54.140625" bestFit="1" customWidth="1"/>
    <col min="2" max="2" width="16.140625" customWidth="1"/>
    <col min="3" max="3" width="11.5703125" bestFit="1" customWidth="1"/>
    <col min="4" max="4" width="14" bestFit="1" customWidth="1"/>
    <col min="6" max="6" width="15.140625" bestFit="1" customWidth="1"/>
    <col min="7" max="7" width="11.5703125" bestFit="1" customWidth="1"/>
    <col min="8" max="8" width="14" bestFit="1" customWidth="1"/>
    <col min="10" max="10" width="12.710937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302</v>
      </c>
      <c r="C1" s="366"/>
      <c r="D1" s="366"/>
      <c r="E1" s="366"/>
      <c r="F1" s="366"/>
      <c r="G1" s="366"/>
      <c r="H1" s="366"/>
      <c r="I1" s="366"/>
      <c r="J1" s="366"/>
      <c r="K1" s="367"/>
    </row>
    <row r="2" spans="1:11" ht="15.75" x14ac:dyDescent="0.25">
      <c r="A2" s="246" t="s">
        <v>255</v>
      </c>
      <c r="B2" s="248">
        <f>1.45/100</f>
        <v>1.4499999999999999E-2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3000000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>
        <v>5000</v>
      </c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259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6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Rates'!G100,2)</f>
        <v>12864.22</v>
      </c>
      <c r="C9" s="274">
        <v>1</v>
      </c>
      <c r="D9" s="339">
        <f>C9*B9</f>
        <v>12864.22</v>
      </c>
      <c r="E9" s="380"/>
      <c r="F9" s="273">
        <f>ROUND('January 01, 2016 Rates'!F100,2)</f>
        <v>13050.75</v>
      </c>
      <c r="G9" s="277">
        <f>C9</f>
        <v>1</v>
      </c>
      <c r="H9" s="339">
        <f>G9*F9</f>
        <v>13050.75</v>
      </c>
      <c r="I9" s="380"/>
      <c r="J9" s="381">
        <f>H9-D9</f>
        <v>186.53000000000065</v>
      </c>
      <c r="K9" s="279">
        <f t="shared" ref="K9:K33" si="0">IF((D9)=0,"",(J9/D9))</f>
        <v>1.449990749536316E-2</v>
      </c>
    </row>
    <row r="10" spans="1:11" x14ac:dyDescent="0.25">
      <c r="A10" s="272" t="s">
        <v>26</v>
      </c>
      <c r="B10" s="280">
        <f>ROUND('January 01, 2016 Rates'!G102,4)</f>
        <v>2.7538999999999998</v>
      </c>
      <c r="C10" s="281">
        <f>+B5</f>
        <v>5000</v>
      </c>
      <c r="D10" s="339">
        <f>C10*B10</f>
        <v>13769.499999999998</v>
      </c>
      <c r="E10" s="380"/>
      <c r="F10" s="280">
        <f>ROUND('January 01, 2016 Rates'!F102,4)</f>
        <v>2.7938000000000001</v>
      </c>
      <c r="G10" s="283">
        <f>C10</f>
        <v>5000</v>
      </c>
      <c r="H10" s="339">
        <f>G10*F10</f>
        <v>13969</v>
      </c>
      <c r="I10" s="380"/>
      <c r="J10" s="381">
        <f t="shared" ref="J10:J33" si="1">H10-D10</f>
        <v>199.50000000000182</v>
      </c>
      <c r="K10" s="279">
        <f t="shared" si="0"/>
        <v>1.4488543520098903E-2</v>
      </c>
    </row>
    <row r="11" spans="1:11" x14ac:dyDescent="0.25">
      <c r="A11" s="284" t="s">
        <v>269</v>
      </c>
      <c r="B11" s="285">
        <f>ROUND('January 01, 2016 Rates'!G106,4)</f>
        <v>0</v>
      </c>
      <c r="C11" s="286">
        <f>+B5</f>
        <v>5000</v>
      </c>
      <c r="D11" s="382">
        <f>C11*B11</f>
        <v>0</v>
      </c>
      <c r="E11" s="380"/>
      <c r="F11" s="285">
        <v>0</v>
      </c>
      <c r="G11" s="289">
        <f>C11</f>
        <v>5000</v>
      </c>
      <c r="H11" s="382">
        <f>G11*F11</f>
        <v>0</v>
      </c>
      <c r="I11" s="380"/>
      <c r="J11" s="383">
        <f t="shared" si="1"/>
        <v>0</v>
      </c>
      <c r="K11" s="291" t="str">
        <f t="shared" si="0"/>
        <v/>
      </c>
    </row>
    <row r="12" spans="1:11" x14ac:dyDescent="0.25">
      <c r="A12" s="292" t="s">
        <v>270</v>
      </c>
      <c r="B12" s="293"/>
      <c r="C12" s="294"/>
      <c r="D12" s="298">
        <f>SUM(D9:D11)</f>
        <v>26633.719999999998</v>
      </c>
      <c r="E12" s="380"/>
      <c r="F12" s="293"/>
      <c r="G12" s="297"/>
      <c r="H12" s="298">
        <f>SUM(H9:H11)</f>
        <v>27019.75</v>
      </c>
      <c r="I12" s="380"/>
      <c r="J12" s="384">
        <f t="shared" si="1"/>
        <v>386.03000000000247</v>
      </c>
      <c r="K12" s="299">
        <f t="shared" si="0"/>
        <v>1.449403237700188E-2</v>
      </c>
    </row>
    <row r="13" spans="1:11" x14ac:dyDescent="0.25">
      <c r="A13" s="300" t="s">
        <v>349</v>
      </c>
      <c r="B13" s="280">
        <f>ROUND('January 01, 2016 Rates'!G104+'January 01, 2016 Rates'!G108,4)</f>
        <v>0</v>
      </c>
      <c r="C13" s="301">
        <f>+B5</f>
        <v>5000</v>
      </c>
      <c r="D13" s="339">
        <f>C13*B13</f>
        <v>0</v>
      </c>
      <c r="E13" s="380"/>
      <c r="F13" s="280">
        <f>ROUND('January 01, 2016 Rates'!F103+'January 01, 2016 Rates'!F104+'January 01, 2016 Rates'!F106+'January 01, 2016 Rates'!F109+'January 01, 2016 Rates'!F107,4)</f>
        <v>1.3274999999999999</v>
      </c>
      <c r="G13" s="301">
        <f>C13</f>
        <v>5000</v>
      </c>
      <c r="H13" s="339">
        <f>G13*F13</f>
        <v>6637.4999999999991</v>
      </c>
      <c r="I13" s="380"/>
      <c r="J13" s="381">
        <f t="shared" si="1"/>
        <v>6637.4999999999991</v>
      </c>
      <c r="K13" s="279" t="str">
        <f t="shared" si="0"/>
        <v/>
      </c>
    </row>
    <row r="14" spans="1:11" x14ac:dyDescent="0.25">
      <c r="A14" s="302" t="s">
        <v>272</v>
      </c>
      <c r="B14" s="280">
        <f>ROUND('January 01, 2016 Rates'!G110,4)</f>
        <v>8.3799999999999999E-2</v>
      </c>
      <c r="C14" s="301">
        <f>+B5</f>
        <v>5000</v>
      </c>
      <c r="D14" s="339">
        <f>C14*B14</f>
        <v>419</v>
      </c>
      <c r="E14" s="380"/>
      <c r="F14" s="280">
        <f>ROUND('January 01, 2016 Rates'!F110,4)</f>
        <v>8.3799999999999999E-2</v>
      </c>
      <c r="G14" s="301">
        <f>C14</f>
        <v>5000</v>
      </c>
      <c r="H14" s="339">
        <f>G14*F14</f>
        <v>419</v>
      </c>
      <c r="I14" s="380"/>
      <c r="J14" s="381">
        <f t="shared" si="1"/>
        <v>0</v>
      </c>
      <c r="K14" s="279">
        <f t="shared" si="0"/>
        <v>0</v>
      </c>
    </row>
    <row r="15" spans="1:11" x14ac:dyDescent="0.25">
      <c r="A15" s="302" t="s">
        <v>273</v>
      </c>
      <c r="B15" s="280">
        <v>0</v>
      </c>
      <c r="C15" s="301">
        <v>1</v>
      </c>
      <c r="D15" s="339">
        <f>C15*B15</f>
        <v>0</v>
      </c>
      <c r="E15" s="380"/>
      <c r="F15" s="280">
        <v>0</v>
      </c>
      <c r="G15" s="301">
        <f>C15</f>
        <v>1</v>
      </c>
      <c r="H15" s="339">
        <f>G15*F15</f>
        <v>0</v>
      </c>
      <c r="I15" s="380"/>
      <c r="J15" s="381">
        <f t="shared" si="1"/>
        <v>0</v>
      </c>
      <c r="K15" s="279" t="str">
        <f t="shared" si="0"/>
        <v/>
      </c>
    </row>
    <row r="16" spans="1:11" x14ac:dyDescent="0.25">
      <c r="A16" s="302" t="s">
        <v>350</v>
      </c>
      <c r="B16" s="280">
        <v>0</v>
      </c>
      <c r="C16" s="301">
        <v>1</v>
      </c>
      <c r="D16" s="339">
        <f>C16*B16</f>
        <v>0</v>
      </c>
      <c r="E16" s="380"/>
      <c r="F16" s="273">
        <f>ROUND('January 01, 2016 Rates'!F101,2)</f>
        <v>593.53</v>
      </c>
      <c r="G16" s="301">
        <f>C16</f>
        <v>1</v>
      </c>
      <c r="H16" s="339">
        <f>G16*F16</f>
        <v>593.53</v>
      </c>
      <c r="I16" s="380"/>
      <c r="J16" s="381"/>
      <c r="K16" s="279"/>
    </row>
    <row r="17" spans="1:11" x14ac:dyDescent="0.25">
      <c r="A17" s="303" t="s">
        <v>274</v>
      </c>
      <c r="B17" s="304"/>
      <c r="C17" s="305"/>
      <c r="D17" s="309">
        <f>SUM(D12:D16)</f>
        <v>27052.719999999998</v>
      </c>
      <c r="E17" s="380"/>
      <c r="F17" s="304"/>
      <c r="G17" s="308"/>
      <c r="H17" s="309">
        <f>SUM(H12:H16)</f>
        <v>34669.78</v>
      </c>
      <c r="I17" s="380"/>
      <c r="J17" s="385">
        <f t="shared" si="1"/>
        <v>7617.0600000000013</v>
      </c>
      <c r="K17" s="310">
        <f t="shared" si="0"/>
        <v>0.28156355442262376</v>
      </c>
    </row>
    <row r="18" spans="1:11" x14ac:dyDescent="0.25">
      <c r="A18" s="311" t="s">
        <v>145</v>
      </c>
      <c r="B18" s="280">
        <f>ROUND('January 01, 2016 Rates'!G117,4)</f>
        <v>-0.4</v>
      </c>
      <c r="C18" s="312">
        <f>B5</f>
        <v>5000</v>
      </c>
      <c r="D18" s="339">
        <f>C18*B18</f>
        <v>-2000</v>
      </c>
      <c r="E18" s="380"/>
      <c r="F18" s="280">
        <f>ROUND('January 01, 2016 Rates'!F117,4)</f>
        <v>-0.4</v>
      </c>
      <c r="G18" s="313">
        <f>C18</f>
        <v>5000</v>
      </c>
      <c r="H18" s="339">
        <f>G18*F18</f>
        <v>-2000</v>
      </c>
      <c r="I18" s="380"/>
      <c r="J18" s="381">
        <f t="shared" ref="J18" si="2">H18-D18</f>
        <v>0</v>
      </c>
      <c r="K18" s="279">
        <f t="shared" ref="K18" si="3">IF((D18)=0,"",(J18/D18))</f>
        <v>0</v>
      </c>
    </row>
    <row r="19" spans="1:11" x14ac:dyDescent="0.25">
      <c r="A19" s="311" t="s">
        <v>275</v>
      </c>
      <c r="B19" s="280">
        <f>ROUND('January 01, 2016 Rates'!G111,4)</f>
        <v>3.0219999999999998</v>
      </c>
      <c r="C19" s="312">
        <f>+B5</f>
        <v>5000</v>
      </c>
      <c r="D19" s="339">
        <f>C19*B19</f>
        <v>15109.999999999998</v>
      </c>
      <c r="E19" s="380"/>
      <c r="F19" s="280">
        <f>ROUND('January 01, 2016 Rates'!F111,4)</f>
        <v>2.9613999999999998</v>
      </c>
      <c r="G19" s="313">
        <f>C19</f>
        <v>5000</v>
      </c>
      <c r="H19" s="339">
        <f>G19*F19</f>
        <v>14806.999999999998</v>
      </c>
      <c r="I19" s="380"/>
      <c r="J19" s="381">
        <f t="shared" si="1"/>
        <v>-303</v>
      </c>
      <c r="K19" s="279">
        <f t="shared" si="0"/>
        <v>-2.0052945069490406E-2</v>
      </c>
    </row>
    <row r="20" spans="1:11" x14ac:dyDescent="0.25">
      <c r="A20" s="314" t="s">
        <v>276</v>
      </c>
      <c r="B20" s="280">
        <f>ROUND('January 01, 2016 Rates'!G112,4)</f>
        <v>2.2949999999999999</v>
      </c>
      <c r="C20" s="312">
        <f>+B5</f>
        <v>5000</v>
      </c>
      <c r="D20" s="339">
        <f>C20*B20</f>
        <v>11475</v>
      </c>
      <c r="E20" s="380"/>
      <c r="F20" s="280">
        <f>ROUND('January 01, 2016 Rates'!F112,4)</f>
        <v>2.3622000000000001</v>
      </c>
      <c r="G20" s="313">
        <f>C20</f>
        <v>5000</v>
      </c>
      <c r="H20" s="339">
        <f>G20*F20</f>
        <v>11811</v>
      </c>
      <c r="I20" s="380"/>
      <c r="J20" s="381">
        <f t="shared" si="1"/>
        <v>336</v>
      </c>
      <c r="K20" s="279">
        <f t="shared" si="0"/>
        <v>2.9281045751633986E-2</v>
      </c>
    </row>
    <row r="21" spans="1:11" x14ac:dyDescent="0.25">
      <c r="A21" s="303" t="s">
        <v>277</v>
      </c>
      <c r="B21" s="304"/>
      <c r="C21" s="305"/>
      <c r="D21" s="309">
        <f>SUM(D17:D20)</f>
        <v>51637.719999999994</v>
      </c>
      <c r="E21" s="386"/>
      <c r="F21" s="387"/>
      <c r="G21" s="317"/>
      <c r="H21" s="309">
        <f>SUM(H17:H20)</f>
        <v>59287.78</v>
      </c>
      <c r="I21" s="386"/>
      <c r="J21" s="385">
        <f t="shared" si="1"/>
        <v>7650.0600000000049</v>
      </c>
      <c r="K21" s="310">
        <f t="shared" si="0"/>
        <v>0.14814867891146252</v>
      </c>
    </row>
    <row r="22" spans="1:11" x14ac:dyDescent="0.25">
      <c r="A22" s="302" t="s">
        <v>278</v>
      </c>
      <c r="B22" s="280">
        <f>ROUND('January 01, 2016 Rates'!G113,4)</f>
        <v>4.4000000000000003E-3</v>
      </c>
      <c r="C22" s="312">
        <f>B3*(1+B2)</f>
        <v>3043500</v>
      </c>
      <c r="D22" s="339">
        <f t="shared" ref="D22:D26" si="4">C22*B22</f>
        <v>13391.400000000001</v>
      </c>
      <c r="E22" s="380"/>
      <c r="F22" s="280">
        <f>ROUND('January 01, 2016 Rates'!F113,4)</f>
        <v>4.4000000000000003E-3</v>
      </c>
      <c r="G22" s="313">
        <f>+C22</f>
        <v>3043500</v>
      </c>
      <c r="H22" s="339">
        <f t="shared" ref="H22:H26" si="5">G22*F22</f>
        <v>13391.400000000001</v>
      </c>
      <c r="I22" s="380"/>
      <c r="J22" s="381">
        <f t="shared" si="1"/>
        <v>0</v>
      </c>
      <c r="K22" s="279">
        <f t="shared" si="0"/>
        <v>0</v>
      </c>
    </row>
    <row r="23" spans="1:11" x14ac:dyDescent="0.25">
      <c r="A23" s="302" t="s">
        <v>279</v>
      </c>
      <c r="B23" s="280">
        <f>ROUND('January 01, 2016 Rates'!G114,4)</f>
        <v>1.2999999999999999E-3</v>
      </c>
      <c r="C23" s="312">
        <f>C22</f>
        <v>3043500</v>
      </c>
      <c r="D23" s="339">
        <f t="shared" si="4"/>
        <v>3956.5499999999997</v>
      </c>
      <c r="E23" s="380"/>
      <c r="F23" s="280">
        <f>ROUND('January 01, 2016 Rates'!F114,4)</f>
        <v>1.2999999999999999E-3</v>
      </c>
      <c r="G23" s="313">
        <f>C23</f>
        <v>3043500</v>
      </c>
      <c r="H23" s="339">
        <f t="shared" si="5"/>
        <v>3956.5499999999997</v>
      </c>
      <c r="I23" s="380"/>
      <c r="J23" s="381">
        <f t="shared" si="1"/>
        <v>0</v>
      </c>
      <c r="K23" s="279">
        <f t="shared" si="0"/>
        <v>0</v>
      </c>
    </row>
    <row r="24" spans="1:11" x14ac:dyDescent="0.25">
      <c r="A24" s="302" t="s">
        <v>280</v>
      </c>
      <c r="B24" s="280">
        <f>ROUND('January 01, 2016 Rates'!G115,4)</f>
        <v>0.25</v>
      </c>
      <c r="C24" s="312">
        <v>1</v>
      </c>
      <c r="D24" s="339">
        <f t="shared" si="4"/>
        <v>0.25</v>
      </c>
      <c r="E24" s="380"/>
      <c r="F24" s="280">
        <f>ROUND('January 01, 2016 Rates'!F115,4)</f>
        <v>0.25</v>
      </c>
      <c r="G24" s="313">
        <f>C24</f>
        <v>1</v>
      </c>
      <c r="H24" s="339">
        <f t="shared" si="5"/>
        <v>0.25</v>
      </c>
      <c r="I24" s="380"/>
      <c r="J24" s="381">
        <f t="shared" si="1"/>
        <v>0</v>
      </c>
      <c r="K24" s="279">
        <f t="shared" si="0"/>
        <v>0</v>
      </c>
    </row>
    <row r="25" spans="1:11" x14ac:dyDescent="0.25">
      <c r="A25" s="302" t="s">
        <v>281</v>
      </c>
      <c r="B25" s="280">
        <f>ROUND('January 01, 2016 Rates'!G116,4)</f>
        <v>7.0000000000000001E-3</v>
      </c>
      <c r="C25" s="312">
        <f>+B3</f>
        <v>3000000</v>
      </c>
      <c r="D25" s="339">
        <f t="shared" si="4"/>
        <v>21000</v>
      </c>
      <c r="E25" s="380"/>
      <c r="F25" s="280">
        <f>ROUND('January 01, 2016 Rates'!F116,4)</f>
        <v>7.0000000000000001E-3</v>
      </c>
      <c r="G25" s="313">
        <f>C25</f>
        <v>3000000</v>
      </c>
      <c r="H25" s="339">
        <f t="shared" si="5"/>
        <v>21000</v>
      </c>
      <c r="I25" s="380"/>
      <c r="J25" s="381">
        <f t="shared" si="1"/>
        <v>0</v>
      </c>
      <c r="K25" s="279">
        <f t="shared" si="0"/>
        <v>0</v>
      </c>
    </row>
    <row r="26" spans="1:11" x14ac:dyDescent="0.25">
      <c r="A26" s="302" t="s">
        <v>295</v>
      </c>
      <c r="B26" s="280">
        <v>9.4E-2</v>
      </c>
      <c r="C26" s="312">
        <v>750</v>
      </c>
      <c r="D26" s="339">
        <f t="shared" si="4"/>
        <v>70.5</v>
      </c>
      <c r="E26" s="380"/>
      <c r="F26" s="280">
        <v>9.4E-2</v>
      </c>
      <c r="G26" s="312">
        <f>C26</f>
        <v>750</v>
      </c>
      <c r="H26" s="339">
        <f t="shared" si="5"/>
        <v>70.5</v>
      </c>
      <c r="I26" s="380"/>
      <c r="J26" s="381">
        <f t="shared" si="1"/>
        <v>0</v>
      </c>
      <c r="K26" s="279">
        <f t="shared" si="0"/>
        <v>0</v>
      </c>
    </row>
    <row r="27" spans="1:11" ht="15.75" thickBot="1" x14ac:dyDescent="0.3">
      <c r="A27" s="302" t="s">
        <v>295</v>
      </c>
      <c r="B27" s="280">
        <v>0.11</v>
      </c>
      <c r="C27" s="312">
        <f>+ROUND(C22-C26,0)</f>
        <v>3042750</v>
      </c>
      <c r="D27" s="339">
        <f>+C27*B27</f>
        <v>334702.5</v>
      </c>
      <c r="E27" s="380"/>
      <c r="F27" s="280">
        <v>0.11</v>
      </c>
      <c r="G27" s="312">
        <f>C27</f>
        <v>3042750</v>
      </c>
      <c r="H27" s="339">
        <f>+G27*F27</f>
        <v>334702.5</v>
      </c>
      <c r="I27" s="380"/>
      <c r="J27" s="381">
        <f t="shared" si="1"/>
        <v>0</v>
      </c>
      <c r="K27" s="279">
        <f t="shared" si="0"/>
        <v>0</v>
      </c>
    </row>
    <row r="28" spans="1:11" ht="15.75" thickBot="1" x14ac:dyDescent="0.3">
      <c r="A28" s="318"/>
      <c r="B28" s="319"/>
      <c r="C28" s="320"/>
      <c r="D28" s="323"/>
      <c r="E28" s="380"/>
      <c r="F28" s="388"/>
      <c r="G28" s="322"/>
      <c r="H28" s="323"/>
      <c r="I28" s="380"/>
      <c r="J28" s="389"/>
      <c r="K28" s="324"/>
    </row>
    <row r="29" spans="1:11" x14ac:dyDescent="0.25">
      <c r="A29" s="325" t="s">
        <v>285</v>
      </c>
      <c r="B29" s="326"/>
      <c r="C29" s="327"/>
      <c r="D29" s="390">
        <f>SUM(D21:D27)</f>
        <v>424758.92</v>
      </c>
      <c r="E29" s="391"/>
      <c r="F29" s="331"/>
      <c r="G29" s="331"/>
      <c r="H29" s="390">
        <f>SUM(H21:H27)</f>
        <v>432408.98</v>
      </c>
      <c r="I29" s="386"/>
      <c r="J29" s="390">
        <f>H29-D29</f>
        <v>7650.0599999999977</v>
      </c>
      <c r="K29" s="333">
        <f>IF((D29)=0,"",(J29/D29))</f>
        <v>1.8010357498790132E-2</v>
      </c>
    </row>
    <row r="30" spans="1:11" x14ac:dyDescent="0.25">
      <c r="A30" s="334" t="s">
        <v>286</v>
      </c>
      <c r="B30" s="326">
        <v>0.13</v>
      </c>
      <c r="C30" s="335"/>
      <c r="D30" s="392">
        <f>D29*B30</f>
        <v>55218.659599999999</v>
      </c>
      <c r="E30" s="335"/>
      <c r="F30" s="326">
        <v>0.13</v>
      </c>
      <c r="G30" s="337"/>
      <c r="H30" s="392">
        <f>H29*F30</f>
        <v>56213.167399999998</v>
      </c>
      <c r="I30" s="380"/>
      <c r="J30" s="392">
        <f t="shared" si="1"/>
        <v>994.50779999999941</v>
      </c>
      <c r="K30" s="340">
        <f t="shared" si="0"/>
        <v>1.8010357498790128E-2</v>
      </c>
    </row>
    <row r="31" spans="1:11" x14ac:dyDescent="0.25">
      <c r="A31" s="341" t="s">
        <v>287</v>
      </c>
      <c r="B31" s="337"/>
      <c r="C31" s="335"/>
      <c r="D31" s="392">
        <f>D29+D30</f>
        <v>479977.5796</v>
      </c>
      <c r="E31" s="335"/>
      <c r="F31" s="337"/>
      <c r="G31" s="337"/>
      <c r="H31" s="392">
        <f>H29+H30</f>
        <v>488622.14739999996</v>
      </c>
      <c r="I31" s="380"/>
      <c r="J31" s="392">
        <f t="shared" si="1"/>
        <v>8644.5677999999607</v>
      </c>
      <c r="K31" s="340">
        <f t="shared" si="0"/>
        <v>1.8010357498790056E-2</v>
      </c>
    </row>
    <row r="32" spans="1:11" x14ac:dyDescent="0.25">
      <c r="A32" s="343" t="s">
        <v>288</v>
      </c>
      <c r="B32" s="337"/>
      <c r="C32" s="335"/>
      <c r="D32" s="392">
        <v>0</v>
      </c>
      <c r="E32" s="335"/>
      <c r="F32" s="337"/>
      <c r="G32" s="337"/>
      <c r="H32" s="392">
        <v>0</v>
      </c>
      <c r="I32" s="380"/>
      <c r="J32" s="392">
        <f t="shared" si="1"/>
        <v>0</v>
      </c>
      <c r="K32" s="340" t="str">
        <f t="shared" si="0"/>
        <v/>
      </c>
    </row>
    <row r="33" spans="1:11" ht="15.75" thickBot="1" x14ac:dyDescent="0.3">
      <c r="A33" s="344" t="s">
        <v>289</v>
      </c>
      <c r="B33" s="345"/>
      <c r="C33" s="346"/>
      <c r="D33" s="384">
        <f>D31+D32</f>
        <v>479977.5796</v>
      </c>
      <c r="E33" s="391"/>
      <c r="F33" s="349"/>
      <c r="G33" s="349"/>
      <c r="H33" s="384">
        <f>H31+H32</f>
        <v>488622.14739999996</v>
      </c>
      <c r="I33" s="386"/>
      <c r="J33" s="384">
        <f t="shared" si="1"/>
        <v>8644.5677999999607</v>
      </c>
      <c r="K33" s="299">
        <f t="shared" si="0"/>
        <v>1.8010357498790056E-2</v>
      </c>
    </row>
    <row r="34" spans="1:11" ht="15.75" thickBot="1" x14ac:dyDescent="0.3">
      <c r="A34" s="318"/>
      <c r="B34" s="350"/>
      <c r="C34" s="351"/>
      <c r="D34" s="393"/>
      <c r="E34" s="394"/>
      <c r="F34" s="350"/>
      <c r="G34" s="355"/>
      <c r="H34" s="395"/>
      <c r="I34" s="394"/>
      <c r="J34" s="396"/>
      <c r="K34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69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AB89"/>
  <sheetViews>
    <sheetView zoomScale="85" zoomScaleNormal="85" workbookViewId="0">
      <pane ySplit="15" topLeftCell="A16" activePane="bottomLeft" state="frozen"/>
      <selection activeCell="C36" sqref="C36"/>
      <selection pane="bottomLeft" activeCell="I17" sqref="I17"/>
    </sheetView>
  </sheetViews>
  <sheetFormatPr defaultRowHeight="12.75" x14ac:dyDescent="0.2"/>
  <cols>
    <col min="1" max="1" width="0.7109375" style="5" customWidth="1"/>
    <col min="2" max="2" width="2.42578125" style="5" customWidth="1"/>
    <col min="3" max="3" width="41.28515625" style="5" customWidth="1"/>
    <col min="4" max="4" width="3.42578125" style="5" customWidth="1"/>
    <col min="5" max="5" width="57.85546875" style="5" bestFit="1" customWidth="1"/>
    <col min="6" max="6" width="2.42578125" style="5" customWidth="1"/>
    <col min="7" max="7" width="11.5703125" style="5" bestFit="1" customWidth="1"/>
    <col min="8" max="8" width="20.7109375" style="5" hidden="1" customWidth="1"/>
    <col min="9" max="10" width="20.7109375" style="5" customWidth="1"/>
    <col min="11" max="11" width="20.28515625" style="125" hidden="1" customWidth="1"/>
    <col min="12" max="12" width="17" style="126" customWidth="1"/>
    <col min="13" max="13" width="20.7109375" style="126" customWidth="1"/>
    <col min="14" max="14" width="12.5703125" style="125" hidden="1" customWidth="1"/>
    <col min="15" max="15" width="11.85546875" style="125" hidden="1" customWidth="1"/>
    <col min="16" max="16" width="68.7109375" style="125" hidden="1" customWidth="1"/>
    <col min="17" max="19" width="12.85546875" style="125" hidden="1" customWidth="1"/>
    <col min="20" max="20" width="12.140625" style="125" hidden="1" customWidth="1"/>
    <col min="21" max="21" width="11" style="5" hidden="1" customWidth="1"/>
    <col min="22" max="22" width="14.5703125" style="5" hidden="1" customWidth="1"/>
    <col min="23" max="23" width="12.85546875" style="5" hidden="1" customWidth="1"/>
    <col min="24" max="24" width="12" style="5" hidden="1" customWidth="1"/>
    <col min="25" max="25" width="13.28515625" style="5" hidden="1" customWidth="1"/>
    <col min="26" max="26" width="0" style="5" hidden="1" customWidth="1"/>
    <col min="27" max="27" width="9.28515625" style="5" hidden="1" customWidth="1"/>
    <col min="28" max="28" width="0" style="5" hidden="1" customWidth="1"/>
    <col min="29" max="16384" width="9.140625" style="5"/>
  </cols>
  <sheetData>
    <row r="1" spans="1:25" ht="30" x14ac:dyDescent="0.2">
      <c r="A1" s="1"/>
      <c r="B1" s="435" t="s">
        <v>0</v>
      </c>
      <c r="C1" s="435"/>
      <c r="D1" s="435"/>
      <c r="E1" s="435"/>
      <c r="F1" s="8"/>
      <c r="G1" s="38"/>
    </row>
    <row r="2" spans="1:25" ht="0.75" customHeight="1" x14ac:dyDescent="0.2">
      <c r="A2" s="8"/>
      <c r="B2" s="127" t="s">
        <v>212</v>
      </c>
      <c r="C2" s="127"/>
      <c r="D2" s="127"/>
      <c r="E2" s="8"/>
      <c r="F2" s="8"/>
      <c r="G2" s="8"/>
    </row>
    <row r="3" spans="1:25" ht="15" x14ac:dyDescent="0.2">
      <c r="A3" s="8"/>
      <c r="B3" s="127" t="s">
        <v>213</v>
      </c>
      <c r="C3" s="127" t="s">
        <v>214</v>
      </c>
      <c r="D3" s="127"/>
      <c r="E3" s="8"/>
      <c r="F3" s="8"/>
      <c r="G3" s="8"/>
    </row>
    <row r="4" spans="1:25" ht="3.75" customHeight="1" x14ac:dyDescent="0.2">
      <c r="A4" s="8"/>
      <c r="B4" s="128"/>
      <c r="C4" s="128"/>
      <c r="D4" s="128"/>
      <c r="E4" s="8"/>
      <c r="F4" s="8"/>
      <c r="G4" s="8"/>
    </row>
    <row r="5" spans="1:25" ht="0.75" customHeight="1" x14ac:dyDescent="0.3">
      <c r="A5" s="8"/>
      <c r="C5" s="129" t="s">
        <v>215</v>
      </c>
      <c r="D5" s="8"/>
      <c r="E5" s="8"/>
      <c r="F5" s="8"/>
      <c r="G5" s="8"/>
    </row>
    <row r="6" spans="1:25" ht="20.25" x14ac:dyDescent="0.3">
      <c r="A6" s="8"/>
      <c r="C6" s="130"/>
      <c r="D6" s="131"/>
      <c r="E6" s="38"/>
      <c r="F6" s="38"/>
      <c r="G6" s="132"/>
    </row>
    <row r="7" spans="1:25" ht="3.75" customHeight="1" x14ac:dyDescent="0.3">
      <c r="A7" s="8"/>
      <c r="C7" s="131" t="s">
        <v>214</v>
      </c>
      <c r="D7" s="132"/>
      <c r="E7" s="38"/>
      <c r="F7" s="38"/>
      <c r="G7" s="132"/>
    </row>
    <row r="8" spans="1:25" ht="2.25" customHeight="1" x14ac:dyDescent="0.2">
      <c r="A8" s="8"/>
      <c r="C8" s="133"/>
      <c r="D8" s="133"/>
      <c r="E8" s="134"/>
      <c r="F8" s="134"/>
      <c r="G8" s="132"/>
    </row>
    <row r="9" spans="1:25" ht="5.25" customHeight="1" x14ac:dyDescent="0.2">
      <c r="A9" s="9"/>
      <c r="B9" s="135"/>
      <c r="C9" s="136"/>
      <c r="D9" s="135"/>
      <c r="E9" s="135"/>
      <c r="F9" s="135"/>
      <c r="G9" s="135"/>
    </row>
    <row r="10" spans="1:25" ht="5.25" customHeight="1" thickBot="1" x14ac:dyDescent="0.25">
      <c r="A10" s="9"/>
      <c r="B10" s="135"/>
      <c r="C10" s="136"/>
      <c r="D10" s="135"/>
      <c r="E10" s="135"/>
      <c r="F10" s="135"/>
      <c r="G10" s="135"/>
    </row>
    <row r="11" spans="1:25" ht="79.5" customHeight="1" x14ac:dyDescent="0.55000000000000004">
      <c r="A11" s="9"/>
      <c r="B11" s="135"/>
      <c r="C11" s="137"/>
      <c r="D11" s="138"/>
      <c r="E11" s="138"/>
      <c r="F11" s="138"/>
      <c r="G11" s="138"/>
      <c r="H11" s="11" t="s">
        <v>216</v>
      </c>
      <c r="I11" s="11" t="str">
        <f>+'January 01, 2016 Rates'!F3</f>
        <v xml:space="preserve">January 1, 2016
Rate
</v>
      </c>
      <c r="J11" s="11" t="str">
        <f>+'January 01, 2016 Rates'!G3</f>
        <v>January 1, 2015
Rate
EB-2014-0068</v>
      </c>
      <c r="K11" s="11" t="s">
        <v>217</v>
      </c>
      <c r="L11" s="139" t="s">
        <v>218</v>
      </c>
      <c r="M11" s="139" t="s">
        <v>218</v>
      </c>
      <c r="N11" s="140"/>
      <c r="O11" s="140"/>
      <c r="P11" s="141"/>
      <c r="Q11" s="142"/>
      <c r="R11" s="142"/>
      <c r="S11" s="143" t="s">
        <v>219</v>
      </c>
      <c r="T11" s="144" t="s">
        <v>220</v>
      </c>
      <c r="U11" s="145" t="s">
        <v>221</v>
      </c>
      <c r="V11" s="146" t="s">
        <v>222</v>
      </c>
      <c r="W11" s="145" t="s">
        <v>223</v>
      </c>
      <c r="X11" s="145" t="s">
        <v>224</v>
      </c>
      <c r="Y11" s="147" t="s">
        <v>225</v>
      </c>
    </row>
    <row r="12" spans="1:25" s="156" customFormat="1" ht="39" customHeight="1" x14ac:dyDescent="0.25">
      <c r="A12" s="15"/>
      <c r="B12" s="148"/>
      <c r="C12" s="149"/>
      <c r="D12" s="150"/>
      <c r="E12" s="150"/>
      <c r="F12" s="150"/>
      <c r="G12" s="150"/>
      <c r="H12" s="16" t="s">
        <v>226</v>
      </c>
      <c r="I12" s="16" t="s">
        <v>226</v>
      </c>
      <c r="J12" s="16" t="s">
        <v>227</v>
      </c>
      <c r="K12" s="16"/>
      <c r="L12" s="151" t="s">
        <v>228</v>
      </c>
      <c r="M12" s="151" t="s">
        <v>214</v>
      </c>
      <c r="N12" s="152"/>
      <c r="O12" s="152"/>
      <c r="P12" s="153"/>
      <c r="Q12" s="142"/>
      <c r="R12" s="142"/>
      <c r="S12" s="154"/>
      <c r="T12" s="15"/>
      <c r="U12" s="15"/>
      <c r="V12" s="142"/>
      <c r="W12" s="15"/>
      <c r="X12" s="15"/>
      <c r="Y12" s="155"/>
    </row>
    <row r="13" spans="1:25" ht="47.25" x14ac:dyDescent="0.25">
      <c r="A13" s="9"/>
      <c r="C13" s="21"/>
      <c r="D13" s="22"/>
      <c r="E13" s="23"/>
      <c r="F13" s="22"/>
      <c r="G13" s="23"/>
      <c r="H13" s="157">
        <v>2013</v>
      </c>
      <c r="I13" s="157">
        <v>2015</v>
      </c>
      <c r="J13" s="157">
        <v>2014</v>
      </c>
      <c r="K13" s="158">
        <v>2012</v>
      </c>
      <c r="L13" s="159" t="s">
        <v>214</v>
      </c>
      <c r="M13" s="159" t="s">
        <v>214</v>
      </c>
      <c r="N13" s="160"/>
      <c r="O13" s="160" t="s">
        <v>229</v>
      </c>
      <c r="P13" s="161" t="s">
        <v>230</v>
      </c>
      <c r="Q13" s="162"/>
      <c r="R13" s="162"/>
      <c r="S13" s="163"/>
      <c r="T13" s="164"/>
      <c r="U13" s="38"/>
      <c r="V13" s="162"/>
      <c r="W13" s="38"/>
      <c r="X13" s="38"/>
      <c r="Y13" s="165"/>
    </row>
    <row r="14" spans="1:25" ht="15" x14ac:dyDescent="0.2">
      <c r="A14" s="9"/>
      <c r="C14" s="21"/>
      <c r="D14" s="22"/>
      <c r="E14" s="23"/>
      <c r="F14" s="22"/>
      <c r="G14" s="23"/>
      <c r="H14" s="166"/>
      <c r="I14" s="166"/>
      <c r="J14" s="166"/>
      <c r="K14" s="166"/>
      <c r="L14" s="167" t="s">
        <v>214</v>
      </c>
      <c r="M14" s="167" t="s">
        <v>214</v>
      </c>
      <c r="N14" s="168"/>
      <c r="O14" s="168"/>
      <c r="P14" s="169"/>
      <c r="Q14" s="162"/>
      <c r="R14" s="162"/>
      <c r="S14" s="163"/>
      <c r="T14" s="164"/>
      <c r="U14" s="38"/>
      <c r="V14" s="162"/>
      <c r="W14" s="38"/>
      <c r="X14" s="38"/>
      <c r="Y14" s="165"/>
    </row>
    <row r="15" spans="1:25" ht="30" x14ac:dyDescent="0.2">
      <c r="A15" s="1" t="s">
        <v>214</v>
      </c>
      <c r="B15" s="170"/>
      <c r="C15" s="171" t="s">
        <v>10</v>
      </c>
      <c r="D15" s="36"/>
      <c r="E15" s="172" t="s">
        <v>12</v>
      </c>
      <c r="F15" s="173"/>
      <c r="G15" s="172" t="s">
        <v>13</v>
      </c>
      <c r="H15" s="174" t="s">
        <v>14</v>
      </c>
      <c r="I15" s="174" t="s">
        <v>14</v>
      </c>
      <c r="J15" s="174" t="s">
        <v>14</v>
      </c>
      <c r="K15" s="174" t="s">
        <v>14</v>
      </c>
      <c r="L15" s="175" t="s">
        <v>231</v>
      </c>
      <c r="M15" s="175" t="s">
        <v>232</v>
      </c>
      <c r="N15" s="176">
        <v>2013</v>
      </c>
      <c r="O15" s="176">
        <v>2012</v>
      </c>
      <c r="P15" s="177"/>
      <c r="Q15" s="178"/>
      <c r="R15" s="178"/>
      <c r="S15" s="179"/>
      <c r="T15" s="180"/>
      <c r="U15" s="181"/>
      <c r="V15" s="182"/>
      <c r="W15" s="181"/>
      <c r="X15" s="181"/>
      <c r="Y15" s="183"/>
    </row>
    <row r="16" spans="1:25" ht="18" x14ac:dyDescent="0.25">
      <c r="A16" s="38"/>
      <c r="C16" s="184" t="s">
        <v>233</v>
      </c>
      <c r="D16" s="40"/>
      <c r="E16" s="41"/>
      <c r="F16" s="185"/>
      <c r="G16" s="41"/>
      <c r="H16" s="186"/>
      <c r="I16" s="186"/>
      <c r="J16" s="186"/>
      <c r="K16" s="186"/>
      <c r="L16" s="187"/>
      <c r="M16" s="187"/>
      <c r="N16" s="168"/>
      <c r="O16" s="168"/>
      <c r="P16" s="169"/>
      <c r="Q16" s="162"/>
      <c r="R16" s="162"/>
      <c r="S16" s="188"/>
      <c r="T16" s="189"/>
      <c r="U16" s="189"/>
      <c r="V16" s="190"/>
      <c r="W16" s="189"/>
      <c r="X16" s="189"/>
      <c r="Y16" s="191"/>
    </row>
    <row r="17" spans="1:27" ht="15" x14ac:dyDescent="0.2">
      <c r="A17" s="38"/>
      <c r="C17" s="59"/>
      <c r="D17" s="192"/>
      <c r="E17" s="50" t="s">
        <v>18</v>
      </c>
      <c r="F17" s="193"/>
      <c r="G17" s="194" t="s">
        <v>19</v>
      </c>
      <c r="H17" s="107" t="e">
        <f>SUM('January 01, 2016 Rates'!#REF!)</f>
        <v>#REF!</v>
      </c>
      <c r="I17" s="107">
        <f>+'January 01, 2016 Rates'!F9+'January 01, 2016 Rates'!F10</f>
        <v>16.464024999999999</v>
      </c>
      <c r="J17" s="107">
        <f>+'January 01, 2016 Rates'!G9+'January 01, 2016 Rates'!G10</f>
        <v>14.008939999999999</v>
      </c>
      <c r="K17" s="107" t="e">
        <f>SUM('January 01, 2016 Rates'!#REF!)</f>
        <v>#REF!</v>
      </c>
      <c r="L17" s="195">
        <f>+I17-J17</f>
        <v>2.4550850000000004</v>
      </c>
      <c r="M17" s="196">
        <f>+L17/J17</f>
        <v>0.1752513038102812</v>
      </c>
      <c r="N17" s="197"/>
      <c r="O17" s="197"/>
      <c r="P17" s="198"/>
      <c r="Q17" s="199"/>
      <c r="R17" s="199">
        <v>11.87</v>
      </c>
      <c r="S17" s="188"/>
      <c r="T17" s="189"/>
      <c r="U17" s="189"/>
      <c r="V17" s="190"/>
      <c r="W17" s="189"/>
      <c r="X17" s="189" t="s">
        <v>214</v>
      </c>
      <c r="Y17" s="191"/>
      <c r="Z17" s="200">
        <v>0</v>
      </c>
      <c r="AA17" s="200"/>
    </row>
    <row r="18" spans="1:27" ht="15" x14ac:dyDescent="0.2">
      <c r="A18" s="9"/>
      <c r="C18" s="59"/>
      <c r="D18" s="192"/>
      <c r="E18" s="50" t="s">
        <v>26</v>
      </c>
      <c r="F18" s="193"/>
      <c r="G18" s="194" t="s">
        <v>27</v>
      </c>
      <c r="H18" s="64" t="e">
        <f>SUM('January 01, 2016 Rates'!#REF!,'January 01, 2016 Rates'!#REF!)</f>
        <v>#REF!</v>
      </c>
      <c r="I18" s="64">
        <f>+'January 01, 2016 Rates'!F12+'January 01, 2016 Rates'!F18</f>
        <v>1.0345E-2</v>
      </c>
      <c r="J18" s="64">
        <f>+'January 01, 2016 Rates'!G12+'January 01, 2016 Rates'!G18</f>
        <v>1.3489950000000001E-2</v>
      </c>
      <c r="K18" s="64" t="e">
        <f>SUM('January 01, 2016 Rates'!#REF!,'January 01, 2016 Rates'!#REF!)</f>
        <v>#REF!</v>
      </c>
      <c r="L18" s="201">
        <f t="shared" ref="L18:L24" si="0">+I18-J18</f>
        <v>-3.1449500000000005E-3</v>
      </c>
      <c r="M18" s="196">
        <f t="shared" ref="M18:M24" si="1">+L18/J18</f>
        <v>-0.23313281368722644</v>
      </c>
      <c r="N18" s="197"/>
      <c r="O18" s="197"/>
      <c r="P18" s="198"/>
      <c r="Q18" s="199"/>
      <c r="R18" s="199">
        <v>1.0300000000000002E-2</v>
      </c>
      <c r="S18" s="188" t="e">
        <v>#REF!</v>
      </c>
      <c r="T18" s="189" t="e">
        <v>#REF!</v>
      </c>
      <c r="U18" s="189" t="e">
        <v>#REF!</v>
      </c>
      <c r="V18" s="190">
        <v>6.9999999999999988E-4</v>
      </c>
      <c r="W18" s="189">
        <v>-1.1000000000000001E-3</v>
      </c>
      <c r="X18" s="189">
        <v>0</v>
      </c>
      <c r="Y18" s="191">
        <v>1.8E-3</v>
      </c>
      <c r="Z18" s="200">
        <v>0</v>
      </c>
      <c r="AA18" s="200"/>
    </row>
    <row r="19" spans="1:27" ht="15" x14ac:dyDescent="0.2">
      <c r="A19" s="9"/>
      <c r="C19" s="59"/>
      <c r="D19" s="192"/>
      <c r="E19" s="202" t="s">
        <v>234</v>
      </c>
      <c r="F19" s="193"/>
      <c r="G19" s="194" t="s">
        <v>27</v>
      </c>
      <c r="H19" s="109" t="e">
        <f>H18+'January 01, 2016 Rates'!#REF!+'January 01, 2016 Rates'!#REF!</f>
        <v>#REF!</v>
      </c>
      <c r="I19" s="109">
        <f>+'January 01, 2016 Rates'!F12+'January 01, 2016 Rates'!F18</f>
        <v>1.0345E-2</v>
      </c>
      <c r="J19" s="109">
        <f>+'January 01, 2016 Rates'!G12+'January 01, 2016 Rates'!G18</f>
        <v>1.3489950000000001E-2</v>
      </c>
      <c r="K19" s="109" t="e">
        <f>K18+'January 01, 2016 Rates'!#REF!+'January 01, 2016 Rates'!#REF!</f>
        <v>#REF!</v>
      </c>
      <c r="L19" s="201">
        <f t="shared" si="0"/>
        <v>-3.1449500000000005E-3</v>
      </c>
      <c r="M19" s="196">
        <f t="shared" si="1"/>
        <v>-0.23313281368722644</v>
      </c>
      <c r="N19" s="197"/>
      <c r="O19" s="197"/>
      <c r="P19" s="198"/>
      <c r="Q19" s="199"/>
      <c r="R19" s="199"/>
      <c r="S19" s="188"/>
      <c r="T19" s="189"/>
      <c r="U19" s="189"/>
      <c r="V19" s="190"/>
      <c r="W19" s="189"/>
      <c r="X19" s="189"/>
      <c r="Y19" s="191"/>
      <c r="Z19" s="200"/>
      <c r="AA19" s="200"/>
    </row>
    <row r="20" spans="1:27" ht="15" x14ac:dyDescent="0.2">
      <c r="A20" s="9"/>
      <c r="C20" s="59"/>
      <c r="D20" s="192"/>
      <c r="E20" s="50" t="s">
        <v>88</v>
      </c>
      <c r="F20" s="193"/>
      <c r="G20" s="51" t="s">
        <v>27</v>
      </c>
      <c r="H20" s="113" t="e">
        <f>'January 01, 2016 Rates'!#REF!</f>
        <v>#REF!</v>
      </c>
      <c r="I20" s="113">
        <f>+'January 01, 2016 Rates'!F19</f>
        <v>7.9374910817094635E-3</v>
      </c>
      <c r="J20" s="113">
        <f>+'January 01, 2016 Rates'!G19</f>
        <v>8.0999999999999996E-3</v>
      </c>
      <c r="K20" s="113" t="e">
        <f>'January 01, 2016 Rates'!#REF!</f>
        <v>#REF!</v>
      </c>
      <c r="L20" s="201">
        <f t="shared" si="0"/>
        <v>-1.6250891829053607E-4</v>
      </c>
      <c r="M20" s="196">
        <f t="shared" si="1"/>
        <v>-2.0062829418584702E-2</v>
      </c>
      <c r="N20" s="197"/>
      <c r="O20" s="197"/>
      <c r="P20" s="203"/>
      <c r="Q20" s="199"/>
      <c r="R20" s="199">
        <v>7.3000000000000001E-3</v>
      </c>
      <c r="S20" s="204"/>
      <c r="T20" s="190"/>
      <c r="U20" s="189"/>
      <c r="V20" s="189"/>
      <c r="W20" s="189"/>
      <c r="X20" s="189"/>
      <c r="Y20" s="191"/>
      <c r="Z20" s="200">
        <v>0</v>
      </c>
      <c r="AA20" s="200"/>
    </row>
    <row r="21" spans="1:27" ht="15" x14ac:dyDescent="0.2">
      <c r="A21" s="9"/>
      <c r="C21" s="59"/>
      <c r="D21" s="192"/>
      <c r="E21" s="50" t="s">
        <v>90</v>
      </c>
      <c r="F21" s="74"/>
      <c r="G21" s="51" t="s">
        <v>27</v>
      </c>
      <c r="H21" s="113" t="e">
        <f>'January 01, 2016 Rates'!#REF!</f>
        <v>#REF!</v>
      </c>
      <c r="I21" s="113">
        <f>+'January 01, 2016 Rates'!F20</f>
        <v>6.3816041687175329E-3</v>
      </c>
      <c r="J21" s="113">
        <f>+'January 01, 2016 Rates'!G20</f>
        <v>6.1999999999999998E-3</v>
      </c>
      <c r="K21" s="113" t="e">
        <f>'January 01, 2016 Rates'!#REF!</f>
        <v>#REF!</v>
      </c>
      <c r="L21" s="201">
        <f t="shared" si="0"/>
        <v>1.8160416871753314E-4</v>
      </c>
      <c r="M21" s="196">
        <f t="shared" si="1"/>
        <v>2.9290994954440829E-2</v>
      </c>
      <c r="N21" s="197"/>
      <c r="O21" s="197"/>
      <c r="P21" s="203"/>
      <c r="Q21" s="199"/>
      <c r="R21" s="199">
        <v>5.7000000000000002E-3</v>
      </c>
      <c r="S21" s="204"/>
      <c r="T21" s="190"/>
      <c r="U21" s="189"/>
      <c r="V21" s="189"/>
      <c r="W21" s="189"/>
      <c r="X21" s="189"/>
      <c r="Y21" s="191"/>
      <c r="Z21" s="200">
        <v>0</v>
      </c>
      <c r="AA21" s="200"/>
    </row>
    <row r="22" spans="1:27" ht="15" x14ac:dyDescent="0.2">
      <c r="A22" s="9"/>
      <c r="C22" s="59"/>
      <c r="D22" s="192"/>
      <c r="E22" s="50" t="s">
        <v>56</v>
      </c>
      <c r="F22" s="193"/>
      <c r="G22" s="51" t="s">
        <v>27</v>
      </c>
      <c r="H22" s="113" t="e">
        <f>'January 01, 2016 Rates'!#REF!</f>
        <v>#REF!</v>
      </c>
      <c r="I22" s="113">
        <f>+'January 01, 2016 Rates'!F21</f>
        <v>4.4000000000000003E-3</v>
      </c>
      <c r="J22" s="113">
        <f>+'January 01, 2016 Rates'!G21</f>
        <v>4.4000000000000003E-3</v>
      </c>
      <c r="K22" s="113" t="e">
        <f>'January 01, 2016 Rates'!#REF!</f>
        <v>#REF!</v>
      </c>
      <c r="L22" s="201">
        <f t="shared" si="0"/>
        <v>0</v>
      </c>
      <c r="M22" s="205">
        <f t="shared" si="1"/>
        <v>0</v>
      </c>
      <c r="N22" s="197"/>
      <c r="O22" s="197"/>
      <c r="P22" s="203"/>
      <c r="Q22" s="199"/>
      <c r="R22" s="199">
        <v>5.1999999999999998E-3</v>
      </c>
      <c r="S22" s="204"/>
      <c r="T22" s="190"/>
      <c r="U22" s="189"/>
      <c r="V22" s="189"/>
      <c r="W22" s="189"/>
      <c r="X22" s="189"/>
      <c r="Y22" s="191"/>
      <c r="Z22" s="200">
        <v>0</v>
      </c>
      <c r="AA22" s="200"/>
    </row>
    <row r="23" spans="1:27" ht="15" x14ac:dyDescent="0.2">
      <c r="A23" s="9"/>
      <c r="C23" s="59"/>
      <c r="D23" s="192"/>
      <c r="E23" s="50" t="s">
        <v>235</v>
      </c>
      <c r="F23" s="193"/>
      <c r="G23" s="51" t="s">
        <v>27</v>
      </c>
      <c r="H23" s="113" t="e">
        <f>'January 01, 2016 Rates'!#REF!</f>
        <v>#REF!</v>
      </c>
      <c r="I23" s="113">
        <f>+'January 01, 2016 Rates'!F22</f>
        <v>1.2999999999999999E-3</v>
      </c>
      <c r="J23" s="113">
        <f>+'January 01, 2016 Rates'!G22</f>
        <v>1.2999999999999999E-3</v>
      </c>
      <c r="K23" s="113" t="e">
        <f>'January 01, 2016 Rates'!#REF!</f>
        <v>#REF!</v>
      </c>
      <c r="L23" s="201">
        <f t="shared" si="0"/>
        <v>0</v>
      </c>
      <c r="M23" s="205">
        <f t="shared" si="1"/>
        <v>0</v>
      </c>
      <c r="N23" s="197"/>
      <c r="O23" s="197"/>
      <c r="P23" s="203"/>
      <c r="Q23" s="199"/>
      <c r="R23" s="199">
        <v>1.1000000000000001E-3</v>
      </c>
      <c r="S23" s="204"/>
      <c r="T23" s="190"/>
      <c r="U23" s="189"/>
      <c r="V23" s="189"/>
      <c r="W23" s="189"/>
      <c r="X23" s="189"/>
      <c r="Y23" s="191"/>
      <c r="Z23" s="200">
        <v>0</v>
      </c>
      <c r="AA23" s="200"/>
    </row>
    <row r="24" spans="1:27" ht="15" x14ac:dyDescent="0.2">
      <c r="A24" s="9"/>
      <c r="C24" s="59"/>
      <c r="D24" s="192"/>
      <c r="E24" s="50" t="s">
        <v>60</v>
      </c>
      <c r="F24" s="193"/>
      <c r="G24" s="194" t="s">
        <v>19</v>
      </c>
      <c r="H24" s="114" t="e">
        <f>'January 01, 2016 Rates'!#REF!</f>
        <v>#REF!</v>
      </c>
      <c r="I24" s="114">
        <f>+'January 01, 2016 Rates'!F23</f>
        <v>0.25</v>
      </c>
      <c r="J24" s="114">
        <f>+'January 01, 2016 Rates'!G23</f>
        <v>0.25</v>
      </c>
      <c r="K24" s="114" t="e">
        <f>'January 01, 2016 Rates'!#REF!</f>
        <v>#REF!</v>
      </c>
      <c r="L24" s="201">
        <f t="shared" si="0"/>
        <v>0</v>
      </c>
      <c r="M24" s="205">
        <f t="shared" si="1"/>
        <v>0</v>
      </c>
      <c r="N24" s="197"/>
      <c r="O24" s="197"/>
      <c r="P24" s="203"/>
      <c r="Q24" s="199"/>
      <c r="R24" s="199">
        <v>0.25</v>
      </c>
      <c r="S24" s="206"/>
      <c r="T24" s="207"/>
      <c r="U24" s="208"/>
      <c r="V24" s="208"/>
      <c r="W24" s="208"/>
      <c r="X24" s="208"/>
      <c r="Y24" s="209"/>
      <c r="Z24" s="200">
        <v>0</v>
      </c>
      <c r="AA24" s="200"/>
    </row>
    <row r="25" spans="1:27" ht="18" x14ac:dyDescent="0.25">
      <c r="A25" s="38"/>
      <c r="C25" s="184" t="s">
        <v>236</v>
      </c>
      <c r="D25" s="40"/>
      <c r="E25" s="41"/>
      <c r="F25" s="185"/>
      <c r="G25" s="41"/>
      <c r="H25" s="186"/>
      <c r="I25" s="186"/>
      <c r="J25" s="186"/>
      <c r="K25" s="186" t="s">
        <v>214</v>
      </c>
      <c r="L25" s="210" t="s">
        <v>214</v>
      </c>
      <c r="M25" s="210" t="s">
        <v>214</v>
      </c>
      <c r="N25" s="197"/>
      <c r="O25" s="197"/>
      <c r="P25" s="203"/>
      <c r="Q25" s="199"/>
      <c r="R25" s="199" t="s">
        <v>214</v>
      </c>
      <c r="S25" s="204"/>
      <c r="T25" s="190"/>
      <c r="U25" s="189"/>
      <c r="V25" s="189"/>
      <c r="W25" s="189"/>
      <c r="X25" s="189"/>
      <c r="Y25" s="191"/>
      <c r="Z25" s="200" t="e">
        <v>#VALUE!</v>
      </c>
      <c r="AA25" s="200"/>
    </row>
    <row r="26" spans="1:27" ht="15" x14ac:dyDescent="0.2">
      <c r="A26" s="38"/>
      <c r="C26" s="59"/>
      <c r="D26" s="192"/>
      <c r="E26" s="50" t="s">
        <v>18</v>
      </c>
      <c r="F26" s="193"/>
      <c r="G26" s="194" t="s">
        <v>19</v>
      </c>
      <c r="H26" s="107" t="e">
        <f>SUM('January 01, 2016 Rates'!#REF!)</f>
        <v>#REF!</v>
      </c>
      <c r="I26" s="107">
        <f>+'January 01, 2016 Rates'!F26+'January 01, 2016 Rates'!F27</f>
        <v>42.05986</v>
      </c>
      <c r="J26" s="107">
        <f>+'January 01, 2016 Rates'!G26+'January 01, 2016 Rates'!G27</f>
        <v>41.471449999999997</v>
      </c>
      <c r="K26" s="107" t="e">
        <f>SUM('January 01, 2016 Rates'!#REF!)</f>
        <v>#REF!</v>
      </c>
      <c r="L26" s="195">
        <f>+I26-J26</f>
        <v>0.58841000000000321</v>
      </c>
      <c r="M26" s="196">
        <f>+L26/J26</f>
        <v>1.4188315093877914E-2</v>
      </c>
      <c r="N26" s="197"/>
      <c r="O26" s="197"/>
      <c r="P26" s="203"/>
      <c r="Q26" s="199"/>
      <c r="R26" s="199">
        <v>39.93</v>
      </c>
      <c r="S26" s="204"/>
      <c r="T26" s="190"/>
      <c r="U26" s="189"/>
      <c r="V26" s="189"/>
      <c r="W26" s="189"/>
      <c r="X26" s="189"/>
      <c r="Y26" s="191"/>
      <c r="Z26" s="200">
        <v>0</v>
      </c>
      <c r="AA26" s="200"/>
    </row>
    <row r="27" spans="1:27" ht="15" x14ac:dyDescent="0.2">
      <c r="A27" s="9"/>
      <c r="C27" s="59"/>
      <c r="D27" s="192"/>
      <c r="E27" s="50" t="s">
        <v>26</v>
      </c>
      <c r="F27" s="193"/>
      <c r="G27" s="194" t="s">
        <v>27</v>
      </c>
      <c r="H27" s="64" t="e">
        <f>SUM('January 01, 2016 Rates'!#REF!,'January 01, 2016 Rates'!#REF!)</f>
        <v>#REF!</v>
      </c>
      <c r="I27" s="64">
        <f>+'January 01, 2016 Rates'!F29+'January 01, 2016 Rates'!F37</f>
        <v>1.227255E-2</v>
      </c>
      <c r="J27" s="64">
        <f>+'January 01, 2016 Rates'!G29+'January 01, 2016 Rates'!G37</f>
        <v>1.2069650000000001E-2</v>
      </c>
      <c r="K27" s="64" t="e">
        <f>SUM('January 01, 2016 Rates'!#REF!,'January 01, 2016 Rates'!#REF!)</f>
        <v>#REF!</v>
      </c>
      <c r="L27" s="201">
        <f t="shared" ref="L27:L33" si="2">+I27-J27</f>
        <v>2.0289999999999891E-4</v>
      </c>
      <c r="M27" s="196">
        <f t="shared" ref="M27:M33" si="3">+L27/J27</f>
        <v>1.6810760875418832E-2</v>
      </c>
      <c r="N27" s="197"/>
      <c r="O27" s="197"/>
      <c r="P27" s="203"/>
      <c r="Q27" s="199"/>
      <c r="R27" s="199">
        <v>0.01</v>
      </c>
      <c r="S27" s="188" t="e">
        <v>#REF!</v>
      </c>
      <c r="T27" s="189" t="e">
        <v>#REF!</v>
      </c>
      <c r="U27" s="189" t="e">
        <v>#REF!</v>
      </c>
      <c r="V27" s="190">
        <v>7.000000000000001E-4</v>
      </c>
      <c r="W27" s="189">
        <v>-1.1999999999999999E-3</v>
      </c>
      <c r="X27" s="189">
        <v>0</v>
      </c>
      <c r="Y27" s="191">
        <v>1.9E-3</v>
      </c>
      <c r="Z27" s="200">
        <v>0</v>
      </c>
      <c r="AA27" s="200"/>
    </row>
    <row r="28" spans="1:27" ht="15" x14ac:dyDescent="0.2">
      <c r="A28" s="9"/>
      <c r="C28" s="59"/>
      <c r="D28" s="192"/>
      <c r="E28" s="202" t="s">
        <v>234</v>
      </c>
      <c r="F28" s="193"/>
      <c r="G28" s="194" t="s">
        <v>27</v>
      </c>
      <c r="H28" s="109" t="e">
        <f>H27+'January 01, 2016 Rates'!#REF!+'January 01, 2016 Rates'!#REF!</f>
        <v>#REF!</v>
      </c>
      <c r="I28" s="109">
        <f>+'January 01, 2016 Rates'!F29+'January 01, 2016 Rates'!F37</f>
        <v>1.227255E-2</v>
      </c>
      <c r="J28" s="109">
        <f>+'January 01, 2016 Rates'!G29+'January 01, 2016 Rates'!G37</f>
        <v>1.2069650000000001E-2</v>
      </c>
      <c r="K28" s="109" t="e">
        <f>K27+'January 01, 2016 Rates'!#REF!+'January 01, 2016 Rates'!#REF!</f>
        <v>#REF!</v>
      </c>
      <c r="L28" s="201">
        <f t="shared" si="2"/>
        <v>2.0289999999999891E-4</v>
      </c>
      <c r="M28" s="196">
        <f t="shared" si="3"/>
        <v>1.6810760875418832E-2</v>
      </c>
      <c r="N28" s="197"/>
      <c r="O28" s="197"/>
      <c r="P28" s="203"/>
      <c r="Q28" s="199"/>
      <c r="R28" s="199"/>
      <c r="S28" s="188"/>
      <c r="T28" s="189"/>
      <c r="U28" s="189"/>
      <c r="V28" s="190"/>
      <c r="W28" s="189"/>
      <c r="X28" s="189"/>
      <c r="Y28" s="191"/>
      <c r="Z28" s="200"/>
      <c r="AA28" s="200"/>
    </row>
    <row r="29" spans="1:27" ht="15" x14ac:dyDescent="0.2">
      <c r="A29" s="9"/>
      <c r="C29" s="59"/>
      <c r="D29" s="192"/>
      <c r="E29" s="50" t="s">
        <v>88</v>
      </c>
      <c r="F29" s="193"/>
      <c r="G29" s="51" t="s">
        <v>27</v>
      </c>
      <c r="H29" s="113" t="e">
        <f>'January 01, 2016 Rates'!#REF!</f>
        <v>#REF!</v>
      </c>
      <c r="I29" s="113">
        <f>+'January 01, 2016 Rates'!F38</f>
        <v>7.4475224959026989E-3</v>
      </c>
      <c r="J29" s="113">
        <f>+'January 01, 2016 Rates'!G38</f>
        <v>7.6E-3</v>
      </c>
      <c r="K29" s="113" t="e">
        <f>'January 01, 2016 Rates'!#REF!</f>
        <v>#REF!</v>
      </c>
      <c r="L29" s="201">
        <f t="shared" si="2"/>
        <v>-1.5247750409730105E-4</v>
      </c>
      <c r="M29" s="196">
        <f t="shared" si="3"/>
        <v>-2.006282948648698E-2</v>
      </c>
      <c r="N29" s="197"/>
      <c r="O29" s="197"/>
      <c r="P29" s="203"/>
      <c r="Q29" s="199"/>
      <c r="R29" s="199">
        <v>6.7999999999999996E-3</v>
      </c>
      <c r="S29" s="204"/>
      <c r="T29" s="190"/>
      <c r="U29" s="189"/>
      <c r="V29" s="189"/>
      <c r="W29" s="189"/>
      <c r="X29" s="189"/>
      <c r="Y29" s="191"/>
      <c r="Z29" s="200">
        <v>0</v>
      </c>
      <c r="AA29" s="200"/>
    </row>
    <row r="30" spans="1:27" ht="15" x14ac:dyDescent="0.2">
      <c r="A30" s="9"/>
      <c r="C30" s="59"/>
      <c r="D30" s="192"/>
      <c r="E30" s="50" t="s">
        <v>90</v>
      </c>
      <c r="F30" s="193"/>
      <c r="G30" s="51" t="s">
        <v>27</v>
      </c>
      <c r="H30" s="113" t="e">
        <f>'January 01, 2016 Rates'!#REF!</f>
        <v>#REF!</v>
      </c>
      <c r="I30" s="113">
        <f>+'January 01, 2016 Rates'!F39</f>
        <v>5.7640295638366704E-3</v>
      </c>
      <c r="J30" s="113">
        <f>+'January 01, 2016 Rates'!G39</f>
        <v>5.5999999999999999E-3</v>
      </c>
      <c r="K30" s="113" t="e">
        <f>'January 01, 2016 Rates'!#REF!</f>
        <v>#REF!</v>
      </c>
      <c r="L30" s="201">
        <f t="shared" si="2"/>
        <v>1.6402956383667049E-4</v>
      </c>
      <c r="M30" s="196">
        <f t="shared" si="3"/>
        <v>2.9290993542262587E-2</v>
      </c>
      <c r="N30" s="197"/>
      <c r="O30" s="197"/>
      <c r="P30" s="203"/>
      <c r="Q30" s="199"/>
      <c r="R30" s="199">
        <v>5.1999999999999998E-3</v>
      </c>
      <c r="S30" s="204"/>
      <c r="T30" s="190"/>
      <c r="U30" s="189"/>
      <c r="V30" s="189"/>
      <c r="W30" s="189"/>
      <c r="X30" s="189"/>
      <c r="Y30" s="191"/>
      <c r="Z30" s="200">
        <v>0</v>
      </c>
      <c r="AA30" s="200"/>
    </row>
    <row r="31" spans="1:27" ht="15" x14ac:dyDescent="0.2">
      <c r="A31" s="9"/>
      <c r="C31" s="59"/>
      <c r="D31" s="192"/>
      <c r="E31" s="50" t="s">
        <v>56</v>
      </c>
      <c r="F31" s="193"/>
      <c r="G31" s="51" t="s">
        <v>27</v>
      </c>
      <c r="H31" s="113" t="e">
        <f>'January 01, 2016 Rates'!#REF!</f>
        <v>#REF!</v>
      </c>
      <c r="I31" s="113">
        <f>+'January 01, 2016 Rates'!F40</f>
        <v>4.4000000000000003E-3</v>
      </c>
      <c r="J31" s="113">
        <f>+'January 01, 2016 Rates'!G40</f>
        <v>4.4000000000000003E-3</v>
      </c>
      <c r="K31" s="113" t="e">
        <f>'January 01, 2016 Rates'!#REF!</f>
        <v>#REF!</v>
      </c>
      <c r="L31" s="201">
        <f t="shared" si="2"/>
        <v>0</v>
      </c>
      <c r="M31" s="205">
        <f t="shared" si="3"/>
        <v>0</v>
      </c>
      <c r="N31" s="197"/>
      <c r="O31" s="197"/>
      <c r="P31" s="203"/>
      <c r="Q31" s="199"/>
      <c r="R31" s="199">
        <v>5.1999999999999998E-3</v>
      </c>
      <c r="S31" s="204"/>
      <c r="T31" s="190"/>
      <c r="U31" s="189"/>
      <c r="V31" s="189"/>
      <c r="W31" s="189"/>
      <c r="X31" s="189"/>
      <c r="Y31" s="191"/>
      <c r="Z31" s="200">
        <v>0</v>
      </c>
      <c r="AA31" s="200"/>
    </row>
    <row r="32" spans="1:27" ht="15" x14ac:dyDescent="0.2">
      <c r="A32" s="9"/>
      <c r="C32" s="59"/>
      <c r="D32" s="192"/>
      <c r="E32" s="50" t="s">
        <v>235</v>
      </c>
      <c r="F32" s="193"/>
      <c r="G32" s="51" t="s">
        <v>27</v>
      </c>
      <c r="H32" s="113" t="e">
        <f>'January 01, 2016 Rates'!#REF!</f>
        <v>#REF!</v>
      </c>
      <c r="I32" s="113">
        <f>+'January 01, 2016 Rates'!F41</f>
        <v>1.2999999999999999E-3</v>
      </c>
      <c r="J32" s="113">
        <f>+'January 01, 2016 Rates'!G41</f>
        <v>1.2999999999999999E-3</v>
      </c>
      <c r="K32" s="113" t="e">
        <f>'January 01, 2016 Rates'!#REF!</f>
        <v>#REF!</v>
      </c>
      <c r="L32" s="201">
        <f t="shared" si="2"/>
        <v>0</v>
      </c>
      <c r="M32" s="205">
        <f t="shared" si="3"/>
        <v>0</v>
      </c>
      <c r="N32" s="197"/>
      <c r="O32" s="197"/>
      <c r="P32" s="203"/>
      <c r="Q32" s="199"/>
      <c r="R32" s="199">
        <v>1.1000000000000001E-3</v>
      </c>
      <c r="S32" s="204"/>
      <c r="T32" s="190"/>
      <c r="U32" s="189"/>
      <c r="V32" s="189"/>
      <c r="W32" s="189"/>
      <c r="X32" s="189"/>
      <c r="Y32" s="191"/>
      <c r="Z32" s="200">
        <v>0</v>
      </c>
      <c r="AA32" s="200"/>
    </row>
    <row r="33" spans="1:28" ht="15" x14ac:dyDescent="0.2">
      <c r="A33" s="9"/>
      <c r="C33" s="59"/>
      <c r="D33" s="192"/>
      <c r="E33" s="50" t="s">
        <v>60</v>
      </c>
      <c r="F33" s="193"/>
      <c r="G33" s="194" t="s">
        <v>19</v>
      </c>
      <c r="H33" s="114" t="e">
        <f>'January 01, 2016 Rates'!#REF!</f>
        <v>#REF!</v>
      </c>
      <c r="I33" s="114">
        <f>+'January 01, 2016 Rates'!F42</f>
        <v>0.25</v>
      </c>
      <c r="J33" s="114">
        <f>+'January 01, 2016 Rates'!G42</f>
        <v>0.25</v>
      </c>
      <c r="K33" s="114" t="e">
        <f>'January 01, 2016 Rates'!#REF!</f>
        <v>#REF!</v>
      </c>
      <c r="L33" s="201">
        <f t="shared" si="2"/>
        <v>0</v>
      </c>
      <c r="M33" s="205">
        <f t="shared" si="3"/>
        <v>0</v>
      </c>
      <c r="N33" s="197"/>
      <c r="O33" s="197"/>
      <c r="P33" s="203"/>
      <c r="Q33" s="199"/>
      <c r="R33" s="199">
        <v>0.25</v>
      </c>
      <c r="S33" s="206"/>
      <c r="T33" s="207"/>
      <c r="U33" s="208"/>
      <c r="V33" s="208"/>
      <c r="W33" s="208"/>
      <c r="X33" s="208"/>
      <c r="Y33" s="209"/>
      <c r="Z33" s="200">
        <v>0</v>
      </c>
      <c r="AA33" s="200"/>
    </row>
    <row r="34" spans="1:28" ht="45.75" x14ac:dyDescent="0.25">
      <c r="A34" s="38"/>
      <c r="C34" s="184" t="s">
        <v>237</v>
      </c>
      <c r="D34" s="40"/>
      <c r="E34" s="41"/>
      <c r="F34" s="185"/>
      <c r="G34" s="41"/>
      <c r="H34" s="186"/>
      <c r="I34" s="186"/>
      <c r="J34" s="186"/>
      <c r="K34" s="186" t="s">
        <v>214</v>
      </c>
      <c r="L34" s="210" t="s">
        <v>214</v>
      </c>
      <c r="M34" s="210" t="s">
        <v>214</v>
      </c>
      <c r="N34" s="197"/>
      <c r="O34" s="197"/>
      <c r="P34" s="203"/>
      <c r="Q34" s="199"/>
      <c r="R34" s="199" t="s">
        <v>214</v>
      </c>
      <c r="S34" s="204"/>
      <c r="T34" s="190"/>
      <c r="U34" s="189"/>
      <c r="V34" s="189"/>
      <c r="W34" s="189"/>
      <c r="X34" s="189"/>
      <c r="Y34" s="191"/>
      <c r="Z34" s="200" t="e">
        <v>#VALUE!</v>
      </c>
      <c r="AA34" s="200"/>
    </row>
    <row r="35" spans="1:28" ht="28.5" x14ac:dyDescent="0.2">
      <c r="A35" s="38"/>
      <c r="C35" s="94" t="s">
        <v>238</v>
      </c>
      <c r="D35" s="192"/>
      <c r="E35" s="95" t="s">
        <v>239</v>
      </c>
      <c r="F35" s="193"/>
      <c r="G35" s="194" t="s">
        <v>19</v>
      </c>
      <c r="H35" s="107" t="e">
        <f>'January 01, 2016 Rates'!#REF!</f>
        <v>#REF!</v>
      </c>
      <c r="I35" s="107">
        <f>+'January 01, 2016 Rates'!F45</f>
        <v>8.5218000000000007</v>
      </c>
      <c r="J35" s="107">
        <f>+'January 01, 2016 Rates'!G45</f>
        <v>8.4000599999999999</v>
      </c>
      <c r="K35" s="107" t="e">
        <f>'January 01, 2016 Rates'!#REF!</f>
        <v>#REF!</v>
      </c>
      <c r="L35" s="195">
        <f>+I35-J35</f>
        <v>0.12174000000000085</v>
      </c>
      <c r="M35" s="196">
        <f>+L35/J35</f>
        <v>1.4492753623188507E-2</v>
      </c>
      <c r="N35" s="197"/>
      <c r="O35" s="197"/>
      <c r="P35" s="203"/>
      <c r="Q35" s="199"/>
      <c r="R35" s="199">
        <v>10.69</v>
      </c>
      <c r="S35" s="204"/>
      <c r="T35" s="190"/>
      <c r="U35" s="189"/>
      <c r="V35" s="189"/>
      <c r="W35" s="189"/>
      <c r="X35" s="189"/>
      <c r="Y35" s="191"/>
      <c r="Z35" s="200">
        <v>0</v>
      </c>
      <c r="AA35" s="200"/>
    </row>
    <row r="36" spans="1:28" ht="15" x14ac:dyDescent="0.2">
      <c r="A36" s="9"/>
      <c r="C36" s="59"/>
      <c r="D36" s="192"/>
      <c r="E36" s="50" t="s">
        <v>26</v>
      </c>
      <c r="F36" s="193"/>
      <c r="G36" s="194" t="s">
        <v>27</v>
      </c>
      <c r="H36" s="64" t="e">
        <f>SUM('January 01, 2016 Rates'!#REF!,'January 01, 2016 Rates'!#REF!)</f>
        <v>#REF!</v>
      </c>
      <c r="I36" s="64">
        <f>+'January 01, 2016 Rates'!F47+'January 01, 2016 Rates'!F53</f>
        <v>1.5721849999999999E-2</v>
      </c>
      <c r="J36" s="64">
        <f>+'January 01, 2016 Rates'!G47+'January 01, 2016 Rates'!G53</f>
        <v>1.551895E-2</v>
      </c>
      <c r="K36" s="64" t="e">
        <f>SUM('January 01, 2016 Rates'!#REF!,'January 01, 2016 Rates'!#REF!)</f>
        <v>#REF!</v>
      </c>
      <c r="L36" s="201">
        <f t="shared" ref="L36:L42" si="4">+I36-J36</f>
        <v>2.0289999999999891E-4</v>
      </c>
      <c r="M36" s="196">
        <f t="shared" ref="M36:M42" si="5">+L36/J36</f>
        <v>1.3074338147877203E-2</v>
      </c>
      <c r="N36" s="197"/>
      <c r="O36" s="197"/>
      <c r="P36" s="203"/>
      <c r="Q36" s="199"/>
      <c r="R36" s="199">
        <v>1.67E-2</v>
      </c>
      <c r="S36" s="188" t="e">
        <v>#REF!</v>
      </c>
      <c r="T36" s="189" t="e">
        <v>#REF!</v>
      </c>
      <c r="U36" s="189" t="e">
        <v>#REF!</v>
      </c>
      <c r="V36" s="190">
        <v>6.0000000000000006E-4</v>
      </c>
      <c r="W36" s="189">
        <v>-1.1999999999999999E-3</v>
      </c>
      <c r="X36" s="189">
        <v>0</v>
      </c>
      <c r="Y36" s="191">
        <v>1.8E-3</v>
      </c>
      <c r="Z36" s="200">
        <v>0</v>
      </c>
      <c r="AA36" s="200"/>
    </row>
    <row r="37" spans="1:28" ht="15" x14ac:dyDescent="0.2">
      <c r="A37" s="9"/>
      <c r="C37" s="59"/>
      <c r="D37" s="192"/>
      <c r="E37" s="202" t="s">
        <v>234</v>
      </c>
      <c r="F37" s="193"/>
      <c r="G37" s="194" t="s">
        <v>27</v>
      </c>
      <c r="H37" s="109" t="e">
        <f>H36+'January 01, 2016 Rates'!#REF!+'January 01, 2016 Rates'!#REF!</f>
        <v>#REF!</v>
      </c>
      <c r="I37" s="109">
        <f>+'January 01, 2016 Rates'!F47+'January 01, 2016 Rates'!F53</f>
        <v>1.5721849999999999E-2</v>
      </c>
      <c r="J37" s="109">
        <f>+'January 01, 2016 Rates'!G47+'January 01, 2016 Rates'!G53</f>
        <v>1.551895E-2</v>
      </c>
      <c r="K37" s="109" t="e">
        <f>K36+'January 01, 2016 Rates'!#REF!+'January 01, 2016 Rates'!#REF!</f>
        <v>#REF!</v>
      </c>
      <c r="L37" s="201">
        <f t="shared" si="4"/>
        <v>2.0289999999999891E-4</v>
      </c>
      <c r="M37" s="196">
        <f t="shared" si="5"/>
        <v>1.3074338147877203E-2</v>
      </c>
      <c r="N37" s="197"/>
      <c r="O37" s="197"/>
      <c r="P37" s="203"/>
      <c r="Q37" s="199"/>
      <c r="R37" s="199"/>
      <c r="S37" s="188"/>
      <c r="T37" s="189"/>
      <c r="U37" s="189"/>
      <c r="V37" s="190"/>
      <c r="W37" s="189"/>
      <c r="X37" s="189"/>
      <c r="Y37" s="191"/>
      <c r="Z37" s="200"/>
      <c r="AA37" s="200"/>
    </row>
    <row r="38" spans="1:28" ht="15" x14ac:dyDescent="0.2">
      <c r="A38" s="9"/>
      <c r="C38" s="59"/>
      <c r="D38" s="192"/>
      <c r="E38" s="50" t="s">
        <v>88</v>
      </c>
      <c r="F38" s="193"/>
      <c r="G38" s="51" t="s">
        <v>27</v>
      </c>
      <c r="H38" s="113" t="e">
        <f>'January 01, 2016 Rates'!#REF!</f>
        <v>#REF!</v>
      </c>
      <c r="I38" s="113">
        <f>+'January 01, 2016 Rates'!F54</f>
        <v>7.4475227425682871E-3</v>
      </c>
      <c r="J38" s="113">
        <f>+'January 01, 2016 Rates'!G54</f>
        <v>7.6E-3</v>
      </c>
      <c r="K38" s="113" t="e">
        <f>'January 01, 2016 Rates'!#REF!</f>
        <v>#REF!</v>
      </c>
      <c r="L38" s="201">
        <f t="shared" si="4"/>
        <v>-1.5247725743171292E-4</v>
      </c>
      <c r="M38" s="196">
        <f t="shared" si="5"/>
        <v>-2.0062797030488543E-2</v>
      </c>
      <c r="N38" s="197"/>
      <c r="O38" s="197"/>
      <c r="P38" s="203"/>
      <c r="Q38" s="199"/>
      <c r="R38" s="199">
        <v>6.7999999999999996E-3</v>
      </c>
      <c r="S38" s="204"/>
      <c r="T38" s="190"/>
      <c r="U38" s="189"/>
      <c r="V38" s="189"/>
      <c r="W38" s="189"/>
      <c r="X38" s="189"/>
      <c r="Y38" s="191"/>
      <c r="Z38" s="200">
        <v>0</v>
      </c>
      <c r="AA38" s="200"/>
    </row>
    <row r="39" spans="1:28" ht="15" x14ac:dyDescent="0.2">
      <c r="A39" s="9"/>
      <c r="C39" s="59"/>
      <c r="D39" s="192"/>
      <c r="E39" s="50" t="s">
        <v>90</v>
      </c>
      <c r="F39" s="193"/>
      <c r="G39" s="51" t="s">
        <v>27</v>
      </c>
      <c r="H39" s="113" t="e">
        <f>'January 01, 2016 Rates'!#REF!</f>
        <v>#REF!</v>
      </c>
      <c r="I39" s="113">
        <f>+'January 01, 2016 Rates'!F55</f>
        <v>5.7640295507585537E-3</v>
      </c>
      <c r="J39" s="113">
        <f>+'January 01, 2016 Rates'!G55</f>
        <v>5.5999999999999999E-3</v>
      </c>
      <c r="K39" s="113" t="e">
        <f>'January 01, 2016 Rates'!#REF!</f>
        <v>#REF!</v>
      </c>
      <c r="L39" s="201">
        <f t="shared" si="4"/>
        <v>1.6402955075855378E-4</v>
      </c>
      <c r="M39" s="196">
        <f t="shared" si="5"/>
        <v>2.9290991206884602E-2</v>
      </c>
      <c r="N39" s="197"/>
      <c r="O39" s="197"/>
      <c r="P39" s="203"/>
      <c r="Q39" s="199"/>
      <c r="R39" s="199">
        <v>5.1999999999999998E-3</v>
      </c>
      <c r="S39" s="204"/>
      <c r="T39" s="190"/>
      <c r="U39" s="189"/>
      <c r="V39" s="189"/>
      <c r="W39" s="189"/>
      <c r="X39" s="189"/>
      <c r="Y39" s="191"/>
      <c r="Z39" s="200">
        <v>0</v>
      </c>
      <c r="AA39" s="200"/>
    </row>
    <row r="40" spans="1:28" ht="15" x14ac:dyDescent="0.2">
      <c r="A40" s="9"/>
      <c r="C40" s="59"/>
      <c r="D40" s="192"/>
      <c r="E40" s="50" t="s">
        <v>56</v>
      </c>
      <c r="F40" s="193"/>
      <c r="G40" s="51" t="s">
        <v>27</v>
      </c>
      <c r="H40" s="113" t="e">
        <f>'January 01, 2016 Rates'!#REF!</f>
        <v>#REF!</v>
      </c>
      <c r="I40" s="113">
        <f>+'January 01, 2016 Rates'!F56</f>
        <v>4.4000000000000003E-3</v>
      </c>
      <c r="J40" s="113">
        <f>+'January 01, 2016 Rates'!G56</f>
        <v>4.4000000000000003E-3</v>
      </c>
      <c r="K40" s="113" t="e">
        <f>'January 01, 2016 Rates'!#REF!</f>
        <v>#REF!</v>
      </c>
      <c r="L40" s="201">
        <f t="shared" si="4"/>
        <v>0</v>
      </c>
      <c r="M40" s="205">
        <f t="shared" si="5"/>
        <v>0</v>
      </c>
      <c r="N40" s="197"/>
      <c r="O40" s="197"/>
      <c r="P40" s="203"/>
      <c r="Q40" s="199"/>
      <c r="R40" s="199">
        <v>5.1999999999999998E-3</v>
      </c>
      <c r="S40" s="204"/>
      <c r="T40" s="190"/>
      <c r="U40" s="189"/>
      <c r="V40" s="189"/>
      <c r="W40" s="189"/>
      <c r="X40" s="189"/>
      <c r="Y40" s="191"/>
      <c r="Z40" s="200">
        <v>0</v>
      </c>
      <c r="AA40" s="200"/>
    </row>
    <row r="41" spans="1:28" ht="15" x14ac:dyDescent="0.2">
      <c r="A41" s="9"/>
      <c r="C41" s="59"/>
      <c r="D41" s="192"/>
      <c r="E41" s="50" t="s">
        <v>235</v>
      </c>
      <c r="F41" s="193"/>
      <c r="G41" s="51" t="s">
        <v>27</v>
      </c>
      <c r="H41" s="113" t="e">
        <f>'January 01, 2016 Rates'!#REF!</f>
        <v>#REF!</v>
      </c>
      <c r="I41" s="113">
        <f>+'January 01, 2016 Rates'!F57</f>
        <v>1.2999999999999999E-3</v>
      </c>
      <c r="J41" s="113">
        <f>+'January 01, 2016 Rates'!G57</f>
        <v>1.2999999999999999E-3</v>
      </c>
      <c r="K41" s="113" t="e">
        <f>'January 01, 2016 Rates'!#REF!</f>
        <v>#REF!</v>
      </c>
      <c r="L41" s="201">
        <f t="shared" si="4"/>
        <v>0</v>
      </c>
      <c r="M41" s="205">
        <f t="shared" si="5"/>
        <v>0</v>
      </c>
      <c r="N41" s="197"/>
      <c r="O41" s="197"/>
      <c r="P41" s="203"/>
      <c r="Q41" s="199"/>
      <c r="R41" s="199">
        <v>1.1000000000000001E-3</v>
      </c>
      <c r="S41" s="204"/>
      <c r="T41" s="190"/>
      <c r="U41" s="189"/>
      <c r="V41" s="189"/>
      <c r="W41" s="189"/>
      <c r="X41" s="189"/>
      <c r="Y41" s="191"/>
      <c r="Z41" s="200">
        <v>0</v>
      </c>
      <c r="AA41" s="200"/>
    </row>
    <row r="42" spans="1:28" ht="15" x14ac:dyDescent="0.2">
      <c r="A42" s="9"/>
      <c r="C42" s="59"/>
      <c r="D42" s="192"/>
      <c r="E42" s="50" t="s">
        <v>60</v>
      </c>
      <c r="F42" s="193"/>
      <c r="G42" s="194" t="s">
        <v>19</v>
      </c>
      <c r="H42" s="114" t="e">
        <f>'January 01, 2016 Rates'!#REF!</f>
        <v>#REF!</v>
      </c>
      <c r="I42" s="114">
        <f>+'January 01, 2016 Rates'!F58</f>
        <v>0.25</v>
      </c>
      <c r="J42" s="114">
        <f>+'January 01, 2016 Rates'!G58</f>
        <v>0.25</v>
      </c>
      <c r="K42" s="114" t="e">
        <f>'January 01, 2016 Rates'!#REF!</f>
        <v>#REF!</v>
      </c>
      <c r="L42" s="201">
        <f t="shared" si="4"/>
        <v>0</v>
      </c>
      <c r="M42" s="205">
        <f t="shared" si="5"/>
        <v>0</v>
      </c>
      <c r="N42" s="197"/>
      <c r="O42" s="197"/>
      <c r="P42" s="203"/>
      <c r="Q42" s="199"/>
      <c r="R42" s="199">
        <v>0.25</v>
      </c>
      <c r="S42" s="206"/>
      <c r="T42" s="207"/>
      <c r="U42" s="208"/>
      <c r="V42" s="208"/>
      <c r="W42" s="208"/>
      <c r="X42" s="208"/>
      <c r="Y42" s="209"/>
      <c r="Z42" s="200">
        <v>0</v>
      </c>
      <c r="AA42" s="200"/>
    </row>
    <row r="43" spans="1:28" ht="30.75" x14ac:dyDescent="0.25">
      <c r="A43" s="38"/>
      <c r="C43" s="184" t="s">
        <v>240</v>
      </c>
      <c r="D43" s="40"/>
      <c r="E43" s="41"/>
      <c r="F43" s="185"/>
      <c r="G43" s="41"/>
      <c r="H43" s="186"/>
      <c r="I43" s="186"/>
      <c r="J43" s="186"/>
      <c r="K43" s="186" t="s">
        <v>214</v>
      </c>
      <c r="L43" s="210" t="s">
        <v>214</v>
      </c>
      <c r="M43" s="210" t="s">
        <v>214</v>
      </c>
      <c r="N43" s="197"/>
      <c r="O43" s="197"/>
      <c r="P43" s="203"/>
      <c r="Q43" s="199"/>
      <c r="R43" s="199" t="s">
        <v>214</v>
      </c>
      <c r="S43" s="204"/>
      <c r="T43" s="190"/>
      <c r="U43" s="189"/>
      <c r="V43" s="189"/>
      <c r="W43" s="189"/>
      <c r="X43" s="189"/>
      <c r="Y43" s="191"/>
      <c r="Z43" s="200" t="e">
        <v>#VALUE!</v>
      </c>
      <c r="AA43" s="200"/>
    </row>
    <row r="44" spans="1:28" ht="15" x14ac:dyDescent="0.2">
      <c r="A44" s="38"/>
      <c r="C44" s="59"/>
      <c r="D44" s="192"/>
      <c r="E44" s="50" t="s">
        <v>18</v>
      </c>
      <c r="F44" s="193"/>
      <c r="G44" s="194" t="s">
        <v>19</v>
      </c>
      <c r="H44" s="107" t="e">
        <f>SUM('January 01, 2016 Rates'!#REF!)</f>
        <v>#REF!</v>
      </c>
      <c r="I44" s="107">
        <f>+'January 01, 2016 Rates'!F61</f>
        <v>72.678780000000003</v>
      </c>
      <c r="J44" s="107">
        <f>+'January 01, 2016 Rates'!G61</f>
        <v>71.643990000000002</v>
      </c>
      <c r="K44" s="107" t="e">
        <f>SUM('January 01, 2016 Rates'!#REF!)</f>
        <v>#REF!</v>
      </c>
      <c r="L44" s="195">
        <f>+I44-J44</f>
        <v>1.034790000000001</v>
      </c>
      <c r="M44" s="196">
        <f>+L44/J44</f>
        <v>1.4443500424808849E-2</v>
      </c>
      <c r="N44" s="211" t="e">
        <f t="shared" ref="N44:AB51" si="6">+M44/K44</f>
        <v>#REF!</v>
      </c>
      <c r="O44" s="211" t="e">
        <f t="shared" si="6"/>
        <v>#REF!</v>
      </c>
      <c r="P44" s="211" t="e">
        <f t="shared" si="6"/>
        <v>#REF!</v>
      </c>
      <c r="Q44" s="211" t="e">
        <f t="shared" si="6"/>
        <v>#REF!</v>
      </c>
      <c r="R44" s="211" t="e">
        <f t="shared" si="6"/>
        <v>#REF!</v>
      </c>
      <c r="S44" s="211" t="e">
        <f t="shared" si="6"/>
        <v>#REF!</v>
      </c>
      <c r="T44" s="211" t="e">
        <f t="shared" si="6"/>
        <v>#REF!</v>
      </c>
      <c r="U44" s="211" t="e">
        <f t="shared" si="6"/>
        <v>#REF!</v>
      </c>
      <c r="V44" s="211" t="e">
        <f t="shared" si="6"/>
        <v>#REF!</v>
      </c>
      <c r="W44" s="211" t="e">
        <f t="shared" si="6"/>
        <v>#REF!</v>
      </c>
      <c r="X44" s="211" t="e">
        <f t="shared" si="6"/>
        <v>#REF!</v>
      </c>
      <c r="Y44" s="211" t="e">
        <f t="shared" si="6"/>
        <v>#REF!</v>
      </c>
      <c r="Z44" s="211" t="e">
        <f t="shared" si="6"/>
        <v>#REF!</v>
      </c>
      <c r="AA44" s="211" t="e">
        <f t="shared" si="6"/>
        <v>#REF!</v>
      </c>
      <c r="AB44" s="211" t="e">
        <f t="shared" si="6"/>
        <v>#REF!</v>
      </c>
    </row>
    <row r="45" spans="1:28" ht="15" x14ac:dyDescent="0.2">
      <c r="A45" s="9"/>
      <c r="C45" s="59"/>
      <c r="D45" s="192"/>
      <c r="E45" s="50" t="s">
        <v>26</v>
      </c>
      <c r="F45" s="193"/>
      <c r="G45" s="194" t="s">
        <v>118</v>
      </c>
      <c r="H45" s="64" t="e">
        <f>SUM('January 01, 2016 Rates'!#REF!,'January 01, 2016 Rates'!#REF!)</f>
        <v>#REF!</v>
      </c>
      <c r="I45" s="64">
        <f>+'January 01, 2016 Rates'!F63+'January 01, 2016 Rates'!F70</f>
        <v>4.4545210999999991</v>
      </c>
      <c r="J45" s="64">
        <f>+'January 01, 2016 Rates'!G63+'January 01, 2016 Rates'!G70</f>
        <v>4.3920278999999995</v>
      </c>
      <c r="K45" s="64" t="e">
        <f>SUM('January 01, 2016 Rates'!#REF!,'January 01, 2016 Rates'!#REF!)</f>
        <v>#REF!</v>
      </c>
      <c r="L45" s="201">
        <f t="shared" ref="L45:L51" si="7">+I45-J45</f>
        <v>6.2493199999999582E-2</v>
      </c>
      <c r="M45" s="196">
        <f t="shared" ref="M45:M85" si="8">+L45/J45</f>
        <v>1.4228780286208926E-2</v>
      </c>
      <c r="N45" s="211" t="e">
        <f t="shared" si="6"/>
        <v>#REF!</v>
      </c>
      <c r="O45" s="211" t="e">
        <f t="shared" si="6"/>
        <v>#REF!</v>
      </c>
      <c r="P45" s="211" t="e">
        <f t="shared" si="6"/>
        <v>#REF!</v>
      </c>
      <c r="Q45" s="211" t="e">
        <f t="shared" si="6"/>
        <v>#REF!</v>
      </c>
      <c r="R45" s="211" t="e">
        <f t="shared" si="6"/>
        <v>#REF!</v>
      </c>
      <c r="S45" s="211" t="e">
        <f t="shared" si="6"/>
        <v>#REF!</v>
      </c>
      <c r="T45" s="211" t="e">
        <f t="shared" si="6"/>
        <v>#REF!</v>
      </c>
      <c r="U45" s="211" t="e">
        <f t="shared" si="6"/>
        <v>#REF!</v>
      </c>
      <c r="V45" s="211" t="e">
        <f t="shared" si="6"/>
        <v>#REF!</v>
      </c>
      <c r="W45" s="211" t="e">
        <f t="shared" si="6"/>
        <v>#REF!</v>
      </c>
      <c r="X45" s="211" t="e">
        <f t="shared" si="6"/>
        <v>#REF!</v>
      </c>
      <c r="Y45" s="211" t="e">
        <f t="shared" si="6"/>
        <v>#REF!</v>
      </c>
      <c r="Z45" s="211" t="e">
        <f t="shared" si="6"/>
        <v>#REF!</v>
      </c>
      <c r="AA45" s="211" t="e">
        <f t="shared" si="6"/>
        <v>#REF!</v>
      </c>
      <c r="AB45" s="211" t="e">
        <f t="shared" si="6"/>
        <v>#REF!</v>
      </c>
    </row>
    <row r="46" spans="1:28" ht="15" x14ac:dyDescent="0.2">
      <c r="A46" s="9"/>
      <c r="C46" s="59"/>
      <c r="D46" s="192"/>
      <c r="E46" s="202" t="s">
        <v>241</v>
      </c>
      <c r="F46" s="193"/>
      <c r="G46" s="194" t="s">
        <v>118</v>
      </c>
      <c r="H46" s="64" t="e">
        <f>H45+'January 01, 2016 Rates'!#REF!+'January 01, 2016 Rates'!#REF!</f>
        <v>#REF!</v>
      </c>
      <c r="I46" s="64">
        <f>+'January 01, 2016 Rates'!F63+'January 01, 2016 Rates'!F70</f>
        <v>4.4545210999999991</v>
      </c>
      <c r="J46" s="64">
        <f>+'January 01, 2016 Rates'!G63+'January 01, 2016 Rates'!G70</f>
        <v>4.3920278999999995</v>
      </c>
      <c r="K46" s="64" t="e">
        <f>K45+'January 01, 2016 Rates'!#REF!+'January 01, 2016 Rates'!#REF!</f>
        <v>#REF!</v>
      </c>
      <c r="L46" s="201">
        <f t="shared" si="7"/>
        <v>6.2493199999999582E-2</v>
      </c>
      <c r="M46" s="196">
        <f t="shared" si="8"/>
        <v>1.4228780286208926E-2</v>
      </c>
      <c r="N46" s="211" t="e">
        <f t="shared" si="6"/>
        <v>#REF!</v>
      </c>
      <c r="O46" s="211" t="e">
        <f t="shared" si="6"/>
        <v>#REF!</v>
      </c>
      <c r="P46" s="211" t="e">
        <f t="shared" si="6"/>
        <v>#REF!</v>
      </c>
      <c r="Q46" s="211" t="e">
        <f t="shared" si="6"/>
        <v>#REF!</v>
      </c>
      <c r="R46" s="211" t="e">
        <f t="shared" si="6"/>
        <v>#REF!</v>
      </c>
      <c r="S46" s="211" t="e">
        <f t="shared" si="6"/>
        <v>#REF!</v>
      </c>
      <c r="T46" s="211" t="e">
        <f t="shared" si="6"/>
        <v>#REF!</v>
      </c>
      <c r="U46" s="211" t="e">
        <f t="shared" si="6"/>
        <v>#REF!</v>
      </c>
      <c r="V46" s="211" t="e">
        <f t="shared" si="6"/>
        <v>#REF!</v>
      </c>
      <c r="W46" s="211" t="e">
        <f t="shared" si="6"/>
        <v>#REF!</v>
      </c>
      <c r="X46" s="211" t="e">
        <f t="shared" si="6"/>
        <v>#REF!</v>
      </c>
      <c r="Y46" s="211" t="e">
        <f t="shared" si="6"/>
        <v>#REF!</v>
      </c>
      <c r="Z46" s="211" t="e">
        <f t="shared" si="6"/>
        <v>#REF!</v>
      </c>
      <c r="AA46" s="211" t="e">
        <f t="shared" si="6"/>
        <v>#REF!</v>
      </c>
      <c r="AB46" s="211" t="e">
        <f t="shared" si="6"/>
        <v>#REF!</v>
      </c>
    </row>
    <row r="47" spans="1:28" ht="15" x14ac:dyDescent="0.2">
      <c r="A47" s="9"/>
      <c r="C47" s="59"/>
      <c r="D47" s="192"/>
      <c r="E47" s="202" t="s">
        <v>242</v>
      </c>
      <c r="F47" s="193"/>
      <c r="G47" s="194" t="s">
        <v>118</v>
      </c>
      <c r="H47" s="109"/>
      <c r="I47" s="109">
        <f>+'January 01, 2016 Rates'!F63+'January 01, 2016 Rates'!F70</f>
        <v>4.4545210999999991</v>
      </c>
      <c r="J47" s="109">
        <f>+'January 01, 2016 Rates'!G63+'January 01, 2016 Rates'!G70</f>
        <v>4.3920278999999995</v>
      </c>
      <c r="K47" s="109"/>
      <c r="L47" s="201">
        <f t="shared" si="7"/>
        <v>6.2493199999999582E-2</v>
      </c>
      <c r="M47" s="196">
        <f t="shared" si="8"/>
        <v>1.4228780286208926E-2</v>
      </c>
      <c r="N47" s="211" t="e">
        <f t="shared" si="6"/>
        <v>#DIV/0!</v>
      </c>
      <c r="O47" s="211" t="e">
        <f t="shared" si="6"/>
        <v>#DIV/0!</v>
      </c>
      <c r="P47" s="211" t="e">
        <f t="shared" si="6"/>
        <v>#DIV/0!</v>
      </c>
      <c r="Q47" s="211" t="e">
        <f t="shared" si="6"/>
        <v>#DIV/0!</v>
      </c>
      <c r="R47" s="211" t="e">
        <f t="shared" si="6"/>
        <v>#DIV/0!</v>
      </c>
      <c r="S47" s="211" t="e">
        <f t="shared" si="6"/>
        <v>#DIV/0!</v>
      </c>
      <c r="T47" s="211" t="e">
        <f t="shared" si="6"/>
        <v>#DIV/0!</v>
      </c>
      <c r="U47" s="211" t="e">
        <f t="shared" si="6"/>
        <v>#DIV/0!</v>
      </c>
      <c r="V47" s="211" t="e">
        <f t="shared" si="6"/>
        <v>#DIV/0!</v>
      </c>
      <c r="W47" s="211" t="e">
        <f t="shared" si="6"/>
        <v>#DIV/0!</v>
      </c>
      <c r="X47" s="211" t="e">
        <f t="shared" si="6"/>
        <v>#DIV/0!</v>
      </c>
      <c r="Y47" s="211" t="e">
        <f t="shared" si="6"/>
        <v>#DIV/0!</v>
      </c>
      <c r="Z47" s="211" t="e">
        <f t="shared" si="6"/>
        <v>#DIV/0!</v>
      </c>
      <c r="AA47" s="211" t="e">
        <f t="shared" si="6"/>
        <v>#DIV/0!</v>
      </c>
      <c r="AB47" s="211" t="e">
        <f t="shared" si="6"/>
        <v>#DIV/0!</v>
      </c>
    </row>
    <row r="48" spans="1:28" ht="15" x14ac:dyDescent="0.2">
      <c r="A48" s="9"/>
      <c r="C48" s="98" t="s">
        <v>214</v>
      </c>
      <c r="D48" s="192"/>
      <c r="E48" s="50" t="s">
        <v>52</v>
      </c>
      <c r="F48" s="193"/>
      <c r="G48" s="51" t="s">
        <v>118</v>
      </c>
      <c r="H48" s="113" t="e">
        <f>'January 01, 2016 Rates'!#REF!</f>
        <v>#REF!</v>
      </c>
      <c r="I48" s="113">
        <f>+'January 01, 2016 Rates'!F71</f>
        <v>2.8684720859699291</v>
      </c>
      <c r="J48" s="113">
        <f>+'January 01, 2016 Rates'!G71</f>
        <v>2.9272</v>
      </c>
      <c r="K48" s="113" t="e">
        <f>'January 01, 2016 Rates'!#REF!</f>
        <v>#REF!</v>
      </c>
      <c r="L48" s="201">
        <f t="shared" si="7"/>
        <v>-5.8727914030070938E-2</v>
      </c>
      <c r="M48" s="196">
        <f t="shared" si="8"/>
        <v>-2.0062829335225109E-2</v>
      </c>
      <c r="N48" s="211" t="e">
        <f t="shared" si="6"/>
        <v>#REF!</v>
      </c>
      <c r="O48" s="211" t="e">
        <f t="shared" si="6"/>
        <v>#REF!</v>
      </c>
      <c r="P48" s="211" t="e">
        <f t="shared" si="6"/>
        <v>#REF!</v>
      </c>
      <c r="Q48" s="211" t="e">
        <f t="shared" si="6"/>
        <v>#REF!</v>
      </c>
      <c r="R48" s="211" t="e">
        <f t="shared" si="6"/>
        <v>#REF!</v>
      </c>
      <c r="S48" s="211" t="e">
        <f t="shared" si="6"/>
        <v>#REF!</v>
      </c>
      <c r="T48" s="211" t="e">
        <f t="shared" si="6"/>
        <v>#REF!</v>
      </c>
      <c r="U48" s="211" t="e">
        <f t="shared" si="6"/>
        <v>#REF!</v>
      </c>
      <c r="V48" s="211" t="e">
        <f t="shared" si="6"/>
        <v>#REF!</v>
      </c>
      <c r="W48" s="211" t="e">
        <f t="shared" si="6"/>
        <v>#REF!</v>
      </c>
      <c r="X48" s="211" t="e">
        <f t="shared" si="6"/>
        <v>#REF!</v>
      </c>
      <c r="Y48" s="211" t="e">
        <f t="shared" si="6"/>
        <v>#REF!</v>
      </c>
      <c r="Z48" s="211" t="e">
        <f t="shared" si="6"/>
        <v>#REF!</v>
      </c>
      <c r="AA48" s="211" t="e">
        <f t="shared" si="6"/>
        <v>#REF!</v>
      </c>
      <c r="AB48" s="211" t="e">
        <f t="shared" si="6"/>
        <v>#REF!</v>
      </c>
    </row>
    <row r="49" spans="1:28" ht="15" x14ac:dyDescent="0.2">
      <c r="A49" s="9"/>
      <c r="C49" s="98" t="s">
        <v>208</v>
      </c>
      <c r="D49" s="192"/>
      <c r="E49" s="50" t="s">
        <v>54</v>
      </c>
      <c r="F49" s="193"/>
      <c r="G49" s="194" t="s">
        <v>118</v>
      </c>
      <c r="H49" s="113" t="e">
        <f>'January 01, 2016 Rates'!#REF!</f>
        <v>#REF!</v>
      </c>
      <c r="I49" s="113">
        <f>+'January 01, 2016 Rates'!F72</f>
        <v>2.2603230253694222</v>
      </c>
      <c r="J49" s="113">
        <f>+'January 01, 2016 Rates'!G72</f>
        <v>2.1960000000000002</v>
      </c>
      <c r="K49" s="113" t="e">
        <f>'January 01, 2016 Rates'!#REF!</f>
        <v>#REF!</v>
      </c>
      <c r="L49" s="201">
        <f t="shared" si="7"/>
        <v>6.4323025369422027E-2</v>
      </c>
      <c r="M49" s="196">
        <f t="shared" si="8"/>
        <v>2.9290995159117497E-2</v>
      </c>
      <c r="N49" s="211" t="e">
        <f t="shared" si="6"/>
        <v>#REF!</v>
      </c>
      <c r="O49" s="211" t="e">
        <f t="shared" si="6"/>
        <v>#REF!</v>
      </c>
      <c r="P49" s="211" t="e">
        <f t="shared" si="6"/>
        <v>#REF!</v>
      </c>
      <c r="Q49" s="211" t="e">
        <f t="shared" si="6"/>
        <v>#REF!</v>
      </c>
      <c r="R49" s="211" t="e">
        <f t="shared" si="6"/>
        <v>#REF!</v>
      </c>
      <c r="S49" s="211" t="e">
        <f t="shared" si="6"/>
        <v>#REF!</v>
      </c>
      <c r="T49" s="211" t="e">
        <f t="shared" si="6"/>
        <v>#REF!</v>
      </c>
      <c r="U49" s="211" t="e">
        <f t="shared" si="6"/>
        <v>#REF!</v>
      </c>
      <c r="V49" s="211" t="e">
        <f t="shared" si="6"/>
        <v>#REF!</v>
      </c>
      <c r="W49" s="211" t="e">
        <f t="shared" si="6"/>
        <v>#REF!</v>
      </c>
      <c r="X49" s="211" t="e">
        <f t="shared" si="6"/>
        <v>#REF!</v>
      </c>
      <c r="Y49" s="211" t="e">
        <f t="shared" si="6"/>
        <v>#REF!</v>
      </c>
      <c r="Z49" s="211" t="e">
        <f t="shared" si="6"/>
        <v>#REF!</v>
      </c>
      <c r="AA49" s="211" t="e">
        <f t="shared" si="6"/>
        <v>#REF!</v>
      </c>
      <c r="AB49" s="211" t="e">
        <f t="shared" si="6"/>
        <v>#REF!</v>
      </c>
    </row>
    <row r="50" spans="1:28" ht="15" x14ac:dyDescent="0.2">
      <c r="A50" s="9"/>
      <c r="C50" s="59"/>
      <c r="D50" s="192"/>
      <c r="E50" s="50" t="s">
        <v>56</v>
      </c>
      <c r="F50" s="193"/>
      <c r="G50" s="51" t="s">
        <v>27</v>
      </c>
      <c r="H50" s="113" t="e">
        <f>'January 01, 2016 Rates'!#REF!</f>
        <v>#REF!</v>
      </c>
      <c r="I50" s="113">
        <f>+'January 01, 2016 Rates'!F75</f>
        <v>4.4000000000000003E-3</v>
      </c>
      <c r="J50" s="113">
        <f>+'January 01, 2016 Rates'!G75</f>
        <v>4.4000000000000003E-3</v>
      </c>
      <c r="K50" s="113" t="e">
        <f>'January 01, 2016 Rates'!#REF!</f>
        <v>#REF!</v>
      </c>
      <c r="L50" s="201">
        <f t="shared" si="7"/>
        <v>0</v>
      </c>
      <c r="M50" s="205">
        <f t="shared" si="8"/>
        <v>0</v>
      </c>
      <c r="N50" s="211" t="e">
        <f t="shared" si="6"/>
        <v>#REF!</v>
      </c>
      <c r="O50" s="211" t="e">
        <f t="shared" si="6"/>
        <v>#REF!</v>
      </c>
      <c r="P50" s="211" t="e">
        <f t="shared" si="6"/>
        <v>#REF!</v>
      </c>
      <c r="Q50" s="211" t="e">
        <f t="shared" si="6"/>
        <v>#REF!</v>
      </c>
      <c r="R50" s="211" t="e">
        <f t="shared" si="6"/>
        <v>#REF!</v>
      </c>
      <c r="S50" s="211" t="e">
        <f t="shared" si="6"/>
        <v>#REF!</v>
      </c>
      <c r="T50" s="211" t="e">
        <f t="shared" si="6"/>
        <v>#REF!</v>
      </c>
      <c r="U50" s="211" t="e">
        <f t="shared" si="6"/>
        <v>#REF!</v>
      </c>
      <c r="V50" s="211" t="e">
        <f t="shared" si="6"/>
        <v>#REF!</v>
      </c>
      <c r="W50" s="211" t="e">
        <f t="shared" si="6"/>
        <v>#REF!</v>
      </c>
      <c r="X50" s="211" t="e">
        <f t="shared" si="6"/>
        <v>#REF!</v>
      </c>
      <c r="Y50" s="211" t="e">
        <f t="shared" si="6"/>
        <v>#REF!</v>
      </c>
      <c r="Z50" s="211" t="e">
        <f t="shared" si="6"/>
        <v>#REF!</v>
      </c>
      <c r="AA50" s="211" t="e">
        <f t="shared" si="6"/>
        <v>#REF!</v>
      </c>
      <c r="AB50" s="211" t="e">
        <f t="shared" si="6"/>
        <v>#REF!</v>
      </c>
    </row>
    <row r="51" spans="1:28" ht="15" x14ac:dyDescent="0.2">
      <c r="A51" s="9"/>
      <c r="C51" s="59"/>
      <c r="D51" s="192"/>
      <c r="E51" s="50" t="s">
        <v>235</v>
      </c>
      <c r="F51" s="193"/>
      <c r="G51" s="51" t="s">
        <v>27</v>
      </c>
      <c r="H51" s="113" t="e">
        <f>'January 01, 2016 Rates'!#REF!</f>
        <v>#REF!</v>
      </c>
      <c r="I51" s="113">
        <f>+'January 01, 2016 Rates'!F76</f>
        <v>1.2999999999999999E-3</v>
      </c>
      <c r="J51" s="113">
        <f>+'January 01, 2016 Rates'!G76</f>
        <v>1.2999999999999999E-3</v>
      </c>
      <c r="K51" s="113" t="e">
        <f>'January 01, 2016 Rates'!#REF!</f>
        <v>#REF!</v>
      </c>
      <c r="L51" s="201">
        <f t="shared" si="7"/>
        <v>0</v>
      </c>
      <c r="M51" s="205">
        <f t="shared" si="8"/>
        <v>0</v>
      </c>
      <c r="N51" s="211" t="e">
        <f t="shared" si="6"/>
        <v>#REF!</v>
      </c>
      <c r="O51" s="211" t="e">
        <f t="shared" si="6"/>
        <v>#REF!</v>
      </c>
      <c r="P51" s="211" t="e">
        <f t="shared" si="6"/>
        <v>#REF!</v>
      </c>
      <c r="Q51" s="211" t="e">
        <f t="shared" si="6"/>
        <v>#REF!</v>
      </c>
      <c r="R51" s="211" t="e">
        <f t="shared" si="6"/>
        <v>#REF!</v>
      </c>
      <c r="S51" s="211" t="e">
        <f t="shared" si="6"/>
        <v>#REF!</v>
      </c>
      <c r="T51" s="211" t="e">
        <f t="shared" si="6"/>
        <v>#REF!</v>
      </c>
      <c r="U51" s="211" t="e">
        <f t="shared" si="6"/>
        <v>#REF!</v>
      </c>
      <c r="V51" s="211" t="e">
        <f t="shared" si="6"/>
        <v>#REF!</v>
      </c>
      <c r="W51" s="211" t="e">
        <f t="shared" si="6"/>
        <v>#REF!</v>
      </c>
      <c r="X51" s="211" t="e">
        <f t="shared" si="6"/>
        <v>#REF!</v>
      </c>
      <c r="Y51" s="211" t="e">
        <f t="shared" si="6"/>
        <v>#REF!</v>
      </c>
      <c r="Z51" s="211" t="e">
        <f t="shared" si="6"/>
        <v>#REF!</v>
      </c>
      <c r="AA51" s="211" t="e">
        <f t="shared" si="6"/>
        <v>#REF!</v>
      </c>
      <c r="AB51" s="211" t="e">
        <f t="shared" si="6"/>
        <v>#REF!</v>
      </c>
    </row>
    <row r="52" spans="1:28" ht="15" x14ac:dyDescent="0.2">
      <c r="A52" s="9"/>
      <c r="C52" s="59"/>
      <c r="D52" s="192"/>
      <c r="E52" s="50" t="s">
        <v>60</v>
      </c>
      <c r="F52" s="193"/>
      <c r="G52" s="194" t="s">
        <v>19</v>
      </c>
      <c r="H52" s="114" t="e">
        <f>'January 01, 2016 Rates'!#REF!</f>
        <v>#REF!</v>
      </c>
      <c r="I52" s="114">
        <f>+'January 01, 2016 Rates'!F77</f>
        <v>0.25</v>
      </c>
      <c r="J52" s="114">
        <f>+'January 01, 2016 Rates'!G77</f>
        <v>0.25</v>
      </c>
      <c r="K52" s="114" t="e">
        <f>'January 01, 2016 Rates'!#REF!</f>
        <v>#REF!</v>
      </c>
      <c r="L52" s="201">
        <f>+I52-J52</f>
        <v>0</v>
      </c>
      <c r="M52" s="205">
        <f t="shared" si="8"/>
        <v>0</v>
      </c>
      <c r="N52" s="197"/>
      <c r="O52" s="197"/>
      <c r="P52" s="203"/>
      <c r="Q52" s="199"/>
      <c r="R52" s="199">
        <v>0.25</v>
      </c>
      <c r="S52" s="206"/>
      <c r="T52" s="207"/>
      <c r="U52" s="208"/>
      <c r="V52" s="208"/>
      <c r="W52" s="208"/>
      <c r="X52" s="208"/>
      <c r="Y52" s="209"/>
      <c r="Z52" s="200">
        <v>0</v>
      </c>
      <c r="AA52" s="200"/>
    </row>
    <row r="53" spans="1:28" ht="30.75" x14ac:dyDescent="0.25">
      <c r="A53" s="38"/>
      <c r="C53" s="184" t="s">
        <v>243</v>
      </c>
      <c r="D53" s="40"/>
      <c r="E53" s="41"/>
      <c r="F53" s="185"/>
      <c r="G53" s="41"/>
      <c r="H53" s="186"/>
      <c r="I53" s="186"/>
      <c r="J53" s="186"/>
      <c r="K53" s="186" t="s">
        <v>214</v>
      </c>
      <c r="L53" s="210" t="s">
        <v>214</v>
      </c>
      <c r="M53" s="210" t="s">
        <v>214</v>
      </c>
      <c r="N53" s="197"/>
      <c r="O53" s="197"/>
      <c r="P53" s="203"/>
      <c r="Q53" s="199"/>
      <c r="R53" s="199" t="s">
        <v>214</v>
      </c>
      <c r="S53" s="204"/>
      <c r="T53" s="190"/>
      <c r="U53" s="189"/>
      <c r="V53" s="189"/>
      <c r="W53" s="189"/>
      <c r="X53" s="189"/>
      <c r="Y53" s="191"/>
      <c r="Z53" s="200" t="e">
        <v>#VALUE!</v>
      </c>
      <c r="AA53" s="200"/>
    </row>
    <row r="54" spans="1:28" ht="15" x14ac:dyDescent="0.2">
      <c r="A54" s="38"/>
      <c r="C54" s="59"/>
      <c r="D54" s="192"/>
      <c r="E54" s="50" t="s">
        <v>18</v>
      </c>
      <c r="F54" s="193"/>
      <c r="G54" s="194" t="s">
        <v>19</v>
      </c>
      <c r="H54" s="107" t="e">
        <f>SUM('January 01, 2016 Rates'!#REF!)</f>
        <v>#REF!</v>
      </c>
      <c r="I54" s="107">
        <f>+'January 01, 2016 Rates'!F81</f>
        <v>1655.2176199999999</v>
      </c>
      <c r="J54" s="107">
        <f>+'January 01, 2016 Rates'!G81</f>
        <v>1631.5594799999999</v>
      </c>
      <c r="K54" s="107" t="e">
        <f>SUM('January 01, 2016 Rates'!#REF!)</f>
        <v>#REF!</v>
      </c>
      <c r="L54" s="195">
        <f>+I54-J54</f>
        <v>23.658140000000003</v>
      </c>
      <c r="M54" s="196">
        <f t="shared" si="8"/>
        <v>1.4500323334825651E-2</v>
      </c>
      <c r="N54" s="197"/>
      <c r="O54" s="197"/>
      <c r="P54" s="203"/>
      <c r="Q54" s="199"/>
      <c r="R54" s="199">
        <v>1538.27</v>
      </c>
      <c r="S54" s="204"/>
      <c r="T54" s="190"/>
      <c r="U54" s="189"/>
      <c r="V54" s="189"/>
      <c r="W54" s="189"/>
      <c r="X54" s="189"/>
      <c r="Y54" s="191"/>
      <c r="Z54" s="200">
        <v>0</v>
      </c>
      <c r="AA54" s="200"/>
    </row>
    <row r="55" spans="1:28" ht="15" x14ac:dyDescent="0.2">
      <c r="A55" s="9"/>
      <c r="C55" s="59"/>
      <c r="D55" s="192"/>
      <c r="E55" s="50" t="s">
        <v>26</v>
      </c>
      <c r="F55" s="193"/>
      <c r="G55" s="194" t="s">
        <v>118</v>
      </c>
      <c r="H55" s="64" t="e">
        <f>SUM('January 01, 2016 Rates'!#REF!,'January 01, 2016 Rates'!#REF!)</f>
        <v>#REF!</v>
      </c>
      <c r="I55" s="64">
        <f>+'January 01, 2016 Rates'!F83+'January 01, 2016 Rates'!F91</f>
        <v>2.3292711499999998</v>
      </c>
      <c r="J55" s="64">
        <f>+'January 01, 2016 Rates'!G83+'January 01, 2016 Rates'!G91</f>
        <v>2.2971114999999998</v>
      </c>
      <c r="K55" s="64" t="e">
        <f>SUM('January 01, 2016 Rates'!#REF!,'January 01, 2016 Rates'!#REF!)</f>
        <v>#REF!</v>
      </c>
      <c r="L55" s="201">
        <f t="shared" ref="L55:L61" si="9">+I55-J55</f>
        <v>3.2159650000000095E-2</v>
      </c>
      <c r="M55" s="196">
        <f t="shared" si="8"/>
        <v>1.4000038744310016E-2</v>
      </c>
      <c r="N55" s="197"/>
      <c r="O55" s="197"/>
      <c r="P55" s="203"/>
      <c r="Q55" s="199"/>
      <c r="R55" s="199">
        <v>1.5245000000000002</v>
      </c>
      <c r="S55" s="188" t="e">
        <v>#REF!</v>
      </c>
      <c r="T55" s="189" t="e">
        <v>#REF!</v>
      </c>
      <c r="U55" s="189" t="e">
        <v>#REF!</v>
      </c>
      <c r="V55" s="190">
        <v>0.3397</v>
      </c>
      <c r="W55" s="189">
        <v>-0.46960000000000002</v>
      </c>
      <c r="X55" s="189"/>
      <c r="Y55" s="191">
        <v>0.80930000000000002</v>
      </c>
      <c r="Z55" s="200">
        <v>0</v>
      </c>
      <c r="AA55" s="200"/>
    </row>
    <row r="56" spans="1:28" ht="15" x14ac:dyDescent="0.2">
      <c r="A56" s="9"/>
      <c r="C56" s="59"/>
      <c r="D56" s="192"/>
      <c r="E56" s="202" t="s">
        <v>241</v>
      </c>
      <c r="F56" s="193"/>
      <c r="G56" s="194" t="s">
        <v>118</v>
      </c>
      <c r="H56" s="64" t="e">
        <f>H55+'January 01, 2016 Rates'!#REF!+'January 01, 2016 Rates'!#REF!</f>
        <v>#REF!</v>
      </c>
      <c r="I56" s="64">
        <f>+'January 01, 2016 Rates'!F83+'January 01, 2016 Rates'!F91</f>
        <v>2.3292711499999998</v>
      </c>
      <c r="J56" s="64">
        <f>+'January 01, 2016 Rates'!G83+'January 01, 2016 Rates'!G91</f>
        <v>2.2971114999999998</v>
      </c>
      <c r="K56" s="64" t="e">
        <f>K55+'January 01, 2016 Rates'!#REF!+'January 01, 2016 Rates'!#REF!</f>
        <v>#REF!</v>
      </c>
      <c r="L56" s="201">
        <f t="shared" si="9"/>
        <v>3.2159650000000095E-2</v>
      </c>
      <c r="M56" s="196">
        <f t="shared" si="8"/>
        <v>1.4000038744310016E-2</v>
      </c>
      <c r="N56" s="197"/>
      <c r="O56" s="197"/>
      <c r="P56" s="203"/>
      <c r="Q56" s="199"/>
      <c r="R56" s="199"/>
      <c r="S56" s="188"/>
      <c r="T56" s="189"/>
      <c r="U56" s="189"/>
      <c r="V56" s="190"/>
      <c r="W56" s="189"/>
      <c r="X56" s="189"/>
      <c r="Y56" s="191"/>
      <c r="Z56" s="200"/>
      <c r="AA56" s="200"/>
    </row>
    <row r="57" spans="1:28" ht="15" x14ac:dyDescent="0.2">
      <c r="A57" s="9"/>
      <c r="C57" s="59"/>
      <c r="D57" s="192"/>
      <c r="E57" s="202" t="s">
        <v>242</v>
      </c>
      <c r="F57" s="193"/>
      <c r="G57" s="194" t="s">
        <v>118</v>
      </c>
      <c r="H57" s="109"/>
      <c r="I57" s="109">
        <f>+'January 01, 2016 Rates'!F83+'January 01, 2016 Rates'!F91</f>
        <v>2.3292711499999998</v>
      </c>
      <c r="J57" s="109">
        <f>+'January 01, 2016 Rates'!G83+'January 01, 2016 Rates'!G91</f>
        <v>2.2971114999999998</v>
      </c>
      <c r="K57" s="109"/>
      <c r="L57" s="201">
        <f t="shared" si="9"/>
        <v>3.2159650000000095E-2</v>
      </c>
      <c r="M57" s="196">
        <f t="shared" si="8"/>
        <v>1.4000038744310016E-2</v>
      </c>
      <c r="N57" s="197"/>
      <c r="O57" s="197"/>
      <c r="P57" s="203"/>
      <c r="Q57" s="199"/>
      <c r="R57" s="199"/>
      <c r="S57" s="188"/>
      <c r="T57" s="189"/>
      <c r="U57" s="189"/>
      <c r="V57" s="190"/>
      <c r="W57" s="189"/>
      <c r="X57" s="189"/>
      <c r="Y57" s="191"/>
      <c r="Z57" s="200"/>
      <c r="AA57" s="200"/>
    </row>
    <row r="58" spans="1:28" ht="15" x14ac:dyDescent="0.2">
      <c r="A58" s="9"/>
      <c r="C58" s="59"/>
      <c r="D58" s="192"/>
      <c r="E58" s="50" t="s">
        <v>88</v>
      </c>
      <c r="F58" s="193"/>
      <c r="G58" s="194" t="s">
        <v>118</v>
      </c>
      <c r="H58" s="113" t="e">
        <f>'January 01, 2016 Rates'!#REF!</f>
        <v>#REF!</v>
      </c>
      <c r="I58" s="113">
        <f>+'January 01, 2016 Rates'!F92</f>
        <v>2.7751820655069266</v>
      </c>
      <c r="J58" s="113">
        <f>+'January 01, 2016 Rates'!G92</f>
        <v>2.8319999999999999</v>
      </c>
      <c r="K58" s="113" t="e">
        <f>'January 01, 2016 Rates'!#REF!</f>
        <v>#REF!</v>
      </c>
      <c r="L58" s="201">
        <f t="shared" si="9"/>
        <v>-5.6817934493073263E-2</v>
      </c>
      <c r="M58" s="196">
        <f t="shared" si="8"/>
        <v>-2.0062829976367678E-2</v>
      </c>
      <c r="N58" s="197"/>
      <c r="O58" s="197"/>
      <c r="P58" s="203"/>
      <c r="Q58" s="199"/>
      <c r="R58" s="199">
        <v>2.5308999999999999</v>
      </c>
      <c r="S58" s="204"/>
      <c r="T58" s="190"/>
      <c r="U58" s="189"/>
      <c r="V58" s="189"/>
      <c r="W58" s="189"/>
      <c r="X58" s="189"/>
      <c r="Y58" s="191"/>
      <c r="Z58" s="200">
        <v>0</v>
      </c>
      <c r="AA58" s="200"/>
    </row>
    <row r="59" spans="1:28" ht="15" x14ac:dyDescent="0.2">
      <c r="A59" s="9"/>
      <c r="C59" s="59"/>
      <c r="D59" s="192"/>
      <c r="E59" s="50" t="s">
        <v>90</v>
      </c>
      <c r="F59" s="193"/>
      <c r="G59" s="194" t="s">
        <v>118</v>
      </c>
      <c r="H59" s="113" t="e">
        <f>'January 01, 2016 Rates'!#REF!</f>
        <v>#REF!</v>
      </c>
      <c r="I59" s="113">
        <f>+'January 01, 2016 Rates'!F93</f>
        <v>2.2117404893612655</v>
      </c>
      <c r="J59" s="113">
        <f>+'January 01, 2016 Rates'!G93</f>
        <v>2.1488</v>
      </c>
      <c r="K59" s="113" t="e">
        <f>'January 01, 2016 Rates'!#REF!</f>
        <v>#REF!</v>
      </c>
      <c r="L59" s="201">
        <f t="shared" si="9"/>
        <v>6.2940489361265506E-2</v>
      </c>
      <c r="M59" s="196">
        <f t="shared" si="8"/>
        <v>2.9290994676687224E-2</v>
      </c>
      <c r="N59" s="197"/>
      <c r="O59" s="197"/>
      <c r="P59" s="203"/>
      <c r="Q59" s="199"/>
      <c r="R59" s="199">
        <v>1.9846999999999999</v>
      </c>
      <c r="S59" s="204"/>
      <c r="T59" s="190"/>
      <c r="U59" s="189"/>
      <c r="V59" s="189"/>
      <c r="W59" s="189"/>
      <c r="X59" s="189"/>
      <c r="Y59" s="191"/>
      <c r="Z59" s="200">
        <v>0</v>
      </c>
      <c r="AA59" s="200"/>
    </row>
    <row r="60" spans="1:28" ht="15" x14ac:dyDescent="0.2">
      <c r="A60" s="9"/>
      <c r="C60" s="59"/>
      <c r="D60" s="192"/>
      <c r="E60" s="50" t="s">
        <v>56</v>
      </c>
      <c r="F60" s="193"/>
      <c r="G60" s="51" t="s">
        <v>27</v>
      </c>
      <c r="H60" s="113" t="e">
        <f>'January 01, 2016 Rates'!#REF!</f>
        <v>#REF!</v>
      </c>
      <c r="I60" s="113">
        <f>+'January 01, 2016 Rates'!F94</f>
        <v>4.4000000000000003E-3</v>
      </c>
      <c r="J60" s="113">
        <f>+'January 01, 2016 Rates'!G94</f>
        <v>4.4000000000000003E-3</v>
      </c>
      <c r="K60" s="113" t="e">
        <f>'January 01, 2016 Rates'!#REF!</f>
        <v>#REF!</v>
      </c>
      <c r="L60" s="201">
        <f t="shared" si="9"/>
        <v>0</v>
      </c>
      <c r="M60" s="205">
        <f t="shared" si="8"/>
        <v>0</v>
      </c>
      <c r="N60" s="197"/>
      <c r="O60" s="197"/>
      <c r="P60" s="203"/>
      <c r="Q60" s="199"/>
      <c r="R60" s="199">
        <v>5.1999999999999998E-3</v>
      </c>
      <c r="S60" s="204"/>
      <c r="T60" s="190"/>
      <c r="U60" s="189"/>
      <c r="V60" s="189"/>
      <c r="W60" s="189"/>
      <c r="X60" s="189"/>
      <c r="Y60" s="191"/>
      <c r="Z60" s="200">
        <v>0</v>
      </c>
      <c r="AA60" s="200"/>
    </row>
    <row r="61" spans="1:28" ht="15" x14ac:dyDescent="0.2">
      <c r="A61" s="9"/>
      <c r="C61" s="59"/>
      <c r="D61" s="192"/>
      <c r="E61" s="50" t="s">
        <v>235</v>
      </c>
      <c r="F61" s="193"/>
      <c r="G61" s="51" t="s">
        <v>27</v>
      </c>
      <c r="H61" s="113" t="e">
        <f>'January 01, 2016 Rates'!#REF!</f>
        <v>#REF!</v>
      </c>
      <c r="I61" s="113">
        <f>+'January 01, 2016 Rates'!F95</f>
        <v>1.2999999999999999E-3</v>
      </c>
      <c r="J61" s="113">
        <f>+'January 01, 2016 Rates'!G95</f>
        <v>1.2999999999999999E-3</v>
      </c>
      <c r="K61" s="113" t="e">
        <f>'January 01, 2016 Rates'!#REF!</f>
        <v>#REF!</v>
      </c>
      <c r="L61" s="201">
        <f t="shared" si="9"/>
        <v>0</v>
      </c>
      <c r="M61" s="205">
        <f t="shared" si="8"/>
        <v>0</v>
      </c>
      <c r="N61" s="197"/>
      <c r="O61" s="197"/>
      <c r="P61" s="203"/>
      <c r="Q61" s="199"/>
      <c r="R61" s="199">
        <v>1.1000000000000001E-3</v>
      </c>
      <c r="S61" s="204"/>
      <c r="T61" s="190"/>
      <c r="U61" s="189"/>
      <c r="V61" s="189"/>
      <c r="W61" s="189"/>
      <c r="X61" s="189"/>
      <c r="Y61" s="191"/>
      <c r="Z61" s="200">
        <v>0</v>
      </c>
      <c r="AA61" s="200"/>
    </row>
    <row r="62" spans="1:28" ht="15" x14ac:dyDescent="0.2">
      <c r="A62" s="9"/>
      <c r="C62" s="59"/>
      <c r="D62" s="192"/>
      <c r="E62" s="50" t="s">
        <v>60</v>
      </c>
      <c r="F62" s="193"/>
      <c r="G62" s="194" t="s">
        <v>19</v>
      </c>
      <c r="H62" s="114" t="e">
        <f>'January 01, 2016 Rates'!#REF!</f>
        <v>#REF!</v>
      </c>
      <c r="I62" s="114">
        <f>+'January 01, 2016 Rates'!F96</f>
        <v>0.25</v>
      </c>
      <c r="J62" s="114">
        <f>+'January 01, 2016 Rates'!G96</f>
        <v>0.25</v>
      </c>
      <c r="K62" s="114" t="e">
        <f>'January 01, 2016 Rates'!#REF!</f>
        <v>#REF!</v>
      </c>
      <c r="L62" s="201">
        <f>+I62-J62</f>
        <v>0</v>
      </c>
      <c r="M62" s="205">
        <f t="shared" si="8"/>
        <v>0</v>
      </c>
      <c r="N62" s="197"/>
      <c r="O62" s="197"/>
      <c r="P62" s="203"/>
      <c r="Q62" s="199"/>
      <c r="R62" s="199">
        <v>0.25</v>
      </c>
      <c r="S62" s="206"/>
      <c r="T62" s="207"/>
      <c r="U62" s="208"/>
      <c r="V62" s="208"/>
      <c r="W62" s="208"/>
      <c r="X62" s="208"/>
      <c r="Y62" s="209"/>
      <c r="Z62" s="200">
        <v>0</v>
      </c>
      <c r="AA62" s="200"/>
    </row>
    <row r="63" spans="1:28" ht="30.75" x14ac:dyDescent="0.25">
      <c r="A63" s="38"/>
      <c r="C63" s="184" t="s">
        <v>244</v>
      </c>
      <c r="D63" s="40"/>
      <c r="E63" s="41"/>
      <c r="F63" s="185"/>
      <c r="G63" s="41"/>
      <c r="H63" s="186"/>
      <c r="I63" s="186"/>
      <c r="J63" s="186"/>
      <c r="K63" s="186" t="s">
        <v>214</v>
      </c>
      <c r="L63" s="210" t="s">
        <v>214</v>
      </c>
      <c r="M63" s="210" t="s">
        <v>214</v>
      </c>
      <c r="N63" s="197"/>
      <c r="O63" s="197"/>
      <c r="P63" s="203"/>
      <c r="Q63" s="199"/>
      <c r="R63" s="199" t="s">
        <v>214</v>
      </c>
      <c r="S63" s="204"/>
      <c r="T63" s="190"/>
      <c r="U63" s="189"/>
      <c r="V63" s="189"/>
      <c r="W63" s="189"/>
      <c r="X63" s="189"/>
      <c r="Y63" s="191"/>
      <c r="Z63" s="200" t="e">
        <v>#VALUE!</v>
      </c>
      <c r="AA63" s="200"/>
    </row>
    <row r="64" spans="1:28" ht="15" x14ac:dyDescent="0.2">
      <c r="A64" s="38"/>
      <c r="C64" s="59"/>
      <c r="D64" s="192"/>
      <c r="E64" s="50" t="s">
        <v>18</v>
      </c>
      <c r="F64" s="193"/>
      <c r="G64" s="194" t="s">
        <v>19</v>
      </c>
      <c r="H64" s="107" t="e">
        <f>'January 01, 2016 Rates'!#REF!</f>
        <v>#REF!</v>
      </c>
      <c r="I64" s="107">
        <f>+'January 01, 2016 Rates'!F100</f>
        <v>13050.751189999999</v>
      </c>
      <c r="J64" s="107">
        <f>+'January 01, 2016 Rates'!G100</f>
        <v>12864.215075</v>
      </c>
      <c r="K64" s="107" t="e">
        <f>'January 01, 2016 Rates'!#REF!</f>
        <v>#REF!</v>
      </c>
      <c r="L64" s="195">
        <f>+I64-J64</f>
        <v>186.53611499999897</v>
      </c>
      <c r="M64" s="196">
        <f t="shared" si="8"/>
        <v>1.4500388396219267E-2</v>
      </c>
      <c r="N64" s="197"/>
      <c r="O64" s="197"/>
      <c r="P64" s="203"/>
      <c r="Q64" s="199"/>
      <c r="R64" s="199">
        <v>13856.9</v>
      </c>
      <c r="S64" s="204"/>
      <c r="T64" s="190"/>
      <c r="U64" s="189"/>
      <c r="V64" s="189"/>
      <c r="W64" s="189"/>
      <c r="X64" s="189"/>
      <c r="Y64" s="191"/>
      <c r="Z64" s="200">
        <v>0</v>
      </c>
      <c r="AA64" s="200"/>
    </row>
    <row r="65" spans="1:27" ht="15" x14ac:dyDescent="0.2">
      <c r="A65" s="9"/>
      <c r="C65" s="59"/>
      <c r="D65" s="192"/>
      <c r="E65" s="50" t="s">
        <v>26</v>
      </c>
      <c r="F65" s="193"/>
      <c r="G65" s="194" t="s">
        <v>118</v>
      </c>
      <c r="H65" s="64" t="e">
        <f>SUM('January 01, 2016 Rates'!#REF!,'January 01, 2016 Rates'!#REF!)</f>
        <v>#REF!</v>
      </c>
      <c r="I65" s="64">
        <f>+'January 01, 2016 Rates'!F102+'January 01, 2016 Rates'!F110</f>
        <v>2.8776315499999998</v>
      </c>
      <c r="J65" s="64">
        <f>+'January 01, 2016 Rates'!G102+'January 01, 2016 Rates'!G110</f>
        <v>2.8376602500000003</v>
      </c>
      <c r="K65" s="64" t="e">
        <f>SUM('January 01, 2016 Rates'!#REF!,'January 01, 2016 Rates'!#REF!)</f>
        <v>#REF!</v>
      </c>
      <c r="L65" s="201">
        <f t="shared" ref="L65:L71" si="10">+I65-J65</f>
        <v>3.9971299999999488E-2</v>
      </c>
      <c r="M65" s="196">
        <f t="shared" si="8"/>
        <v>1.4086006244052467E-2</v>
      </c>
      <c r="N65" s="197"/>
      <c r="O65" s="197"/>
      <c r="P65" s="203"/>
      <c r="Q65" s="199"/>
      <c r="R65" s="199">
        <v>2.1798999999999999</v>
      </c>
      <c r="S65" s="188" t="e">
        <v>#REF!</v>
      </c>
      <c r="T65" s="189" t="e">
        <v>#REF!</v>
      </c>
      <c r="U65" s="189" t="e">
        <v>#REF!</v>
      </c>
      <c r="V65" s="190">
        <v>-0.29989999999999994</v>
      </c>
      <c r="W65" s="189">
        <v>-0.63239999999999996</v>
      </c>
      <c r="X65" s="189">
        <v>0</v>
      </c>
      <c r="Y65" s="191">
        <v>0.33250000000000002</v>
      </c>
      <c r="Z65" s="200">
        <v>0</v>
      </c>
      <c r="AA65" s="200"/>
    </row>
    <row r="66" spans="1:27" ht="15" x14ac:dyDescent="0.2">
      <c r="A66" s="9"/>
      <c r="C66" s="59"/>
      <c r="D66" s="192"/>
      <c r="E66" s="202" t="s">
        <v>245</v>
      </c>
      <c r="F66" s="193"/>
      <c r="G66" s="194" t="s">
        <v>118</v>
      </c>
      <c r="H66" s="64" t="e">
        <f>H65+'January 01, 2016 Rates'!#REF!+'January 01, 2016 Rates'!#REF!</f>
        <v>#REF!</v>
      </c>
      <c r="I66" s="64">
        <f>+'January 01, 2016 Rates'!F102+'January 01, 2016 Rates'!F110</f>
        <v>2.8776315499999998</v>
      </c>
      <c r="J66" s="64">
        <f>+'January 01, 2016 Rates'!G102+'January 01, 2016 Rates'!G110</f>
        <v>2.8376602500000003</v>
      </c>
      <c r="K66" s="64" t="e">
        <f>K65+'January 01, 2016 Rates'!#REF!+'January 01, 2016 Rates'!#REF!</f>
        <v>#REF!</v>
      </c>
      <c r="L66" s="201">
        <f t="shared" si="10"/>
        <v>3.9971299999999488E-2</v>
      </c>
      <c r="M66" s="196">
        <f t="shared" si="8"/>
        <v>1.4086006244052467E-2</v>
      </c>
      <c r="N66" s="197"/>
      <c r="O66" s="197"/>
      <c r="P66" s="203"/>
      <c r="Q66" s="199"/>
      <c r="R66" s="199"/>
      <c r="S66" s="188"/>
      <c r="T66" s="189"/>
      <c r="U66" s="189"/>
      <c r="V66" s="190"/>
      <c r="W66" s="189"/>
      <c r="X66" s="189"/>
      <c r="Y66" s="191"/>
      <c r="Z66" s="200"/>
      <c r="AA66" s="200"/>
    </row>
    <row r="67" spans="1:27" ht="15" x14ac:dyDescent="0.2">
      <c r="A67" s="9"/>
      <c r="C67" s="59"/>
      <c r="D67" s="192"/>
      <c r="E67" s="202" t="s">
        <v>246</v>
      </c>
      <c r="F67" s="193"/>
      <c r="G67" s="194" t="s">
        <v>118</v>
      </c>
      <c r="H67" s="109"/>
      <c r="I67" s="109">
        <f>+'January 01, 2016 Rates'!F102+'January 01, 2016 Rates'!F110</f>
        <v>2.8776315499999998</v>
      </c>
      <c r="J67" s="109">
        <f>+'January 01, 2016 Rates'!G102+'January 01, 2016 Rates'!G110</f>
        <v>2.8376602500000003</v>
      </c>
      <c r="K67" s="109"/>
      <c r="L67" s="201">
        <f t="shared" si="10"/>
        <v>3.9971299999999488E-2</v>
      </c>
      <c r="M67" s="196">
        <f t="shared" si="8"/>
        <v>1.4086006244052467E-2</v>
      </c>
      <c r="N67" s="197"/>
      <c r="O67" s="197"/>
      <c r="P67" s="203"/>
      <c r="Q67" s="199"/>
      <c r="R67" s="199"/>
      <c r="S67" s="188"/>
      <c r="T67" s="189"/>
      <c r="U67" s="189"/>
      <c r="V67" s="190"/>
      <c r="W67" s="189"/>
      <c r="X67" s="189"/>
      <c r="Y67" s="191"/>
      <c r="Z67" s="200"/>
      <c r="AA67" s="200"/>
    </row>
    <row r="68" spans="1:27" ht="15" x14ac:dyDescent="0.2">
      <c r="A68" s="9"/>
      <c r="C68" s="59"/>
      <c r="D68" s="192"/>
      <c r="E68" s="50" t="s">
        <v>88</v>
      </c>
      <c r="F68" s="193"/>
      <c r="G68" s="194" t="s">
        <v>118</v>
      </c>
      <c r="H68" s="113" t="e">
        <f>'January 01, 2016 Rates'!#REF!</f>
        <v>#REF!</v>
      </c>
      <c r="I68" s="113">
        <f>+'January 01, 2016 Rates'!F111</f>
        <v>2.9613701318676164</v>
      </c>
      <c r="J68" s="113">
        <f>+'January 01, 2016 Rates'!G111</f>
        <v>3.0219999999999998</v>
      </c>
      <c r="K68" s="113" t="e">
        <f>'January 01, 2016 Rates'!#REF!</f>
        <v>#REF!</v>
      </c>
      <c r="L68" s="201">
        <f t="shared" si="10"/>
        <v>-6.0629868132383358E-2</v>
      </c>
      <c r="M68" s="196">
        <f t="shared" si="8"/>
        <v>-2.0062828634144065E-2</v>
      </c>
      <c r="N68" s="197"/>
      <c r="O68" s="197"/>
      <c r="P68" s="203"/>
      <c r="Q68" s="199"/>
      <c r="R68" s="199">
        <v>2.7006999999999999</v>
      </c>
      <c r="S68" s="204"/>
      <c r="T68" s="190"/>
      <c r="U68" s="189"/>
      <c r="V68" s="189"/>
      <c r="W68" s="189"/>
      <c r="X68" s="189"/>
      <c r="Y68" s="191"/>
      <c r="Z68" s="200">
        <v>0</v>
      </c>
      <c r="AA68" s="200"/>
    </row>
    <row r="69" spans="1:27" ht="15" x14ac:dyDescent="0.2">
      <c r="A69" s="9"/>
      <c r="C69" s="59"/>
      <c r="D69" s="192"/>
      <c r="E69" s="50" t="s">
        <v>90</v>
      </c>
      <c r="F69" s="193"/>
      <c r="G69" s="194" t="s">
        <v>118</v>
      </c>
      <c r="H69" s="113" t="e">
        <f>'January 01, 2016 Rates'!#REF!</f>
        <v>#REF!</v>
      </c>
      <c r="I69" s="113">
        <f>+'January 01, 2016 Rates'!F112</f>
        <v>2.3622228326760251</v>
      </c>
      <c r="J69" s="113">
        <f>+'January 01, 2016 Rates'!G112</f>
        <v>2.2949999999999999</v>
      </c>
      <c r="K69" s="113" t="e">
        <f>'January 01, 2016 Rates'!#REF!</f>
        <v>#REF!</v>
      </c>
      <c r="L69" s="201">
        <f t="shared" si="10"/>
        <v>6.7222832676025135E-2</v>
      </c>
      <c r="M69" s="196">
        <f t="shared" si="8"/>
        <v>2.9290994630076311E-2</v>
      </c>
      <c r="N69" s="197"/>
      <c r="O69" s="197"/>
      <c r="P69" s="203"/>
      <c r="Q69" s="199"/>
      <c r="R69" s="199">
        <v>2.1196999999999999</v>
      </c>
      <c r="S69" s="204"/>
      <c r="T69" s="190"/>
      <c r="U69" s="189"/>
      <c r="V69" s="189"/>
      <c r="W69" s="189"/>
      <c r="X69" s="189"/>
      <c r="Y69" s="191"/>
      <c r="Z69" s="200">
        <v>0</v>
      </c>
      <c r="AA69" s="200"/>
    </row>
    <row r="70" spans="1:27" ht="15" x14ac:dyDescent="0.2">
      <c r="A70" s="9"/>
      <c r="C70" s="59"/>
      <c r="D70" s="192"/>
      <c r="E70" s="50" t="s">
        <v>56</v>
      </c>
      <c r="F70" s="193"/>
      <c r="G70" s="51" t="s">
        <v>27</v>
      </c>
      <c r="H70" s="113" t="e">
        <f>'January 01, 2016 Rates'!#REF!</f>
        <v>#REF!</v>
      </c>
      <c r="I70" s="113">
        <f>+'January 01, 2016 Rates'!F113</f>
        <v>4.4000000000000003E-3</v>
      </c>
      <c r="J70" s="113">
        <f>+'January 01, 2016 Rates'!G113</f>
        <v>4.4000000000000003E-3</v>
      </c>
      <c r="K70" s="113" t="e">
        <f>'January 01, 2016 Rates'!#REF!</f>
        <v>#REF!</v>
      </c>
      <c r="L70" s="201">
        <f t="shared" si="10"/>
        <v>0</v>
      </c>
      <c r="M70" s="205">
        <f t="shared" si="8"/>
        <v>0</v>
      </c>
      <c r="N70" s="197"/>
      <c r="O70" s="197"/>
      <c r="P70" s="203"/>
      <c r="Q70" s="199"/>
      <c r="R70" s="199">
        <v>5.1999999999999998E-3</v>
      </c>
      <c r="S70" s="204"/>
      <c r="T70" s="190"/>
      <c r="U70" s="189"/>
      <c r="V70" s="189"/>
      <c r="W70" s="189"/>
      <c r="X70" s="189"/>
      <c r="Y70" s="191"/>
      <c r="Z70" s="200">
        <v>0</v>
      </c>
      <c r="AA70" s="200"/>
    </row>
    <row r="71" spans="1:27" ht="15" x14ac:dyDescent="0.2">
      <c r="A71" s="9"/>
      <c r="C71" s="59"/>
      <c r="D71" s="192"/>
      <c r="E71" s="50" t="s">
        <v>235</v>
      </c>
      <c r="F71" s="193"/>
      <c r="G71" s="51" t="s">
        <v>27</v>
      </c>
      <c r="H71" s="113" t="e">
        <f>'January 01, 2016 Rates'!#REF!</f>
        <v>#REF!</v>
      </c>
      <c r="I71" s="113">
        <f>+'January 01, 2016 Rates'!F114</f>
        <v>1.2999999999999999E-3</v>
      </c>
      <c r="J71" s="113">
        <f>+'January 01, 2016 Rates'!G114</f>
        <v>1.2999999999999999E-3</v>
      </c>
      <c r="K71" s="113" t="e">
        <f>'January 01, 2016 Rates'!#REF!</f>
        <v>#REF!</v>
      </c>
      <c r="L71" s="201">
        <f t="shared" si="10"/>
        <v>0</v>
      </c>
      <c r="M71" s="205">
        <f t="shared" si="8"/>
        <v>0</v>
      </c>
      <c r="N71" s="197"/>
      <c r="O71" s="197"/>
      <c r="P71" s="203"/>
      <c r="Q71" s="199"/>
      <c r="R71" s="199">
        <v>1.1000000000000001E-3</v>
      </c>
      <c r="S71" s="204"/>
      <c r="T71" s="190"/>
      <c r="U71" s="189"/>
      <c r="V71" s="189"/>
      <c r="W71" s="189"/>
      <c r="X71" s="189"/>
      <c r="Y71" s="191"/>
      <c r="Z71" s="200">
        <v>0</v>
      </c>
      <c r="AA71" s="200"/>
    </row>
    <row r="72" spans="1:27" ht="15" x14ac:dyDescent="0.2">
      <c r="A72" s="9"/>
      <c r="C72" s="59"/>
      <c r="D72" s="192"/>
      <c r="E72" s="50" t="s">
        <v>60</v>
      </c>
      <c r="F72" s="193"/>
      <c r="G72" s="194" t="s">
        <v>19</v>
      </c>
      <c r="H72" s="114" t="e">
        <f>'January 01, 2016 Rates'!#REF!</f>
        <v>#REF!</v>
      </c>
      <c r="I72" s="114">
        <f>+'January 01, 2016 Rates'!F115</f>
        <v>0.25</v>
      </c>
      <c r="J72" s="114">
        <f>+'January 01, 2016 Rates'!G115</f>
        <v>0.25</v>
      </c>
      <c r="K72" s="114" t="e">
        <f>'January 01, 2016 Rates'!#REF!</f>
        <v>#REF!</v>
      </c>
      <c r="L72" s="201">
        <f>+I72-J72</f>
        <v>0</v>
      </c>
      <c r="M72" s="205">
        <f t="shared" si="8"/>
        <v>0</v>
      </c>
      <c r="N72" s="197"/>
      <c r="O72" s="197"/>
      <c r="P72" s="203"/>
      <c r="Q72" s="199"/>
      <c r="R72" s="199">
        <v>0.25</v>
      </c>
      <c r="S72" s="206"/>
      <c r="T72" s="207"/>
      <c r="U72" s="208"/>
      <c r="V72" s="208"/>
      <c r="W72" s="208"/>
      <c r="X72" s="208"/>
      <c r="Y72" s="209"/>
      <c r="Z72" s="200">
        <v>0</v>
      </c>
      <c r="AA72" s="200"/>
    </row>
    <row r="73" spans="1:27" ht="18" x14ac:dyDescent="0.25">
      <c r="A73" s="38"/>
      <c r="C73" s="184" t="s">
        <v>247</v>
      </c>
      <c r="D73" s="40"/>
      <c r="E73" s="41"/>
      <c r="F73" s="185"/>
      <c r="G73" s="41"/>
      <c r="H73" s="186"/>
      <c r="I73" s="186"/>
      <c r="J73" s="186"/>
      <c r="K73" s="186" t="s">
        <v>214</v>
      </c>
      <c r="L73" s="210" t="s">
        <v>214</v>
      </c>
      <c r="M73" s="210" t="s">
        <v>214</v>
      </c>
      <c r="N73" s="197"/>
      <c r="O73" s="197"/>
      <c r="P73" s="203"/>
      <c r="Q73" s="199"/>
      <c r="R73" s="199" t="s">
        <v>214</v>
      </c>
      <c r="S73" s="204"/>
      <c r="T73" s="190"/>
      <c r="U73" s="189"/>
      <c r="V73" s="189"/>
      <c r="W73" s="189"/>
      <c r="X73" s="189"/>
      <c r="Y73" s="191"/>
      <c r="Z73" s="200" t="e">
        <v>#VALUE!</v>
      </c>
      <c r="AA73" s="200"/>
    </row>
    <row r="74" spans="1:27" ht="15" x14ac:dyDescent="0.2">
      <c r="A74" s="38"/>
      <c r="C74" s="59"/>
      <c r="D74" s="192"/>
      <c r="E74" s="50" t="s">
        <v>18</v>
      </c>
      <c r="F74" s="193"/>
      <c r="G74" s="194" t="s">
        <v>19</v>
      </c>
      <c r="H74" s="107" t="e">
        <f>'January 01, 2016 Rates'!#REF!</f>
        <v>#REF!</v>
      </c>
      <c r="I74" s="107">
        <f>+'January 01, 2016 Rates'!F119</f>
        <v>1.430445</v>
      </c>
      <c r="J74" s="107">
        <f>+'January 01, 2016 Rates'!G119</f>
        <v>1.4101549999999998</v>
      </c>
      <c r="K74" s="107" t="e">
        <f>'January 01, 2016 Rates'!#REF!</f>
        <v>#REF!</v>
      </c>
      <c r="L74" s="195">
        <f t="shared" ref="L74:L81" si="11">+I74-J74</f>
        <v>2.0290000000000141E-2</v>
      </c>
      <c r="M74" s="196">
        <f t="shared" si="8"/>
        <v>1.4388489208633195E-2</v>
      </c>
      <c r="N74" s="197"/>
      <c r="O74" s="197"/>
      <c r="P74" s="203"/>
      <c r="Q74" s="199"/>
      <c r="R74" s="199">
        <v>1.34</v>
      </c>
      <c r="S74" s="204"/>
      <c r="T74" s="190"/>
      <c r="U74" s="189"/>
      <c r="V74" s="189"/>
      <c r="W74" s="189"/>
      <c r="X74" s="189"/>
      <c r="Y74" s="191"/>
      <c r="Z74" s="200">
        <v>0</v>
      </c>
      <c r="AA74" s="200"/>
    </row>
    <row r="75" spans="1:27" ht="15" x14ac:dyDescent="0.2">
      <c r="A75" s="9"/>
      <c r="C75" s="59"/>
      <c r="D75" s="192"/>
      <c r="E75" s="50" t="s">
        <v>26</v>
      </c>
      <c r="F75" s="193"/>
      <c r="G75" s="194" t="s">
        <v>118</v>
      </c>
      <c r="H75" s="64" t="e">
        <f>SUM('January 01, 2016 Rates'!#REF!,'January 01, 2016 Rates'!#REF!)</f>
        <v>#REF!</v>
      </c>
      <c r="I75" s="64">
        <f>+'January 01, 2016 Rates'!F121+'January 01, 2016 Rates'!F127</f>
        <v>10.987411399999999</v>
      </c>
      <c r="J75" s="64">
        <f>+'January 01, 2016 Rates'!G121+'January 01, 2016 Rates'!G127</f>
        <v>10.831178399999999</v>
      </c>
      <c r="K75" s="64" t="e">
        <f>SUM('January 01, 2016 Rates'!#REF!,'January 01, 2016 Rates'!#REF!)</f>
        <v>#REF!</v>
      </c>
      <c r="L75" s="201">
        <f t="shared" si="11"/>
        <v>0.15623300000000029</v>
      </c>
      <c r="M75" s="196">
        <f t="shared" si="8"/>
        <v>1.4424376944986919E-2</v>
      </c>
      <c r="N75" s="197"/>
      <c r="O75" s="197"/>
      <c r="P75" s="203"/>
      <c r="Q75" s="199"/>
      <c r="R75" s="199">
        <v>9.3785999999999987</v>
      </c>
      <c r="S75" s="188" t="e">
        <v>#REF!</v>
      </c>
      <c r="T75" s="189" t="e">
        <v>#REF!</v>
      </c>
      <c r="U75" s="189" t="e">
        <v>#REF!</v>
      </c>
      <c r="V75" s="190">
        <v>-0.33490000000000003</v>
      </c>
      <c r="W75" s="189">
        <v>-0.38740000000000002</v>
      </c>
      <c r="X75" s="189">
        <v>0</v>
      </c>
      <c r="Y75" s="191">
        <v>5.2499999999999998E-2</v>
      </c>
      <c r="Z75" s="200">
        <v>0</v>
      </c>
      <c r="AA75" s="200"/>
    </row>
    <row r="76" spans="1:27" ht="15" x14ac:dyDescent="0.2">
      <c r="A76" s="9"/>
      <c r="C76" s="59"/>
      <c r="D76" s="192"/>
      <c r="E76" s="202" t="s">
        <v>234</v>
      </c>
      <c r="F76" s="193"/>
      <c r="G76" s="194" t="s">
        <v>118</v>
      </c>
      <c r="H76" s="64" t="e">
        <f>H75+'January 01, 2016 Rates'!#REF!+'January 01, 2016 Rates'!#REF!</f>
        <v>#REF!</v>
      </c>
      <c r="I76" s="64">
        <f>+'January 01, 2016 Rates'!F121+'January 01, 2016 Rates'!F127</f>
        <v>10.987411399999999</v>
      </c>
      <c r="J76" s="64">
        <f>+'January 01, 2016 Rates'!G121+'January 01, 2016 Rates'!G127</f>
        <v>10.831178399999999</v>
      </c>
      <c r="K76" s="64" t="e">
        <f>K75+'January 01, 2016 Rates'!#REF!+'January 01, 2016 Rates'!#REF!</f>
        <v>#REF!</v>
      </c>
      <c r="L76" s="201">
        <f t="shared" si="11"/>
        <v>0.15623300000000029</v>
      </c>
      <c r="M76" s="196">
        <f t="shared" si="8"/>
        <v>1.4424376944986919E-2</v>
      </c>
      <c r="N76" s="197"/>
      <c r="O76" s="197"/>
      <c r="P76" s="203"/>
      <c r="Q76" s="199"/>
      <c r="R76" s="199"/>
      <c r="S76" s="188"/>
      <c r="T76" s="189"/>
      <c r="U76" s="189"/>
      <c r="V76" s="190"/>
      <c r="W76" s="189"/>
      <c r="X76" s="189"/>
      <c r="Y76" s="191"/>
      <c r="Z76" s="200"/>
      <c r="AA76" s="200"/>
    </row>
    <row r="77" spans="1:27" ht="15" x14ac:dyDescent="0.2">
      <c r="C77" s="112"/>
      <c r="D77" s="192"/>
      <c r="E77" s="193" t="s">
        <v>88</v>
      </c>
      <c r="F77" s="193"/>
      <c r="G77" s="194" t="s">
        <v>118</v>
      </c>
      <c r="H77" s="113" t="e">
        <f>'January 01, 2016 Rates'!#REF!</f>
        <v>#REF!</v>
      </c>
      <c r="I77" s="113">
        <f>+'January 01, 2016 Rates'!F128</f>
        <v>1.9864306872540418</v>
      </c>
      <c r="J77" s="113">
        <f>+'January 01, 2016 Rates'!G128</f>
        <v>2.0270999999999999</v>
      </c>
      <c r="K77" s="113" t="e">
        <f>'January 01, 2016 Rates'!#REF!</f>
        <v>#REF!</v>
      </c>
      <c r="L77" s="201">
        <f t="shared" si="11"/>
        <v>-4.0669312745958086E-2</v>
      </c>
      <c r="M77" s="196">
        <f t="shared" si="8"/>
        <v>-2.006280536034635E-2</v>
      </c>
      <c r="N77" s="197"/>
      <c r="O77" s="197"/>
      <c r="P77" s="203"/>
      <c r="Q77" s="199"/>
      <c r="R77" s="199">
        <v>1.8116000000000001</v>
      </c>
      <c r="S77" s="212"/>
      <c r="T77" s="213"/>
      <c r="U77" s="38"/>
      <c r="V77" s="38"/>
      <c r="W77" s="38"/>
      <c r="X77" s="38"/>
      <c r="Y77" s="165"/>
      <c r="Z77" s="200">
        <v>0</v>
      </c>
      <c r="AA77" s="200"/>
    </row>
    <row r="78" spans="1:27" ht="15" x14ac:dyDescent="0.2">
      <c r="C78" s="112"/>
      <c r="D78" s="192"/>
      <c r="E78" s="193" t="s">
        <v>90</v>
      </c>
      <c r="F78" s="193"/>
      <c r="G78" s="194" t="s">
        <v>118</v>
      </c>
      <c r="H78" s="113" t="e">
        <f>'January 01, 2016 Rates'!#REF!</f>
        <v>#REF!</v>
      </c>
      <c r="I78" s="113">
        <f>+'January 01, 2016 Rates'!F129</f>
        <v>1.6344112314362624</v>
      </c>
      <c r="J78" s="113">
        <f>+'January 01, 2016 Rates'!G129</f>
        <v>1.5879000000000001</v>
      </c>
      <c r="K78" s="113" t="e">
        <f>'January 01, 2016 Rates'!#REF!</f>
        <v>#REF!</v>
      </c>
      <c r="L78" s="201">
        <f t="shared" si="11"/>
        <v>4.6511231436262346E-2</v>
      </c>
      <c r="M78" s="196">
        <f t="shared" si="8"/>
        <v>2.9291033085372092E-2</v>
      </c>
      <c r="N78" s="197"/>
      <c r="O78" s="197"/>
      <c r="P78" s="203"/>
      <c r="Q78" s="199"/>
      <c r="R78" s="199">
        <v>1.4665999999999999</v>
      </c>
      <c r="S78" s="113"/>
      <c r="T78" s="72"/>
      <c r="U78" s="38"/>
      <c r="V78" s="38"/>
      <c r="W78" s="38"/>
      <c r="X78" s="38"/>
      <c r="Y78" s="165"/>
      <c r="Z78" s="200">
        <v>0</v>
      </c>
      <c r="AA78" s="200"/>
    </row>
    <row r="79" spans="1:27" ht="15" x14ac:dyDescent="0.2">
      <c r="C79" s="112"/>
      <c r="D79" s="192"/>
      <c r="E79" s="193" t="s">
        <v>56</v>
      </c>
      <c r="F79" s="193"/>
      <c r="G79" s="51" t="s">
        <v>27</v>
      </c>
      <c r="H79" s="113" t="e">
        <f>'January 01, 2016 Rates'!#REF!</f>
        <v>#REF!</v>
      </c>
      <c r="I79" s="113">
        <f>+'January 01, 2016 Rates'!F130</f>
        <v>4.4000000000000003E-3</v>
      </c>
      <c r="J79" s="113">
        <f>+'January 01, 2016 Rates'!G130</f>
        <v>4.4000000000000003E-3</v>
      </c>
      <c r="K79" s="113" t="e">
        <f>'January 01, 2016 Rates'!#REF!</f>
        <v>#REF!</v>
      </c>
      <c r="L79" s="201">
        <f t="shared" si="11"/>
        <v>0</v>
      </c>
      <c r="M79" s="205">
        <f t="shared" si="8"/>
        <v>0</v>
      </c>
      <c r="N79" s="197"/>
      <c r="O79" s="197"/>
      <c r="P79" s="203"/>
      <c r="Q79" s="199"/>
      <c r="R79" s="199">
        <v>5.1999999999999998E-3</v>
      </c>
      <c r="S79" s="113"/>
      <c r="T79" s="72"/>
      <c r="U79" s="38"/>
      <c r="V79" s="38"/>
      <c r="W79" s="38"/>
      <c r="X79" s="38"/>
      <c r="Y79" s="165"/>
      <c r="Z79" s="200">
        <v>0</v>
      </c>
      <c r="AA79" s="200"/>
    </row>
    <row r="80" spans="1:27" ht="15" x14ac:dyDescent="0.2">
      <c r="C80" s="112"/>
      <c r="D80" s="192"/>
      <c r="E80" s="193" t="s">
        <v>235</v>
      </c>
      <c r="F80" s="193"/>
      <c r="G80" s="51" t="s">
        <v>27</v>
      </c>
      <c r="H80" s="113" t="e">
        <f>'January 01, 2016 Rates'!#REF!</f>
        <v>#REF!</v>
      </c>
      <c r="I80" s="113">
        <f>+'January 01, 2016 Rates'!F131</f>
        <v>1.2999999999999999E-3</v>
      </c>
      <c r="J80" s="113">
        <f>+'January 01, 2016 Rates'!G131</f>
        <v>1.2999999999999999E-3</v>
      </c>
      <c r="K80" s="113" t="e">
        <f>'January 01, 2016 Rates'!#REF!</f>
        <v>#REF!</v>
      </c>
      <c r="L80" s="201">
        <f t="shared" si="11"/>
        <v>0</v>
      </c>
      <c r="M80" s="205">
        <f t="shared" si="8"/>
        <v>0</v>
      </c>
      <c r="N80" s="197"/>
      <c r="O80" s="197"/>
      <c r="P80" s="203"/>
      <c r="Q80" s="199"/>
      <c r="R80" s="199">
        <v>1.1000000000000001E-3</v>
      </c>
      <c r="S80" s="113"/>
      <c r="T80" s="72"/>
      <c r="U80" s="38"/>
      <c r="V80" s="38"/>
      <c r="W80" s="38"/>
      <c r="X80" s="38"/>
      <c r="Y80" s="165"/>
      <c r="Z80" s="200">
        <v>0</v>
      </c>
      <c r="AA80" s="200"/>
    </row>
    <row r="81" spans="3:27" ht="15.75" thickBot="1" x14ac:dyDescent="0.25">
      <c r="C81" s="214"/>
      <c r="D81" s="215"/>
      <c r="E81" s="216" t="s">
        <v>60</v>
      </c>
      <c r="F81" s="216"/>
      <c r="G81" s="118" t="s">
        <v>19</v>
      </c>
      <c r="H81" s="217" t="e">
        <f>'January 01, 2016 Rates'!#REF!</f>
        <v>#REF!</v>
      </c>
      <c r="I81" s="217">
        <f>+'January 01, 2016 Rates'!F132</f>
        <v>0.25</v>
      </c>
      <c r="J81" s="217">
        <f>+'January 01, 2016 Rates'!G132</f>
        <v>0.25</v>
      </c>
      <c r="K81" s="217">
        <v>0.25</v>
      </c>
      <c r="L81" s="218">
        <f t="shared" si="11"/>
        <v>0</v>
      </c>
      <c r="M81" s="219">
        <f t="shared" si="8"/>
        <v>0</v>
      </c>
      <c r="N81" s="197"/>
      <c r="O81" s="197"/>
      <c r="P81" s="203"/>
      <c r="Q81" s="199"/>
      <c r="R81" s="199">
        <v>0.25</v>
      </c>
      <c r="S81" s="220"/>
      <c r="T81" s="221"/>
      <c r="U81" s="222"/>
      <c r="V81" s="222"/>
      <c r="W81" s="222"/>
      <c r="X81" s="222"/>
      <c r="Y81" s="223"/>
      <c r="Z81" s="200">
        <v>0</v>
      </c>
      <c r="AA81" s="200"/>
    </row>
    <row r="82" spans="3:27" ht="18" hidden="1" x14ac:dyDescent="0.25">
      <c r="C82" s="224" t="s">
        <v>248</v>
      </c>
      <c r="D82" s="225"/>
      <c r="E82" s="226"/>
      <c r="F82" s="227"/>
      <c r="G82" s="226"/>
      <c r="H82" s="228"/>
      <c r="I82" s="228"/>
      <c r="J82" s="228"/>
      <c r="K82" s="228" t="s">
        <v>214</v>
      </c>
      <c r="L82" s="229" t="s">
        <v>214</v>
      </c>
      <c r="M82" s="229" t="s">
        <v>214</v>
      </c>
      <c r="N82" s="230"/>
      <c r="O82" s="230"/>
      <c r="P82" s="203"/>
      <c r="Q82" s="5"/>
      <c r="R82" s="5" t="s">
        <v>214</v>
      </c>
      <c r="S82" s="230"/>
      <c r="T82" s="38"/>
      <c r="U82" s="38"/>
      <c r="V82" s="38"/>
      <c r="W82" s="38"/>
      <c r="X82" s="38"/>
      <c r="Y82" s="165"/>
      <c r="Z82" s="200" t="e">
        <v>#VALUE!</v>
      </c>
      <c r="AA82" s="200"/>
    </row>
    <row r="83" spans="3:27" ht="15" hidden="1" x14ac:dyDescent="0.2">
      <c r="C83" s="59"/>
      <c r="D83" s="192"/>
      <c r="E83" s="95" t="s">
        <v>18</v>
      </c>
      <c r="F83" s="193"/>
      <c r="G83" s="194" t="s">
        <v>19</v>
      </c>
      <c r="H83" s="107">
        <v>5.4</v>
      </c>
      <c r="I83" s="107">
        <v>5.4</v>
      </c>
      <c r="J83" s="107">
        <v>5.4</v>
      </c>
      <c r="K83" s="107">
        <v>5.25</v>
      </c>
      <c r="L83" s="201">
        <f t="shared" ref="L83:L85" si="12">+I83-J83</f>
        <v>0</v>
      </c>
      <c r="M83" s="205">
        <f t="shared" si="8"/>
        <v>0</v>
      </c>
      <c r="N83" s="230"/>
      <c r="O83" s="230"/>
      <c r="P83" s="165"/>
      <c r="Q83" s="5"/>
      <c r="R83" s="5">
        <v>5.25</v>
      </c>
      <c r="S83" s="230"/>
      <c r="T83" s="38"/>
      <c r="U83" s="38"/>
      <c r="V83" s="38"/>
      <c r="W83" s="38"/>
      <c r="X83" s="38"/>
      <c r="Y83" s="165"/>
      <c r="Z83" s="200">
        <v>0</v>
      </c>
      <c r="AA83" s="200"/>
    </row>
    <row r="84" spans="3:27" ht="15" hidden="1" x14ac:dyDescent="0.2">
      <c r="C84" s="59"/>
      <c r="D84" s="192"/>
      <c r="E84" s="95" t="s">
        <v>249</v>
      </c>
      <c r="F84" s="193"/>
      <c r="G84" s="194" t="s">
        <v>27</v>
      </c>
      <c r="H84" s="231">
        <v>0.80200000000000005</v>
      </c>
      <c r="I84" s="231">
        <v>0.80200000000000005</v>
      </c>
      <c r="J84" s="231">
        <v>0.80200000000000005</v>
      </c>
      <c r="K84" s="231">
        <v>0.80200000000000005</v>
      </c>
      <c r="L84" s="201">
        <f t="shared" si="12"/>
        <v>0</v>
      </c>
      <c r="M84" s="205">
        <f t="shared" si="8"/>
        <v>0</v>
      </c>
      <c r="N84" s="163"/>
      <c r="O84" s="163"/>
      <c r="P84" s="232"/>
      <c r="R84" s="125">
        <v>0.80200000000000005</v>
      </c>
      <c r="S84" s="163"/>
      <c r="T84" s="164"/>
      <c r="U84" s="38"/>
      <c r="V84" s="38"/>
      <c r="W84" s="38"/>
      <c r="X84" s="38"/>
      <c r="Y84" s="165"/>
      <c r="Z84" s="200">
        <v>0</v>
      </c>
      <c r="AA84" s="200"/>
    </row>
    <row r="85" spans="3:27" ht="15.75" hidden="1" thickBot="1" x14ac:dyDescent="0.25">
      <c r="C85" s="115"/>
      <c r="D85" s="215"/>
      <c r="E85" s="233" t="s">
        <v>249</v>
      </c>
      <c r="F85" s="216"/>
      <c r="G85" s="194" t="s">
        <v>27</v>
      </c>
      <c r="H85" s="234">
        <v>0.54900000000000004</v>
      </c>
      <c r="I85" s="234">
        <v>0.54900000000000004</v>
      </c>
      <c r="J85" s="234">
        <v>0.54900000000000004</v>
      </c>
      <c r="K85" s="234"/>
      <c r="L85" s="201">
        <f t="shared" si="12"/>
        <v>0</v>
      </c>
      <c r="M85" s="205">
        <f t="shared" si="8"/>
        <v>0</v>
      </c>
      <c r="N85" s="163"/>
      <c r="O85" s="163"/>
      <c r="P85" s="232"/>
      <c r="S85" s="163"/>
      <c r="T85" s="164"/>
      <c r="U85" s="38"/>
      <c r="V85" s="38"/>
      <c r="W85" s="38"/>
      <c r="X85" s="38"/>
      <c r="Y85" s="165"/>
      <c r="AA85" s="200"/>
    </row>
    <row r="86" spans="3:27" ht="19.5" hidden="1" thickBot="1" x14ac:dyDescent="0.35">
      <c r="C86" s="235"/>
      <c r="D86" s="236"/>
      <c r="E86" s="237"/>
      <c r="F86" s="238"/>
      <c r="G86" s="239"/>
      <c r="H86" s="240"/>
      <c r="I86" s="240"/>
      <c r="J86" s="240"/>
      <c r="K86" s="240"/>
      <c r="L86" s="241"/>
      <c r="M86" s="241"/>
      <c r="N86" s="242"/>
      <c r="O86" s="242"/>
      <c r="P86" s="243"/>
      <c r="R86" s="125">
        <v>0</v>
      </c>
      <c r="S86" s="242"/>
      <c r="T86" s="244"/>
      <c r="U86" s="222"/>
      <c r="V86" s="222"/>
      <c r="W86" s="222"/>
      <c r="X86" s="222"/>
      <c r="Y86" s="223"/>
      <c r="AA86" s="200"/>
    </row>
    <row r="87" spans="3:27" x14ac:dyDescent="0.2">
      <c r="C87" s="245" t="s">
        <v>250</v>
      </c>
    </row>
    <row r="88" spans="3:27" x14ac:dyDescent="0.2">
      <c r="C88" s="245" t="s">
        <v>251</v>
      </c>
    </row>
    <row r="89" spans="3:27" x14ac:dyDescent="0.2">
      <c r="C89" s="245" t="s">
        <v>252</v>
      </c>
    </row>
  </sheetData>
  <mergeCells count="1">
    <mergeCell ref="B1:E1"/>
  </mergeCells>
  <conditionalFormatting sqref="L17:L24">
    <cfRule type="expression" dxfId="18" priority="19">
      <formula>$L17&lt;&gt;0</formula>
    </cfRule>
  </conditionalFormatting>
  <conditionalFormatting sqref="L86">
    <cfRule type="expression" dxfId="17" priority="18">
      <formula>$L86&lt;&gt;0</formula>
    </cfRule>
  </conditionalFormatting>
  <conditionalFormatting sqref="Z17:Z43 Z52:Z84">
    <cfRule type="cellIs" dxfId="16" priority="17" operator="notEqual">
      <formula>0</formula>
    </cfRule>
  </conditionalFormatting>
  <conditionalFormatting sqref="M17:M24">
    <cfRule type="expression" dxfId="15" priority="16">
      <formula>$L17&lt;&gt;0</formula>
    </cfRule>
  </conditionalFormatting>
  <conditionalFormatting sqref="M86">
    <cfRule type="expression" dxfId="14" priority="15">
      <formula>$L86&lt;&gt;0</formula>
    </cfRule>
  </conditionalFormatting>
  <conditionalFormatting sqref="L83:L85">
    <cfRule type="expression" dxfId="13" priority="14">
      <formula>$L83&lt;&gt;0</formula>
    </cfRule>
  </conditionalFormatting>
  <conditionalFormatting sqref="L26:L33">
    <cfRule type="expression" dxfId="12" priority="13">
      <formula>$L26&lt;&gt;0</formula>
    </cfRule>
  </conditionalFormatting>
  <conditionalFormatting sqref="L35:L42">
    <cfRule type="expression" dxfId="11" priority="12">
      <formula>$L35&lt;&gt;0</formula>
    </cfRule>
  </conditionalFormatting>
  <conditionalFormatting sqref="L44:L52">
    <cfRule type="expression" dxfId="10" priority="11">
      <formula>$L44&lt;&gt;0</formula>
    </cfRule>
  </conditionalFormatting>
  <conditionalFormatting sqref="L54:L62">
    <cfRule type="expression" dxfId="9" priority="10">
      <formula>$L54&lt;&gt;0</formula>
    </cfRule>
  </conditionalFormatting>
  <conditionalFormatting sqref="M74:M81">
    <cfRule type="expression" dxfId="8" priority="2">
      <formula>$L74&lt;&gt;0</formula>
    </cfRule>
  </conditionalFormatting>
  <conditionalFormatting sqref="L64:L72">
    <cfRule type="expression" dxfId="7" priority="9">
      <formula>$L64&lt;&gt;0</formula>
    </cfRule>
  </conditionalFormatting>
  <conditionalFormatting sqref="M83:M85">
    <cfRule type="expression" dxfId="6" priority="1">
      <formula>$L83&lt;&gt;0</formula>
    </cfRule>
  </conditionalFormatting>
  <conditionalFormatting sqref="L74:L81">
    <cfRule type="expression" dxfId="5" priority="8">
      <formula>$L74&lt;&gt;0</formula>
    </cfRule>
  </conditionalFormatting>
  <conditionalFormatting sqref="M26:M33">
    <cfRule type="expression" dxfId="4" priority="7">
      <formula>$L26&lt;&gt;0</formula>
    </cfRule>
  </conditionalFormatting>
  <conditionalFormatting sqref="M35:M42">
    <cfRule type="expression" dxfId="3" priority="6">
      <formula>$L35&lt;&gt;0</formula>
    </cfRule>
  </conditionalFormatting>
  <conditionalFormatting sqref="M44:AB51 M52">
    <cfRule type="expression" dxfId="2" priority="5">
      <formula>$L44&lt;&gt;0</formula>
    </cfRule>
  </conditionalFormatting>
  <conditionalFormatting sqref="M54:M62">
    <cfRule type="expression" dxfId="1" priority="4">
      <formula>$L54&lt;&gt;0</formula>
    </cfRule>
  </conditionalFormatting>
  <conditionalFormatting sqref="M64:M72">
    <cfRule type="expression" dxfId="0" priority="3">
      <formula>$L64&lt;&gt;0</formula>
    </cfRule>
  </conditionalFormatting>
  <pageMargins left="0.7" right="0.7" top="0.75" bottom="0.75" header="0.3" footer="0.3"/>
  <pageSetup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FFFF00"/>
    <pageSetUpPr fitToPage="1"/>
  </sheetPr>
  <dimension ref="A1:K33"/>
  <sheetViews>
    <sheetView tabSelected="1" workbookViewId="0">
      <selection activeCell="D20" sqref="D20"/>
    </sheetView>
  </sheetViews>
  <sheetFormatPr defaultRowHeight="15" x14ac:dyDescent="0.25"/>
  <cols>
    <col min="1" max="1" width="54.140625" bestFit="1" customWidth="1"/>
    <col min="2" max="2" width="13.140625" customWidth="1"/>
    <col min="3" max="3" width="8" bestFit="1" customWidth="1"/>
    <col min="4" max="4" width="7.5703125" bestFit="1" customWidth="1"/>
    <col min="6" max="6" width="11" bestFit="1" customWidth="1"/>
    <col min="7" max="7" width="8" bestFit="1" customWidth="1"/>
    <col min="8" max="8" width="7.5703125" bestFit="1" customWidth="1"/>
    <col min="10" max="10" width="9.5703125" bestFit="1" customWidth="1"/>
    <col min="11" max="11" width="10" bestFit="1" customWidth="1"/>
  </cols>
  <sheetData>
    <row r="1" spans="1:11" ht="15.75" x14ac:dyDescent="0.25">
      <c r="A1" s="246" t="s">
        <v>253</v>
      </c>
      <c r="B1" s="247" t="s">
        <v>303</v>
      </c>
      <c r="C1" s="247"/>
      <c r="D1" s="366"/>
      <c r="E1" s="366"/>
      <c r="F1" s="366"/>
      <c r="G1" s="366"/>
      <c r="H1" s="366"/>
      <c r="I1" s="366"/>
      <c r="J1" s="366"/>
      <c r="K1" s="367"/>
    </row>
    <row r="2" spans="1:11" ht="15.75" x14ac:dyDescent="0.25">
      <c r="A2" s="246" t="s">
        <v>255</v>
      </c>
      <c r="B2" s="248">
        <f>3.6/100</f>
        <v>3.6000000000000004E-2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33</v>
      </c>
      <c r="C3" s="251" t="s">
        <v>257</v>
      </c>
      <c r="D3" s="369"/>
      <c r="E3" s="369"/>
      <c r="F3" s="369"/>
      <c r="G3" s="369"/>
      <c r="H3" s="369"/>
      <c r="I3" s="369"/>
      <c r="J3" s="369"/>
      <c r="K3" s="369"/>
    </row>
    <row r="4" spans="1:11" x14ac:dyDescent="0.25">
      <c r="A4" s="365" t="s">
        <v>258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</row>
    <row r="5" spans="1:11" x14ac:dyDescent="0.25">
      <c r="A5" s="254" t="s">
        <v>259</v>
      </c>
      <c r="B5" s="255">
        <v>0.1</v>
      </c>
      <c r="C5" s="256" t="s">
        <v>260</v>
      </c>
      <c r="D5" s="369"/>
      <c r="E5" s="369"/>
      <c r="F5" s="369"/>
      <c r="G5" s="369"/>
      <c r="H5" s="369"/>
      <c r="I5" s="369"/>
      <c r="J5" s="369"/>
      <c r="K5" s="369"/>
    </row>
    <row r="6" spans="1:11" x14ac:dyDescent="0.25">
      <c r="A6" s="257"/>
      <c r="B6" s="441" t="s">
        <v>261</v>
      </c>
      <c r="C6" s="442"/>
      <c r="D6" s="443"/>
      <c r="E6" s="377"/>
      <c r="F6" s="441" t="s">
        <v>8</v>
      </c>
      <c r="G6" s="442"/>
      <c r="H6" s="443"/>
      <c r="I6" s="377"/>
      <c r="J6" s="441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378" t="s">
        <v>265</v>
      </c>
      <c r="E7" s="379"/>
      <c r="F7" s="259" t="s">
        <v>263</v>
      </c>
      <c r="G7" s="262" t="s">
        <v>264</v>
      </c>
      <c r="H7" s="259" t="s">
        <v>265</v>
      </c>
      <c r="I7" s="379"/>
      <c r="J7" s="265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8" t="s">
        <v>268</v>
      </c>
      <c r="E8" s="379"/>
      <c r="F8" s="266" t="s">
        <v>268</v>
      </c>
      <c r="G8" s="268"/>
      <c r="H8" s="266" t="s">
        <v>268</v>
      </c>
      <c r="I8" s="379"/>
      <c r="J8" s="271"/>
      <c r="K8" s="271"/>
    </row>
    <row r="9" spans="1:11" x14ac:dyDescent="0.25">
      <c r="A9" s="272" t="s">
        <v>18</v>
      </c>
      <c r="B9" s="273">
        <f>ROUND('January 01, 2016 Rates'!G119,2)</f>
        <v>1.41</v>
      </c>
      <c r="C9" s="274">
        <v>1</v>
      </c>
      <c r="D9" s="339">
        <f>C9*B9</f>
        <v>1.41</v>
      </c>
      <c r="E9" s="380"/>
      <c r="F9" s="273">
        <f>ROUND('January 01, 2016 Rates'!F119,2)</f>
        <v>1.43</v>
      </c>
      <c r="G9" s="277">
        <v>1</v>
      </c>
      <c r="H9" s="339">
        <f>G9*F9</f>
        <v>1.43</v>
      </c>
      <c r="I9" s="380"/>
      <c r="J9" s="381">
        <f>H9-D9</f>
        <v>2.0000000000000018E-2</v>
      </c>
      <c r="K9" s="279">
        <f t="shared" ref="K9:K32" si="0">IF((D9)=0,"",(J9/D9))</f>
        <v>1.4184397163120581E-2</v>
      </c>
    </row>
    <row r="10" spans="1:11" x14ac:dyDescent="0.25">
      <c r="A10" s="272" t="s">
        <v>26</v>
      </c>
      <c r="B10" s="280">
        <f>ROUND('January 01, 2016 Rates'!G121,4)</f>
        <v>10.773199999999999</v>
      </c>
      <c r="C10" s="281">
        <f>+B5</f>
        <v>0.1</v>
      </c>
      <c r="D10" s="339">
        <f>C10*B10</f>
        <v>1.0773200000000001</v>
      </c>
      <c r="E10" s="380"/>
      <c r="F10" s="280">
        <f>ROUND('January 01, 2016 Rates'!F121,4)</f>
        <v>10.929399999999999</v>
      </c>
      <c r="G10" s="283">
        <f>C10</f>
        <v>0.1</v>
      </c>
      <c r="H10" s="339">
        <f>G10*F10</f>
        <v>1.09294</v>
      </c>
      <c r="I10" s="380"/>
      <c r="J10" s="381">
        <f t="shared" ref="J10:J32" si="1">H10-D10</f>
        <v>1.5619999999999967E-2</v>
      </c>
      <c r="K10" s="279">
        <f t="shared" si="0"/>
        <v>1.4498941818586833E-2</v>
      </c>
    </row>
    <row r="11" spans="1:11" x14ac:dyDescent="0.25">
      <c r="A11" s="284" t="s">
        <v>269</v>
      </c>
      <c r="B11" s="285">
        <v>0</v>
      </c>
      <c r="C11" s="286">
        <f>+B5</f>
        <v>0.1</v>
      </c>
      <c r="D11" s="382">
        <f>C11*B11</f>
        <v>0</v>
      </c>
      <c r="E11" s="380"/>
      <c r="F11" s="285">
        <v>0</v>
      </c>
      <c r="G11" s="289">
        <f>C11</f>
        <v>0.1</v>
      </c>
      <c r="H11" s="382">
        <f>G11*F11</f>
        <v>0</v>
      </c>
      <c r="I11" s="380"/>
      <c r="J11" s="383">
        <f t="shared" si="1"/>
        <v>0</v>
      </c>
      <c r="K11" s="291" t="str">
        <f t="shared" si="0"/>
        <v/>
      </c>
    </row>
    <row r="12" spans="1:11" x14ac:dyDescent="0.25">
      <c r="A12" s="292" t="s">
        <v>270</v>
      </c>
      <c r="B12" s="293"/>
      <c r="C12" s="294"/>
      <c r="D12" s="298">
        <f>SUM(D9:D11)</f>
        <v>2.48732</v>
      </c>
      <c r="E12" s="380"/>
      <c r="F12" s="293"/>
      <c r="G12" s="297"/>
      <c r="H12" s="298">
        <f>SUM(H9:H11)</f>
        <v>2.5229400000000002</v>
      </c>
      <c r="I12" s="380"/>
      <c r="J12" s="384">
        <f t="shared" si="1"/>
        <v>3.5620000000000207E-2</v>
      </c>
      <c r="K12" s="299">
        <f t="shared" si="0"/>
        <v>1.4320634256951341E-2</v>
      </c>
    </row>
    <row r="13" spans="1:11" x14ac:dyDescent="0.25">
      <c r="A13" s="300" t="s">
        <v>349</v>
      </c>
      <c r="B13" s="280">
        <f>ROUND('January 01, 2016 Rates'!G123+'January 01, 2016 Rates'!G126,4)</f>
        <v>0</v>
      </c>
      <c r="C13" s="301">
        <f>+B5</f>
        <v>0.1</v>
      </c>
      <c r="D13" s="339">
        <f>C13*B13</f>
        <v>0</v>
      </c>
      <c r="E13" s="380"/>
      <c r="F13" s="280">
        <f>ROUND('January 01, 2016 Rates'!F122+'January 01, 2016 Rates'!F123+'January 01, 2016 Rates'!F124+'January 01, 2016 Rates'!F126+'January 01, 2016 Rates'!F125,4)</f>
        <v>1.5412999999999999</v>
      </c>
      <c r="G13" s="301">
        <f>C13</f>
        <v>0.1</v>
      </c>
      <c r="H13" s="339">
        <f>G13*F13</f>
        <v>0.15412999999999999</v>
      </c>
      <c r="I13" s="380"/>
      <c r="J13" s="381">
        <f t="shared" si="1"/>
        <v>0.15412999999999999</v>
      </c>
      <c r="K13" s="279" t="str">
        <f t="shared" si="0"/>
        <v/>
      </c>
    </row>
    <row r="14" spans="1:11" x14ac:dyDescent="0.25">
      <c r="A14" s="302" t="s">
        <v>272</v>
      </c>
      <c r="B14" s="280">
        <f>ROUND('January 01, 2016 Rates'!G127,4)</f>
        <v>5.8000000000000003E-2</v>
      </c>
      <c r="C14" s="301">
        <f>+B5</f>
        <v>0.1</v>
      </c>
      <c r="D14" s="339">
        <f>C14*B14</f>
        <v>5.8000000000000005E-3</v>
      </c>
      <c r="E14" s="380"/>
      <c r="F14" s="280">
        <f>ROUND('January 01, 2016 Rates'!F127,4)</f>
        <v>5.8000000000000003E-2</v>
      </c>
      <c r="G14" s="301">
        <f>C14</f>
        <v>0.1</v>
      </c>
      <c r="H14" s="339">
        <f>G14*F14</f>
        <v>5.8000000000000005E-3</v>
      </c>
      <c r="I14" s="380"/>
      <c r="J14" s="381">
        <f t="shared" si="1"/>
        <v>0</v>
      </c>
      <c r="K14" s="279">
        <f t="shared" si="0"/>
        <v>0</v>
      </c>
    </row>
    <row r="15" spans="1:11" x14ac:dyDescent="0.25">
      <c r="A15" s="302" t="s">
        <v>273</v>
      </c>
      <c r="B15" s="280">
        <v>0</v>
      </c>
      <c r="C15" s="301">
        <v>1</v>
      </c>
      <c r="D15" s="339">
        <f>C15*B15</f>
        <v>0</v>
      </c>
      <c r="E15" s="380"/>
      <c r="F15" s="280">
        <v>0</v>
      </c>
      <c r="G15" s="301">
        <f>C15</f>
        <v>1</v>
      </c>
      <c r="H15" s="339">
        <f>G15*F15</f>
        <v>0</v>
      </c>
      <c r="I15" s="380"/>
      <c r="J15" s="381">
        <f t="shared" si="1"/>
        <v>0</v>
      </c>
      <c r="K15" s="279" t="str">
        <f t="shared" si="0"/>
        <v/>
      </c>
    </row>
    <row r="16" spans="1:11" x14ac:dyDescent="0.25">
      <c r="A16" s="302" t="s">
        <v>350</v>
      </c>
      <c r="B16" s="280">
        <v>0</v>
      </c>
      <c r="C16" s="301">
        <v>1</v>
      </c>
      <c r="D16" s="339">
        <f>C16*B16</f>
        <v>0</v>
      </c>
      <c r="E16" s="380"/>
      <c r="F16" s="273">
        <f>ROUND('January 01, 2016 Rates'!F120,2)</f>
        <v>7.0000000000000007E-2</v>
      </c>
      <c r="G16" s="301">
        <f>C16</f>
        <v>1</v>
      </c>
      <c r="H16" s="339">
        <f>G16*F16</f>
        <v>7.0000000000000007E-2</v>
      </c>
      <c r="I16" s="380"/>
      <c r="J16" s="381"/>
      <c r="K16" s="279"/>
    </row>
    <row r="17" spans="1:11" x14ac:dyDescent="0.25">
      <c r="A17" s="303" t="s">
        <v>274</v>
      </c>
      <c r="B17" s="304"/>
      <c r="C17" s="305"/>
      <c r="D17" s="309">
        <f>SUM(D12:D16)</f>
        <v>2.4931199999999998</v>
      </c>
      <c r="E17" s="380"/>
      <c r="F17" s="304"/>
      <c r="G17" s="308"/>
      <c r="H17" s="309">
        <f>SUM(H12:H16)</f>
        <v>2.7528699999999997</v>
      </c>
      <c r="I17" s="380"/>
      <c r="J17" s="385">
        <f t="shared" si="1"/>
        <v>0.25974999999999993</v>
      </c>
      <c r="K17" s="310">
        <f t="shared" si="0"/>
        <v>0.10418672185855472</v>
      </c>
    </row>
    <row r="18" spans="1:11" x14ac:dyDescent="0.25">
      <c r="A18" s="311" t="s">
        <v>275</v>
      </c>
      <c r="B18" s="280">
        <f>ROUND('January 01, 2016 Rates'!G128,4)</f>
        <v>2.0270999999999999</v>
      </c>
      <c r="C18" s="312">
        <f>+B5</f>
        <v>0.1</v>
      </c>
      <c r="D18" s="339">
        <f>C18*B18</f>
        <v>0.20271</v>
      </c>
      <c r="E18" s="380"/>
      <c r="F18" s="280">
        <f>ROUND('January 01, 2016 Rates'!F128,4)</f>
        <v>1.9863999999999999</v>
      </c>
      <c r="G18" s="313">
        <f>C18</f>
        <v>0.1</v>
      </c>
      <c r="H18" s="339">
        <f>G18*F18</f>
        <v>0.19864000000000001</v>
      </c>
      <c r="I18" s="380"/>
      <c r="J18" s="381">
        <f t="shared" si="1"/>
        <v>-4.0699999999999903E-3</v>
      </c>
      <c r="K18" s="279">
        <f t="shared" si="0"/>
        <v>-2.0077943860687633E-2</v>
      </c>
    </row>
    <row r="19" spans="1:11" x14ac:dyDescent="0.25">
      <c r="A19" s="314" t="s">
        <v>276</v>
      </c>
      <c r="B19" s="280">
        <f>ROUND('January 01, 2016 Rates'!G129,4)</f>
        <v>1.5879000000000001</v>
      </c>
      <c r="C19" s="312">
        <f>+B5</f>
        <v>0.1</v>
      </c>
      <c r="D19" s="339">
        <f>C19*B19</f>
        <v>0.15879000000000001</v>
      </c>
      <c r="E19" s="380"/>
      <c r="F19" s="280">
        <f>ROUND('January 01, 2016 Rates'!F129,4)</f>
        <v>1.6344000000000001</v>
      </c>
      <c r="G19" s="313">
        <f>C19</f>
        <v>0.1</v>
      </c>
      <c r="H19" s="339">
        <f>G19*F19</f>
        <v>0.16344000000000003</v>
      </c>
      <c r="I19" s="380"/>
      <c r="J19" s="381">
        <f t="shared" si="1"/>
        <v>4.6500000000000152E-3</v>
      </c>
      <c r="K19" s="279">
        <f t="shared" si="0"/>
        <v>2.9283959947100036E-2</v>
      </c>
    </row>
    <row r="20" spans="1:11" x14ac:dyDescent="0.25">
      <c r="A20" s="303" t="s">
        <v>277</v>
      </c>
      <c r="B20" s="304"/>
      <c r="C20" s="305"/>
      <c r="D20" s="309">
        <f>SUM(D17:D19)</f>
        <v>2.8546200000000002</v>
      </c>
      <c r="E20" s="386"/>
      <c r="F20" s="387"/>
      <c r="G20" s="317"/>
      <c r="H20" s="309">
        <f>SUM(H17:H19)</f>
        <v>3.1149499999999999</v>
      </c>
      <c r="I20" s="386"/>
      <c r="J20" s="385">
        <f t="shared" si="1"/>
        <v>0.26032999999999973</v>
      </c>
      <c r="K20" s="310">
        <f t="shared" si="0"/>
        <v>9.1196026091038287E-2</v>
      </c>
    </row>
    <row r="21" spans="1:11" x14ac:dyDescent="0.25">
      <c r="A21" s="302" t="s">
        <v>278</v>
      </c>
      <c r="B21" s="280">
        <f>ROUND('January 01, 2016 Rates'!G130,4)</f>
        <v>4.4000000000000003E-3</v>
      </c>
      <c r="C21" s="312">
        <f>B3*(1+B2)</f>
        <v>34.188000000000002</v>
      </c>
      <c r="D21" s="339">
        <f t="shared" ref="D21:D25" si="2">C21*B21</f>
        <v>0.15042720000000001</v>
      </c>
      <c r="E21" s="380"/>
      <c r="F21" s="280">
        <f>ROUND('January 01, 2016 Rates'!F130,4)</f>
        <v>4.4000000000000003E-3</v>
      </c>
      <c r="G21" s="313">
        <f>+C21</f>
        <v>34.188000000000002</v>
      </c>
      <c r="H21" s="339">
        <f t="shared" ref="H21:H25" si="3">G21*F21</f>
        <v>0.15042720000000001</v>
      </c>
      <c r="I21" s="380"/>
      <c r="J21" s="381">
        <f t="shared" si="1"/>
        <v>0</v>
      </c>
      <c r="K21" s="279">
        <f t="shared" si="0"/>
        <v>0</v>
      </c>
    </row>
    <row r="22" spans="1:11" x14ac:dyDescent="0.25">
      <c r="A22" s="302" t="s">
        <v>279</v>
      </c>
      <c r="B22" s="280">
        <f>ROUND('January 01, 2016 Rates'!G131,4)</f>
        <v>1.2999999999999999E-3</v>
      </c>
      <c r="C22" s="312">
        <f>C21</f>
        <v>34.188000000000002</v>
      </c>
      <c r="D22" s="339">
        <f t="shared" si="2"/>
        <v>4.4444400000000002E-2</v>
      </c>
      <c r="E22" s="380"/>
      <c r="F22" s="280">
        <f>ROUND('January 01, 2016 Rates'!F131,4)</f>
        <v>1.2999999999999999E-3</v>
      </c>
      <c r="G22" s="313">
        <f>+G21</f>
        <v>34.188000000000002</v>
      </c>
      <c r="H22" s="339">
        <f t="shared" si="3"/>
        <v>4.4444400000000002E-2</v>
      </c>
      <c r="I22" s="380"/>
      <c r="J22" s="381">
        <f t="shared" si="1"/>
        <v>0</v>
      </c>
      <c r="K22" s="279">
        <f t="shared" si="0"/>
        <v>0</v>
      </c>
    </row>
    <row r="23" spans="1:11" x14ac:dyDescent="0.25">
      <c r="A23" s="302" t="s">
        <v>280</v>
      </c>
      <c r="B23" s="280">
        <f>ROUND('January 01, 2016 Rates'!G132,4)</f>
        <v>0.25</v>
      </c>
      <c r="C23" s="312">
        <v>1</v>
      </c>
      <c r="D23" s="339">
        <f t="shared" si="2"/>
        <v>0.25</v>
      </c>
      <c r="E23" s="380"/>
      <c r="F23" s="280">
        <f>ROUND('January 01, 2016 Rates'!F132,4)</f>
        <v>0.25</v>
      </c>
      <c r="G23" s="313">
        <v>1</v>
      </c>
      <c r="H23" s="339">
        <f t="shared" si="3"/>
        <v>0.25</v>
      </c>
      <c r="I23" s="380"/>
      <c r="J23" s="381">
        <f t="shared" si="1"/>
        <v>0</v>
      </c>
      <c r="K23" s="279">
        <f t="shared" si="0"/>
        <v>0</v>
      </c>
    </row>
    <row r="24" spans="1:11" x14ac:dyDescent="0.25">
      <c r="A24" s="302" t="s">
        <v>281</v>
      </c>
      <c r="B24" s="280">
        <f>ROUND('January 01, 2016 Rates'!G133,4)</f>
        <v>7.0000000000000001E-3</v>
      </c>
      <c r="C24" s="312">
        <f>+B3</f>
        <v>33</v>
      </c>
      <c r="D24" s="339">
        <f t="shared" si="2"/>
        <v>0.23100000000000001</v>
      </c>
      <c r="E24" s="380"/>
      <c r="F24" s="280">
        <f>ROUND('January 01, 2016 Rates'!F133,4)</f>
        <v>7.0000000000000001E-3</v>
      </c>
      <c r="G24" s="313">
        <f>B3</f>
        <v>33</v>
      </c>
      <c r="H24" s="339">
        <f t="shared" si="3"/>
        <v>0.23100000000000001</v>
      </c>
      <c r="I24" s="380"/>
      <c r="J24" s="381">
        <f t="shared" si="1"/>
        <v>0</v>
      </c>
      <c r="K24" s="279">
        <f t="shared" si="0"/>
        <v>0</v>
      </c>
    </row>
    <row r="25" spans="1:11" x14ac:dyDescent="0.25">
      <c r="A25" s="302" t="s">
        <v>295</v>
      </c>
      <c r="B25" s="280">
        <v>9.4E-2</v>
      </c>
      <c r="C25" s="312">
        <f>+B3</f>
        <v>33</v>
      </c>
      <c r="D25" s="339">
        <f t="shared" si="2"/>
        <v>3.1019999999999999</v>
      </c>
      <c r="E25" s="380"/>
      <c r="F25" s="280">
        <v>9.4E-2</v>
      </c>
      <c r="G25" s="312">
        <f>C25</f>
        <v>33</v>
      </c>
      <c r="H25" s="339">
        <f t="shared" si="3"/>
        <v>3.1019999999999999</v>
      </c>
      <c r="I25" s="380"/>
      <c r="J25" s="381">
        <f t="shared" si="1"/>
        <v>0</v>
      </c>
      <c r="K25" s="279">
        <f t="shared" si="0"/>
        <v>0</v>
      </c>
    </row>
    <row r="26" spans="1:11" ht="15.75" thickBot="1" x14ac:dyDescent="0.3">
      <c r="A26" s="302" t="s">
        <v>295</v>
      </c>
      <c r="B26" s="280">
        <v>0.11</v>
      </c>
      <c r="C26" s="312">
        <f>+ROUND(C21-C25,0)</f>
        <v>1</v>
      </c>
      <c r="D26" s="339">
        <f>+C26*B26</f>
        <v>0.11</v>
      </c>
      <c r="E26" s="380"/>
      <c r="F26" s="280">
        <v>0.11</v>
      </c>
      <c r="G26" s="312">
        <f>C26</f>
        <v>1</v>
      </c>
      <c r="H26" s="339">
        <f>+G26*F26</f>
        <v>0.11</v>
      </c>
      <c r="I26" s="380"/>
      <c r="J26" s="381">
        <f t="shared" si="1"/>
        <v>0</v>
      </c>
      <c r="K26" s="279">
        <f t="shared" si="0"/>
        <v>0</v>
      </c>
    </row>
    <row r="27" spans="1:11" ht="15.75" thickBot="1" x14ac:dyDescent="0.3">
      <c r="A27" s="318"/>
      <c r="B27" s="319"/>
      <c r="C27" s="320"/>
      <c r="D27" s="323"/>
      <c r="E27" s="380"/>
      <c r="F27" s="388"/>
      <c r="G27" s="322"/>
      <c r="H27" s="323"/>
      <c r="I27" s="380"/>
      <c r="J27" s="389"/>
      <c r="K27" s="324"/>
    </row>
    <row r="28" spans="1:11" x14ac:dyDescent="0.25">
      <c r="A28" s="325" t="s">
        <v>285</v>
      </c>
      <c r="B28" s="326"/>
      <c r="C28" s="327"/>
      <c r="D28" s="390">
        <f>SUM(D20:D26)</f>
        <v>6.7424916000000001</v>
      </c>
      <c r="E28" s="391"/>
      <c r="F28" s="331"/>
      <c r="G28" s="331"/>
      <c r="H28" s="390">
        <f>SUM(H20:H26)</f>
        <v>7.0028215999999999</v>
      </c>
      <c r="I28" s="386"/>
      <c r="J28" s="390">
        <f>H28-D28</f>
        <v>0.26032999999999973</v>
      </c>
      <c r="K28" s="333">
        <f>IF((D28)=0,"",(J28/D28))</f>
        <v>3.8610355851240473E-2</v>
      </c>
    </row>
    <row r="29" spans="1:11" x14ac:dyDescent="0.25">
      <c r="A29" s="334" t="s">
        <v>286</v>
      </c>
      <c r="B29" s="326">
        <v>0.13</v>
      </c>
      <c r="C29" s="335"/>
      <c r="D29" s="392">
        <f>D28*B29</f>
        <v>0.87652390800000002</v>
      </c>
      <c r="E29" s="335"/>
      <c r="F29" s="326">
        <v>0.13</v>
      </c>
      <c r="G29" s="337"/>
      <c r="H29" s="392">
        <f>H28*F29</f>
        <v>0.91036680800000003</v>
      </c>
      <c r="I29" s="380"/>
      <c r="J29" s="392">
        <f t="shared" si="1"/>
        <v>3.3842900000000009E-2</v>
      </c>
      <c r="K29" s="340">
        <f t="shared" si="0"/>
        <v>3.8610355851240521E-2</v>
      </c>
    </row>
    <row r="30" spans="1:11" x14ac:dyDescent="0.25">
      <c r="A30" s="341" t="s">
        <v>287</v>
      </c>
      <c r="B30" s="337"/>
      <c r="C30" s="335"/>
      <c r="D30" s="392">
        <f>D28+D29</f>
        <v>7.6190155080000004</v>
      </c>
      <c r="E30" s="335"/>
      <c r="F30" s="337"/>
      <c r="G30" s="337"/>
      <c r="H30" s="392">
        <f>H28+H29</f>
        <v>7.9131884079999999</v>
      </c>
      <c r="I30" s="380"/>
      <c r="J30" s="392">
        <f t="shared" si="1"/>
        <v>0.29417289999999952</v>
      </c>
      <c r="K30" s="340">
        <f t="shared" si="0"/>
        <v>3.8610355851240445E-2</v>
      </c>
    </row>
    <row r="31" spans="1:11" x14ac:dyDescent="0.25">
      <c r="A31" s="343" t="s">
        <v>288</v>
      </c>
      <c r="B31" s="337"/>
      <c r="C31" s="335"/>
      <c r="D31" s="392">
        <v>0</v>
      </c>
      <c r="E31" s="335"/>
      <c r="F31" s="337"/>
      <c r="G31" s="337"/>
      <c r="H31" s="392">
        <v>0</v>
      </c>
      <c r="I31" s="380"/>
      <c r="J31" s="392">
        <f t="shared" si="1"/>
        <v>0</v>
      </c>
      <c r="K31" s="340" t="str">
        <f t="shared" si="0"/>
        <v/>
      </c>
    </row>
    <row r="32" spans="1:11" ht="15.75" thickBot="1" x14ac:dyDescent="0.3">
      <c r="A32" s="344" t="s">
        <v>289</v>
      </c>
      <c r="B32" s="345"/>
      <c r="C32" s="346"/>
      <c r="D32" s="384">
        <f>D30+D31</f>
        <v>7.6190155080000004</v>
      </c>
      <c r="E32" s="391"/>
      <c r="F32" s="349"/>
      <c r="G32" s="349"/>
      <c r="H32" s="384">
        <f>H30+H31</f>
        <v>7.9131884079999999</v>
      </c>
      <c r="I32" s="386"/>
      <c r="J32" s="384">
        <f t="shared" si="1"/>
        <v>0.29417289999999952</v>
      </c>
      <c r="K32" s="299">
        <f t="shared" si="0"/>
        <v>3.8610355851240445E-2</v>
      </c>
    </row>
    <row r="33" spans="1:11" ht="15.75" thickBot="1" x14ac:dyDescent="0.3">
      <c r="A33" s="318"/>
      <c r="B33" s="350"/>
      <c r="C33" s="351"/>
      <c r="D33" s="393"/>
      <c r="E33" s="394"/>
      <c r="F33" s="350"/>
      <c r="G33" s="355"/>
      <c r="H33" s="395"/>
      <c r="I33" s="394"/>
      <c r="J33" s="396"/>
      <c r="K33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3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1"/>
  <sheetViews>
    <sheetView tabSelected="1" topLeftCell="A4" workbookViewId="0">
      <selection activeCell="D20" sqref="D20"/>
    </sheetView>
  </sheetViews>
  <sheetFormatPr defaultRowHeight="15" x14ac:dyDescent="0.25"/>
  <cols>
    <col min="2" max="2" width="33.7109375" customWidth="1"/>
    <col min="3" max="3" width="11.5703125" bestFit="1" customWidth="1"/>
    <col min="4" max="4" width="9" bestFit="1" customWidth="1"/>
    <col min="5" max="5" width="55.7109375" bestFit="1" customWidth="1"/>
  </cols>
  <sheetData>
    <row r="1" spans="1:5" ht="18.75" x14ac:dyDescent="0.3">
      <c r="A1" s="398" t="s">
        <v>304</v>
      </c>
    </row>
    <row r="2" spans="1:5" ht="18.75" x14ac:dyDescent="0.3">
      <c r="A2" s="398" t="s">
        <v>305</v>
      </c>
    </row>
    <row r="3" spans="1:5" ht="18.75" x14ac:dyDescent="0.3">
      <c r="A3" s="398" t="s">
        <v>332</v>
      </c>
    </row>
    <row r="4" spans="1:5" ht="18.75" x14ac:dyDescent="0.3">
      <c r="A4" s="398"/>
    </row>
    <row r="5" spans="1:5" x14ac:dyDescent="0.25">
      <c r="C5" s="399" t="s">
        <v>306</v>
      </c>
      <c r="D5" s="399" t="s">
        <v>307</v>
      </c>
      <c r="E5" s="399" t="s">
        <v>5</v>
      </c>
    </row>
    <row r="6" spans="1:5" ht="18.75" x14ac:dyDescent="0.3">
      <c r="B6" s="398" t="s">
        <v>308</v>
      </c>
    </row>
    <row r="7" spans="1:5" ht="15.75" x14ac:dyDescent="0.25">
      <c r="B7" s="400" t="s">
        <v>328</v>
      </c>
      <c r="C7" s="401">
        <f>+'Bill Impact- Res RPP'!J34</f>
        <v>1.1920999999999822</v>
      </c>
      <c r="D7" s="402">
        <f>+'Bill Impact- Res RPP'!K34</f>
        <v>8.9156566703254732E-3</v>
      </c>
      <c r="E7" t="s">
        <v>310</v>
      </c>
    </row>
    <row r="8" spans="1:5" ht="15.75" x14ac:dyDescent="0.25">
      <c r="B8" s="400"/>
      <c r="C8" s="401"/>
      <c r="D8" s="402"/>
    </row>
    <row r="9" spans="1:5" ht="18.75" x14ac:dyDescent="0.3">
      <c r="B9" s="398" t="s">
        <v>312</v>
      </c>
      <c r="D9" s="402"/>
    </row>
    <row r="10" spans="1:5" ht="15.75" x14ac:dyDescent="0.25">
      <c r="B10" s="400" t="s">
        <v>328</v>
      </c>
      <c r="C10" s="401">
        <f>+'Bill Impact- GS &lt;50kW RPP'!J34</f>
        <v>4.5410999999999149</v>
      </c>
      <c r="D10" s="402">
        <f>+'Bill Impact- GS &lt;50kW RPP'!K34</f>
        <v>1.3540542586844444E-2</v>
      </c>
      <c r="E10" t="s">
        <v>313</v>
      </c>
    </row>
    <row r="11" spans="1:5" x14ac:dyDescent="0.25">
      <c r="D11" s="402"/>
    </row>
    <row r="12" spans="1:5" ht="18.75" x14ac:dyDescent="0.3">
      <c r="B12" s="398" t="s">
        <v>314</v>
      </c>
      <c r="D12" s="402"/>
    </row>
    <row r="13" spans="1:5" ht="15.75" x14ac:dyDescent="0.25">
      <c r="B13" s="400" t="s">
        <v>309</v>
      </c>
      <c r="C13" s="401">
        <f>+'USL RPP'!J32</f>
        <v>0.8847899999999953</v>
      </c>
      <c r="D13" s="402">
        <f>+'USL RPP'!K32</f>
        <v>1.7280158643773608E-2</v>
      </c>
      <c r="E13" t="s">
        <v>315</v>
      </c>
    </row>
    <row r="14" spans="1:5" x14ac:dyDescent="0.25">
      <c r="D14" s="402"/>
    </row>
    <row r="15" spans="1:5" ht="18.75" x14ac:dyDescent="0.3">
      <c r="B15" s="398" t="s">
        <v>316</v>
      </c>
      <c r="D15" s="402"/>
    </row>
    <row r="16" spans="1:5" ht="15.75" x14ac:dyDescent="0.25">
      <c r="B16" s="400" t="s">
        <v>324</v>
      </c>
      <c r="C16" s="401">
        <f>+'Bill Impact-GS50-499 NonRPP Int'!J33</f>
        <v>236.1225400000003</v>
      </c>
      <c r="D16" s="402">
        <f>+'Bill Impact-GS50-499 NonRPP Int'!K33</f>
        <v>1.4077970984927095E-2</v>
      </c>
      <c r="E16" t="s">
        <v>317</v>
      </c>
    </row>
    <row r="17" spans="2:5" ht="15.75" x14ac:dyDescent="0.25">
      <c r="B17" s="400" t="s">
        <v>325</v>
      </c>
      <c r="C17" s="401">
        <f>+'BI- GS50-499 Non RPP Non Interv'!J33</f>
        <v>303.64456000000064</v>
      </c>
      <c r="D17" s="402">
        <f>+'BI- GS50-499 Non RPP Non Interv'!K33</f>
        <v>1.8103732517069135E-2</v>
      </c>
    </row>
    <row r="18" spans="2:5" x14ac:dyDescent="0.25">
      <c r="D18" s="402"/>
    </row>
    <row r="19" spans="2:5" ht="18.75" x14ac:dyDescent="0.3">
      <c r="B19" s="398" t="s">
        <v>318</v>
      </c>
      <c r="D19" s="402"/>
    </row>
    <row r="20" spans="2:5" ht="15.75" x14ac:dyDescent="0.25">
      <c r="B20" s="400" t="s">
        <v>324</v>
      </c>
      <c r="C20" s="401">
        <f>+'BI- GS500-4999 Non RPP Interval'!J33</f>
        <v>3298.8259499999986</v>
      </c>
      <c r="D20" s="402">
        <f>+'BI- GS500-4999 Non RPP Interval'!K33</f>
        <v>4.303161657085338E-2</v>
      </c>
      <c r="E20" t="s">
        <v>319</v>
      </c>
    </row>
    <row r="21" spans="2:5" ht="15.75" x14ac:dyDescent="0.25">
      <c r="B21" s="400" t="s">
        <v>325</v>
      </c>
      <c r="C21" s="401">
        <f>+'BI- GS500-4999 Non RPP Non Int'!J33</f>
        <v>4073.017200000002</v>
      </c>
      <c r="D21" s="402">
        <f>+'BI- GS500-4999 Non RPP Non Int'!K33</f>
        <v>5.3130573450500172E-2</v>
      </c>
    </row>
    <row r="22" spans="2:5" x14ac:dyDescent="0.25">
      <c r="D22" s="402"/>
    </row>
    <row r="23" spans="2:5" ht="18.75" x14ac:dyDescent="0.3">
      <c r="B23" s="398" t="s">
        <v>320</v>
      </c>
      <c r="D23" s="402"/>
    </row>
    <row r="24" spans="2:5" ht="15.75" x14ac:dyDescent="0.25">
      <c r="B24" s="400" t="s">
        <v>326</v>
      </c>
      <c r="C24" s="401">
        <f>+'BI- Large Use Class A'!J33</f>
        <v>1687.7227999999886</v>
      </c>
      <c r="D24" s="402">
        <f>+'BI- Large Use Class A'!K33</f>
        <v>3.5162534079331165E-3</v>
      </c>
      <c r="E24" t="s">
        <v>321</v>
      </c>
    </row>
    <row r="25" spans="2:5" ht="15.75" x14ac:dyDescent="0.25">
      <c r="B25" s="400" t="s">
        <v>327</v>
      </c>
      <c r="C25" s="401">
        <f>+'BI- Large Use Class B'!J33</f>
        <v>8644.5677999999607</v>
      </c>
      <c r="D25" s="402">
        <f>+'BI- Large Use Class B'!K33</f>
        <v>1.8010357498790056E-2</v>
      </c>
    </row>
    <row r="26" spans="2:5" x14ac:dyDescent="0.25">
      <c r="D26" s="402"/>
    </row>
    <row r="27" spans="2:5" ht="18.75" x14ac:dyDescent="0.3">
      <c r="B27" s="398" t="s">
        <v>322</v>
      </c>
      <c r="D27" s="402"/>
    </row>
    <row r="28" spans="2:5" ht="15.75" x14ac:dyDescent="0.25">
      <c r="B28" s="400" t="s">
        <v>311</v>
      </c>
      <c r="C28" s="401">
        <f>+'BI- Street Light Non RPP'!J32</f>
        <v>0.29417289999999952</v>
      </c>
      <c r="D28" s="402">
        <f>+'BI- Street Light Non RPP'!K32</f>
        <v>3.8610355851240445E-2</v>
      </c>
      <c r="E28" t="s">
        <v>323</v>
      </c>
    </row>
    <row r="29" spans="2:5" x14ac:dyDescent="0.25">
      <c r="D29" s="402"/>
    </row>
    <row r="30" spans="2:5" x14ac:dyDescent="0.25">
      <c r="D30" s="402"/>
    </row>
    <row r="31" spans="2:5" x14ac:dyDescent="0.25">
      <c r="D31" s="402"/>
    </row>
  </sheetData>
  <pageMargins left="0.70866141732283472" right="0.70866141732283472" top="0.74803149606299213" bottom="0.74803149606299213" header="0.31496062992125984" footer="0.31496062992125984"/>
  <pageSetup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39"/>
  <sheetViews>
    <sheetView tabSelected="1" workbookViewId="0">
      <selection activeCell="D20" sqref="D20"/>
    </sheetView>
  </sheetViews>
  <sheetFormatPr defaultRowHeight="15" x14ac:dyDescent="0.25"/>
  <cols>
    <col min="1" max="1" width="54.140625" bestFit="1" customWidth="1"/>
    <col min="2" max="2" width="15.7109375" bestFit="1" customWidth="1"/>
    <col min="3" max="3" width="8" bestFit="1" customWidth="1"/>
    <col min="4" max="4" width="9.85546875" bestFit="1" customWidth="1"/>
    <col min="6" max="6" width="11" bestFit="1" customWidth="1"/>
    <col min="7" max="7" width="8" bestFit="1" customWidth="1"/>
    <col min="8" max="8" width="9.85546875" bestFit="1" customWidth="1"/>
    <col min="10" max="10" width="9.5703125" bestFit="1" customWidth="1"/>
    <col min="11" max="11" width="10" bestFit="1" customWidth="1"/>
  </cols>
  <sheetData>
    <row r="1" spans="1:11" x14ac:dyDescent="0.25">
      <c r="A1" s="246" t="s">
        <v>253</v>
      </c>
      <c r="B1" s="247" t="s">
        <v>254</v>
      </c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800</v>
      </c>
      <c r="C3" s="251" t="s">
        <v>257</v>
      </c>
      <c r="D3" s="252"/>
      <c r="E3" s="252"/>
      <c r="F3" s="252"/>
      <c r="G3" s="252"/>
      <c r="H3" s="252"/>
      <c r="I3" s="252"/>
      <c r="J3" s="252"/>
      <c r="K3" s="252"/>
    </row>
    <row r="4" spans="1:11" x14ac:dyDescent="0.25">
      <c r="A4" s="365" t="s">
        <v>258</v>
      </c>
      <c r="B4" s="252"/>
      <c r="C4" s="253"/>
      <c r="D4" s="252"/>
      <c r="E4" s="252"/>
      <c r="F4" s="252"/>
      <c r="G4" s="252"/>
      <c r="H4" s="252"/>
      <c r="I4" s="252"/>
      <c r="J4" s="252"/>
      <c r="K4" s="252"/>
    </row>
    <row r="5" spans="1:11" x14ac:dyDescent="0.25">
      <c r="A5" s="254" t="s">
        <v>259</v>
      </c>
      <c r="B5" s="255"/>
      <c r="C5" s="256" t="s">
        <v>260</v>
      </c>
      <c r="D5" s="252"/>
      <c r="E5" s="252"/>
      <c r="F5" s="252"/>
      <c r="G5" s="252"/>
      <c r="H5" s="252"/>
      <c r="I5" s="252"/>
      <c r="J5" s="252"/>
      <c r="K5" s="252"/>
    </row>
    <row r="6" spans="1:11" x14ac:dyDescent="0.25">
      <c r="A6" s="257"/>
      <c r="B6" s="441" t="s">
        <v>261</v>
      </c>
      <c r="C6" s="442"/>
      <c r="D6" s="442"/>
      <c r="E6" s="258"/>
      <c r="F6" s="442" t="s">
        <v>8</v>
      </c>
      <c r="G6" s="442"/>
      <c r="H6" s="442"/>
      <c r="I6" s="258"/>
      <c r="J6" s="442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260" t="s">
        <v>265</v>
      </c>
      <c r="E7" s="261"/>
      <c r="F7" s="262" t="s">
        <v>263</v>
      </c>
      <c r="G7" s="262" t="s">
        <v>264</v>
      </c>
      <c r="H7" s="263" t="s">
        <v>265</v>
      </c>
      <c r="I7" s="261"/>
      <c r="J7" s="264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7" t="s">
        <v>268</v>
      </c>
      <c r="E8" s="261"/>
      <c r="F8" s="268" t="s">
        <v>268</v>
      </c>
      <c r="G8" s="268"/>
      <c r="H8" s="269" t="s">
        <v>268</v>
      </c>
      <c r="I8" s="261"/>
      <c r="J8" s="270"/>
      <c r="K8" s="271"/>
    </row>
    <row r="9" spans="1:11" x14ac:dyDescent="0.25">
      <c r="A9" s="272" t="s">
        <v>18</v>
      </c>
      <c r="B9" s="273">
        <f>ROUND('January 01, 2016 Rates'!G9,2)</f>
        <v>13.22</v>
      </c>
      <c r="C9" s="274">
        <v>1</v>
      </c>
      <c r="D9" s="275">
        <f>C9*B9</f>
        <v>13.22</v>
      </c>
      <c r="E9" s="274"/>
      <c r="F9" s="276">
        <f>ROUND('January 01, 2016 Rates'!F9,2)</f>
        <v>15.67</v>
      </c>
      <c r="G9" s="277">
        <f>C9</f>
        <v>1</v>
      </c>
      <c r="H9" s="275">
        <f>G9*F9</f>
        <v>15.67</v>
      </c>
      <c r="I9" s="274"/>
      <c r="J9" s="278">
        <f t="shared" ref="J9:J34" si="0">H9-D9</f>
        <v>2.4499999999999993</v>
      </c>
      <c r="K9" s="279">
        <f t="shared" ref="K9:K34" si="1">IF((D9)=0,"",(J9/D9))</f>
        <v>0.18532526475037817</v>
      </c>
    </row>
    <row r="10" spans="1:11" x14ac:dyDescent="0.25">
      <c r="A10" s="272" t="s">
        <v>26</v>
      </c>
      <c r="B10" s="280">
        <f>ROUND('January 01, 2016 Rates'!G12,4)</f>
        <v>1.3299999999999999E-2</v>
      </c>
      <c r="C10" s="281">
        <f>B3</f>
        <v>800</v>
      </c>
      <c r="D10" s="275">
        <f>C10*B10</f>
        <v>10.639999999999999</v>
      </c>
      <c r="E10" s="274"/>
      <c r="F10" s="282">
        <f>ROUND('January 01, 2016 Rates'!F12,4)</f>
        <v>1.01E-2</v>
      </c>
      <c r="G10" s="283">
        <f>C10</f>
        <v>800</v>
      </c>
      <c r="H10" s="275">
        <f>G10*F10</f>
        <v>8.08</v>
      </c>
      <c r="I10" s="274"/>
      <c r="J10" s="278">
        <f t="shared" si="0"/>
        <v>-2.5599999999999987</v>
      </c>
      <c r="K10" s="279">
        <f t="shared" si="1"/>
        <v>-0.2406015037593984</v>
      </c>
    </row>
    <row r="11" spans="1:11" hidden="1" x14ac:dyDescent="0.25">
      <c r="A11" s="284" t="s">
        <v>269</v>
      </c>
      <c r="B11" s="285">
        <f>+'January 01, 2016 Rates'!G15</f>
        <v>0</v>
      </c>
      <c r="C11" s="286">
        <f>B3</f>
        <v>800</v>
      </c>
      <c r="D11" s="287">
        <f>C11*B11</f>
        <v>0</v>
      </c>
      <c r="E11" s="274"/>
      <c r="F11" s="288">
        <f>+'January 01, 2016 Rates'!F15</f>
        <v>0</v>
      </c>
      <c r="G11" s="289">
        <f>C11</f>
        <v>800</v>
      </c>
      <c r="H11" s="287">
        <f>G11*F11</f>
        <v>0</v>
      </c>
      <c r="I11" s="274"/>
      <c r="J11" s="290">
        <f>H11-D11</f>
        <v>0</v>
      </c>
      <c r="K11" s="291" t="str">
        <f>IF((D11)=0,"",(J11/D11))</f>
        <v/>
      </c>
    </row>
    <row r="12" spans="1:11" x14ac:dyDescent="0.25">
      <c r="A12" s="292" t="s">
        <v>270</v>
      </c>
      <c r="B12" s="293"/>
      <c r="C12" s="294"/>
      <c r="D12" s="295">
        <f>SUM(D9:D11)</f>
        <v>23.86</v>
      </c>
      <c r="E12" s="274"/>
      <c r="F12" s="296"/>
      <c r="G12" s="297"/>
      <c r="H12" s="295">
        <f>SUM(H9:H11)</f>
        <v>23.75</v>
      </c>
      <c r="I12" s="274"/>
      <c r="J12" s="298">
        <f t="shared" si="0"/>
        <v>-0.10999999999999943</v>
      </c>
      <c r="K12" s="299">
        <f t="shared" si="1"/>
        <v>-4.6102263202011497E-3</v>
      </c>
    </row>
    <row r="13" spans="1:11" x14ac:dyDescent="0.25">
      <c r="A13" s="300" t="s">
        <v>271</v>
      </c>
      <c r="B13" s="280">
        <f>ROUND(B26*0.64+B27*0.18+B28*0.18,4)</f>
        <v>0.1021</v>
      </c>
      <c r="C13" s="301">
        <f>B3*(B2)</f>
        <v>28.799999999999997</v>
      </c>
      <c r="D13" s="275">
        <f>B13*C13</f>
        <v>2.9404799999999995</v>
      </c>
      <c r="E13" s="274"/>
      <c r="F13" s="282">
        <f>ROUND(F26*0.64+F27*0.18+F28*0.18,4)</f>
        <v>0.1021</v>
      </c>
      <c r="G13" s="301">
        <f>C13</f>
        <v>28.799999999999997</v>
      </c>
      <c r="H13" s="275">
        <f>F13*G13</f>
        <v>2.9404799999999995</v>
      </c>
      <c r="I13" s="274"/>
      <c r="J13" s="278">
        <f t="shared" si="0"/>
        <v>0</v>
      </c>
      <c r="K13" s="279">
        <f t="shared" si="1"/>
        <v>0</v>
      </c>
    </row>
    <row r="14" spans="1:11" x14ac:dyDescent="0.25">
      <c r="A14" s="300" t="s">
        <v>349</v>
      </c>
      <c r="B14" s="280">
        <f>ROUND(+'January 01, 2016 Rates'!G14,4)</f>
        <v>0</v>
      </c>
      <c r="C14" s="301">
        <f>B3</f>
        <v>800</v>
      </c>
      <c r="D14" s="275">
        <f>C14*B14</f>
        <v>0</v>
      </c>
      <c r="E14" s="274"/>
      <c r="F14" s="282">
        <f>ROUND('January 01, 2016 Rates'!F13+'January 01, 2016 Rates'!F14,4)</f>
        <v>2.9999999999999997E-4</v>
      </c>
      <c r="G14" s="301">
        <f>C14</f>
        <v>800</v>
      </c>
      <c r="H14" s="275">
        <f>G14*F14</f>
        <v>0.24</v>
      </c>
      <c r="I14" s="274"/>
      <c r="J14" s="278">
        <f t="shared" si="0"/>
        <v>0.24</v>
      </c>
      <c r="K14" s="279" t="str">
        <f t="shared" si="1"/>
        <v/>
      </c>
    </row>
    <row r="15" spans="1:11" x14ac:dyDescent="0.25">
      <c r="A15" s="302" t="s">
        <v>272</v>
      </c>
      <c r="B15" s="280">
        <f>ROUND('January 01, 2016 Rates'!G18,4)</f>
        <v>2.0000000000000001E-4</v>
      </c>
      <c r="C15" s="301">
        <f>B3</f>
        <v>800</v>
      </c>
      <c r="D15" s="275">
        <f>C15*B15</f>
        <v>0.16</v>
      </c>
      <c r="E15" s="274"/>
      <c r="F15" s="282">
        <f>ROUND('January 01, 2016 Rates'!F18,4)</f>
        <v>2.0000000000000001E-4</v>
      </c>
      <c r="G15" s="301">
        <f>C15</f>
        <v>800</v>
      </c>
      <c r="H15" s="275">
        <f>G15*F15</f>
        <v>0.16</v>
      </c>
      <c r="I15" s="274"/>
      <c r="J15" s="278">
        <f t="shared" si="0"/>
        <v>0</v>
      </c>
      <c r="K15" s="279">
        <f t="shared" si="1"/>
        <v>0</v>
      </c>
    </row>
    <row r="16" spans="1:11" x14ac:dyDescent="0.25">
      <c r="A16" s="302" t="s">
        <v>273</v>
      </c>
      <c r="B16" s="280">
        <f>ROUND('January 01, 2016 Rates'!G10,4)</f>
        <v>0.79</v>
      </c>
      <c r="C16" s="301">
        <v>1</v>
      </c>
      <c r="D16" s="275">
        <f>C16*B16</f>
        <v>0.79</v>
      </c>
      <c r="E16" s="274"/>
      <c r="F16" s="282">
        <f>ROUND('January 01, 2016 Rates'!F10,4)</f>
        <v>0.79</v>
      </c>
      <c r="G16" s="301">
        <f>C16</f>
        <v>1</v>
      </c>
      <c r="H16" s="275">
        <f>G16*F16</f>
        <v>0.79</v>
      </c>
      <c r="I16" s="274"/>
      <c r="J16" s="278">
        <f t="shared" si="0"/>
        <v>0</v>
      </c>
      <c r="K16" s="279">
        <f t="shared" si="1"/>
        <v>0</v>
      </c>
    </row>
    <row r="17" spans="1:13" x14ac:dyDescent="0.25">
      <c r="A17" s="302" t="s">
        <v>350</v>
      </c>
      <c r="B17" s="280">
        <v>0</v>
      </c>
      <c r="C17" s="301">
        <v>1</v>
      </c>
      <c r="D17" s="275">
        <f>C17*B17</f>
        <v>0</v>
      </c>
      <c r="E17" s="274"/>
      <c r="F17" s="276">
        <f>ROUND('January 01, 2016 Rates'!F11+'January 01, 2016 Rates'!F16,2)</f>
        <v>1.04</v>
      </c>
      <c r="G17" s="431">
        <f>C17</f>
        <v>1</v>
      </c>
      <c r="H17" s="275">
        <f>G17*F17</f>
        <v>1.04</v>
      </c>
      <c r="I17" s="274"/>
      <c r="J17" s="278">
        <f t="shared" ref="J17" si="2">H17-D17</f>
        <v>1.04</v>
      </c>
      <c r="K17" s="279" t="str">
        <f>IF((D17)=0,"",(J17/D17))</f>
        <v/>
      </c>
    </row>
    <row r="18" spans="1:13" x14ac:dyDescent="0.25">
      <c r="A18" s="303" t="s">
        <v>274</v>
      </c>
      <c r="B18" s="304"/>
      <c r="C18" s="305"/>
      <c r="D18" s="306">
        <f>SUM(D12:D17)</f>
        <v>27.75048</v>
      </c>
      <c r="E18" s="274"/>
      <c r="F18" s="307"/>
      <c r="G18" s="308"/>
      <c r="H18" s="306">
        <f>SUM(H12:H17)</f>
        <v>28.920479999999998</v>
      </c>
      <c r="I18" s="274"/>
      <c r="J18" s="309">
        <f t="shared" si="0"/>
        <v>1.1699999999999982</v>
      </c>
      <c r="K18" s="310">
        <f t="shared" si="1"/>
        <v>4.2161432883323031E-2</v>
      </c>
    </row>
    <row r="19" spans="1:13" x14ac:dyDescent="0.25">
      <c r="A19" s="311" t="s">
        <v>275</v>
      </c>
      <c r="B19" s="280">
        <f>ROUND('January 01, 2016 Rates'!G19,4)</f>
        <v>8.0999999999999996E-3</v>
      </c>
      <c r="C19" s="312">
        <f>B3</f>
        <v>800</v>
      </c>
      <c r="D19" s="275">
        <f>C19*B19</f>
        <v>6.4799999999999995</v>
      </c>
      <c r="E19" s="274"/>
      <c r="F19" s="282">
        <f>ROUND('January 01, 2016 Rates'!F19,4)</f>
        <v>7.9000000000000008E-3</v>
      </c>
      <c r="G19" s="313">
        <f>C19</f>
        <v>800</v>
      </c>
      <c r="H19" s="275">
        <f>G19*F19</f>
        <v>6.32</v>
      </c>
      <c r="I19" s="274"/>
      <c r="J19" s="278">
        <f t="shared" si="0"/>
        <v>-0.15999999999999925</v>
      </c>
      <c r="K19" s="279">
        <f t="shared" si="1"/>
        <v>-2.4691358024691246E-2</v>
      </c>
    </row>
    <row r="20" spans="1:13" x14ac:dyDescent="0.25">
      <c r="A20" s="314" t="s">
        <v>276</v>
      </c>
      <c r="B20" s="280">
        <f>ROUND('January 01, 2016 Rates'!G20,4)</f>
        <v>6.1999999999999998E-3</v>
      </c>
      <c r="C20" s="312">
        <f>B3</f>
        <v>800</v>
      </c>
      <c r="D20" s="275">
        <f>C20*B20</f>
        <v>4.96</v>
      </c>
      <c r="E20" s="274"/>
      <c r="F20" s="282">
        <f>ROUND('January 01, 2016 Rates'!F20,4)</f>
        <v>6.4000000000000003E-3</v>
      </c>
      <c r="G20" s="313">
        <f>C20</f>
        <v>800</v>
      </c>
      <c r="H20" s="275">
        <f>G20*F20</f>
        <v>5.12</v>
      </c>
      <c r="I20" s="274"/>
      <c r="J20" s="278">
        <f t="shared" si="0"/>
        <v>0.16000000000000014</v>
      </c>
      <c r="K20" s="279">
        <f t="shared" si="1"/>
        <v>3.2258064516129059E-2</v>
      </c>
    </row>
    <row r="21" spans="1:13" x14ac:dyDescent="0.25">
      <c r="A21" s="303" t="s">
        <v>277</v>
      </c>
      <c r="B21" s="304"/>
      <c r="C21" s="305"/>
      <c r="D21" s="306">
        <f>SUM(D18:D20)</f>
        <v>39.190480000000001</v>
      </c>
      <c r="E21" s="315"/>
      <c r="F21" s="316"/>
      <c r="G21" s="317"/>
      <c r="H21" s="306">
        <f>SUM(H18:H20)</f>
        <v>40.360479999999995</v>
      </c>
      <c r="I21" s="315"/>
      <c r="J21" s="309">
        <f t="shared" si="0"/>
        <v>1.1699999999999946</v>
      </c>
      <c r="K21" s="310">
        <f t="shared" si="1"/>
        <v>2.9854189078572006E-2</v>
      </c>
    </row>
    <row r="22" spans="1:13" x14ac:dyDescent="0.25">
      <c r="A22" s="302" t="s">
        <v>278</v>
      </c>
      <c r="B22" s="280">
        <f>ROUND('January 01, 2016 Rates'!G21,4)</f>
        <v>4.4000000000000003E-3</v>
      </c>
      <c r="C22" s="312">
        <f>+$B$3+$B$3*$B$2</f>
        <v>828.8</v>
      </c>
      <c r="D22" s="275">
        <f t="shared" ref="D22:D28" si="3">C22*B22</f>
        <v>3.6467200000000002</v>
      </c>
      <c r="E22" s="274"/>
      <c r="F22" s="282">
        <f>ROUND('January 01, 2016 Rates'!F21,4)</f>
        <v>4.4000000000000003E-3</v>
      </c>
      <c r="G22" s="313">
        <f t="shared" ref="G22:G28" si="4">C22</f>
        <v>828.8</v>
      </c>
      <c r="H22" s="275">
        <f t="shared" ref="H22:H28" si="5">G22*F22</f>
        <v>3.6467200000000002</v>
      </c>
      <c r="I22" s="274"/>
      <c r="J22" s="278">
        <f t="shared" si="0"/>
        <v>0</v>
      </c>
      <c r="K22" s="279">
        <f t="shared" si="1"/>
        <v>0</v>
      </c>
    </row>
    <row r="23" spans="1:13" x14ac:dyDescent="0.25">
      <c r="A23" s="302" t="s">
        <v>279</v>
      </c>
      <c r="B23" s="280">
        <f>ROUND('January 01, 2016 Rates'!G22,4)</f>
        <v>1.2999999999999999E-3</v>
      </c>
      <c r="C23" s="312">
        <f>+$B$3+$B$3*$B$2</f>
        <v>828.8</v>
      </c>
      <c r="D23" s="275">
        <f t="shared" si="3"/>
        <v>1.07744</v>
      </c>
      <c r="E23" s="274"/>
      <c r="F23" s="282">
        <f>ROUND('January 01, 2016 Rates'!F22,4)</f>
        <v>1.2999999999999999E-3</v>
      </c>
      <c r="G23" s="313">
        <f t="shared" si="4"/>
        <v>828.8</v>
      </c>
      <c r="H23" s="275">
        <f t="shared" si="5"/>
        <v>1.07744</v>
      </c>
      <c r="I23" s="274"/>
      <c r="J23" s="278">
        <f t="shared" si="0"/>
        <v>0</v>
      </c>
      <c r="K23" s="279">
        <f t="shared" si="1"/>
        <v>0</v>
      </c>
    </row>
    <row r="24" spans="1:13" x14ac:dyDescent="0.25">
      <c r="A24" s="302" t="s">
        <v>280</v>
      </c>
      <c r="B24" s="280">
        <f>ROUND('January 01, 2016 Rates'!G23,4)</f>
        <v>0.25</v>
      </c>
      <c r="C24" s="312">
        <v>1</v>
      </c>
      <c r="D24" s="275">
        <f t="shared" si="3"/>
        <v>0.25</v>
      </c>
      <c r="E24" s="274"/>
      <c r="F24" s="282">
        <f>ROUND('January 01, 2016 Rates'!F23,4)</f>
        <v>0.25</v>
      </c>
      <c r="G24" s="313">
        <f t="shared" si="4"/>
        <v>1</v>
      </c>
      <c r="H24" s="275">
        <f t="shared" si="5"/>
        <v>0.25</v>
      </c>
      <c r="I24" s="274"/>
      <c r="J24" s="278">
        <f t="shared" si="0"/>
        <v>0</v>
      </c>
      <c r="K24" s="279">
        <f t="shared" si="1"/>
        <v>0</v>
      </c>
    </row>
    <row r="25" spans="1:13" x14ac:dyDescent="0.25">
      <c r="A25" s="302" t="s">
        <v>281</v>
      </c>
      <c r="B25" s="280">
        <f>ROUND('January 01, 2016 Rates'!G24,4)</f>
        <v>7.0000000000000001E-3</v>
      </c>
      <c r="C25" s="312">
        <f>B3</f>
        <v>800</v>
      </c>
      <c r="D25" s="275">
        <f>C25*B25</f>
        <v>5.6000000000000005</v>
      </c>
      <c r="E25" s="274"/>
      <c r="F25" s="282">
        <f>B25</f>
        <v>7.0000000000000001E-3</v>
      </c>
      <c r="G25" s="313">
        <f t="shared" si="4"/>
        <v>800</v>
      </c>
      <c r="H25" s="275">
        <f t="shared" si="5"/>
        <v>5.6000000000000005</v>
      </c>
      <c r="I25" s="274"/>
      <c r="J25" s="278">
        <f t="shared" si="0"/>
        <v>0</v>
      </c>
      <c r="K25" s="279">
        <f t="shared" si="1"/>
        <v>0</v>
      </c>
    </row>
    <row r="26" spans="1:13" x14ac:dyDescent="0.25">
      <c r="A26" s="302" t="s">
        <v>282</v>
      </c>
      <c r="B26" s="280">
        <v>0.08</v>
      </c>
      <c r="C26" s="312">
        <f>B3*0.64</f>
        <v>512</v>
      </c>
      <c r="D26" s="275">
        <f t="shared" si="3"/>
        <v>40.96</v>
      </c>
      <c r="E26" s="274"/>
      <c r="F26" s="282">
        <f>B26</f>
        <v>0.08</v>
      </c>
      <c r="G26" s="312">
        <f t="shared" si="4"/>
        <v>512</v>
      </c>
      <c r="H26" s="275">
        <f t="shared" si="5"/>
        <v>40.96</v>
      </c>
      <c r="I26" s="274"/>
      <c r="J26" s="278">
        <f t="shared" si="0"/>
        <v>0</v>
      </c>
      <c r="K26" s="279">
        <f t="shared" si="1"/>
        <v>0</v>
      </c>
      <c r="M26" s="402"/>
    </row>
    <row r="27" spans="1:13" x14ac:dyDescent="0.25">
      <c r="A27" s="302" t="s">
        <v>283</v>
      </c>
      <c r="B27" s="280">
        <v>0.122</v>
      </c>
      <c r="C27" s="312">
        <f>B3*0.18</f>
        <v>144</v>
      </c>
      <c r="D27" s="275">
        <f t="shared" si="3"/>
        <v>17.567999999999998</v>
      </c>
      <c r="E27" s="274"/>
      <c r="F27" s="280">
        <f>B27</f>
        <v>0.122</v>
      </c>
      <c r="G27" s="312">
        <f t="shared" si="4"/>
        <v>144</v>
      </c>
      <c r="H27" s="275">
        <f t="shared" si="5"/>
        <v>17.567999999999998</v>
      </c>
      <c r="I27" s="274"/>
      <c r="J27" s="278">
        <f t="shared" si="0"/>
        <v>0</v>
      </c>
      <c r="K27" s="279">
        <f t="shared" si="1"/>
        <v>0</v>
      </c>
      <c r="M27" s="402"/>
    </row>
    <row r="28" spans="1:13" ht="15.75" thickBot="1" x14ac:dyDescent="0.3">
      <c r="A28" s="257" t="s">
        <v>284</v>
      </c>
      <c r="B28" s="428">
        <v>0.161</v>
      </c>
      <c r="C28" s="312">
        <f>B3*0.18</f>
        <v>144</v>
      </c>
      <c r="D28" s="275">
        <f t="shared" si="3"/>
        <v>23.184000000000001</v>
      </c>
      <c r="E28" s="274"/>
      <c r="F28" s="428">
        <f>B28</f>
        <v>0.161</v>
      </c>
      <c r="G28" s="312">
        <f t="shared" si="4"/>
        <v>144</v>
      </c>
      <c r="H28" s="275">
        <f t="shared" si="5"/>
        <v>23.184000000000001</v>
      </c>
      <c r="I28" s="274"/>
      <c r="J28" s="278">
        <f t="shared" si="0"/>
        <v>0</v>
      </c>
      <c r="K28" s="279">
        <f>IF((D28)=0,"",(J28/D28))</f>
        <v>0</v>
      </c>
      <c r="M28" s="402"/>
    </row>
    <row r="29" spans="1:13" ht="15.75" thickBot="1" x14ac:dyDescent="0.3">
      <c r="A29" s="318"/>
      <c r="B29" s="319"/>
      <c r="C29" s="320"/>
      <c r="D29" s="321"/>
      <c r="E29" s="274"/>
      <c r="F29" s="319"/>
      <c r="G29" s="322"/>
      <c r="H29" s="321"/>
      <c r="I29" s="274"/>
      <c r="J29" s="323"/>
      <c r="K29" s="324"/>
    </row>
    <row r="30" spans="1:13" x14ac:dyDescent="0.25">
      <c r="A30" s="325" t="s">
        <v>285</v>
      </c>
      <c r="B30" s="326"/>
      <c r="C30" s="327"/>
      <c r="D30" s="328">
        <f>SUM(D21:D25,D26:D28)</f>
        <v>131.47664</v>
      </c>
      <c r="E30" s="329"/>
      <c r="F30" s="330"/>
      <c r="G30" s="331"/>
      <c r="H30" s="328">
        <f>SUM(H21:H25,H26:H28)</f>
        <v>132.64664000000002</v>
      </c>
      <c r="I30" s="315"/>
      <c r="J30" s="332">
        <f>H30-D30</f>
        <v>1.1700000000000159</v>
      </c>
      <c r="K30" s="333">
        <f>IF((D30)=0,"",(J30/D30))</f>
        <v>8.898919230062587E-3</v>
      </c>
    </row>
    <row r="31" spans="1:13" x14ac:dyDescent="0.25">
      <c r="A31" s="334" t="s">
        <v>286</v>
      </c>
      <c r="B31" s="326">
        <v>0.13</v>
      </c>
      <c r="C31" s="335"/>
      <c r="D31" s="336">
        <f>D30*B31</f>
        <v>17.091963200000002</v>
      </c>
      <c r="E31" s="337"/>
      <c r="F31" s="338">
        <v>0.13</v>
      </c>
      <c r="G31" s="337"/>
      <c r="H31" s="336">
        <f>H30*F31</f>
        <v>17.244063200000003</v>
      </c>
      <c r="I31" s="274"/>
      <c r="J31" s="339">
        <f t="shared" si="0"/>
        <v>0.15210000000000079</v>
      </c>
      <c r="K31" s="340">
        <f t="shared" si="1"/>
        <v>8.8989192300625106E-3</v>
      </c>
    </row>
    <row r="32" spans="1:13" x14ac:dyDescent="0.25">
      <c r="A32" s="341" t="s">
        <v>287</v>
      </c>
      <c r="B32" s="337"/>
      <c r="C32" s="335"/>
      <c r="D32" s="336">
        <f>D30+D31</f>
        <v>148.56860320000001</v>
      </c>
      <c r="E32" s="337"/>
      <c r="F32" s="342"/>
      <c r="G32" s="337"/>
      <c r="H32" s="336">
        <f>H30+H31</f>
        <v>149.89070320000002</v>
      </c>
      <c r="I32" s="274"/>
      <c r="J32" s="339">
        <f t="shared" si="0"/>
        <v>1.322100000000006</v>
      </c>
      <c r="K32" s="340">
        <f t="shared" si="1"/>
        <v>8.8989192300625054E-3</v>
      </c>
    </row>
    <row r="33" spans="1:11" x14ac:dyDescent="0.25">
      <c r="A33" s="343" t="s">
        <v>288</v>
      </c>
      <c r="B33" s="337"/>
      <c r="C33" s="335"/>
      <c r="D33" s="336">
        <f>ROUND(-D32*10%,2)</f>
        <v>-14.86</v>
      </c>
      <c r="E33" s="337"/>
      <c r="F33" s="342"/>
      <c r="G33" s="337"/>
      <c r="H33" s="336">
        <f>ROUND(-H32*10%,2)</f>
        <v>-14.99</v>
      </c>
      <c r="I33" s="274"/>
      <c r="J33" s="339">
        <f t="shared" si="0"/>
        <v>-0.13000000000000078</v>
      </c>
      <c r="K33" s="340">
        <f t="shared" si="1"/>
        <v>8.7483176312248175E-3</v>
      </c>
    </row>
    <row r="34" spans="1:11" ht="15.75" thickBot="1" x14ac:dyDescent="0.3">
      <c r="A34" s="344" t="s">
        <v>289</v>
      </c>
      <c r="B34" s="345"/>
      <c r="C34" s="346"/>
      <c r="D34" s="347">
        <f>D32+D33</f>
        <v>133.70860320000003</v>
      </c>
      <c r="E34" s="329"/>
      <c r="F34" s="348"/>
      <c r="G34" s="349"/>
      <c r="H34" s="347">
        <f>H32+H33</f>
        <v>134.90070320000001</v>
      </c>
      <c r="I34" s="315"/>
      <c r="J34" s="298">
        <f t="shared" si="0"/>
        <v>1.1920999999999822</v>
      </c>
      <c r="K34" s="299">
        <f t="shared" si="1"/>
        <v>8.9156566703254732E-3</v>
      </c>
    </row>
    <row r="35" spans="1:11" ht="15.75" thickBot="1" x14ac:dyDescent="0.3">
      <c r="A35" s="318"/>
      <c r="B35" s="350"/>
      <c r="C35" s="351"/>
      <c r="D35" s="352"/>
      <c r="E35" s="353"/>
      <c r="F35" s="354"/>
      <c r="G35" s="355"/>
      <c r="H35" s="356"/>
      <c r="I35" s="353"/>
      <c r="J35" s="357"/>
      <c r="K35" s="358"/>
    </row>
    <row r="36" spans="1:11" x14ac:dyDescent="0.25">
      <c r="A36" s="359"/>
      <c r="B36" s="360"/>
      <c r="C36" s="360"/>
      <c r="D36" s="360"/>
      <c r="E36" s="360"/>
      <c r="F36" s="360"/>
      <c r="G36" s="360"/>
      <c r="H36" s="361"/>
      <c r="I36" s="360"/>
      <c r="J36" s="360"/>
      <c r="K36" s="360"/>
    </row>
    <row r="37" spans="1:11" x14ac:dyDescent="0.25">
      <c r="A37" s="359"/>
      <c r="B37" s="360"/>
      <c r="C37" s="360"/>
      <c r="D37" s="360"/>
      <c r="E37" s="360"/>
      <c r="F37" s="360"/>
      <c r="G37" s="360"/>
      <c r="H37" s="360"/>
      <c r="I37" s="360"/>
      <c r="J37" s="360"/>
      <c r="K37" s="360"/>
    </row>
    <row r="38" spans="1:11" x14ac:dyDescent="0.25">
      <c r="A38" s="359"/>
      <c r="B38" s="360"/>
      <c r="C38" s="360"/>
      <c r="D38" s="360"/>
      <c r="E38" s="360"/>
      <c r="F38" s="360"/>
      <c r="G38" s="360"/>
      <c r="H38" s="360"/>
      <c r="I38" s="360"/>
      <c r="J38" s="360"/>
      <c r="K38" s="360"/>
    </row>
    <row r="39" spans="1:11" x14ac:dyDescent="0.25">
      <c r="A39" s="362"/>
      <c r="B39" s="360"/>
      <c r="C39" s="360"/>
      <c r="D39" s="360"/>
      <c r="E39" s="360"/>
      <c r="F39" s="360"/>
      <c r="G39" s="360"/>
      <c r="H39" s="360"/>
      <c r="I39" s="360"/>
      <c r="J39" s="360"/>
      <c r="K39" s="360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K39"/>
  <sheetViews>
    <sheetView workbookViewId="0">
      <selection activeCell="F18" sqref="F18"/>
    </sheetView>
  </sheetViews>
  <sheetFormatPr defaultRowHeight="15" x14ac:dyDescent="0.25"/>
  <cols>
    <col min="1" max="1" width="54.140625" bestFit="1" customWidth="1"/>
    <col min="2" max="2" width="15.7109375" bestFit="1" customWidth="1"/>
    <col min="3" max="3" width="8" bestFit="1" customWidth="1"/>
    <col min="4" max="4" width="9.85546875" bestFit="1" customWidth="1"/>
    <col min="6" max="6" width="11" bestFit="1" customWidth="1"/>
    <col min="7" max="7" width="8" bestFit="1" customWidth="1"/>
    <col min="8" max="8" width="9.85546875" bestFit="1" customWidth="1"/>
    <col min="10" max="10" width="9.5703125" bestFit="1" customWidth="1"/>
    <col min="11" max="11" width="10" bestFit="1" customWidth="1"/>
  </cols>
  <sheetData>
    <row r="1" spans="1:11" x14ac:dyDescent="0.25">
      <c r="A1" s="246" t="s">
        <v>253</v>
      </c>
      <c r="B1" s="247" t="s">
        <v>254</v>
      </c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315</v>
      </c>
      <c r="C3" s="251" t="s">
        <v>257</v>
      </c>
      <c r="D3" s="252"/>
      <c r="E3" s="252"/>
      <c r="F3" s="252"/>
      <c r="G3" s="252"/>
      <c r="H3" s="252"/>
      <c r="I3" s="252"/>
      <c r="J3" s="252"/>
      <c r="K3" s="252"/>
    </row>
    <row r="4" spans="1:11" x14ac:dyDescent="0.25">
      <c r="A4" s="365" t="s">
        <v>258</v>
      </c>
      <c r="B4" s="252"/>
      <c r="C4" s="253"/>
      <c r="D4" s="252"/>
      <c r="E4" s="252"/>
      <c r="F4" s="252"/>
      <c r="G4" s="252"/>
      <c r="H4" s="252"/>
      <c r="I4" s="252"/>
      <c r="J4" s="252"/>
      <c r="K4" s="252"/>
    </row>
    <row r="5" spans="1:11" x14ac:dyDescent="0.25">
      <c r="A5" s="254" t="s">
        <v>259</v>
      </c>
      <c r="B5" s="255"/>
      <c r="C5" s="256" t="s">
        <v>260</v>
      </c>
      <c r="D5" s="252"/>
      <c r="E5" s="252"/>
      <c r="F5" s="252"/>
      <c r="G5" s="252"/>
      <c r="H5" s="252"/>
      <c r="I5" s="252"/>
      <c r="J5" s="252"/>
      <c r="K5" s="252"/>
    </row>
    <row r="6" spans="1:11" x14ac:dyDescent="0.25">
      <c r="A6" s="257"/>
      <c r="B6" s="441" t="s">
        <v>261</v>
      </c>
      <c r="C6" s="442"/>
      <c r="D6" s="442"/>
      <c r="E6" s="258"/>
      <c r="F6" s="442" t="s">
        <v>8</v>
      </c>
      <c r="G6" s="442"/>
      <c r="H6" s="442"/>
      <c r="I6" s="258"/>
      <c r="J6" s="442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260" t="s">
        <v>265</v>
      </c>
      <c r="E7" s="261"/>
      <c r="F7" s="262" t="s">
        <v>263</v>
      </c>
      <c r="G7" s="262" t="s">
        <v>264</v>
      </c>
      <c r="H7" s="263" t="s">
        <v>265</v>
      </c>
      <c r="I7" s="261"/>
      <c r="J7" s="264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7" t="s">
        <v>268</v>
      </c>
      <c r="E8" s="261"/>
      <c r="F8" s="268" t="s">
        <v>268</v>
      </c>
      <c r="G8" s="268"/>
      <c r="H8" s="269" t="s">
        <v>268</v>
      </c>
      <c r="I8" s="261"/>
      <c r="J8" s="270"/>
      <c r="K8" s="271"/>
    </row>
    <row r="9" spans="1:11" x14ac:dyDescent="0.25">
      <c r="A9" s="272" t="s">
        <v>18</v>
      </c>
      <c r="B9" s="273">
        <f>ROUND('January 01, 2016 Rates'!G9,2)</f>
        <v>13.22</v>
      </c>
      <c r="C9" s="274">
        <v>1</v>
      </c>
      <c r="D9" s="275">
        <f>C9*B9</f>
        <v>13.22</v>
      </c>
      <c r="E9" s="274"/>
      <c r="F9" s="276">
        <f>ROUND('January 01, 2016 Rates'!F9,2)</f>
        <v>15.67</v>
      </c>
      <c r="G9" s="277">
        <f>C9</f>
        <v>1</v>
      </c>
      <c r="H9" s="275">
        <f>G9*F9</f>
        <v>15.67</v>
      </c>
      <c r="I9" s="274"/>
      <c r="J9" s="278">
        <f t="shared" ref="J9:J34" si="0">H9-D9</f>
        <v>2.4499999999999993</v>
      </c>
      <c r="K9" s="279">
        <f t="shared" ref="K9:K34" si="1">IF((D9)=0,"",(J9/D9))</f>
        <v>0.18532526475037817</v>
      </c>
    </row>
    <row r="10" spans="1:11" x14ac:dyDescent="0.25">
      <c r="A10" s="272" t="s">
        <v>26</v>
      </c>
      <c r="B10" s="280">
        <f>ROUND('January 01, 2016 Rates'!G12,4)</f>
        <v>1.3299999999999999E-2</v>
      </c>
      <c r="C10" s="281">
        <f>B3</f>
        <v>315</v>
      </c>
      <c r="D10" s="275">
        <f>C10*B10</f>
        <v>4.1894999999999998</v>
      </c>
      <c r="E10" s="274"/>
      <c r="F10" s="424">
        <f>ROUND('January 01, 2016 Rates'!F12,4)</f>
        <v>1.01E-2</v>
      </c>
      <c r="G10" s="283">
        <f>C10</f>
        <v>315</v>
      </c>
      <c r="H10" s="275">
        <f>G10*F10</f>
        <v>3.1814999999999998</v>
      </c>
      <c r="I10" s="274"/>
      <c r="J10" s="278">
        <f t="shared" si="0"/>
        <v>-1.008</v>
      </c>
      <c r="K10" s="279">
        <f t="shared" si="1"/>
        <v>-0.24060150375939851</v>
      </c>
    </row>
    <row r="11" spans="1:11" x14ac:dyDescent="0.25">
      <c r="A11" s="284" t="s">
        <v>269</v>
      </c>
      <c r="B11" s="285">
        <f>+'January 01, 2016 Rates'!G15</f>
        <v>0</v>
      </c>
      <c r="C11" s="286">
        <f>B3</f>
        <v>315</v>
      </c>
      <c r="D11" s="287">
        <f>C11*B11</f>
        <v>0</v>
      </c>
      <c r="E11" s="274"/>
      <c r="F11" s="288">
        <f>+'January 01, 2016 Rates'!F15</f>
        <v>0</v>
      </c>
      <c r="G11" s="289">
        <f>C11</f>
        <v>315</v>
      </c>
      <c r="H11" s="287">
        <f>G11*F11</f>
        <v>0</v>
      </c>
      <c r="I11" s="274"/>
      <c r="J11" s="290">
        <f>H11-D11</f>
        <v>0</v>
      </c>
      <c r="K11" s="291" t="str">
        <f>IF((D11)=0,"",(J11/D11))</f>
        <v/>
      </c>
    </row>
    <row r="12" spans="1:11" x14ac:dyDescent="0.25">
      <c r="A12" s="292" t="s">
        <v>270</v>
      </c>
      <c r="B12" s="293"/>
      <c r="C12" s="294"/>
      <c r="D12" s="295">
        <f>SUM(D9:D11)</f>
        <v>17.409500000000001</v>
      </c>
      <c r="E12" s="274"/>
      <c r="F12" s="296"/>
      <c r="G12" s="297"/>
      <c r="H12" s="295">
        <f>SUM(H9:H11)</f>
        <v>18.851500000000001</v>
      </c>
      <c r="I12" s="274"/>
      <c r="J12" s="298">
        <f t="shared" si="0"/>
        <v>1.4420000000000002</v>
      </c>
      <c r="K12" s="299">
        <f t="shared" si="1"/>
        <v>8.2828340848387375E-2</v>
      </c>
    </row>
    <row r="13" spans="1:11" x14ac:dyDescent="0.25">
      <c r="A13" s="300" t="s">
        <v>271</v>
      </c>
      <c r="B13" s="280">
        <f>ROUND(B26*0.64+B27*0.18+B28*0.18,4)</f>
        <v>0.1021</v>
      </c>
      <c r="C13" s="301">
        <f>B3*(B2)</f>
        <v>11.34</v>
      </c>
      <c r="D13" s="275">
        <f>B13*C13</f>
        <v>1.1578139999999999</v>
      </c>
      <c r="E13" s="274"/>
      <c r="F13" s="424">
        <f>F26*0.64+F27*0.18+F28*0.18</f>
        <v>0.10214000000000001</v>
      </c>
      <c r="G13" s="301">
        <f>C13</f>
        <v>11.34</v>
      </c>
      <c r="H13" s="275">
        <f>F13*G13</f>
        <v>1.1582676000000001</v>
      </c>
      <c r="I13" s="274"/>
      <c r="J13" s="278">
        <f t="shared" si="0"/>
        <v>4.5360000000016498E-4</v>
      </c>
      <c r="K13" s="279">
        <f t="shared" si="1"/>
        <v>3.9177277179250298E-4</v>
      </c>
    </row>
    <row r="14" spans="1:11" x14ac:dyDescent="0.25">
      <c r="A14" s="300" t="s">
        <v>349</v>
      </c>
      <c r="B14" s="280">
        <f>ROUND(+'January 01, 2016 Rates'!G14,4)</f>
        <v>0</v>
      </c>
      <c r="C14" s="301">
        <f>B3</f>
        <v>315</v>
      </c>
      <c r="D14" s="275">
        <f>C14*B14</f>
        <v>0</v>
      </c>
      <c r="E14" s="274"/>
      <c r="F14" s="424">
        <f>ROUND('January 01, 2016 Rates'!F13+'January 01, 2016 Rates'!F14,4)</f>
        <v>2.9999999999999997E-4</v>
      </c>
      <c r="G14" s="301">
        <f>C14</f>
        <v>315</v>
      </c>
      <c r="H14" s="275">
        <f>G14*F14</f>
        <v>9.4499999999999987E-2</v>
      </c>
      <c r="I14" s="274"/>
      <c r="J14" s="278">
        <f t="shared" si="0"/>
        <v>9.4499999999999987E-2</v>
      </c>
      <c r="K14" s="279" t="str">
        <f t="shared" si="1"/>
        <v/>
      </c>
    </row>
    <row r="15" spans="1:11" x14ac:dyDescent="0.25">
      <c r="A15" s="302" t="s">
        <v>272</v>
      </c>
      <c r="B15" s="280">
        <f>ROUND('January 01, 2016 Rates'!G18,4)</f>
        <v>2.0000000000000001E-4</v>
      </c>
      <c r="C15" s="301">
        <f>B3</f>
        <v>315</v>
      </c>
      <c r="D15" s="275">
        <f>C15*B15</f>
        <v>6.3E-2</v>
      </c>
      <c r="E15" s="274"/>
      <c r="F15" s="424">
        <f>ROUND('January 01, 2016 Rates'!F18,4)</f>
        <v>2.0000000000000001E-4</v>
      </c>
      <c r="G15" s="301">
        <f>C15</f>
        <v>315</v>
      </c>
      <c r="H15" s="275">
        <f>G15*F15</f>
        <v>6.3E-2</v>
      </c>
      <c r="I15" s="274"/>
      <c r="J15" s="278">
        <f t="shared" si="0"/>
        <v>0</v>
      </c>
      <c r="K15" s="279">
        <f t="shared" si="1"/>
        <v>0</v>
      </c>
    </row>
    <row r="16" spans="1:11" x14ac:dyDescent="0.25">
      <c r="A16" s="302" t="s">
        <v>273</v>
      </c>
      <c r="B16" s="280">
        <f>ROUND('January 01, 2016 Rates'!G10,4)</f>
        <v>0.79</v>
      </c>
      <c r="C16" s="301">
        <v>1</v>
      </c>
      <c r="D16" s="275">
        <f>C16*B16</f>
        <v>0.79</v>
      </c>
      <c r="E16" s="274"/>
      <c r="F16" s="424">
        <f>ROUND('January 01, 2016 Rates'!F10,4)</f>
        <v>0.79</v>
      </c>
      <c r="G16" s="301">
        <f>C16</f>
        <v>1</v>
      </c>
      <c r="H16" s="275">
        <f>G16*F16</f>
        <v>0.79</v>
      </c>
      <c r="I16" s="274"/>
      <c r="J16" s="278">
        <f t="shared" si="0"/>
        <v>0</v>
      </c>
      <c r="K16" s="279">
        <f t="shared" si="1"/>
        <v>0</v>
      </c>
    </row>
    <row r="17" spans="1:11" x14ac:dyDescent="0.25">
      <c r="A17" s="302" t="s">
        <v>350</v>
      </c>
      <c r="B17" s="280">
        <v>0</v>
      </c>
      <c r="C17" s="301">
        <v>1</v>
      </c>
      <c r="D17" s="275">
        <f>C17*B17</f>
        <v>0</v>
      </c>
      <c r="E17" s="274"/>
      <c r="F17" s="276">
        <f>ROUND('January 01, 2016 Rates'!F11+'January 01, 2016 Rates'!F16,2)</f>
        <v>1.04</v>
      </c>
      <c r="G17" s="431">
        <f>C17</f>
        <v>1</v>
      </c>
      <c r="H17" s="275">
        <f>G17*F17</f>
        <v>1.04</v>
      </c>
      <c r="I17" s="274"/>
      <c r="J17" s="278">
        <f t="shared" si="0"/>
        <v>1.04</v>
      </c>
      <c r="K17" s="279" t="str">
        <f>IF((D17)=0,"",(J17/D17))</f>
        <v/>
      </c>
    </row>
    <row r="18" spans="1:11" x14ac:dyDescent="0.25">
      <c r="A18" s="303" t="s">
        <v>274</v>
      </c>
      <c r="B18" s="304"/>
      <c r="C18" s="305"/>
      <c r="D18" s="306">
        <f>SUM(D12:D17)</f>
        <v>19.420313999999998</v>
      </c>
      <c r="E18" s="274"/>
      <c r="F18" s="307"/>
      <c r="G18" s="308"/>
      <c r="H18" s="306">
        <f>SUM(H12:H17)</f>
        <v>21.997267599999997</v>
      </c>
      <c r="I18" s="274"/>
      <c r="J18" s="309">
        <f t="shared" si="0"/>
        <v>2.5769535999999995</v>
      </c>
      <c r="K18" s="310">
        <f t="shared" si="1"/>
        <v>0.13269371442706848</v>
      </c>
    </row>
    <row r="19" spans="1:11" x14ac:dyDescent="0.25">
      <c r="A19" s="311" t="s">
        <v>275</v>
      </c>
      <c r="B19" s="280">
        <f>ROUND('January 01, 2016 Rates'!G19,4)</f>
        <v>8.0999999999999996E-3</v>
      </c>
      <c r="C19" s="312">
        <f>B3</f>
        <v>315</v>
      </c>
      <c r="D19" s="275">
        <f>C19*B19</f>
        <v>2.5514999999999999</v>
      </c>
      <c r="E19" s="274"/>
      <c r="F19" s="424">
        <f>ROUND('January 01, 2016 Rates'!F19,4)</f>
        <v>7.9000000000000008E-3</v>
      </c>
      <c r="G19" s="313">
        <f>C19</f>
        <v>315</v>
      </c>
      <c r="H19" s="275">
        <f>G19*F19</f>
        <v>2.4885000000000002</v>
      </c>
      <c r="I19" s="274"/>
      <c r="J19" s="278">
        <f t="shared" si="0"/>
        <v>-6.2999999999999723E-2</v>
      </c>
      <c r="K19" s="279">
        <f t="shared" si="1"/>
        <v>-2.4691358024691249E-2</v>
      </c>
    </row>
    <row r="20" spans="1:11" x14ac:dyDescent="0.25">
      <c r="A20" s="314" t="s">
        <v>276</v>
      </c>
      <c r="B20" s="280">
        <f>ROUND('January 01, 2016 Rates'!G20,4)</f>
        <v>6.1999999999999998E-3</v>
      </c>
      <c r="C20" s="312">
        <f>B3</f>
        <v>315</v>
      </c>
      <c r="D20" s="275">
        <f>C20*B20</f>
        <v>1.9529999999999998</v>
      </c>
      <c r="E20" s="274"/>
      <c r="F20" s="424">
        <f>ROUND('January 01, 2016 Rates'!F20,4)</f>
        <v>6.4000000000000003E-3</v>
      </c>
      <c r="G20" s="313">
        <f>C20</f>
        <v>315</v>
      </c>
      <c r="H20" s="275">
        <f>G20*F20</f>
        <v>2.016</v>
      </c>
      <c r="I20" s="274"/>
      <c r="J20" s="278">
        <f t="shared" si="0"/>
        <v>6.3000000000000167E-2</v>
      </c>
      <c r="K20" s="279">
        <f t="shared" si="1"/>
        <v>3.2258064516129122E-2</v>
      </c>
    </row>
    <row r="21" spans="1:11" x14ac:dyDescent="0.25">
      <c r="A21" s="303" t="s">
        <v>277</v>
      </c>
      <c r="B21" s="304"/>
      <c r="C21" s="305"/>
      <c r="D21" s="306">
        <f>SUM(D18:D20)</f>
        <v>23.924813999999998</v>
      </c>
      <c r="E21" s="315"/>
      <c r="F21" s="316"/>
      <c r="G21" s="317"/>
      <c r="H21" s="306">
        <f>SUM(H18:H20)</f>
        <v>26.501767599999994</v>
      </c>
      <c r="I21" s="315"/>
      <c r="J21" s="309">
        <f t="shared" si="0"/>
        <v>2.576953599999996</v>
      </c>
      <c r="K21" s="310">
        <f t="shared" si="1"/>
        <v>0.10771049672528264</v>
      </c>
    </row>
    <row r="22" spans="1:11" x14ac:dyDescent="0.25">
      <c r="A22" s="302" t="s">
        <v>278</v>
      </c>
      <c r="B22" s="280">
        <f>ROUND('January 01, 2016 Rates'!G21,4)</f>
        <v>4.4000000000000003E-3</v>
      </c>
      <c r="C22" s="312">
        <f>+$B$3+$B$3*$B$2</f>
        <v>326.33999999999997</v>
      </c>
      <c r="D22" s="275">
        <f t="shared" ref="D22:D28" si="2">C22*B22</f>
        <v>1.4358960000000001</v>
      </c>
      <c r="E22" s="274"/>
      <c r="F22" s="424">
        <f>ROUND('January 01, 2016 Rates'!F21,4)</f>
        <v>4.4000000000000003E-3</v>
      </c>
      <c r="G22" s="313">
        <f t="shared" ref="G22:G28" si="3">C22</f>
        <v>326.33999999999997</v>
      </c>
      <c r="H22" s="275">
        <f t="shared" ref="H22:H28" si="4">G22*F22</f>
        <v>1.4358960000000001</v>
      </c>
      <c r="I22" s="274"/>
      <c r="J22" s="278">
        <f t="shared" si="0"/>
        <v>0</v>
      </c>
      <c r="K22" s="279">
        <f t="shared" si="1"/>
        <v>0</v>
      </c>
    </row>
    <row r="23" spans="1:11" x14ac:dyDescent="0.25">
      <c r="A23" s="302" t="s">
        <v>279</v>
      </c>
      <c r="B23" s="280">
        <f>ROUND('January 01, 2016 Rates'!G22,4)</f>
        <v>1.2999999999999999E-3</v>
      </c>
      <c r="C23" s="312">
        <f>+$B$3+$B$3*$B$2</f>
        <v>326.33999999999997</v>
      </c>
      <c r="D23" s="275">
        <f t="shared" si="2"/>
        <v>0.42424199999999995</v>
      </c>
      <c r="E23" s="274"/>
      <c r="F23" s="424">
        <f>ROUND('January 01, 2016 Rates'!F22,4)</f>
        <v>1.2999999999999999E-3</v>
      </c>
      <c r="G23" s="313">
        <f t="shared" si="3"/>
        <v>326.33999999999997</v>
      </c>
      <c r="H23" s="275">
        <f t="shared" si="4"/>
        <v>0.42424199999999995</v>
      </c>
      <c r="I23" s="274"/>
      <c r="J23" s="278">
        <f t="shared" si="0"/>
        <v>0</v>
      </c>
      <c r="K23" s="279">
        <f t="shared" si="1"/>
        <v>0</v>
      </c>
    </row>
    <row r="24" spans="1:11" x14ac:dyDescent="0.25">
      <c r="A24" s="302" t="s">
        <v>280</v>
      </c>
      <c r="B24" s="280">
        <f>ROUND('January 01, 2016 Rates'!G23,4)</f>
        <v>0.25</v>
      </c>
      <c r="C24" s="312">
        <v>1</v>
      </c>
      <c r="D24" s="275">
        <f t="shared" si="2"/>
        <v>0.25</v>
      </c>
      <c r="E24" s="274"/>
      <c r="F24" s="424">
        <f>ROUND('January 01, 2016 Rates'!F23,4)</f>
        <v>0.25</v>
      </c>
      <c r="G24" s="313">
        <f t="shared" si="3"/>
        <v>1</v>
      </c>
      <c r="H24" s="275">
        <f t="shared" si="4"/>
        <v>0.25</v>
      </c>
      <c r="I24" s="274"/>
      <c r="J24" s="278">
        <f t="shared" si="0"/>
        <v>0</v>
      </c>
      <c r="K24" s="279">
        <f t="shared" si="1"/>
        <v>0</v>
      </c>
    </row>
    <row r="25" spans="1:11" x14ac:dyDescent="0.25">
      <c r="A25" s="302" t="s">
        <v>281</v>
      </c>
      <c r="B25" s="280">
        <f>ROUND('January 01, 2016 Rates'!G24,4)</f>
        <v>7.0000000000000001E-3</v>
      </c>
      <c r="C25" s="312">
        <f>B3</f>
        <v>315</v>
      </c>
      <c r="D25" s="275">
        <f t="shared" si="2"/>
        <v>2.2050000000000001</v>
      </c>
      <c r="E25" s="274"/>
      <c r="F25" s="424">
        <f>B25</f>
        <v>7.0000000000000001E-3</v>
      </c>
      <c r="G25" s="313">
        <f t="shared" si="3"/>
        <v>315</v>
      </c>
      <c r="H25" s="275">
        <f t="shared" si="4"/>
        <v>2.2050000000000001</v>
      </c>
      <c r="I25" s="274"/>
      <c r="J25" s="278">
        <f t="shared" si="0"/>
        <v>0</v>
      </c>
      <c r="K25" s="279">
        <f t="shared" si="1"/>
        <v>0</v>
      </c>
    </row>
    <row r="26" spans="1:11" x14ac:dyDescent="0.25">
      <c r="A26" s="302" t="s">
        <v>282</v>
      </c>
      <c r="B26" s="280">
        <v>0.08</v>
      </c>
      <c r="C26" s="312">
        <f>B3*0.64</f>
        <v>201.6</v>
      </c>
      <c r="D26" s="275">
        <f t="shared" si="2"/>
        <v>16.128</v>
      </c>
      <c r="E26" s="274"/>
      <c r="F26" s="424">
        <f>B26</f>
        <v>0.08</v>
      </c>
      <c r="G26" s="312">
        <f t="shared" si="3"/>
        <v>201.6</v>
      </c>
      <c r="H26" s="275">
        <f t="shared" si="4"/>
        <v>16.128</v>
      </c>
      <c r="I26" s="274"/>
      <c r="J26" s="278">
        <f t="shared" si="0"/>
        <v>0</v>
      </c>
      <c r="K26" s="279">
        <f t="shared" si="1"/>
        <v>0</v>
      </c>
    </row>
    <row r="27" spans="1:11" x14ac:dyDescent="0.25">
      <c r="A27" s="302" t="s">
        <v>283</v>
      </c>
      <c r="B27" s="280">
        <v>0.122</v>
      </c>
      <c r="C27" s="312">
        <f>B3*0.18</f>
        <v>56.699999999999996</v>
      </c>
      <c r="D27" s="275">
        <f t="shared" si="2"/>
        <v>6.9173999999999998</v>
      </c>
      <c r="E27" s="274"/>
      <c r="F27" s="280">
        <f>B27</f>
        <v>0.122</v>
      </c>
      <c r="G27" s="312">
        <f t="shared" si="3"/>
        <v>56.699999999999996</v>
      </c>
      <c r="H27" s="275">
        <f t="shared" si="4"/>
        <v>6.9173999999999998</v>
      </c>
      <c r="I27" s="274"/>
      <c r="J27" s="278">
        <f t="shared" si="0"/>
        <v>0</v>
      </c>
      <c r="K27" s="279">
        <f t="shared" si="1"/>
        <v>0</v>
      </c>
    </row>
    <row r="28" spans="1:11" ht="15.75" thickBot="1" x14ac:dyDescent="0.3">
      <c r="A28" s="257" t="s">
        <v>284</v>
      </c>
      <c r="B28" s="428">
        <v>0.161</v>
      </c>
      <c r="C28" s="312">
        <f>B3*0.18</f>
        <v>56.699999999999996</v>
      </c>
      <c r="D28" s="275">
        <f t="shared" si="2"/>
        <v>9.1287000000000003</v>
      </c>
      <c r="E28" s="274"/>
      <c r="F28" s="428">
        <f>B28</f>
        <v>0.161</v>
      </c>
      <c r="G28" s="312">
        <f t="shared" si="3"/>
        <v>56.699999999999996</v>
      </c>
      <c r="H28" s="275">
        <f t="shared" si="4"/>
        <v>9.1287000000000003</v>
      </c>
      <c r="I28" s="274"/>
      <c r="J28" s="278">
        <f t="shared" si="0"/>
        <v>0</v>
      </c>
      <c r="K28" s="279">
        <f>IF((D28)=0,"",(J28/D28))</f>
        <v>0</v>
      </c>
    </row>
    <row r="29" spans="1:11" ht="15.75" thickBot="1" x14ac:dyDescent="0.3">
      <c r="A29" s="318"/>
      <c r="B29" s="319"/>
      <c r="C29" s="320"/>
      <c r="D29" s="321"/>
      <c r="E29" s="274"/>
      <c r="F29" s="319"/>
      <c r="G29" s="322"/>
      <c r="H29" s="321"/>
      <c r="I29" s="274"/>
      <c r="J29" s="323"/>
      <c r="K29" s="324"/>
    </row>
    <row r="30" spans="1:11" x14ac:dyDescent="0.25">
      <c r="A30" s="325" t="s">
        <v>285</v>
      </c>
      <c r="B30" s="326"/>
      <c r="C30" s="327"/>
      <c r="D30" s="328">
        <f>SUM(D21:D25,D26:D28)</f>
        <v>60.414051999999998</v>
      </c>
      <c r="E30" s="329"/>
      <c r="F30" s="330"/>
      <c r="G30" s="331"/>
      <c r="H30" s="328">
        <f>SUM(H21:H25,H26:H28)</f>
        <v>62.991005599999994</v>
      </c>
      <c r="I30" s="315"/>
      <c r="J30" s="332">
        <f>H30-D30</f>
        <v>2.576953599999996</v>
      </c>
      <c r="K30" s="333">
        <f>IF((D30)=0,"",(J30/D30))</f>
        <v>4.2654871088600319E-2</v>
      </c>
    </row>
    <row r="31" spans="1:11" x14ac:dyDescent="0.25">
      <c r="A31" s="334" t="s">
        <v>286</v>
      </c>
      <c r="B31" s="326">
        <v>0.13</v>
      </c>
      <c r="C31" s="335"/>
      <c r="D31" s="336">
        <f>D30*B31</f>
        <v>7.8538267600000005</v>
      </c>
      <c r="E31" s="337"/>
      <c r="F31" s="338">
        <v>0.13</v>
      </c>
      <c r="G31" s="337"/>
      <c r="H31" s="336">
        <f>H30*F31</f>
        <v>8.1888307279999992</v>
      </c>
      <c r="I31" s="274"/>
      <c r="J31" s="339">
        <f t="shared" si="0"/>
        <v>0.33500396799999876</v>
      </c>
      <c r="K31" s="340">
        <f t="shared" si="1"/>
        <v>4.2654871088600221E-2</v>
      </c>
    </row>
    <row r="32" spans="1:11" x14ac:dyDescent="0.25">
      <c r="A32" s="341" t="s">
        <v>287</v>
      </c>
      <c r="B32" s="337"/>
      <c r="C32" s="335"/>
      <c r="D32" s="336">
        <f>D30+D31</f>
        <v>68.267878760000002</v>
      </c>
      <c r="E32" s="337"/>
      <c r="F32" s="342"/>
      <c r="G32" s="337"/>
      <c r="H32" s="336">
        <f>H30+H31</f>
        <v>71.179836327999993</v>
      </c>
      <c r="I32" s="274"/>
      <c r="J32" s="339">
        <f t="shared" si="0"/>
        <v>2.9119575679999912</v>
      </c>
      <c r="K32" s="340">
        <f t="shared" si="1"/>
        <v>4.2654871088600249E-2</v>
      </c>
    </row>
    <row r="33" spans="1:11" x14ac:dyDescent="0.25">
      <c r="A33" s="343" t="s">
        <v>288</v>
      </c>
      <c r="B33" s="337"/>
      <c r="C33" s="335"/>
      <c r="D33" s="336">
        <f>ROUND(-D32*10%,2)</f>
        <v>-6.83</v>
      </c>
      <c r="E33" s="337"/>
      <c r="F33" s="342"/>
      <c r="G33" s="337"/>
      <c r="H33" s="336">
        <f>ROUND(-H32*10%,2)</f>
        <v>-7.12</v>
      </c>
      <c r="I33" s="274"/>
      <c r="J33" s="339">
        <f t="shared" si="0"/>
        <v>-0.29000000000000004</v>
      </c>
      <c r="K33" s="340">
        <f t="shared" si="1"/>
        <v>4.2459736456808207E-2</v>
      </c>
    </row>
    <row r="34" spans="1:11" ht="15.75" thickBot="1" x14ac:dyDescent="0.3">
      <c r="A34" s="344" t="s">
        <v>289</v>
      </c>
      <c r="B34" s="345"/>
      <c r="C34" s="346"/>
      <c r="D34" s="347">
        <f>D32+D33</f>
        <v>61.437878760000004</v>
      </c>
      <c r="E34" s="329"/>
      <c r="F34" s="348"/>
      <c r="G34" s="349"/>
      <c r="H34" s="347">
        <f>H32+H33</f>
        <v>64.059836327999989</v>
      </c>
      <c r="I34" s="315"/>
      <c r="J34" s="298">
        <f t="shared" si="0"/>
        <v>2.6219575679999849</v>
      </c>
      <c r="K34" s="299">
        <f t="shared" si="1"/>
        <v>4.2676564050044115E-2</v>
      </c>
    </row>
    <row r="35" spans="1:11" ht="15.75" thickBot="1" x14ac:dyDescent="0.3">
      <c r="A35" s="318"/>
      <c r="B35" s="350"/>
      <c r="C35" s="351"/>
      <c r="D35" s="352"/>
      <c r="E35" s="353"/>
      <c r="F35" s="354"/>
      <c r="G35" s="355"/>
      <c r="H35" s="356"/>
      <c r="I35" s="353"/>
      <c r="J35" s="357"/>
      <c r="K35" s="358"/>
    </row>
    <row r="36" spans="1:11" x14ac:dyDescent="0.25">
      <c r="A36" s="359"/>
      <c r="B36" s="360"/>
      <c r="C36" s="360"/>
      <c r="D36" s="360"/>
      <c r="E36" s="360"/>
      <c r="F36" s="360"/>
      <c r="G36" s="360"/>
      <c r="H36" s="361"/>
      <c r="I36" s="360"/>
      <c r="J36" s="360"/>
      <c r="K36" s="360"/>
    </row>
    <row r="37" spans="1:11" x14ac:dyDescent="0.25">
      <c r="A37" s="359"/>
      <c r="B37" s="360"/>
      <c r="C37" s="360"/>
      <c r="D37" s="360"/>
      <c r="E37" s="360"/>
      <c r="F37" s="360"/>
      <c r="G37" s="360"/>
      <c r="H37" s="360"/>
      <c r="I37" s="360"/>
      <c r="J37" s="360"/>
      <c r="K37" s="360"/>
    </row>
    <row r="38" spans="1:11" x14ac:dyDescent="0.25">
      <c r="A38" s="359"/>
      <c r="B38" s="360"/>
      <c r="C38" s="360"/>
      <c r="D38" s="360"/>
      <c r="E38" s="360"/>
      <c r="F38" s="360"/>
      <c r="G38" s="360"/>
      <c r="H38" s="360"/>
      <c r="I38" s="360"/>
      <c r="J38" s="360"/>
      <c r="K38" s="360"/>
    </row>
    <row r="39" spans="1:11" x14ac:dyDescent="0.25">
      <c r="A39" s="362"/>
      <c r="B39" s="360"/>
      <c r="C39" s="360"/>
      <c r="D39" s="360"/>
      <c r="E39" s="360"/>
      <c r="F39" s="360"/>
      <c r="G39" s="360"/>
      <c r="H39" s="360"/>
      <c r="I39" s="360"/>
      <c r="J39" s="360"/>
      <c r="K39" s="360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L35"/>
  <sheetViews>
    <sheetView tabSelected="1" workbookViewId="0">
      <selection activeCell="D20" sqref="D20"/>
    </sheetView>
  </sheetViews>
  <sheetFormatPr defaultRowHeight="15" x14ac:dyDescent="0.25"/>
  <cols>
    <col min="1" max="1" width="54" style="363" customWidth="1"/>
    <col min="2" max="2" width="13.28515625" style="363" customWidth="1"/>
    <col min="3" max="3" width="8.7109375" style="363" bestFit="1" customWidth="1"/>
    <col min="4" max="4" width="9.85546875" style="363" bestFit="1" customWidth="1"/>
    <col min="5" max="5" width="9.140625" style="363"/>
    <col min="6" max="6" width="11" style="363" bestFit="1" customWidth="1"/>
    <col min="7" max="7" width="8.7109375" style="363" bestFit="1" customWidth="1"/>
    <col min="8" max="8" width="9.85546875" style="363" bestFit="1" customWidth="1"/>
    <col min="9" max="9" width="9.140625" style="363"/>
    <col min="10" max="10" width="9.5703125" style="363" bestFit="1" customWidth="1"/>
    <col min="11" max="11" width="10" style="363" bestFit="1" customWidth="1"/>
    <col min="12" max="12" width="9.140625" style="363"/>
  </cols>
  <sheetData>
    <row r="1" spans="1:11" x14ac:dyDescent="0.25">
      <c r="A1" s="246" t="s">
        <v>253</v>
      </c>
      <c r="B1" s="247" t="s">
        <v>290</v>
      </c>
      <c r="C1" s="247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800</v>
      </c>
      <c r="C3" s="253" t="s">
        <v>291</v>
      </c>
      <c r="D3" s="364"/>
      <c r="E3" s="364"/>
      <c r="F3" s="364"/>
      <c r="G3" s="364"/>
      <c r="H3" s="364"/>
      <c r="I3" s="364"/>
      <c r="J3" s="364"/>
      <c r="K3" s="364"/>
    </row>
    <row r="4" spans="1:11" x14ac:dyDescent="0.25">
      <c r="A4" s="365" t="s">
        <v>258</v>
      </c>
      <c r="B4" s="364"/>
      <c r="C4" s="253"/>
      <c r="D4" s="364"/>
      <c r="E4" s="364"/>
      <c r="F4" s="364"/>
      <c r="G4" s="364"/>
      <c r="H4" s="364"/>
      <c r="I4" s="364"/>
      <c r="J4" s="364"/>
      <c r="K4" s="364"/>
    </row>
    <row r="5" spans="1:11" x14ac:dyDescent="0.25">
      <c r="A5" s="254" t="s">
        <v>259</v>
      </c>
      <c r="B5" s="255"/>
      <c r="C5" s="253" t="s">
        <v>260</v>
      </c>
      <c r="D5" s="364"/>
      <c r="E5" s="364"/>
      <c r="F5" s="364"/>
      <c r="G5" s="364"/>
      <c r="H5" s="364"/>
      <c r="I5" s="364"/>
      <c r="J5" s="364"/>
      <c r="K5" s="364"/>
    </row>
    <row r="6" spans="1:11" x14ac:dyDescent="0.25">
      <c r="A6" s="257"/>
      <c r="B6" s="441" t="s">
        <v>261</v>
      </c>
      <c r="C6" s="442"/>
      <c r="D6" s="442"/>
      <c r="E6" s="258"/>
      <c r="F6" s="442" t="s">
        <v>8</v>
      </c>
      <c r="G6" s="442"/>
      <c r="H6" s="442"/>
      <c r="I6" s="258"/>
      <c r="J6" s="442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260" t="s">
        <v>265</v>
      </c>
      <c r="E7" s="261"/>
      <c r="F7" s="262" t="s">
        <v>263</v>
      </c>
      <c r="G7" s="262" t="s">
        <v>264</v>
      </c>
      <c r="H7" s="263" t="s">
        <v>265</v>
      </c>
      <c r="I7" s="261"/>
      <c r="J7" s="264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7" t="s">
        <v>268</v>
      </c>
      <c r="E8" s="261"/>
      <c r="F8" s="268" t="s">
        <v>268</v>
      </c>
      <c r="G8" s="268"/>
      <c r="H8" s="269" t="s">
        <v>268</v>
      </c>
      <c r="I8" s="261"/>
      <c r="J8" s="270"/>
      <c r="K8" s="271"/>
    </row>
    <row r="9" spans="1:11" x14ac:dyDescent="0.25">
      <c r="A9" s="272" t="s">
        <v>18</v>
      </c>
      <c r="B9" s="273">
        <f>ROUND('January 01, 2016 Rates'!G9,2)</f>
        <v>13.22</v>
      </c>
      <c r="C9" s="274">
        <v>1</v>
      </c>
      <c r="D9" s="275">
        <f>C9*B9</f>
        <v>13.22</v>
      </c>
      <c r="E9" s="274"/>
      <c r="F9" s="276">
        <f>ROUND('January 01, 2016 Rates'!F9,2)</f>
        <v>15.67</v>
      </c>
      <c r="G9" s="277">
        <f>C9</f>
        <v>1</v>
      </c>
      <c r="H9" s="275">
        <f>G9*F9</f>
        <v>15.67</v>
      </c>
      <c r="I9" s="274"/>
      <c r="J9" s="278">
        <f t="shared" ref="J9:J34" si="0">H9-D9</f>
        <v>2.4499999999999993</v>
      </c>
      <c r="K9" s="279">
        <f t="shared" ref="K9:K34" si="1">IF((D9)=0,"",(J9/D9))</f>
        <v>0.18532526475037817</v>
      </c>
    </row>
    <row r="10" spans="1:11" x14ac:dyDescent="0.25">
      <c r="A10" s="272" t="s">
        <v>26</v>
      </c>
      <c r="B10" s="280">
        <f>ROUND('January 01, 2016 Rates'!G12,4)</f>
        <v>1.3299999999999999E-2</v>
      </c>
      <c r="C10" s="281">
        <f>B3</f>
        <v>800</v>
      </c>
      <c r="D10" s="275">
        <f>C10*B10</f>
        <v>10.639999999999999</v>
      </c>
      <c r="E10" s="274"/>
      <c r="F10" s="424">
        <f>ROUND('January 01, 2016 Rates'!F12,4)</f>
        <v>1.01E-2</v>
      </c>
      <c r="G10" s="283">
        <f>C10</f>
        <v>800</v>
      </c>
      <c r="H10" s="275">
        <f>G10*F10</f>
        <v>8.08</v>
      </c>
      <c r="I10" s="274"/>
      <c r="J10" s="278">
        <f t="shared" si="0"/>
        <v>-2.5599999999999987</v>
      </c>
      <c r="K10" s="279">
        <f t="shared" si="1"/>
        <v>-0.2406015037593984</v>
      </c>
    </row>
    <row r="11" spans="1:11" x14ac:dyDescent="0.25">
      <c r="A11" s="284" t="s">
        <v>269</v>
      </c>
      <c r="B11" s="285">
        <f>+'January 01, 2016 Rates'!G15</f>
        <v>0</v>
      </c>
      <c r="C11" s="286">
        <f>B3</f>
        <v>800</v>
      </c>
      <c r="D11" s="287">
        <f>C11*B11</f>
        <v>0</v>
      </c>
      <c r="E11" s="274"/>
      <c r="F11" s="288">
        <f>+'January 01, 2016 Rates'!F15</f>
        <v>0</v>
      </c>
      <c r="G11" s="289">
        <f>C11</f>
        <v>800</v>
      </c>
      <c r="H11" s="287">
        <f>G11*F11</f>
        <v>0</v>
      </c>
      <c r="I11" s="274"/>
      <c r="J11" s="290">
        <f t="shared" si="0"/>
        <v>0</v>
      </c>
      <c r="K11" s="291" t="str">
        <f t="shared" si="1"/>
        <v/>
      </c>
    </row>
    <row r="12" spans="1:11" x14ac:dyDescent="0.25">
      <c r="A12" s="292" t="s">
        <v>270</v>
      </c>
      <c r="B12" s="293"/>
      <c r="C12" s="294"/>
      <c r="D12" s="295">
        <f>SUM(D9:D11)</f>
        <v>23.86</v>
      </c>
      <c r="E12" s="274"/>
      <c r="F12" s="296"/>
      <c r="G12" s="297"/>
      <c r="H12" s="295">
        <f>SUM(H9:H11)</f>
        <v>23.75</v>
      </c>
      <c r="I12" s="274"/>
      <c r="J12" s="298">
        <f t="shared" si="0"/>
        <v>-0.10999999999999943</v>
      </c>
      <c r="K12" s="299">
        <f t="shared" si="1"/>
        <v>-4.6102263202011497E-3</v>
      </c>
    </row>
    <row r="13" spans="1:11" x14ac:dyDescent="0.25">
      <c r="A13" s="300" t="s">
        <v>271</v>
      </c>
      <c r="B13" s="280">
        <f>ROUND(B26*0.64+B27*0.18+B28*0.18,4)</f>
        <v>0.1021</v>
      </c>
      <c r="C13" s="301">
        <f>B3*(B2)</f>
        <v>28.799999999999997</v>
      </c>
      <c r="D13" s="275">
        <f>B13*C13</f>
        <v>2.9404799999999995</v>
      </c>
      <c r="E13" s="274"/>
      <c r="F13" s="282">
        <f>F26*0.64+F27*0.18+F28*0.18</f>
        <v>0.10214000000000001</v>
      </c>
      <c r="G13" s="301">
        <f>C13</f>
        <v>28.799999999999997</v>
      </c>
      <c r="H13" s="275">
        <f>F13*G13</f>
        <v>2.9416319999999998</v>
      </c>
      <c r="I13" s="274"/>
      <c r="J13" s="278">
        <f t="shared" si="0"/>
        <v>1.1520000000002639E-3</v>
      </c>
      <c r="K13" s="279">
        <f t="shared" si="1"/>
        <v>3.9177277179245024E-4</v>
      </c>
    </row>
    <row r="14" spans="1:11" x14ac:dyDescent="0.25">
      <c r="A14" s="300" t="s">
        <v>349</v>
      </c>
      <c r="B14" s="280">
        <f>ROUND(+'January 01, 2016 Rates'!G14,4)</f>
        <v>0</v>
      </c>
      <c r="C14" s="301">
        <f>B3</f>
        <v>800</v>
      </c>
      <c r="D14" s="275">
        <f>C14*B14</f>
        <v>0</v>
      </c>
      <c r="E14" s="274"/>
      <c r="F14" s="282">
        <f>ROUND('January 01, 2016 Rates'!F13+'January 01, 2016 Rates'!F14+'January 01, 2016 Rates'!F17,4)</f>
        <v>1.5E-3</v>
      </c>
      <c r="G14" s="301">
        <f>C14</f>
        <v>800</v>
      </c>
      <c r="H14" s="275">
        <f>G14*F14</f>
        <v>1.2</v>
      </c>
      <c r="I14" s="274"/>
      <c r="J14" s="278">
        <f>H14-D14</f>
        <v>1.2</v>
      </c>
      <c r="K14" s="279" t="str">
        <f>IF((D14)=0,"",(J14/D14))</f>
        <v/>
      </c>
    </row>
    <row r="15" spans="1:11" x14ac:dyDescent="0.25">
      <c r="A15" s="302" t="s">
        <v>272</v>
      </c>
      <c r="B15" s="280">
        <f>ROUND('January 01, 2016 Rates'!G18,4)</f>
        <v>2.0000000000000001E-4</v>
      </c>
      <c r="C15" s="301">
        <f>B3</f>
        <v>800</v>
      </c>
      <c r="D15" s="275">
        <f>C15*B15</f>
        <v>0.16</v>
      </c>
      <c r="E15" s="274"/>
      <c r="F15" s="424">
        <f>ROUND('January 01, 2016 Rates'!F18,4)</f>
        <v>2.0000000000000001E-4</v>
      </c>
      <c r="G15" s="301">
        <f>C15</f>
        <v>800</v>
      </c>
      <c r="H15" s="275">
        <f>G15*F15</f>
        <v>0.16</v>
      </c>
      <c r="I15" s="274"/>
      <c r="J15" s="278">
        <f t="shared" si="0"/>
        <v>0</v>
      </c>
      <c r="K15" s="279">
        <f t="shared" si="1"/>
        <v>0</v>
      </c>
    </row>
    <row r="16" spans="1:11" x14ac:dyDescent="0.25">
      <c r="A16" s="302" t="s">
        <v>273</v>
      </c>
      <c r="B16" s="280">
        <f>ROUND('January 01, 2016 Rates'!G10,4)</f>
        <v>0.79</v>
      </c>
      <c r="C16" s="301">
        <v>1</v>
      </c>
      <c r="D16" s="275">
        <f>C16*B16</f>
        <v>0.79</v>
      </c>
      <c r="E16" s="274"/>
      <c r="F16" s="424">
        <f>ROUND('January 01, 2016 Rates'!F10,4)</f>
        <v>0.79</v>
      </c>
      <c r="G16" s="301">
        <f>C16</f>
        <v>1</v>
      </c>
      <c r="H16" s="275">
        <f>G16*F16</f>
        <v>0.79</v>
      </c>
      <c r="I16" s="274"/>
      <c r="J16" s="278">
        <f t="shared" si="0"/>
        <v>0</v>
      </c>
      <c r="K16" s="279">
        <f t="shared" si="1"/>
        <v>0</v>
      </c>
    </row>
    <row r="17" spans="1:11" x14ac:dyDescent="0.25">
      <c r="A17" s="302" t="s">
        <v>350</v>
      </c>
      <c r="B17" s="280">
        <v>0</v>
      </c>
      <c r="C17" s="301">
        <v>1</v>
      </c>
      <c r="D17" s="275">
        <f>C17*B17</f>
        <v>0</v>
      </c>
      <c r="E17" s="274"/>
      <c r="F17" s="276">
        <f>ROUND('January 01, 2016 Rates'!F11+'January 01, 2016 Rates'!F16,2)</f>
        <v>1.04</v>
      </c>
      <c r="G17" s="431">
        <f>C17</f>
        <v>1</v>
      </c>
      <c r="H17" s="275">
        <f>G17*F17</f>
        <v>1.04</v>
      </c>
      <c r="I17" s="274"/>
      <c r="J17" s="278"/>
      <c r="K17" s="279"/>
    </row>
    <row r="18" spans="1:11" x14ac:dyDescent="0.25">
      <c r="A18" s="303" t="s">
        <v>274</v>
      </c>
      <c r="B18" s="304"/>
      <c r="C18" s="305"/>
      <c r="D18" s="306">
        <f>SUM(D12:D17)</f>
        <v>27.75048</v>
      </c>
      <c r="E18" s="274"/>
      <c r="F18" s="307"/>
      <c r="G18" s="308"/>
      <c r="H18" s="306">
        <f>SUM(H12:H17)</f>
        <v>29.881631999999996</v>
      </c>
      <c r="I18" s="274"/>
      <c r="J18" s="309">
        <f t="shared" si="0"/>
        <v>2.1311519999999966</v>
      </c>
      <c r="K18" s="310">
        <f t="shared" si="1"/>
        <v>7.6796941890734743E-2</v>
      </c>
    </row>
    <row r="19" spans="1:11" x14ac:dyDescent="0.25">
      <c r="A19" s="311" t="s">
        <v>275</v>
      </c>
      <c r="B19" s="280">
        <f>ROUND('January 01, 2016 Rates'!G19,4)</f>
        <v>8.0999999999999996E-3</v>
      </c>
      <c r="C19" s="312">
        <f>B3</f>
        <v>800</v>
      </c>
      <c r="D19" s="275">
        <f>C19*B19</f>
        <v>6.4799999999999995</v>
      </c>
      <c r="E19" s="274"/>
      <c r="F19" s="424">
        <f>ROUND('January 01, 2016 Rates'!F19,4)</f>
        <v>7.9000000000000008E-3</v>
      </c>
      <c r="G19" s="313">
        <f>C19</f>
        <v>800</v>
      </c>
      <c r="H19" s="275">
        <f>G19*F19</f>
        <v>6.32</v>
      </c>
      <c r="I19" s="274"/>
      <c r="J19" s="278">
        <f t="shared" si="0"/>
        <v>-0.15999999999999925</v>
      </c>
      <c r="K19" s="279">
        <f t="shared" si="1"/>
        <v>-2.4691358024691246E-2</v>
      </c>
    </row>
    <row r="20" spans="1:11" x14ac:dyDescent="0.25">
      <c r="A20" s="314" t="s">
        <v>276</v>
      </c>
      <c r="B20" s="280">
        <f>ROUND('January 01, 2016 Rates'!G20,4)</f>
        <v>6.1999999999999998E-3</v>
      </c>
      <c r="C20" s="312">
        <f>B3</f>
        <v>800</v>
      </c>
      <c r="D20" s="275">
        <f>C20*B20</f>
        <v>4.96</v>
      </c>
      <c r="E20" s="274"/>
      <c r="F20" s="424">
        <f>ROUND('January 01, 2016 Rates'!F20,4)</f>
        <v>6.4000000000000003E-3</v>
      </c>
      <c r="G20" s="313">
        <f>C20</f>
        <v>800</v>
      </c>
      <c r="H20" s="275">
        <f>G20*F20</f>
        <v>5.12</v>
      </c>
      <c r="I20" s="274"/>
      <c r="J20" s="278">
        <f t="shared" si="0"/>
        <v>0.16000000000000014</v>
      </c>
      <c r="K20" s="279">
        <f t="shared" si="1"/>
        <v>3.2258064516129059E-2</v>
      </c>
    </row>
    <row r="21" spans="1:11" x14ac:dyDescent="0.25">
      <c r="A21" s="303" t="s">
        <v>277</v>
      </c>
      <c r="B21" s="304"/>
      <c r="C21" s="305"/>
      <c r="D21" s="306">
        <f>SUM(D18:D20)</f>
        <v>39.190480000000001</v>
      </c>
      <c r="E21" s="315"/>
      <c r="F21" s="316"/>
      <c r="G21" s="317"/>
      <c r="H21" s="306">
        <f>SUM(H18:H20)</f>
        <v>41.321631999999994</v>
      </c>
      <c r="I21" s="315"/>
      <c r="J21" s="309">
        <f>H21-D21</f>
        <v>2.1311519999999931</v>
      </c>
      <c r="K21" s="310">
        <f>IF((D21)=0,"",(J21/D21))</f>
        <v>5.4379328857416212E-2</v>
      </c>
    </row>
    <row r="22" spans="1:11" x14ac:dyDescent="0.25">
      <c r="A22" s="302" t="s">
        <v>278</v>
      </c>
      <c r="B22" s="280">
        <f>ROUND('January 01, 2016 Rates'!G21,4)</f>
        <v>4.4000000000000003E-3</v>
      </c>
      <c r="C22" s="312">
        <f>B3*B2+B3</f>
        <v>828.8</v>
      </c>
      <c r="D22" s="275">
        <f t="shared" ref="D22:D28" si="2">C22*B22</f>
        <v>3.6467200000000002</v>
      </c>
      <c r="E22" s="274"/>
      <c r="F22" s="424">
        <f>ROUND('January 01, 2016 Rates'!F21,4)</f>
        <v>4.4000000000000003E-3</v>
      </c>
      <c r="G22" s="313">
        <f t="shared" ref="G22:G28" si="3">C22</f>
        <v>828.8</v>
      </c>
      <c r="H22" s="275">
        <f t="shared" ref="H22:H28" si="4">G22*F22</f>
        <v>3.6467200000000002</v>
      </c>
      <c r="I22" s="274"/>
      <c r="J22" s="278">
        <f t="shared" si="0"/>
        <v>0</v>
      </c>
      <c r="K22" s="279">
        <f t="shared" si="1"/>
        <v>0</v>
      </c>
    </row>
    <row r="23" spans="1:11" x14ac:dyDescent="0.25">
      <c r="A23" s="302" t="s">
        <v>279</v>
      </c>
      <c r="B23" s="280">
        <f>ROUND('January 01, 2016 Rates'!G22,4)</f>
        <v>1.2999999999999999E-3</v>
      </c>
      <c r="C23" s="312">
        <f>+C22</f>
        <v>828.8</v>
      </c>
      <c r="D23" s="275">
        <f t="shared" si="2"/>
        <v>1.07744</v>
      </c>
      <c r="E23" s="274"/>
      <c r="F23" s="424">
        <f>ROUND('January 01, 2016 Rates'!F22,4)</f>
        <v>1.2999999999999999E-3</v>
      </c>
      <c r="G23" s="313">
        <f t="shared" si="3"/>
        <v>828.8</v>
      </c>
      <c r="H23" s="275">
        <f t="shared" si="4"/>
        <v>1.07744</v>
      </c>
      <c r="I23" s="274"/>
      <c r="J23" s="278">
        <f t="shared" si="0"/>
        <v>0</v>
      </c>
      <c r="K23" s="279">
        <f t="shared" si="1"/>
        <v>0</v>
      </c>
    </row>
    <row r="24" spans="1:11" x14ac:dyDescent="0.25">
      <c r="A24" s="302" t="s">
        <v>280</v>
      </c>
      <c r="B24" s="280">
        <f>ROUND('January 01, 2016 Rates'!G23,4)</f>
        <v>0.25</v>
      </c>
      <c r="C24" s="312">
        <v>1</v>
      </c>
      <c r="D24" s="275">
        <f t="shared" si="2"/>
        <v>0.25</v>
      </c>
      <c r="E24" s="274"/>
      <c r="F24" s="424">
        <f>ROUND('January 01, 2016 Rates'!F23,4)</f>
        <v>0.25</v>
      </c>
      <c r="G24" s="313">
        <f t="shared" si="3"/>
        <v>1</v>
      </c>
      <c r="H24" s="275">
        <f t="shared" si="4"/>
        <v>0.25</v>
      </c>
      <c r="I24" s="274"/>
      <c r="J24" s="278">
        <f t="shared" si="0"/>
        <v>0</v>
      </c>
      <c r="K24" s="279">
        <f t="shared" si="1"/>
        <v>0</v>
      </c>
    </row>
    <row r="25" spans="1:11" x14ac:dyDescent="0.25">
      <c r="A25" s="302" t="s">
        <v>281</v>
      </c>
      <c r="B25" s="280">
        <f>ROUND('January 01, 2016 Rates'!G24,4)</f>
        <v>7.0000000000000001E-3</v>
      </c>
      <c r="C25" s="312">
        <f>B3</f>
        <v>800</v>
      </c>
      <c r="D25" s="275">
        <f t="shared" si="2"/>
        <v>5.6000000000000005</v>
      </c>
      <c r="E25" s="274"/>
      <c r="F25" s="424">
        <f>B25</f>
        <v>7.0000000000000001E-3</v>
      </c>
      <c r="G25" s="313">
        <f t="shared" si="3"/>
        <v>800</v>
      </c>
      <c r="H25" s="275">
        <f t="shared" si="4"/>
        <v>5.6000000000000005</v>
      </c>
      <c r="I25" s="274"/>
      <c r="J25" s="278">
        <f t="shared" si="0"/>
        <v>0</v>
      </c>
      <c r="K25" s="279">
        <f t="shared" si="1"/>
        <v>0</v>
      </c>
    </row>
    <row r="26" spans="1:11" x14ac:dyDescent="0.25">
      <c r="A26" s="302" t="s">
        <v>282</v>
      </c>
      <c r="B26" s="280">
        <v>0.08</v>
      </c>
      <c r="C26" s="312">
        <f>B3*0.64</f>
        <v>512</v>
      </c>
      <c r="D26" s="275">
        <f t="shared" si="2"/>
        <v>40.96</v>
      </c>
      <c r="E26" s="274"/>
      <c r="F26" s="424">
        <f>B26</f>
        <v>0.08</v>
      </c>
      <c r="G26" s="312">
        <f t="shared" si="3"/>
        <v>512</v>
      </c>
      <c r="H26" s="275">
        <f t="shared" si="4"/>
        <v>40.96</v>
      </c>
      <c r="I26" s="274"/>
      <c r="J26" s="278">
        <f t="shared" si="0"/>
        <v>0</v>
      </c>
      <c r="K26" s="279">
        <f t="shared" si="1"/>
        <v>0</v>
      </c>
    </row>
    <row r="27" spans="1:11" x14ac:dyDescent="0.25">
      <c r="A27" s="302" t="s">
        <v>283</v>
      </c>
      <c r="B27" s="280">
        <v>0.122</v>
      </c>
      <c r="C27" s="312">
        <f>B3*0.18</f>
        <v>144</v>
      </c>
      <c r="D27" s="275">
        <f t="shared" si="2"/>
        <v>17.567999999999998</v>
      </c>
      <c r="E27" s="274"/>
      <c r="F27" s="280">
        <f>B27</f>
        <v>0.122</v>
      </c>
      <c r="G27" s="312">
        <f t="shared" si="3"/>
        <v>144</v>
      </c>
      <c r="H27" s="275">
        <f t="shared" si="4"/>
        <v>17.567999999999998</v>
      </c>
      <c r="I27" s="274"/>
      <c r="J27" s="278">
        <f t="shared" si="0"/>
        <v>0</v>
      </c>
      <c r="K27" s="279">
        <f t="shared" si="1"/>
        <v>0</v>
      </c>
    </row>
    <row r="28" spans="1:11" ht="15.75" thickBot="1" x14ac:dyDescent="0.3">
      <c r="A28" s="257" t="s">
        <v>284</v>
      </c>
      <c r="B28" s="428">
        <v>0.161</v>
      </c>
      <c r="C28" s="312">
        <f>B3*0.18</f>
        <v>144</v>
      </c>
      <c r="D28" s="275">
        <f t="shared" si="2"/>
        <v>23.184000000000001</v>
      </c>
      <c r="E28" s="274"/>
      <c r="F28" s="428">
        <f>B28</f>
        <v>0.161</v>
      </c>
      <c r="G28" s="312">
        <f t="shared" si="3"/>
        <v>144</v>
      </c>
      <c r="H28" s="275">
        <f t="shared" si="4"/>
        <v>23.184000000000001</v>
      </c>
      <c r="I28" s="274"/>
      <c r="J28" s="278">
        <f t="shared" si="0"/>
        <v>0</v>
      </c>
      <c r="K28" s="279">
        <f t="shared" si="1"/>
        <v>0</v>
      </c>
    </row>
    <row r="29" spans="1:11" ht="15.75" thickBot="1" x14ac:dyDescent="0.3">
      <c r="A29" s="318"/>
      <c r="B29" s="319"/>
      <c r="C29" s="320"/>
      <c r="D29" s="321"/>
      <c r="E29" s="274"/>
      <c r="F29" s="319"/>
      <c r="G29" s="322"/>
      <c r="H29" s="321"/>
      <c r="I29" s="274"/>
      <c r="J29" s="323"/>
      <c r="K29" s="324"/>
    </row>
    <row r="30" spans="1:11" x14ac:dyDescent="0.25">
      <c r="A30" s="325" t="s">
        <v>285</v>
      </c>
      <c r="B30" s="326"/>
      <c r="C30" s="327"/>
      <c r="D30" s="328">
        <f>SUM(D21:D25,D26:D28)</f>
        <v>131.47664</v>
      </c>
      <c r="E30" s="329"/>
      <c r="F30" s="330"/>
      <c r="G30" s="331"/>
      <c r="H30" s="328">
        <f>SUM(H21:H25,H26:H28)</f>
        <v>133.60779200000002</v>
      </c>
      <c r="I30" s="315"/>
      <c r="J30" s="332">
        <f>H30-D30</f>
        <v>2.1311520000000144</v>
      </c>
      <c r="K30" s="333">
        <f>IF((D30)=0,"",(J30/D30))</f>
        <v>1.6209358559817276E-2</v>
      </c>
    </row>
    <row r="31" spans="1:11" x14ac:dyDescent="0.25">
      <c r="A31" s="334" t="s">
        <v>286</v>
      </c>
      <c r="B31" s="326">
        <v>0.13</v>
      </c>
      <c r="C31" s="335"/>
      <c r="D31" s="336">
        <f>D30*B31</f>
        <v>17.091963200000002</v>
      </c>
      <c r="E31" s="337"/>
      <c r="F31" s="338">
        <v>0.13</v>
      </c>
      <c r="G31" s="337"/>
      <c r="H31" s="336">
        <f>H30*F31</f>
        <v>17.369012960000003</v>
      </c>
      <c r="I31" s="274"/>
      <c r="J31" s="339">
        <f t="shared" si="0"/>
        <v>0.27704976000000059</v>
      </c>
      <c r="K31" s="340">
        <f t="shared" si="1"/>
        <v>1.62093585598172E-2</v>
      </c>
    </row>
    <row r="32" spans="1:11" x14ac:dyDescent="0.25">
      <c r="A32" s="341" t="s">
        <v>287</v>
      </c>
      <c r="B32" s="337"/>
      <c r="C32" s="335"/>
      <c r="D32" s="336">
        <f>D30+D31</f>
        <v>148.56860320000001</v>
      </c>
      <c r="E32" s="337"/>
      <c r="F32" s="342"/>
      <c r="G32" s="337"/>
      <c r="H32" s="336">
        <f>H30+H31</f>
        <v>150.97680496000001</v>
      </c>
      <c r="I32" s="274"/>
      <c r="J32" s="339">
        <f t="shared" si="0"/>
        <v>2.4082017599999972</v>
      </c>
      <c r="K32" s="340">
        <f t="shared" si="1"/>
        <v>1.6209358559817144E-2</v>
      </c>
    </row>
    <row r="33" spans="1:11" x14ac:dyDescent="0.25">
      <c r="A33" s="343" t="s">
        <v>288</v>
      </c>
      <c r="B33" s="337"/>
      <c r="C33" s="335"/>
      <c r="D33" s="336">
        <f>ROUND(-D32*10%,2)</f>
        <v>-14.86</v>
      </c>
      <c r="E33" s="337"/>
      <c r="F33" s="342"/>
      <c r="G33" s="337"/>
      <c r="H33" s="336">
        <f>ROUND(-H32*10%,2)</f>
        <v>-15.1</v>
      </c>
      <c r="I33" s="274"/>
      <c r="J33" s="339">
        <f t="shared" si="0"/>
        <v>-0.24000000000000021</v>
      </c>
      <c r="K33" s="340">
        <f t="shared" si="1"/>
        <v>1.6150740242261118E-2</v>
      </c>
    </row>
    <row r="34" spans="1:11" ht="15.75" thickBot="1" x14ac:dyDescent="0.3">
      <c r="A34" s="344" t="s">
        <v>289</v>
      </c>
      <c r="B34" s="345"/>
      <c r="C34" s="346"/>
      <c r="D34" s="347">
        <f>D32+D33</f>
        <v>133.70860320000003</v>
      </c>
      <c r="E34" s="329"/>
      <c r="F34" s="348"/>
      <c r="G34" s="349"/>
      <c r="H34" s="347">
        <f>H32+H33</f>
        <v>135.87680496000002</v>
      </c>
      <c r="I34" s="315"/>
      <c r="J34" s="298">
        <f t="shared" si="0"/>
        <v>2.1682017599999881</v>
      </c>
      <c r="K34" s="299">
        <f t="shared" si="1"/>
        <v>1.621587323559736E-2</v>
      </c>
    </row>
    <row r="35" spans="1:11" ht="15.75" thickBot="1" x14ac:dyDescent="0.3">
      <c r="A35" s="318"/>
      <c r="B35" s="350"/>
      <c r="C35" s="351"/>
      <c r="D35" s="352"/>
      <c r="E35" s="353"/>
      <c r="F35" s="354"/>
      <c r="G35" s="355"/>
      <c r="H35" s="356"/>
      <c r="I35" s="353"/>
      <c r="J35" s="357"/>
      <c r="K35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5"/>
  <sheetViews>
    <sheetView workbookViewId="0">
      <selection activeCell="F17" sqref="F17"/>
    </sheetView>
  </sheetViews>
  <sheetFormatPr defaultRowHeight="15" x14ac:dyDescent="0.25"/>
  <cols>
    <col min="1" max="1" width="54" style="363" customWidth="1"/>
    <col min="2" max="2" width="13.28515625" style="363" customWidth="1"/>
    <col min="3" max="3" width="8.7109375" style="363" bestFit="1" customWidth="1"/>
    <col min="4" max="4" width="9.85546875" style="363" bestFit="1" customWidth="1"/>
    <col min="5" max="5" width="9.140625" style="363"/>
    <col min="6" max="6" width="11" style="363" bestFit="1" customWidth="1"/>
    <col min="7" max="7" width="8.7109375" style="363" bestFit="1" customWidth="1"/>
    <col min="8" max="8" width="9.85546875" style="363" bestFit="1" customWidth="1"/>
    <col min="9" max="9" width="9.140625" style="363"/>
    <col min="10" max="10" width="9.5703125" style="363" bestFit="1" customWidth="1"/>
    <col min="11" max="11" width="10" style="363" bestFit="1" customWidth="1"/>
    <col min="12" max="12" width="9.140625" style="363"/>
  </cols>
  <sheetData>
    <row r="1" spans="1:11" x14ac:dyDescent="0.25">
      <c r="A1" s="246" t="s">
        <v>253</v>
      </c>
      <c r="B1" s="247" t="s">
        <v>290</v>
      </c>
      <c r="C1" s="247"/>
    </row>
    <row r="2" spans="1:11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5">
      <c r="A3" s="246" t="s">
        <v>256</v>
      </c>
      <c r="B3" s="250">
        <v>315</v>
      </c>
      <c r="C3" s="253" t="s">
        <v>291</v>
      </c>
      <c r="D3" s="364"/>
      <c r="E3" s="364"/>
      <c r="F3" s="364"/>
      <c r="G3" s="364"/>
      <c r="H3" s="364"/>
      <c r="I3" s="364"/>
      <c r="J3" s="364"/>
      <c r="K3" s="364"/>
    </row>
    <row r="4" spans="1:11" x14ac:dyDescent="0.25">
      <c r="A4" s="365" t="s">
        <v>258</v>
      </c>
      <c r="B4" s="364"/>
      <c r="C4" s="253"/>
      <c r="D4" s="364"/>
      <c r="E4" s="364"/>
      <c r="F4" s="364"/>
      <c r="G4" s="364"/>
      <c r="H4" s="364"/>
      <c r="I4" s="364"/>
      <c r="J4" s="364"/>
      <c r="K4" s="364"/>
    </row>
    <row r="5" spans="1:11" x14ac:dyDescent="0.25">
      <c r="A5" s="254" t="s">
        <v>259</v>
      </c>
      <c r="B5" s="255"/>
      <c r="C5" s="253" t="s">
        <v>260</v>
      </c>
      <c r="D5" s="364"/>
      <c r="E5" s="364"/>
      <c r="F5" s="364"/>
      <c r="G5" s="364"/>
      <c r="H5" s="364"/>
      <c r="I5" s="364"/>
      <c r="J5" s="364"/>
      <c r="K5" s="364"/>
    </row>
    <row r="6" spans="1:11" x14ac:dyDescent="0.25">
      <c r="A6" s="257"/>
      <c r="B6" s="441" t="s">
        <v>261</v>
      </c>
      <c r="C6" s="442"/>
      <c r="D6" s="442"/>
      <c r="E6" s="258"/>
      <c r="F6" s="442" t="s">
        <v>8</v>
      </c>
      <c r="G6" s="442"/>
      <c r="H6" s="442"/>
      <c r="I6" s="258"/>
      <c r="J6" s="442" t="s">
        <v>262</v>
      </c>
      <c r="K6" s="443"/>
    </row>
    <row r="7" spans="1:11" x14ac:dyDescent="0.25">
      <c r="A7" s="257"/>
      <c r="B7" s="259" t="s">
        <v>263</v>
      </c>
      <c r="C7" s="259" t="s">
        <v>264</v>
      </c>
      <c r="D7" s="260" t="s">
        <v>265</v>
      </c>
      <c r="E7" s="261"/>
      <c r="F7" s="262" t="s">
        <v>263</v>
      </c>
      <c r="G7" s="262" t="s">
        <v>264</v>
      </c>
      <c r="H7" s="263" t="s">
        <v>265</v>
      </c>
      <c r="I7" s="261"/>
      <c r="J7" s="264" t="s">
        <v>266</v>
      </c>
      <c r="K7" s="265" t="s">
        <v>267</v>
      </c>
    </row>
    <row r="8" spans="1:11" x14ac:dyDescent="0.25">
      <c r="A8" s="257"/>
      <c r="B8" s="266" t="s">
        <v>268</v>
      </c>
      <c r="C8" s="266"/>
      <c r="D8" s="267" t="s">
        <v>268</v>
      </c>
      <c r="E8" s="261"/>
      <c r="F8" s="268" t="s">
        <v>268</v>
      </c>
      <c r="G8" s="268"/>
      <c r="H8" s="269" t="s">
        <v>268</v>
      </c>
      <c r="I8" s="261"/>
      <c r="J8" s="270"/>
      <c r="K8" s="271"/>
    </row>
    <row r="9" spans="1:11" x14ac:dyDescent="0.25">
      <c r="A9" s="272" t="s">
        <v>18</v>
      </c>
      <c r="B9" s="273">
        <f>ROUND('January 01, 2016 Rates'!G9,2)</f>
        <v>13.22</v>
      </c>
      <c r="C9" s="274">
        <v>1</v>
      </c>
      <c r="D9" s="275">
        <f>C9*B9</f>
        <v>13.22</v>
      </c>
      <c r="E9" s="274"/>
      <c r="F9" s="276">
        <f>ROUND('January 01, 2016 Rates'!F9,2)</f>
        <v>15.67</v>
      </c>
      <c r="G9" s="277">
        <f>C9</f>
        <v>1</v>
      </c>
      <c r="H9" s="275">
        <f>G9*F9</f>
        <v>15.67</v>
      </c>
      <c r="I9" s="274"/>
      <c r="J9" s="278">
        <f t="shared" ref="J9:J34" si="0">H9-D9</f>
        <v>2.4499999999999993</v>
      </c>
      <c r="K9" s="279">
        <f t="shared" ref="K9:K34" si="1">IF((D9)=0,"",(J9/D9))</f>
        <v>0.18532526475037817</v>
      </c>
    </row>
    <row r="10" spans="1:11" x14ac:dyDescent="0.25">
      <c r="A10" s="272" t="s">
        <v>26</v>
      </c>
      <c r="B10" s="280">
        <f>ROUND('January 01, 2016 Rates'!G12,4)</f>
        <v>1.3299999999999999E-2</v>
      </c>
      <c r="C10" s="281">
        <f>B3</f>
        <v>315</v>
      </c>
      <c r="D10" s="275">
        <f>C10*B10</f>
        <v>4.1894999999999998</v>
      </c>
      <c r="E10" s="274"/>
      <c r="F10" s="424">
        <f>ROUND('January 01, 2016 Rates'!F12,4)</f>
        <v>1.01E-2</v>
      </c>
      <c r="G10" s="283">
        <f>C10</f>
        <v>315</v>
      </c>
      <c r="H10" s="275">
        <f>G10*F10</f>
        <v>3.1814999999999998</v>
      </c>
      <c r="I10" s="274"/>
      <c r="J10" s="278">
        <f t="shared" si="0"/>
        <v>-1.008</v>
      </c>
      <c r="K10" s="279">
        <f t="shared" si="1"/>
        <v>-0.24060150375939851</v>
      </c>
    </row>
    <row r="11" spans="1:11" x14ac:dyDescent="0.25">
      <c r="A11" s="284" t="s">
        <v>269</v>
      </c>
      <c r="B11" s="285">
        <f>+'January 01, 2016 Rates'!G15</f>
        <v>0</v>
      </c>
      <c r="C11" s="286">
        <f>B3</f>
        <v>315</v>
      </c>
      <c r="D11" s="287">
        <f>C11*B11</f>
        <v>0</v>
      </c>
      <c r="E11" s="274"/>
      <c r="F11" s="288">
        <f>+'January 01, 2016 Rates'!F15</f>
        <v>0</v>
      </c>
      <c r="G11" s="289">
        <f>C11</f>
        <v>315</v>
      </c>
      <c r="H11" s="287">
        <f>G11*F11</f>
        <v>0</v>
      </c>
      <c r="I11" s="274"/>
      <c r="J11" s="290">
        <f t="shared" si="0"/>
        <v>0</v>
      </c>
      <c r="K11" s="291" t="str">
        <f t="shared" si="1"/>
        <v/>
      </c>
    </row>
    <row r="12" spans="1:11" x14ac:dyDescent="0.25">
      <c r="A12" s="292" t="s">
        <v>270</v>
      </c>
      <c r="B12" s="293"/>
      <c r="C12" s="294"/>
      <c r="D12" s="295">
        <f>SUM(D9:D11)</f>
        <v>17.409500000000001</v>
      </c>
      <c r="E12" s="274"/>
      <c r="F12" s="296"/>
      <c r="G12" s="297"/>
      <c r="H12" s="295">
        <f>SUM(H9:H11)</f>
        <v>18.851500000000001</v>
      </c>
      <c r="I12" s="274"/>
      <c r="J12" s="298">
        <f t="shared" si="0"/>
        <v>1.4420000000000002</v>
      </c>
      <c r="K12" s="299">
        <f t="shared" si="1"/>
        <v>8.2828340848387375E-2</v>
      </c>
    </row>
    <row r="13" spans="1:11" x14ac:dyDescent="0.25">
      <c r="A13" s="300" t="s">
        <v>271</v>
      </c>
      <c r="B13" s="280">
        <f>ROUND(B26*0.64+B27*0.18+B28*0.18,4)</f>
        <v>0.1021</v>
      </c>
      <c r="C13" s="301">
        <f>B3*(B2)</f>
        <v>11.34</v>
      </c>
      <c r="D13" s="275">
        <f>B13*C13</f>
        <v>1.1578139999999999</v>
      </c>
      <c r="E13" s="274"/>
      <c r="F13" s="424">
        <f>F26*0.64+F27*0.18+F28*0.18</f>
        <v>0.10214000000000001</v>
      </c>
      <c r="G13" s="301">
        <f>C13</f>
        <v>11.34</v>
      </c>
      <c r="H13" s="275">
        <f>F13*G13</f>
        <v>1.1582676000000001</v>
      </c>
      <c r="I13" s="274"/>
      <c r="J13" s="278">
        <f t="shared" si="0"/>
        <v>4.5360000000016498E-4</v>
      </c>
      <c r="K13" s="279">
        <f t="shared" si="1"/>
        <v>3.9177277179250298E-4</v>
      </c>
    </row>
    <row r="14" spans="1:11" x14ac:dyDescent="0.25">
      <c r="A14" s="300" t="s">
        <v>349</v>
      </c>
      <c r="B14" s="280">
        <f>ROUND(+'January 01, 2016 Rates'!G14,4)</f>
        <v>0</v>
      </c>
      <c r="C14" s="301">
        <f>B3</f>
        <v>315</v>
      </c>
      <c r="D14" s="275">
        <f>C14*B14</f>
        <v>0</v>
      </c>
      <c r="E14" s="274"/>
      <c r="F14" s="424">
        <f>ROUND('January 01, 2016 Rates'!F13+'January 01, 2016 Rates'!F14+'January 01, 2016 Rates'!F17,4)</f>
        <v>1.5E-3</v>
      </c>
      <c r="G14" s="301">
        <f>C14</f>
        <v>315</v>
      </c>
      <c r="H14" s="275">
        <f>G14*F14</f>
        <v>0.47250000000000003</v>
      </c>
      <c r="I14" s="274"/>
      <c r="J14" s="278">
        <f>H14-D14</f>
        <v>0.47250000000000003</v>
      </c>
      <c r="K14" s="279" t="str">
        <f>IF((D14)=0,"",(J14/D14))</f>
        <v/>
      </c>
    </row>
    <row r="15" spans="1:11" x14ac:dyDescent="0.25">
      <c r="A15" s="302" t="s">
        <v>272</v>
      </c>
      <c r="B15" s="280">
        <f>ROUND('January 01, 2016 Rates'!G18,4)</f>
        <v>2.0000000000000001E-4</v>
      </c>
      <c r="C15" s="301">
        <f>B3</f>
        <v>315</v>
      </c>
      <c r="D15" s="275">
        <f>C15*B15</f>
        <v>6.3E-2</v>
      </c>
      <c r="E15" s="274"/>
      <c r="F15" s="424">
        <f>ROUND('January 01, 2016 Rates'!F18,4)</f>
        <v>2.0000000000000001E-4</v>
      </c>
      <c r="G15" s="301">
        <f>C15</f>
        <v>315</v>
      </c>
      <c r="H15" s="275">
        <f>G15*F15</f>
        <v>6.3E-2</v>
      </c>
      <c r="I15" s="274"/>
      <c r="J15" s="278">
        <f t="shared" si="0"/>
        <v>0</v>
      </c>
      <c r="K15" s="279">
        <f t="shared" si="1"/>
        <v>0</v>
      </c>
    </row>
    <row r="16" spans="1:11" x14ac:dyDescent="0.25">
      <c r="A16" s="302" t="s">
        <v>273</v>
      </c>
      <c r="B16" s="280">
        <f>ROUND('January 01, 2016 Rates'!G10,4)</f>
        <v>0.79</v>
      </c>
      <c r="C16" s="301">
        <v>1</v>
      </c>
      <c r="D16" s="275">
        <f>C16*B16</f>
        <v>0.79</v>
      </c>
      <c r="E16" s="274"/>
      <c r="F16" s="424">
        <f>ROUND('January 01, 2016 Rates'!F10,4)</f>
        <v>0.79</v>
      </c>
      <c r="G16" s="301">
        <f>C16</f>
        <v>1</v>
      </c>
      <c r="H16" s="275">
        <f>G16*F16</f>
        <v>0.79</v>
      </c>
      <c r="I16" s="274"/>
      <c r="J16" s="278">
        <f t="shared" si="0"/>
        <v>0</v>
      </c>
      <c r="K16" s="279">
        <f t="shared" si="1"/>
        <v>0</v>
      </c>
    </row>
    <row r="17" spans="1:11" x14ac:dyDescent="0.25">
      <c r="A17" s="302" t="s">
        <v>350</v>
      </c>
      <c r="B17" s="280">
        <v>0</v>
      </c>
      <c r="C17" s="301">
        <v>1</v>
      </c>
      <c r="D17" s="275">
        <f>C17*B17</f>
        <v>0</v>
      </c>
      <c r="E17" s="274"/>
      <c r="F17" s="276">
        <f>ROUND('January 01, 2016 Rates'!F11+'January 01, 2016 Rates'!F16,2)</f>
        <v>1.04</v>
      </c>
      <c r="G17" s="431">
        <f>C17</f>
        <v>1</v>
      </c>
      <c r="H17" s="275">
        <f>G17*F17</f>
        <v>1.04</v>
      </c>
      <c r="I17" s="274"/>
      <c r="J17" s="278"/>
      <c r="K17" s="279"/>
    </row>
    <row r="18" spans="1:11" x14ac:dyDescent="0.25">
      <c r="A18" s="303" t="s">
        <v>274</v>
      </c>
      <c r="B18" s="304"/>
      <c r="C18" s="305"/>
      <c r="D18" s="306">
        <f>SUM(D12:D17)</f>
        <v>19.420313999999998</v>
      </c>
      <c r="E18" s="274"/>
      <c r="F18" s="307"/>
      <c r="G18" s="308"/>
      <c r="H18" s="306">
        <f>SUM(H12:H17)</f>
        <v>22.375267599999997</v>
      </c>
      <c r="I18" s="274"/>
      <c r="J18" s="309">
        <f t="shared" si="0"/>
        <v>2.9549535999999996</v>
      </c>
      <c r="K18" s="310">
        <f t="shared" si="1"/>
        <v>0.15215786933208186</v>
      </c>
    </row>
    <row r="19" spans="1:11" x14ac:dyDescent="0.25">
      <c r="A19" s="311" t="s">
        <v>275</v>
      </c>
      <c r="B19" s="280">
        <f>ROUND('January 01, 2016 Rates'!G19,4)</f>
        <v>8.0999999999999996E-3</v>
      </c>
      <c r="C19" s="312">
        <f>B3</f>
        <v>315</v>
      </c>
      <c r="D19" s="275">
        <f>C19*B19</f>
        <v>2.5514999999999999</v>
      </c>
      <c r="E19" s="274"/>
      <c r="F19" s="424">
        <f>ROUND('January 01, 2016 Rates'!F19,4)</f>
        <v>7.9000000000000008E-3</v>
      </c>
      <c r="G19" s="313">
        <f>C19</f>
        <v>315</v>
      </c>
      <c r="H19" s="275">
        <f>G19*F19</f>
        <v>2.4885000000000002</v>
      </c>
      <c r="I19" s="274"/>
      <c r="J19" s="278">
        <f t="shared" si="0"/>
        <v>-6.2999999999999723E-2</v>
      </c>
      <c r="K19" s="279">
        <f t="shared" si="1"/>
        <v>-2.4691358024691249E-2</v>
      </c>
    </row>
    <row r="20" spans="1:11" x14ac:dyDescent="0.25">
      <c r="A20" s="314" t="s">
        <v>276</v>
      </c>
      <c r="B20" s="280">
        <f>ROUND('January 01, 2016 Rates'!G20,4)</f>
        <v>6.1999999999999998E-3</v>
      </c>
      <c r="C20" s="312">
        <f>B3</f>
        <v>315</v>
      </c>
      <c r="D20" s="275">
        <f>C20*B20</f>
        <v>1.9529999999999998</v>
      </c>
      <c r="E20" s="274"/>
      <c r="F20" s="424">
        <f>ROUND('January 01, 2016 Rates'!F20,4)</f>
        <v>6.4000000000000003E-3</v>
      </c>
      <c r="G20" s="313">
        <f>C20</f>
        <v>315</v>
      </c>
      <c r="H20" s="275">
        <f>G20*F20</f>
        <v>2.016</v>
      </c>
      <c r="I20" s="274"/>
      <c r="J20" s="278">
        <f t="shared" si="0"/>
        <v>6.3000000000000167E-2</v>
      </c>
      <c r="K20" s="279">
        <f t="shared" si="1"/>
        <v>3.2258064516129122E-2</v>
      </c>
    </row>
    <row r="21" spans="1:11" x14ac:dyDescent="0.25">
      <c r="A21" s="303" t="s">
        <v>277</v>
      </c>
      <c r="B21" s="304"/>
      <c r="C21" s="305"/>
      <c r="D21" s="306">
        <f>SUM(D18:D20)</f>
        <v>23.924813999999998</v>
      </c>
      <c r="E21" s="315"/>
      <c r="F21" s="316"/>
      <c r="G21" s="317"/>
      <c r="H21" s="306">
        <f>SUM(H18:H20)</f>
        <v>26.879767599999994</v>
      </c>
      <c r="I21" s="315"/>
      <c r="J21" s="309">
        <f>H21-D21</f>
        <v>2.9549535999999961</v>
      </c>
      <c r="K21" s="310">
        <f>IF((D21)=0,"",(J21/D21))</f>
        <v>0.12350999259597155</v>
      </c>
    </row>
    <row r="22" spans="1:11" x14ac:dyDescent="0.25">
      <c r="A22" s="302" t="s">
        <v>278</v>
      </c>
      <c r="B22" s="280">
        <f>ROUND('January 01, 2016 Rates'!G21,4)</f>
        <v>4.4000000000000003E-3</v>
      </c>
      <c r="C22" s="312">
        <f>B3*B2+B3</f>
        <v>326.33999999999997</v>
      </c>
      <c r="D22" s="275">
        <f t="shared" ref="D22:D28" si="2">C22*B22</f>
        <v>1.4358960000000001</v>
      </c>
      <c r="E22" s="274"/>
      <c r="F22" s="424">
        <f>ROUND('January 01, 2016 Rates'!F21,4)</f>
        <v>4.4000000000000003E-3</v>
      </c>
      <c r="G22" s="313">
        <f t="shared" ref="G22:G28" si="3">C22</f>
        <v>326.33999999999997</v>
      </c>
      <c r="H22" s="275">
        <f t="shared" ref="H22:H28" si="4">G22*F22</f>
        <v>1.4358960000000001</v>
      </c>
      <c r="I22" s="274"/>
      <c r="J22" s="278">
        <f t="shared" si="0"/>
        <v>0</v>
      </c>
      <c r="K22" s="279">
        <f t="shared" si="1"/>
        <v>0</v>
      </c>
    </row>
    <row r="23" spans="1:11" x14ac:dyDescent="0.25">
      <c r="A23" s="302" t="s">
        <v>279</v>
      </c>
      <c r="B23" s="280">
        <f>ROUND('January 01, 2016 Rates'!G22,4)</f>
        <v>1.2999999999999999E-3</v>
      </c>
      <c r="C23" s="312">
        <f>+C22</f>
        <v>326.33999999999997</v>
      </c>
      <c r="D23" s="275">
        <f t="shared" si="2"/>
        <v>0.42424199999999995</v>
      </c>
      <c r="E23" s="274"/>
      <c r="F23" s="424">
        <f>ROUND('January 01, 2016 Rates'!F22,4)</f>
        <v>1.2999999999999999E-3</v>
      </c>
      <c r="G23" s="313">
        <f t="shared" si="3"/>
        <v>326.33999999999997</v>
      </c>
      <c r="H23" s="275">
        <f t="shared" si="4"/>
        <v>0.42424199999999995</v>
      </c>
      <c r="I23" s="274"/>
      <c r="J23" s="278">
        <f t="shared" si="0"/>
        <v>0</v>
      </c>
      <c r="K23" s="279">
        <f t="shared" si="1"/>
        <v>0</v>
      </c>
    </row>
    <row r="24" spans="1:11" x14ac:dyDescent="0.25">
      <c r="A24" s="302" t="s">
        <v>280</v>
      </c>
      <c r="B24" s="280">
        <f>ROUND('January 01, 2016 Rates'!G23,4)</f>
        <v>0.25</v>
      </c>
      <c r="C24" s="312">
        <v>1</v>
      </c>
      <c r="D24" s="275">
        <f t="shared" si="2"/>
        <v>0.25</v>
      </c>
      <c r="E24" s="274"/>
      <c r="F24" s="424">
        <f>ROUND('January 01, 2016 Rates'!F23,4)</f>
        <v>0.25</v>
      </c>
      <c r="G24" s="313">
        <f t="shared" si="3"/>
        <v>1</v>
      </c>
      <c r="H24" s="275">
        <f t="shared" si="4"/>
        <v>0.25</v>
      </c>
      <c r="I24" s="274"/>
      <c r="J24" s="278">
        <f t="shared" si="0"/>
        <v>0</v>
      </c>
      <c r="K24" s="279">
        <f t="shared" si="1"/>
        <v>0</v>
      </c>
    </row>
    <row r="25" spans="1:11" x14ac:dyDescent="0.25">
      <c r="A25" s="302" t="s">
        <v>281</v>
      </c>
      <c r="B25" s="280">
        <f>ROUND('January 01, 2016 Rates'!G24,4)</f>
        <v>7.0000000000000001E-3</v>
      </c>
      <c r="C25" s="312">
        <f>B3</f>
        <v>315</v>
      </c>
      <c r="D25" s="275">
        <f t="shared" si="2"/>
        <v>2.2050000000000001</v>
      </c>
      <c r="E25" s="274"/>
      <c r="F25" s="424">
        <f>B25</f>
        <v>7.0000000000000001E-3</v>
      </c>
      <c r="G25" s="313">
        <f t="shared" si="3"/>
        <v>315</v>
      </c>
      <c r="H25" s="275">
        <f t="shared" si="4"/>
        <v>2.2050000000000001</v>
      </c>
      <c r="I25" s="274"/>
      <c r="J25" s="278">
        <f t="shared" si="0"/>
        <v>0</v>
      </c>
      <c r="K25" s="279">
        <f t="shared" si="1"/>
        <v>0</v>
      </c>
    </row>
    <row r="26" spans="1:11" x14ac:dyDescent="0.25">
      <c r="A26" s="302" t="s">
        <v>282</v>
      </c>
      <c r="B26" s="280">
        <v>0.08</v>
      </c>
      <c r="C26" s="312">
        <f>B3*0.64</f>
        <v>201.6</v>
      </c>
      <c r="D26" s="275">
        <f t="shared" si="2"/>
        <v>16.128</v>
      </c>
      <c r="E26" s="274"/>
      <c r="F26" s="280">
        <f>B26</f>
        <v>0.08</v>
      </c>
      <c r="G26" s="312">
        <f t="shared" si="3"/>
        <v>201.6</v>
      </c>
      <c r="H26" s="275">
        <f t="shared" si="4"/>
        <v>16.128</v>
      </c>
      <c r="I26" s="274"/>
      <c r="J26" s="278">
        <f t="shared" si="0"/>
        <v>0</v>
      </c>
      <c r="K26" s="279">
        <f t="shared" si="1"/>
        <v>0</v>
      </c>
    </row>
    <row r="27" spans="1:11" x14ac:dyDescent="0.25">
      <c r="A27" s="302" t="s">
        <v>283</v>
      </c>
      <c r="B27" s="280">
        <v>0.122</v>
      </c>
      <c r="C27" s="312">
        <f>B3*0.18</f>
        <v>56.699999999999996</v>
      </c>
      <c r="D27" s="275">
        <f t="shared" si="2"/>
        <v>6.9173999999999998</v>
      </c>
      <c r="E27" s="274"/>
      <c r="F27" s="280">
        <f>B27</f>
        <v>0.122</v>
      </c>
      <c r="G27" s="312">
        <f t="shared" si="3"/>
        <v>56.699999999999996</v>
      </c>
      <c r="H27" s="275">
        <f t="shared" si="4"/>
        <v>6.9173999999999998</v>
      </c>
      <c r="I27" s="274"/>
      <c r="J27" s="278">
        <f t="shared" si="0"/>
        <v>0</v>
      </c>
      <c r="K27" s="279">
        <f t="shared" si="1"/>
        <v>0</v>
      </c>
    </row>
    <row r="28" spans="1:11" ht="15.75" thickBot="1" x14ac:dyDescent="0.3">
      <c r="A28" s="257" t="s">
        <v>284</v>
      </c>
      <c r="B28" s="428">
        <v>0.161</v>
      </c>
      <c r="C28" s="312">
        <f>B3*0.18</f>
        <v>56.699999999999996</v>
      </c>
      <c r="D28" s="275">
        <f t="shared" si="2"/>
        <v>9.1287000000000003</v>
      </c>
      <c r="E28" s="274"/>
      <c r="F28" s="428">
        <f>B28</f>
        <v>0.161</v>
      </c>
      <c r="G28" s="312">
        <f t="shared" si="3"/>
        <v>56.699999999999996</v>
      </c>
      <c r="H28" s="275">
        <f t="shared" si="4"/>
        <v>9.1287000000000003</v>
      </c>
      <c r="I28" s="274"/>
      <c r="J28" s="278">
        <f t="shared" si="0"/>
        <v>0</v>
      </c>
      <c r="K28" s="279">
        <f t="shared" si="1"/>
        <v>0</v>
      </c>
    </row>
    <row r="29" spans="1:11" ht="15.75" thickBot="1" x14ac:dyDescent="0.3">
      <c r="A29" s="318"/>
      <c r="B29" s="319"/>
      <c r="C29" s="320"/>
      <c r="D29" s="321"/>
      <c r="E29" s="274"/>
      <c r="F29" s="319"/>
      <c r="G29" s="322"/>
      <c r="H29" s="321"/>
      <c r="I29" s="274"/>
      <c r="J29" s="323"/>
      <c r="K29" s="324"/>
    </row>
    <row r="30" spans="1:11" x14ac:dyDescent="0.25">
      <c r="A30" s="325" t="s">
        <v>285</v>
      </c>
      <c r="B30" s="326"/>
      <c r="C30" s="327"/>
      <c r="D30" s="328">
        <f>SUM(D21:D25,D26:D28)</f>
        <v>60.414051999999998</v>
      </c>
      <c r="E30" s="329"/>
      <c r="F30" s="330"/>
      <c r="G30" s="331"/>
      <c r="H30" s="328">
        <f>SUM(H21:H25,H26:H28)</f>
        <v>63.369005599999994</v>
      </c>
      <c r="I30" s="315"/>
      <c r="J30" s="332">
        <f>H30-D30</f>
        <v>2.9549535999999961</v>
      </c>
      <c r="K30" s="333">
        <f>IF((D30)=0,"",(J30/D30))</f>
        <v>4.8911693590755943E-2</v>
      </c>
    </row>
    <row r="31" spans="1:11" x14ac:dyDescent="0.25">
      <c r="A31" s="334" t="s">
        <v>286</v>
      </c>
      <c r="B31" s="326">
        <v>0.13</v>
      </c>
      <c r="C31" s="335"/>
      <c r="D31" s="336">
        <f>D30*B31</f>
        <v>7.8538267600000005</v>
      </c>
      <c r="E31" s="337"/>
      <c r="F31" s="338">
        <v>0.13</v>
      </c>
      <c r="G31" s="337"/>
      <c r="H31" s="336">
        <f>H30*F31</f>
        <v>8.2379707279999987</v>
      </c>
      <c r="I31" s="274"/>
      <c r="J31" s="339">
        <f t="shared" si="0"/>
        <v>0.38414396799999828</v>
      </c>
      <c r="K31" s="340">
        <f t="shared" si="1"/>
        <v>4.8911693590755784E-2</v>
      </c>
    </row>
    <row r="32" spans="1:11" x14ac:dyDescent="0.25">
      <c r="A32" s="341" t="s">
        <v>287</v>
      </c>
      <c r="B32" s="337"/>
      <c r="C32" s="335"/>
      <c r="D32" s="336">
        <f>D30+D31</f>
        <v>68.267878760000002</v>
      </c>
      <c r="E32" s="337"/>
      <c r="F32" s="342"/>
      <c r="G32" s="337"/>
      <c r="H32" s="336">
        <f>H30+H31</f>
        <v>71.606976327999988</v>
      </c>
      <c r="I32" s="274"/>
      <c r="J32" s="339">
        <f t="shared" si="0"/>
        <v>3.3390975679999855</v>
      </c>
      <c r="K32" s="340">
        <f t="shared" si="1"/>
        <v>4.8911693590755791E-2</v>
      </c>
    </row>
    <row r="33" spans="1:11" x14ac:dyDescent="0.25">
      <c r="A33" s="343" t="s">
        <v>288</v>
      </c>
      <c r="B33" s="337"/>
      <c r="C33" s="335"/>
      <c r="D33" s="336">
        <f>ROUND(-D32*10%,2)</f>
        <v>-6.83</v>
      </c>
      <c r="E33" s="337"/>
      <c r="F33" s="342"/>
      <c r="G33" s="337"/>
      <c r="H33" s="336">
        <f>ROUND(-H32*10%,2)</f>
        <v>-7.16</v>
      </c>
      <c r="I33" s="274"/>
      <c r="J33" s="339">
        <f t="shared" si="0"/>
        <v>-0.33000000000000007</v>
      </c>
      <c r="K33" s="340">
        <f t="shared" si="1"/>
        <v>4.8316251830161062E-2</v>
      </c>
    </row>
    <row r="34" spans="1:11" ht="15.75" thickBot="1" x14ac:dyDescent="0.3">
      <c r="A34" s="344" t="s">
        <v>289</v>
      </c>
      <c r="B34" s="345"/>
      <c r="C34" s="346"/>
      <c r="D34" s="347">
        <f>D32+D33</f>
        <v>61.437878760000004</v>
      </c>
      <c r="E34" s="329"/>
      <c r="F34" s="348"/>
      <c r="G34" s="349"/>
      <c r="H34" s="347">
        <f>H32+H33</f>
        <v>64.446976327999991</v>
      </c>
      <c r="I34" s="315"/>
      <c r="J34" s="298">
        <f t="shared" si="0"/>
        <v>3.0090975679999872</v>
      </c>
      <c r="K34" s="299">
        <f t="shared" si="1"/>
        <v>4.8977888376561307E-2</v>
      </c>
    </row>
    <row r="35" spans="1:11" ht="15.75" thickBot="1" x14ac:dyDescent="0.3">
      <c r="A35" s="318"/>
      <c r="B35" s="350"/>
      <c r="C35" s="351"/>
      <c r="D35" s="352"/>
      <c r="E35" s="353"/>
      <c r="F35" s="354"/>
      <c r="G35" s="355"/>
      <c r="H35" s="356"/>
      <c r="I35" s="353"/>
      <c r="J35" s="357"/>
      <c r="K35" s="35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M38"/>
  <sheetViews>
    <sheetView tabSelected="1" workbookViewId="0">
      <selection activeCell="D20" sqref="D20"/>
    </sheetView>
  </sheetViews>
  <sheetFormatPr defaultRowHeight="15" x14ac:dyDescent="0.25"/>
  <cols>
    <col min="1" max="1" width="54.140625" style="369" bestFit="1" customWidth="1"/>
    <col min="2" max="2" width="14.42578125" style="369" customWidth="1"/>
    <col min="3" max="3" width="11.28515625" style="369" customWidth="1"/>
    <col min="4" max="4" width="14.28515625" style="369" customWidth="1"/>
    <col min="5" max="5" width="8" style="369" bestFit="1" customWidth="1"/>
    <col min="6" max="6" width="11" style="369" bestFit="1" customWidth="1"/>
    <col min="7" max="7" width="9.140625" style="369"/>
    <col min="8" max="8" width="9.85546875" style="369" bestFit="1" customWidth="1"/>
    <col min="9" max="9" width="8" style="369" bestFit="1" customWidth="1"/>
    <col min="10" max="10" width="9.5703125" style="369" bestFit="1" customWidth="1"/>
    <col min="11" max="11" width="10" style="369" bestFit="1" customWidth="1"/>
    <col min="12" max="12" width="9.5703125" style="371" bestFit="1" customWidth="1"/>
    <col min="13" max="13" width="10" style="371" bestFit="1" customWidth="1"/>
  </cols>
  <sheetData>
    <row r="1" spans="1:13" ht="15.75" x14ac:dyDescent="0.25">
      <c r="A1" s="246" t="s">
        <v>253</v>
      </c>
      <c r="B1" s="247" t="s">
        <v>292</v>
      </c>
      <c r="C1" s="247"/>
      <c r="D1" s="247"/>
      <c r="E1" s="366"/>
      <c r="F1" s="366"/>
      <c r="G1" s="366"/>
      <c r="H1" s="366"/>
      <c r="I1" s="366"/>
      <c r="J1" s="366"/>
      <c r="K1" s="367"/>
      <c r="L1" s="367"/>
      <c r="M1" s="367"/>
    </row>
    <row r="2" spans="1:13" ht="15.75" x14ac:dyDescent="0.25">
      <c r="A2" s="246" t="s">
        <v>255</v>
      </c>
      <c r="B2" s="248">
        <v>3.5999999999999997E-2</v>
      </c>
      <c r="C2" s="249"/>
      <c r="D2" s="249"/>
      <c r="E2" s="249"/>
      <c r="F2" s="249"/>
      <c r="G2" s="249"/>
      <c r="H2" s="249"/>
      <c r="I2" s="249"/>
      <c r="J2" s="249"/>
      <c r="K2" s="249"/>
      <c r="L2"/>
      <c r="M2"/>
    </row>
    <row r="3" spans="1:13" x14ac:dyDescent="0.25">
      <c r="A3" s="246" t="s">
        <v>256</v>
      </c>
      <c r="B3" s="250">
        <v>2000</v>
      </c>
      <c r="C3" s="251" t="s">
        <v>257</v>
      </c>
      <c r="L3"/>
      <c r="M3"/>
    </row>
    <row r="4" spans="1:13" x14ac:dyDescent="0.25">
      <c r="A4" s="365" t="s">
        <v>258</v>
      </c>
      <c r="L4"/>
      <c r="M4"/>
    </row>
    <row r="5" spans="1:13" x14ac:dyDescent="0.25">
      <c r="A5" s="254" t="s">
        <v>259</v>
      </c>
      <c r="B5" s="255"/>
      <c r="C5" s="256" t="s">
        <v>260</v>
      </c>
      <c r="L5"/>
      <c r="M5"/>
    </row>
    <row r="6" spans="1:13" x14ac:dyDescent="0.25">
      <c r="A6" s="257"/>
      <c r="B6" s="441" t="s">
        <v>261</v>
      </c>
      <c r="C6" s="442"/>
      <c r="D6" s="442"/>
      <c r="E6" s="258"/>
      <c r="F6" s="442" t="s">
        <v>8</v>
      </c>
      <c r="G6" s="442"/>
      <c r="H6" s="442"/>
      <c r="I6" s="258"/>
      <c r="J6" s="442" t="s">
        <v>262</v>
      </c>
      <c r="K6" s="443"/>
      <c r="L6"/>
      <c r="M6"/>
    </row>
    <row r="7" spans="1:13" ht="15" customHeight="1" x14ac:dyDescent="0.25">
      <c r="A7" s="257"/>
      <c r="B7" s="259" t="s">
        <v>263</v>
      </c>
      <c r="C7" s="259" t="s">
        <v>264</v>
      </c>
      <c r="D7" s="260" t="s">
        <v>265</v>
      </c>
      <c r="E7" s="261"/>
      <c r="F7" s="262" t="s">
        <v>263</v>
      </c>
      <c r="G7" s="262" t="s">
        <v>264</v>
      </c>
      <c r="H7" s="263" t="s">
        <v>265</v>
      </c>
      <c r="I7" s="261"/>
      <c r="J7" s="264" t="s">
        <v>266</v>
      </c>
      <c r="K7" s="265" t="s">
        <v>267</v>
      </c>
      <c r="L7"/>
      <c r="M7"/>
    </row>
    <row r="8" spans="1:13" x14ac:dyDescent="0.25">
      <c r="A8" s="257"/>
      <c r="B8" s="266" t="s">
        <v>268</v>
      </c>
      <c r="C8" s="266"/>
      <c r="D8" s="267" t="s">
        <v>268</v>
      </c>
      <c r="E8" s="261"/>
      <c r="F8" s="268" t="s">
        <v>268</v>
      </c>
      <c r="G8" s="268"/>
      <c r="H8" s="269" t="s">
        <v>268</v>
      </c>
      <c r="I8" s="261"/>
      <c r="J8" s="270"/>
      <c r="K8" s="271"/>
      <c r="L8"/>
      <c r="M8"/>
    </row>
    <row r="9" spans="1:13" x14ac:dyDescent="0.25">
      <c r="A9" s="272" t="s">
        <v>18</v>
      </c>
      <c r="B9" s="273">
        <f>ROUND('January 01, 2016 Rates'!G26,2)</f>
        <v>40.68</v>
      </c>
      <c r="C9" s="274">
        <v>1</v>
      </c>
      <c r="D9" s="275">
        <f>C9*B9</f>
        <v>40.68</v>
      </c>
      <c r="E9" s="274"/>
      <c r="F9" s="276">
        <f>ROUND('January 01, 2016 Rates'!F26,2)</f>
        <v>41.27</v>
      </c>
      <c r="G9" s="277">
        <f>C9</f>
        <v>1</v>
      </c>
      <c r="H9" s="275">
        <f>G9*F9</f>
        <v>41.27</v>
      </c>
      <c r="I9" s="274"/>
      <c r="J9" s="278">
        <f t="shared" ref="J9:J34" si="0">H9-D9</f>
        <v>0.59000000000000341</v>
      </c>
      <c r="K9" s="279">
        <f t="shared" ref="K9:K34" si="1">IF((D9)=0,"",(J9/D9))</f>
        <v>1.4503441494592021E-2</v>
      </c>
      <c r="L9"/>
      <c r="M9"/>
    </row>
    <row r="10" spans="1:13" x14ac:dyDescent="0.25">
      <c r="A10" s="272" t="s">
        <v>26</v>
      </c>
      <c r="B10" s="280">
        <f>ROUND('January 01, 2016 Rates'!G29,4)</f>
        <v>1.1900000000000001E-2</v>
      </c>
      <c r="C10" s="281">
        <f>+B3</f>
        <v>2000</v>
      </c>
      <c r="D10" s="275">
        <f>C10*B10</f>
        <v>23.8</v>
      </c>
      <c r="E10" s="274"/>
      <c r="F10" s="282">
        <f>ROUND('January 01, 2016 Rates'!F29,4)</f>
        <v>1.21E-2</v>
      </c>
      <c r="G10" s="283">
        <f>C10</f>
        <v>2000</v>
      </c>
      <c r="H10" s="275">
        <f>G10*F10</f>
        <v>24.2</v>
      </c>
      <c r="I10" s="274"/>
      <c r="J10" s="278">
        <f t="shared" si="0"/>
        <v>0.39999999999999858</v>
      </c>
      <c r="K10" s="279">
        <f t="shared" si="1"/>
        <v>1.6806722689075571E-2</v>
      </c>
      <c r="L10"/>
      <c r="M10"/>
    </row>
    <row r="11" spans="1:13" x14ac:dyDescent="0.25">
      <c r="A11" s="284" t="s">
        <v>269</v>
      </c>
      <c r="B11" s="285">
        <f>ROUND('January 01, 2016 Rates'!G32,4)</f>
        <v>0</v>
      </c>
      <c r="C11" s="286">
        <f>+B3</f>
        <v>2000</v>
      </c>
      <c r="D11" s="287">
        <f>C11*B11</f>
        <v>0</v>
      </c>
      <c r="E11" s="274"/>
      <c r="F11" s="288">
        <v>0</v>
      </c>
      <c r="G11" s="289">
        <f>C11</f>
        <v>2000</v>
      </c>
      <c r="H11" s="287">
        <f>G11*F11</f>
        <v>0</v>
      </c>
      <c r="I11" s="274"/>
      <c r="J11" s="290">
        <f t="shared" si="0"/>
        <v>0</v>
      </c>
      <c r="K11" s="291" t="str">
        <f t="shared" si="1"/>
        <v/>
      </c>
      <c r="L11"/>
      <c r="M11"/>
    </row>
    <row r="12" spans="1:13" x14ac:dyDescent="0.25">
      <c r="A12" s="292" t="s">
        <v>270</v>
      </c>
      <c r="B12" s="293"/>
      <c r="C12" s="294"/>
      <c r="D12" s="295">
        <f>SUM(D9:D11)</f>
        <v>64.48</v>
      </c>
      <c r="E12" s="274"/>
      <c r="F12" s="296"/>
      <c r="G12" s="297"/>
      <c r="H12" s="295">
        <f>SUM(H9:H11)</f>
        <v>65.47</v>
      </c>
      <c r="I12" s="274"/>
      <c r="J12" s="298">
        <f t="shared" si="0"/>
        <v>0.98999999999999488</v>
      </c>
      <c r="K12" s="299">
        <f t="shared" si="1"/>
        <v>1.5353598014888257E-2</v>
      </c>
      <c r="L12"/>
      <c r="M12"/>
    </row>
    <row r="13" spans="1:13" x14ac:dyDescent="0.25">
      <c r="A13" s="300" t="s">
        <v>271</v>
      </c>
      <c r="B13" s="424">
        <f>ROUND(B26*0.64+B27*0.18+B28*0.18,4)</f>
        <v>0.1021</v>
      </c>
      <c r="C13" s="301">
        <f>+(SUM(C26:C28)*B2)</f>
        <v>72</v>
      </c>
      <c r="D13" s="275">
        <f>B13*C13</f>
        <v>7.3511999999999995</v>
      </c>
      <c r="E13" s="274"/>
      <c r="F13" s="282">
        <f>ROUND(F26*0.64+F27*0.18+F28*0.18,4)</f>
        <v>0.1021</v>
      </c>
      <c r="G13" s="301">
        <f>C13</f>
        <v>72</v>
      </c>
      <c r="H13" s="275">
        <f>F13*G13</f>
        <v>7.3511999999999995</v>
      </c>
      <c r="I13" s="274"/>
      <c r="J13" s="278">
        <f t="shared" si="0"/>
        <v>0</v>
      </c>
      <c r="K13" s="279">
        <f t="shared" si="1"/>
        <v>0</v>
      </c>
      <c r="L13"/>
      <c r="M13"/>
    </row>
    <row r="14" spans="1:13" x14ac:dyDescent="0.25">
      <c r="A14" s="300" t="s">
        <v>349</v>
      </c>
      <c r="B14" s="280">
        <f>ROUND('January 01, 2016 Rates'!G31,4)</f>
        <v>0</v>
      </c>
      <c r="C14" s="301">
        <f>+B3</f>
        <v>2000</v>
      </c>
      <c r="D14" s="275">
        <f>C14*B14</f>
        <v>0</v>
      </c>
      <c r="E14" s="274"/>
      <c r="F14" s="282">
        <f>ROUND('January 01, 2016 Rates'!F30+'January 01, 2016 Rates'!F31+'January 01, 2016 Rates'!F34+'January 01, 2016 Rates'!F35,4)</f>
        <v>8.0000000000000004E-4</v>
      </c>
      <c r="G14" s="301">
        <f>C14</f>
        <v>2000</v>
      </c>
      <c r="H14" s="275">
        <f>G14*F14</f>
        <v>1.6</v>
      </c>
      <c r="I14" s="274"/>
      <c r="J14" s="278">
        <f t="shared" si="0"/>
        <v>1.6</v>
      </c>
      <c r="K14" s="279" t="str">
        <f t="shared" si="1"/>
        <v/>
      </c>
      <c r="L14"/>
      <c r="M14"/>
    </row>
    <row r="15" spans="1:13" x14ac:dyDescent="0.25">
      <c r="A15" s="302" t="s">
        <v>272</v>
      </c>
      <c r="B15" s="280">
        <f>ROUND('January 01, 2016 Rates'!G37,4)</f>
        <v>2.0000000000000001E-4</v>
      </c>
      <c r="C15" s="301">
        <f>+B3</f>
        <v>2000</v>
      </c>
      <c r="D15" s="275">
        <f>C15*B15</f>
        <v>0.4</v>
      </c>
      <c r="E15" s="274"/>
      <c r="F15" s="282">
        <f>ROUND('January 01, 2016 Rates'!F37,4)</f>
        <v>2.0000000000000001E-4</v>
      </c>
      <c r="G15" s="301">
        <f>C15</f>
        <v>2000</v>
      </c>
      <c r="H15" s="275">
        <f>G15*F15</f>
        <v>0.4</v>
      </c>
      <c r="I15" s="274"/>
      <c r="J15" s="278">
        <f t="shared" si="0"/>
        <v>0</v>
      </c>
      <c r="K15" s="279">
        <f t="shared" si="1"/>
        <v>0</v>
      </c>
      <c r="L15"/>
      <c r="M15"/>
    </row>
    <row r="16" spans="1:13" x14ac:dyDescent="0.25">
      <c r="A16" s="302" t="s">
        <v>273</v>
      </c>
      <c r="B16" s="280">
        <f>ROUND('January 01, 2016 Rates'!G27,4)</f>
        <v>0.79</v>
      </c>
      <c r="C16" s="301">
        <v>1</v>
      </c>
      <c r="D16" s="275">
        <f>C16*B16</f>
        <v>0.79</v>
      </c>
      <c r="E16" s="274"/>
      <c r="F16" s="282">
        <f>ROUND('January 01, 2016 Rates'!F27,4)</f>
        <v>0.79</v>
      </c>
      <c r="G16" s="301">
        <f>C16</f>
        <v>1</v>
      </c>
      <c r="H16" s="275">
        <f>G16*F16</f>
        <v>0.79</v>
      </c>
      <c r="I16" s="274"/>
      <c r="J16" s="278">
        <f t="shared" si="0"/>
        <v>0</v>
      </c>
      <c r="K16" s="279">
        <f t="shared" si="1"/>
        <v>0</v>
      </c>
      <c r="L16"/>
      <c r="M16"/>
    </row>
    <row r="17" spans="1:13" x14ac:dyDescent="0.25">
      <c r="A17" s="302" t="s">
        <v>350</v>
      </c>
      <c r="B17" s="280">
        <v>0</v>
      </c>
      <c r="C17" s="301">
        <v>1</v>
      </c>
      <c r="D17" s="275">
        <f>C17*B17</f>
        <v>0</v>
      </c>
      <c r="E17" s="274"/>
      <c r="F17" s="276">
        <f>ROUND('January 01, 2016 Rates'!F28,2)</f>
        <v>1.88</v>
      </c>
      <c r="G17" s="431">
        <f>C17</f>
        <v>1</v>
      </c>
      <c r="H17" s="275">
        <f>G17*F17</f>
        <v>1.88</v>
      </c>
      <c r="I17" s="274"/>
      <c r="J17" s="278"/>
      <c r="K17" s="279"/>
      <c r="L17"/>
      <c r="M17"/>
    </row>
    <row r="18" spans="1:13" x14ac:dyDescent="0.25">
      <c r="A18" s="303" t="s">
        <v>274</v>
      </c>
      <c r="B18" s="304"/>
      <c r="C18" s="305"/>
      <c r="D18" s="306">
        <f>SUM(D12:D17)</f>
        <v>73.021200000000022</v>
      </c>
      <c r="E18" s="274"/>
      <c r="F18" s="307"/>
      <c r="G18" s="308"/>
      <c r="H18" s="306">
        <f>SUM(H12:H17)</f>
        <v>77.491200000000006</v>
      </c>
      <c r="I18" s="274"/>
      <c r="J18" s="309">
        <f t="shared" si="0"/>
        <v>4.4699999999999847</v>
      </c>
      <c r="K18" s="310">
        <f t="shared" si="1"/>
        <v>6.121509917667723E-2</v>
      </c>
      <c r="L18"/>
      <c r="M18"/>
    </row>
    <row r="19" spans="1:13" ht="15" customHeight="1" x14ac:dyDescent="0.25">
      <c r="A19" s="311" t="s">
        <v>275</v>
      </c>
      <c r="B19" s="280">
        <f>ROUND('January 01, 2016 Rates'!G38,4)</f>
        <v>7.6E-3</v>
      </c>
      <c r="C19" s="312">
        <f>+B3</f>
        <v>2000</v>
      </c>
      <c r="D19" s="275">
        <f>C19*B19</f>
        <v>15.2</v>
      </c>
      <c r="E19" s="274"/>
      <c r="F19" s="282">
        <f>ROUND('January 01, 2016 Rates'!F38,4)</f>
        <v>7.4000000000000003E-3</v>
      </c>
      <c r="G19" s="313">
        <f>C19</f>
        <v>2000</v>
      </c>
      <c r="H19" s="275">
        <f>G19*F19</f>
        <v>14.8</v>
      </c>
      <c r="I19" s="274"/>
      <c r="J19" s="278">
        <f t="shared" si="0"/>
        <v>-0.39999999999999858</v>
      </c>
      <c r="K19" s="279">
        <f t="shared" si="1"/>
        <v>-2.6315789473684119E-2</v>
      </c>
      <c r="L19"/>
      <c r="M19"/>
    </row>
    <row r="20" spans="1:13" x14ac:dyDescent="0.25">
      <c r="A20" s="314" t="s">
        <v>276</v>
      </c>
      <c r="B20" s="280">
        <f>ROUND('January 01, 2016 Rates'!G39,4)</f>
        <v>5.5999999999999999E-3</v>
      </c>
      <c r="C20" s="312">
        <f>+B3</f>
        <v>2000</v>
      </c>
      <c r="D20" s="275">
        <f>C20*B20</f>
        <v>11.2</v>
      </c>
      <c r="E20" s="274"/>
      <c r="F20" s="282">
        <f>ROUND('January 01, 2016 Rates'!F39,4)</f>
        <v>5.7999999999999996E-3</v>
      </c>
      <c r="G20" s="313">
        <f>C20</f>
        <v>2000</v>
      </c>
      <c r="H20" s="275">
        <f>G20*F20</f>
        <v>11.6</v>
      </c>
      <c r="I20" s="274"/>
      <c r="J20" s="278">
        <f t="shared" si="0"/>
        <v>0.40000000000000036</v>
      </c>
      <c r="K20" s="279">
        <f t="shared" si="1"/>
        <v>3.5714285714285747E-2</v>
      </c>
      <c r="L20"/>
      <c r="M20"/>
    </row>
    <row r="21" spans="1:13" x14ac:dyDescent="0.25">
      <c r="A21" s="303" t="s">
        <v>277</v>
      </c>
      <c r="B21" s="304"/>
      <c r="C21" s="305"/>
      <c r="D21" s="306">
        <f>SUM(D18:D20)</f>
        <v>99.421200000000027</v>
      </c>
      <c r="E21" s="315"/>
      <c r="F21" s="316"/>
      <c r="G21" s="317"/>
      <c r="H21" s="306">
        <f>SUM(H18:H20)</f>
        <v>103.8912</v>
      </c>
      <c r="I21" s="315"/>
      <c r="J21" s="309">
        <f t="shared" si="0"/>
        <v>4.4699999999999704</v>
      </c>
      <c r="K21" s="310">
        <f t="shared" si="1"/>
        <v>4.4960229810140785E-2</v>
      </c>
      <c r="L21"/>
      <c r="M21"/>
    </row>
    <row r="22" spans="1:13" x14ac:dyDescent="0.25">
      <c r="A22" s="302" t="s">
        <v>278</v>
      </c>
      <c r="B22" s="427">
        <f>ROUND('January 01, 2016 Rates'!G40,4)</f>
        <v>4.4000000000000003E-3</v>
      </c>
      <c r="C22" s="312">
        <f>+B3+C13</f>
        <v>2072</v>
      </c>
      <c r="D22" s="275">
        <f t="shared" ref="D22:D28" si="2">C22*B22</f>
        <v>9.1168000000000013</v>
      </c>
      <c r="E22" s="274"/>
      <c r="F22" s="282">
        <f>ROUND('January 01, 2016 Rates'!F40,4)</f>
        <v>4.4000000000000003E-3</v>
      </c>
      <c r="G22" s="313">
        <f>+C22</f>
        <v>2072</v>
      </c>
      <c r="H22" s="275">
        <f t="shared" ref="H22:H28" si="3">G22*F22</f>
        <v>9.1168000000000013</v>
      </c>
      <c r="I22" s="274"/>
      <c r="J22" s="278">
        <f t="shared" si="0"/>
        <v>0</v>
      </c>
      <c r="K22" s="279">
        <f t="shared" si="1"/>
        <v>0</v>
      </c>
      <c r="L22"/>
      <c r="M22"/>
    </row>
    <row r="23" spans="1:13" x14ac:dyDescent="0.25">
      <c r="A23" s="302" t="s">
        <v>279</v>
      </c>
      <c r="B23" s="280">
        <f>ROUND('January 01, 2016 Rates'!G41,4)</f>
        <v>1.2999999999999999E-3</v>
      </c>
      <c r="C23" s="312">
        <f>+B3+C13</f>
        <v>2072</v>
      </c>
      <c r="D23" s="275">
        <f t="shared" si="2"/>
        <v>2.6936</v>
      </c>
      <c r="E23" s="274"/>
      <c r="F23" s="282">
        <f>ROUND('January 01, 2016 Rates'!F41,4)</f>
        <v>1.2999999999999999E-3</v>
      </c>
      <c r="G23" s="313">
        <f>+C23</f>
        <v>2072</v>
      </c>
      <c r="H23" s="275">
        <f t="shared" si="3"/>
        <v>2.6936</v>
      </c>
      <c r="I23" s="274"/>
      <c r="J23" s="278">
        <f t="shared" si="0"/>
        <v>0</v>
      </c>
      <c r="K23" s="279">
        <f t="shared" si="1"/>
        <v>0</v>
      </c>
      <c r="L23"/>
      <c r="M23"/>
    </row>
    <row r="24" spans="1:13" x14ac:dyDescent="0.25">
      <c r="A24" s="302" t="s">
        <v>280</v>
      </c>
      <c r="B24" s="280">
        <f>ROUND('January 01, 2016 Rates'!G42,4)</f>
        <v>0.25</v>
      </c>
      <c r="C24" s="312">
        <v>1</v>
      </c>
      <c r="D24" s="275">
        <f t="shared" si="2"/>
        <v>0.25</v>
      </c>
      <c r="E24" s="274"/>
      <c r="F24" s="282">
        <f>ROUND('January 01, 2016 Rates'!F42,4)</f>
        <v>0.25</v>
      </c>
      <c r="G24" s="313">
        <f>C24</f>
        <v>1</v>
      </c>
      <c r="H24" s="275">
        <f t="shared" si="3"/>
        <v>0.25</v>
      </c>
      <c r="I24" s="274"/>
      <c r="J24" s="278">
        <f t="shared" si="0"/>
        <v>0</v>
      </c>
      <c r="K24" s="279">
        <f t="shared" si="1"/>
        <v>0</v>
      </c>
      <c r="L24"/>
      <c r="M24"/>
    </row>
    <row r="25" spans="1:13" x14ac:dyDescent="0.25">
      <c r="A25" s="302" t="s">
        <v>281</v>
      </c>
      <c r="B25" s="280">
        <f>ROUND('January 01, 2016 Rates'!G24,4)</f>
        <v>7.0000000000000001E-3</v>
      </c>
      <c r="C25" s="312">
        <f>+B3</f>
        <v>2000</v>
      </c>
      <c r="D25" s="275">
        <f t="shared" si="2"/>
        <v>14</v>
      </c>
      <c r="E25" s="274"/>
      <c r="F25" s="424">
        <f>ROUND('January 01, 2016 Rates'!F43,4)</f>
        <v>7.0000000000000001E-3</v>
      </c>
      <c r="G25" s="313">
        <f>C25</f>
        <v>2000</v>
      </c>
      <c r="H25" s="275">
        <f t="shared" si="3"/>
        <v>14</v>
      </c>
      <c r="I25" s="274"/>
      <c r="J25" s="278">
        <f t="shared" si="0"/>
        <v>0</v>
      </c>
      <c r="K25" s="279">
        <f t="shared" si="1"/>
        <v>0</v>
      </c>
      <c r="L25"/>
      <c r="M25"/>
    </row>
    <row r="26" spans="1:13" x14ac:dyDescent="0.25">
      <c r="A26" s="302" t="s">
        <v>282</v>
      </c>
      <c r="B26" s="280">
        <v>0.08</v>
      </c>
      <c r="C26" s="312">
        <f>B3*0.64</f>
        <v>1280</v>
      </c>
      <c r="D26" s="275">
        <f t="shared" si="2"/>
        <v>102.4</v>
      </c>
      <c r="E26" s="274"/>
      <c r="F26" s="424">
        <v>0.08</v>
      </c>
      <c r="G26" s="312">
        <f>C26</f>
        <v>1280</v>
      </c>
      <c r="H26" s="275">
        <f t="shared" si="3"/>
        <v>102.4</v>
      </c>
      <c r="I26" s="274"/>
      <c r="J26" s="278">
        <f t="shared" si="0"/>
        <v>0</v>
      </c>
      <c r="K26" s="279">
        <f t="shared" si="1"/>
        <v>0</v>
      </c>
      <c r="L26"/>
      <c r="M26"/>
    </row>
    <row r="27" spans="1:13" x14ac:dyDescent="0.25">
      <c r="A27" s="302" t="s">
        <v>283</v>
      </c>
      <c r="B27" s="280">
        <v>0.122</v>
      </c>
      <c r="C27" s="312">
        <f>B3*0.18</f>
        <v>360</v>
      </c>
      <c r="D27" s="275">
        <f t="shared" si="2"/>
        <v>43.92</v>
      </c>
      <c r="E27" s="274"/>
      <c r="F27" s="424">
        <v>0.122</v>
      </c>
      <c r="G27" s="312">
        <f>C27</f>
        <v>360</v>
      </c>
      <c r="H27" s="275">
        <f t="shared" si="3"/>
        <v>43.92</v>
      </c>
      <c r="I27" s="274"/>
      <c r="J27" s="278">
        <f t="shared" si="0"/>
        <v>0</v>
      </c>
      <c r="K27" s="279">
        <f t="shared" si="1"/>
        <v>0</v>
      </c>
      <c r="L27"/>
      <c r="M27"/>
    </row>
    <row r="28" spans="1:13" ht="15.75" thickBot="1" x14ac:dyDescent="0.3">
      <c r="A28" s="257" t="s">
        <v>284</v>
      </c>
      <c r="B28" s="428">
        <v>0.161</v>
      </c>
      <c r="C28" s="312">
        <f>B3*0.18</f>
        <v>360</v>
      </c>
      <c r="D28" s="275">
        <f t="shared" si="2"/>
        <v>57.96</v>
      </c>
      <c r="E28" s="274"/>
      <c r="F28" s="424">
        <v>0.161</v>
      </c>
      <c r="G28" s="312">
        <f>C28</f>
        <v>360</v>
      </c>
      <c r="H28" s="275">
        <f t="shared" si="3"/>
        <v>57.96</v>
      </c>
      <c r="I28" s="274"/>
      <c r="J28" s="278">
        <f t="shared" si="0"/>
        <v>0</v>
      </c>
      <c r="K28" s="279">
        <f t="shared" si="1"/>
        <v>0</v>
      </c>
      <c r="L28"/>
      <c r="M28"/>
    </row>
    <row r="29" spans="1:13" ht="15.75" thickBot="1" x14ac:dyDescent="0.3">
      <c r="A29" s="318"/>
      <c r="B29" s="319"/>
      <c r="C29" s="320"/>
      <c r="D29" s="321"/>
      <c r="E29" s="274"/>
      <c r="F29" s="319"/>
      <c r="G29" s="322"/>
      <c r="H29" s="321"/>
      <c r="I29" s="274"/>
      <c r="J29" s="323"/>
      <c r="K29" s="324"/>
      <c r="L29"/>
      <c r="M29"/>
    </row>
    <row r="30" spans="1:13" x14ac:dyDescent="0.25">
      <c r="A30" s="325" t="s">
        <v>285</v>
      </c>
      <c r="B30" s="326"/>
      <c r="C30" s="327"/>
      <c r="D30" s="328">
        <f>SUM(D21:D28)</f>
        <v>329.76160000000004</v>
      </c>
      <c r="E30" s="329"/>
      <c r="F30" s="330"/>
      <c r="G30" s="331"/>
      <c r="H30" s="328">
        <f>SUM(H21:H28)</f>
        <v>334.23159999999996</v>
      </c>
      <c r="I30" s="315"/>
      <c r="J30" s="332">
        <f>H30-D30</f>
        <v>4.4699999999999136</v>
      </c>
      <c r="K30" s="333">
        <f>IF((D30)=0,"",(J30/D30))</f>
        <v>1.3555247184632514E-2</v>
      </c>
      <c r="L30"/>
      <c r="M30"/>
    </row>
    <row r="31" spans="1:13" x14ac:dyDescent="0.25">
      <c r="A31" s="334" t="s">
        <v>286</v>
      </c>
      <c r="B31" s="326">
        <v>0.13</v>
      </c>
      <c r="C31" s="335"/>
      <c r="D31" s="336">
        <f>D30*B31</f>
        <v>42.869008000000008</v>
      </c>
      <c r="E31" s="337"/>
      <c r="F31" s="338">
        <v>0.13</v>
      </c>
      <c r="G31" s="337"/>
      <c r="H31" s="336">
        <f>H30*F31</f>
        <v>43.450107999999993</v>
      </c>
      <c r="I31" s="274"/>
      <c r="J31" s="339">
        <f t="shared" si="0"/>
        <v>0.58109999999998507</v>
      </c>
      <c r="K31" s="340">
        <f t="shared" si="1"/>
        <v>1.3555247184632427E-2</v>
      </c>
      <c r="L31"/>
      <c r="M31"/>
    </row>
    <row r="32" spans="1:13" ht="15" customHeight="1" x14ac:dyDescent="0.25">
      <c r="A32" s="341" t="s">
        <v>287</v>
      </c>
      <c r="B32" s="337"/>
      <c r="C32" s="335"/>
      <c r="D32" s="336">
        <f>D30+D31</f>
        <v>372.63060800000005</v>
      </c>
      <c r="E32" s="337"/>
      <c r="F32" s="342"/>
      <c r="G32" s="337"/>
      <c r="H32" s="336">
        <f>H30+H31</f>
        <v>377.68170799999996</v>
      </c>
      <c r="I32" s="274"/>
      <c r="J32" s="339">
        <f t="shared" si="0"/>
        <v>5.0510999999999058</v>
      </c>
      <c r="K32" s="340">
        <f t="shared" si="1"/>
        <v>1.3555247184632522E-2</v>
      </c>
      <c r="L32"/>
      <c r="M32"/>
    </row>
    <row r="33" spans="1:13" ht="15.75" customHeight="1" x14ac:dyDescent="0.25">
      <c r="A33" s="343" t="s">
        <v>288</v>
      </c>
      <c r="B33" s="337"/>
      <c r="C33" s="335"/>
      <c r="D33" s="336">
        <f>ROUND(-D32*10%,2)</f>
        <v>-37.26</v>
      </c>
      <c r="E33" s="337"/>
      <c r="F33" s="342"/>
      <c r="G33" s="337"/>
      <c r="H33" s="336">
        <f>ROUND(-H32*10%,2)</f>
        <v>-37.770000000000003</v>
      </c>
      <c r="I33" s="274"/>
      <c r="J33" s="339">
        <f t="shared" si="0"/>
        <v>-0.51000000000000512</v>
      </c>
      <c r="K33" s="340">
        <f t="shared" si="1"/>
        <v>1.3687600644122522E-2</v>
      </c>
      <c r="L33"/>
      <c r="M33"/>
    </row>
    <row r="34" spans="1:13" ht="15.75" thickBot="1" x14ac:dyDescent="0.3">
      <c r="A34" s="344" t="s">
        <v>289</v>
      </c>
      <c r="B34" s="345"/>
      <c r="C34" s="346"/>
      <c r="D34" s="347">
        <f>D32+D33</f>
        <v>335.37060800000006</v>
      </c>
      <c r="E34" s="329"/>
      <c r="F34" s="348"/>
      <c r="G34" s="349"/>
      <c r="H34" s="347">
        <f>H32+H33</f>
        <v>339.91170799999998</v>
      </c>
      <c r="I34" s="315"/>
      <c r="J34" s="298">
        <f t="shared" si="0"/>
        <v>4.5410999999999149</v>
      </c>
      <c r="K34" s="299">
        <f t="shared" si="1"/>
        <v>1.3540542586844444E-2</v>
      </c>
      <c r="L34"/>
      <c r="M34"/>
    </row>
    <row r="35" spans="1:13" ht="15.75" thickBot="1" x14ac:dyDescent="0.3">
      <c r="A35" s="318"/>
      <c r="B35" s="350"/>
      <c r="C35" s="351"/>
      <c r="D35" s="352"/>
      <c r="E35" s="353"/>
      <c r="F35" s="354"/>
      <c r="G35" s="355"/>
      <c r="H35" s="356"/>
      <c r="I35" s="353"/>
      <c r="J35" s="357"/>
      <c r="K35" s="358"/>
      <c r="L35"/>
      <c r="M35"/>
    </row>
    <row r="36" spans="1:13" x14ac:dyDescent="0.25">
      <c r="A36" s="257"/>
      <c r="B36" s="257"/>
      <c r="L36"/>
      <c r="M36"/>
    </row>
    <row r="37" spans="1:13" x14ac:dyDescent="0.25">
      <c r="A37" s="257"/>
      <c r="B37" s="257"/>
      <c r="L37"/>
      <c r="M37"/>
    </row>
    <row r="38" spans="1:13" x14ac:dyDescent="0.25">
      <c r="A38" s="370"/>
      <c r="B38" s="257"/>
      <c r="L38"/>
      <c r="M3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6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:M38"/>
  <sheetViews>
    <sheetView tabSelected="1" workbookViewId="0">
      <selection activeCell="D20" sqref="D20"/>
    </sheetView>
  </sheetViews>
  <sheetFormatPr defaultRowHeight="15" x14ac:dyDescent="0.25"/>
  <cols>
    <col min="1" max="1" width="54.140625" style="371" bestFit="1" customWidth="1"/>
    <col min="2" max="2" width="14.42578125" style="371" customWidth="1"/>
    <col min="3" max="3" width="11.28515625" style="371" customWidth="1"/>
    <col min="4" max="4" width="14.28515625" style="369" customWidth="1"/>
    <col min="5" max="5" width="8" style="376" bestFit="1" customWidth="1"/>
    <col min="6" max="6" width="11" style="371" bestFit="1" customWidth="1"/>
    <col min="7" max="7" width="9.140625" style="371"/>
    <col min="8" max="8" width="9.85546875" style="369" bestFit="1" customWidth="1"/>
    <col min="9" max="9" width="8" style="376" bestFit="1" customWidth="1"/>
    <col min="10" max="10" width="9.5703125" style="371" bestFit="1" customWidth="1"/>
    <col min="11" max="11" width="10" style="371" bestFit="1" customWidth="1"/>
    <col min="12" max="12" width="9.5703125" style="371" bestFit="1" customWidth="1"/>
    <col min="13" max="13" width="10" style="371" bestFit="1" customWidth="1"/>
  </cols>
  <sheetData>
    <row r="1" spans="1:13" ht="15.75" x14ac:dyDescent="0.25">
      <c r="A1" s="246" t="s">
        <v>253</v>
      </c>
      <c r="B1" s="247" t="s">
        <v>293</v>
      </c>
      <c r="C1" s="247"/>
      <c r="D1" s="247"/>
      <c r="E1" s="247"/>
      <c r="F1" s="366"/>
      <c r="G1" s="366"/>
      <c r="H1" s="366"/>
      <c r="I1" s="372"/>
      <c r="J1" s="366"/>
      <c r="K1" s="367"/>
      <c r="L1" s="367"/>
      <c r="M1" s="367"/>
    </row>
    <row r="2" spans="1:13" ht="15.75" x14ac:dyDescent="0.25">
      <c r="A2" s="246" t="s">
        <v>255</v>
      </c>
      <c r="B2" s="248">
        <v>3.5999999999999997E-2</v>
      </c>
      <c r="C2" s="249"/>
      <c r="D2" s="249"/>
      <c r="E2" s="373"/>
      <c r="F2" s="249"/>
      <c r="G2" s="249"/>
      <c r="H2" s="249"/>
      <c r="I2" s="373"/>
      <c r="J2" s="249"/>
      <c r="K2" s="249"/>
      <c r="L2"/>
      <c r="M2"/>
    </row>
    <row r="3" spans="1:13" x14ac:dyDescent="0.25">
      <c r="A3" s="246" t="s">
        <v>256</v>
      </c>
      <c r="B3" s="250">
        <v>2000</v>
      </c>
      <c r="C3" s="251" t="s">
        <v>257</v>
      </c>
      <c r="E3" s="374"/>
      <c r="F3" s="369"/>
      <c r="G3" s="369"/>
      <c r="I3" s="374"/>
      <c r="J3" s="369"/>
      <c r="K3" s="369"/>
      <c r="L3"/>
      <c r="M3"/>
    </row>
    <row r="4" spans="1:13" x14ac:dyDescent="0.25">
      <c r="A4" s="365" t="s">
        <v>258</v>
      </c>
      <c r="B4" s="369"/>
      <c r="C4" s="369"/>
      <c r="E4" s="374"/>
      <c r="F4" s="369"/>
      <c r="G4" s="369"/>
      <c r="I4" s="374"/>
      <c r="J4" s="369"/>
      <c r="K4" s="369"/>
      <c r="L4"/>
      <c r="M4"/>
    </row>
    <row r="5" spans="1:13" x14ac:dyDescent="0.25">
      <c r="A5" s="254" t="s">
        <v>259</v>
      </c>
      <c r="B5" s="255"/>
      <c r="C5" s="256" t="s">
        <v>260</v>
      </c>
      <c r="E5" s="374"/>
      <c r="F5" s="369"/>
      <c r="G5" s="369"/>
      <c r="I5" s="374"/>
      <c r="J5" s="369"/>
      <c r="K5" s="369"/>
      <c r="L5"/>
      <c r="M5"/>
    </row>
    <row r="6" spans="1:13" x14ac:dyDescent="0.25">
      <c r="A6" s="257"/>
      <c r="B6" s="441" t="s">
        <v>261</v>
      </c>
      <c r="C6" s="442"/>
      <c r="D6" s="442"/>
      <c r="E6" s="258"/>
      <c r="F6" s="442" t="s">
        <v>8</v>
      </c>
      <c r="G6" s="442"/>
      <c r="H6" s="442"/>
      <c r="I6" s="258"/>
      <c r="J6" s="442" t="s">
        <v>262</v>
      </c>
      <c r="K6" s="443"/>
      <c r="L6"/>
      <c r="M6"/>
    </row>
    <row r="7" spans="1:13" ht="15" customHeight="1" x14ac:dyDescent="0.25">
      <c r="A7" s="257"/>
      <c r="B7" s="259" t="s">
        <v>263</v>
      </c>
      <c r="C7" s="259" t="s">
        <v>264</v>
      </c>
      <c r="D7" s="260" t="s">
        <v>265</v>
      </c>
      <c r="E7" s="261"/>
      <c r="F7" s="262" t="s">
        <v>263</v>
      </c>
      <c r="G7" s="262" t="s">
        <v>264</v>
      </c>
      <c r="H7" s="263" t="s">
        <v>265</v>
      </c>
      <c r="I7" s="261"/>
      <c r="J7" s="264" t="s">
        <v>266</v>
      </c>
      <c r="K7" s="265" t="s">
        <v>267</v>
      </c>
      <c r="L7"/>
      <c r="M7"/>
    </row>
    <row r="8" spans="1:13" x14ac:dyDescent="0.25">
      <c r="A8" s="257"/>
      <c r="B8" s="266" t="s">
        <v>268</v>
      </c>
      <c r="C8" s="266"/>
      <c r="D8" s="267" t="s">
        <v>268</v>
      </c>
      <c r="E8" s="261"/>
      <c r="F8" s="268" t="s">
        <v>268</v>
      </c>
      <c r="G8" s="268"/>
      <c r="H8" s="269" t="s">
        <v>268</v>
      </c>
      <c r="I8" s="261"/>
      <c r="J8" s="270"/>
      <c r="K8" s="271"/>
      <c r="L8"/>
      <c r="M8"/>
    </row>
    <row r="9" spans="1:13" x14ac:dyDescent="0.25">
      <c r="A9" s="272" t="s">
        <v>18</v>
      </c>
      <c r="B9" s="273">
        <f>ROUND('January 01, 2016 Rates'!G26,2)</f>
        <v>40.68</v>
      </c>
      <c r="C9" s="274">
        <v>1</v>
      </c>
      <c r="D9" s="275">
        <f>C9*B9</f>
        <v>40.68</v>
      </c>
      <c r="E9" s="274"/>
      <c r="F9" s="276">
        <f>ROUND('January 01, 2016 Rates'!F26,2)</f>
        <v>41.27</v>
      </c>
      <c r="G9" s="277">
        <f>C9</f>
        <v>1</v>
      </c>
      <c r="H9" s="275">
        <f>G9*F9</f>
        <v>41.27</v>
      </c>
      <c r="I9" s="274"/>
      <c r="J9" s="278">
        <f t="shared" ref="J9:J34" si="0">H9-D9</f>
        <v>0.59000000000000341</v>
      </c>
      <c r="K9" s="279">
        <f t="shared" ref="K9:K34" si="1">IF((D9)=0,"",(J9/D9))</f>
        <v>1.4503441494592021E-2</v>
      </c>
      <c r="L9"/>
      <c r="M9"/>
    </row>
    <row r="10" spans="1:13" x14ac:dyDescent="0.25">
      <c r="A10" s="272" t="s">
        <v>26</v>
      </c>
      <c r="B10" s="280">
        <f>ROUND('January 01, 2016 Rates'!G29,4)</f>
        <v>1.1900000000000001E-2</v>
      </c>
      <c r="C10" s="281">
        <f>+B3</f>
        <v>2000</v>
      </c>
      <c r="D10" s="275">
        <f>C10*B10</f>
        <v>23.8</v>
      </c>
      <c r="E10" s="274"/>
      <c r="F10" s="424">
        <f>ROUND('January 01, 2016 Rates'!F29,4)</f>
        <v>1.21E-2</v>
      </c>
      <c r="G10" s="283">
        <f>C10</f>
        <v>2000</v>
      </c>
      <c r="H10" s="275">
        <f>G10*F10</f>
        <v>24.2</v>
      </c>
      <c r="I10" s="274"/>
      <c r="J10" s="278">
        <f t="shared" si="0"/>
        <v>0.39999999999999858</v>
      </c>
      <c r="K10" s="279">
        <f t="shared" si="1"/>
        <v>1.6806722689075571E-2</v>
      </c>
      <c r="L10"/>
      <c r="M10"/>
    </row>
    <row r="11" spans="1:13" x14ac:dyDescent="0.25">
      <c r="A11" s="284" t="s">
        <v>269</v>
      </c>
      <c r="B11" s="285">
        <f>ROUND('January 01, 2016 Rates'!G32,4)</f>
        <v>0</v>
      </c>
      <c r="C11" s="286">
        <f>+B3</f>
        <v>2000</v>
      </c>
      <c r="D11" s="287">
        <f>C11*B11</f>
        <v>0</v>
      </c>
      <c r="E11" s="274"/>
      <c r="F11" s="288">
        <v>0</v>
      </c>
      <c r="G11" s="289">
        <f>C11</f>
        <v>2000</v>
      </c>
      <c r="H11" s="287">
        <f>G11*F11</f>
        <v>0</v>
      </c>
      <c r="I11" s="274"/>
      <c r="J11" s="290">
        <f t="shared" si="0"/>
        <v>0</v>
      </c>
      <c r="K11" s="291" t="str">
        <f t="shared" si="1"/>
        <v/>
      </c>
      <c r="L11"/>
      <c r="M11"/>
    </row>
    <row r="12" spans="1:13" x14ac:dyDescent="0.25">
      <c r="A12" s="292" t="s">
        <v>270</v>
      </c>
      <c r="B12" s="293"/>
      <c r="C12" s="294"/>
      <c r="D12" s="295">
        <f>SUM(D9:D11)</f>
        <v>64.48</v>
      </c>
      <c r="E12" s="274"/>
      <c r="F12" s="296"/>
      <c r="G12" s="297"/>
      <c r="H12" s="295">
        <f>SUM(H9:H11)</f>
        <v>65.47</v>
      </c>
      <c r="I12" s="274"/>
      <c r="J12" s="298">
        <f t="shared" si="0"/>
        <v>0.98999999999999488</v>
      </c>
      <c r="K12" s="299">
        <f t="shared" si="1"/>
        <v>1.5353598014888257E-2</v>
      </c>
      <c r="L12"/>
      <c r="M12"/>
    </row>
    <row r="13" spans="1:13" x14ac:dyDescent="0.25">
      <c r="A13" s="300" t="s">
        <v>271</v>
      </c>
      <c r="B13" s="424">
        <f>ROUND(B26*0.64+B27*0.18+B28*0.18,4)</f>
        <v>0.1021</v>
      </c>
      <c r="C13" s="301">
        <f>+(SUM(C26:C28)*B2)</f>
        <v>72</v>
      </c>
      <c r="D13" s="275">
        <f>B13*C13</f>
        <v>7.3511999999999995</v>
      </c>
      <c r="E13" s="274"/>
      <c r="F13" s="424">
        <f>ROUND(F26*0.64+F27*0.18+F28*0.18,4)</f>
        <v>0.1021</v>
      </c>
      <c r="G13" s="301">
        <f>C13</f>
        <v>72</v>
      </c>
      <c r="H13" s="275">
        <f>F13*G13</f>
        <v>7.3511999999999995</v>
      </c>
      <c r="I13" s="274"/>
      <c r="J13" s="278">
        <f t="shared" si="0"/>
        <v>0</v>
      </c>
      <c r="K13" s="279">
        <f t="shared" si="1"/>
        <v>0</v>
      </c>
      <c r="L13"/>
      <c r="M13"/>
    </row>
    <row r="14" spans="1:13" x14ac:dyDescent="0.25">
      <c r="A14" s="300" t="s">
        <v>349</v>
      </c>
      <c r="B14" s="280">
        <f>ROUND('January 01, 2016 Rates'!G31,4)</f>
        <v>0</v>
      </c>
      <c r="C14" s="301">
        <f>+B3</f>
        <v>2000</v>
      </c>
      <c r="D14" s="275">
        <f>C14*B14</f>
        <v>0</v>
      </c>
      <c r="E14" s="274"/>
      <c r="F14" s="282">
        <f>ROUND('January 01, 2016 Rates'!F30+'January 01, 2016 Rates'!F31+'January 01, 2016 Rates'!F34+'January 01, 2016 Rates'!F36+'January 01, 2016 Rates'!F35,4)</f>
        <v>2.8999999999999998E-3</v>
      </c>
      <c r="G14" s="301">
        <f>C14</f>
        <v>2000</v>
      </c>
      <c r="H14" s="275">
        <f>G14*F14</f>
        <v>5.8</v>
      </c>
      <c r="I14" s="274"/>
      <c r="J14" s="278">
        <f t="shared" si="0"/>
        <v>5.8</v>
      </c>
      <c r="K14" s="279" t="str">
        <f t="shared" si="1"/>
        <v/>
      </c>
      <c r="L14"/>
      <c r="M14"/>
    </row>
    <row r="15" spans="1:13" x14ac:dyDescent="0.25">
      <c r="A15" s="302" t="s">
        <v>272</v>
      </c>
      <c r="B15" s="280">
        <f>ROUND('January 01, 2016 Rates'!G37,4)</f>
        <v>2.0000000000000001E-4</v>
      </c>
      <c r="C15" s="301">
        <f>+B3</f>
        <v>2000</v>
      </c>
      <c r="D15" s="275">
        <f>C15*B15</f>
        <v>0.4</v>
      </c>
      <c r="E15" s="274"/>
      <c r="F15" s="424">
        <f>ROUND('January 01, 2016 Rates'!F37,4)</f>
        <v>2.0000000000000001E-4</v>
      </c>
      <c r="G15" s="301">
        <f>C15</f>
        <v>2000</v>
      </c>
      <c r="H15" s="275">
        <f>G15*F15</f>
        <v>0.4</v>
      </c>
      <c r="I15" s="274"/>
      <c r="J15" s="278">
        <f t="shared" si="0"/>
        <v>0</v>
      </c>
      <c r="K15" s="279">
        <f t="shared" si="1"/>
        <v>0</v>
      </c>
      <c r="L15"/>
      <c r="M15"/>
    </row>
    <row r="16" spans="1:13" x14ac:dyDescent="0.25">
      <c r="A16" s="302" t="s">
        <v>273</v>
      </c>
      <c r="B16" s="280">
        <f>ROUND('January 01, 2016 Rates'!G27,4)</f>
        <v>0.79</v>
      </c>
      <c r="C16" s="301">
        <v>1</v>
      </c>
      <c r="D16" s="275">
        <f>C16*B16</f>
        <v>0.79</v>
      </c>
      <c r="E16" s="274"/>
      <c r="F16" s="424">
        <f>ROUND('January 01, 2016 Rates'!F27,4)</f>
        <v>0.79</v>
      </c>
      <c r="G16" s="301">
        <f>C16</f>
        <v>1</v>
      </c>
      <c r="H16" s="275">
        <f>G16*F16</f>
        <v>0.79</v>
      </c>
      <c r="I16" s="274"/>
      <c r="J16" s="278">
        <f t="shared" si="0"/>
        <v>0</v>
      </c>
      <c r="K16" s="279">
        <f t="shared" si="1"/>
        <v>0</v>
      </c>
      <c r="L16"/>
      <c r="M16"/>
    </row>
    <row r="17" spans="1:13" x14ac:dyDescent="0.25">
      <c r="A17" s="302" t="s">
        <v>350</v>
      </c>
      <c r="B17" s="280">
        <v>0</v>
      </c>
      <c r="C17" s="301">
        <v>1</v>
      </c>
      <c r="D17" s="275">
        <f>C17*B17</f>
        <v>0</v>
      </c>
      <c r="E17" s="274"/>
      <c r="F17" s="276">
        <f>ROUND('January 01, 2016 Rates'!F28,2)</f>
        <v>1.88</v>
      </c>
      <c r="G17" s="431">
        <f>C17</f>
        <v>1</v>
      </c>
      <c r="H17" s="275">
        <f>G17*F17</f>
        <v>1.88</v>
      </c>
      <c r="I17" s="274"/>
      <c r="J17" s="278"/>
      <c r="K17" s="279"/>
      <c r="L17"/>
      <c r="M17"/>
    </row>
    <row r="18" spans="1:13" x14ac:dyDescent="0.25">
      <c r="A18" s="303" t="s">
        <v>274</v>
      </c>
      <c r="B18" s="304"/>
      <c r="C18" s="305"/>
      <c r="D18" s="306">
        <f>SUM(D12:D17)</f>
        <v>73.021200000000022</v>
      </c>
      <c r="E18" s="274"/>
      <c r="F18" s="307"/>
      <c r="G18" s="308"/>
      <c r="H18" s="306">
        <f>SUM(H12:H17)</f>
        <v>81.691200000000009</v>
      </c>
      <c r="I18" s="274"/>
      <c r="J18" s="309">
        <f t="shared" si="0"/>
        <v>8.6699999999999875</v>
      </c>
      <c r="K18" s="310">
        <f t="shared" si="1"/>
        <v>0.11873264202724668</v>
      </c>
      <c r="L18"/>
      <c r="M18"/>
    </row>
    <row r="19" spans="1:13" ht="15" customHeight="1" x14ac:dyDescent="0.25">
      <c r="A19" s="311" t="s">
        <v>275</v>
      </c>
      <c r="B19" s="280">
        <f>ROUND('January 01, 2016 Rates'!G38,4)</f>
        <v>7.6E-3</v>
      </c>
      <c r="C19" s="312">
        <f>+B3</f>
        <v>2000</v>
      </c>
      <c r="D19" s="275">
        <f>C19*B19</f>
        <v>15.2</v>
      </c>
      <c r="E19" s="274"/>
      <c r="F19" s="424">
        <f>ROUND('January 01, 2016 Rates'!F38,4)</f>
        <v>7.4000000000000003E-3</v>
      </c>
      <c r="G19" s="313">
        <f>C19</f>
        <v>2000</v>
      </c>
      <c r="H19" s="275">
        <f>G19*F19</f>
        <v>14.8</v>
      </c>
      <c r="I19" s="274"/>
      <c r="J19" s="278">
        <f t="shared" si="0"/>
        <v>-0.39999999999999858</v>
      </c>
      <c r="K19" s="279">
        <f t="shared" si="1"/>
        <v>-2.6315789473684119E-2</v>
      </c>
      <c r="L19"/>
      <c r="M19"/>
    </row>
    <row r="20" spans="1:13" x14ac:dyDescent="0.25">
      <c r="A20" s="314" t="s">
        <v>276</v>
      </c>
      <c r="B20" s="280">
        <f>ROUND('January 01, 2016 Rates'!G39,4)</f>
        <v>5.5999999999999999E-3</v>
      </c>
      <c r="C20" s="312">
        <f>+B3</f>
        <v>2000</v>
      </c>
      <c r="D20" s="275">
        <f>C20*B20</f>
        <v>11.2</v>
      </c>
      <c r="E20" s="274"/>
      <c r="F20" s="424">
        <f>ROUND('January 01, 2016 Rates'!F39,4)</f>
        <v>5.7999999999999996E-3</v>
      </c>
      <c r="G20" s="313">
        <f>C20</f>
        <v>2000</v>
      </c>
      <c r="H20" s="275">
        <f>G20*F20</f>
        <v>11.6</v>
      </c>
      <c r="I20" s="274"/>
      <c r="J20" s="278">
        <f t="shared" si="0"/>
        <v>0.40000000000000036</v>
      </c>
      <c r="K20" s="279">
        <f t="shared" si="1"/>
        <v>3.5714285714285747E-2</v>
      </c>
      <c r="L20"/>
      <c r="M20"/>
    </row>
    <row r="21" spans="1:13" x14ac:dyDescent="0.25">
      <c r="A21" s="303" t="s">
        <v>277</v>
      </c>
      <c r="B21" s="304"/>
      <c r="C21" s="305"/>
      <c r="D21" s="306">
        <f>SUM(D18:D20)</f>
        <v>99.421200000000027</v>
      </c>
      <c r="E21" s="315"/>
      <c r="F21" s="316"/>
      <c r="G21" s="317"/>
      <c r="H21" s="306">
        <f>SUM(H18:H20)</f>
        <v>108.0912</v>
      </c>
      <c r="I21" s="315"/>
      <c r="J21" s="309">
        <f t="shared" si="0"/>
        <v>8.6699999999999733</v>
      </c>
      <c r="K21" s="310">
        <f t="shared" si="1"/>
        <v>8.7204741041145867E-2</v>
      </c>
      <c r="L21"/>
      <c r="M21"/>
    </row>
    <row r="22" spans="1:13" x14ac:dyDescent="0.25">
      <c r="A22" s="302" t="s">
        <v>278</v>
      </c>
      <c r="B22" s="427">
        <f>ROUND('January 01, 2016 Rates'!G40,4)</f>
        <v>4.4000000000000003E-3</v>
      </c>
      <c r="C22" s="312">
        <f>+B3+C13</f>
        <v>2072</v>
      </c>
      <c r="D22" s="275">
        <f t="shared" ref="D22:D28" si="2">C22*B22</f>
        <v>9.1168000000000013</v>
      </c>
      <c r="E22" s="274"/>
      <c r="F22" s="424">
        <f>ROUND('January 01, 2016 Rates'!F40,4)</f>
        <v>4.4000000000000003E-3</v>
      </c>
      <c r="G22" s="313">
        <f>+C22</f>
        <v>2072</v>
      </c>
      <c r="H22" s="275">
        <f t="shared" ref="H22:H28" si="3">G22*F22</f>
        <v>9.1168000000000013</v>
      </c>
      <c r="I22" s="274"/>
      <c r="J22" s="278">
        <f t="shared" si="0"/>
        <v>0</v>
      </c>
      <c r="K22" s="279">
        <f t="shared" si="1"/>
        <v>0</v>
      </c>
      <c r="L22"/>
      <c r="M22"/>
    </row>
    <row r="23" spans="1:13" x14ac:dyDescent="0.25">
      <c r="A23" s="302" t="s">
        <v>279</v>
      </c>
      <c r="B23" s="280">
        <f>ROUND('January 01, 2016 Rates'!G41,4)</f>
        <v>1.2999999999999999E-3</v>
      </c>
      <c r="C23" s="312">
        <f>+B3+C13</f>
        <v>2072</v>
      </c>
      <c r="D23" s="275">
        <f t="shared" si="2"/>
        <v>2.6936</v>
      </c>
      <c r="E23" s="274"/>
      <c r="F23" s="424">
        <f>ROUND('January 01, 2016 Rates'!F41,4)</f>
        <v>1.2999999999999999E-3</v>
      </c>
      <c r="G23" s="313">
        <f>+C23</f>
        <v>2072</v>
      </c>
      <c r="H23" s="275">
        <f t="shared" si="3"/>
        <v>2.6936</v>
      </c>
      <c r="I23" s="274"/>
      <c r="J23" s="278">
        <f t="shared" si="0"/>
        <v>0</v>
      </c>
      <c r="K23" s="279">
        <f t="shared" si="1"/>
        <v>0</v>
      </c>
      <c r="L23"/>
      <c r="M23"/>
    </row>
    <row r="24" spans="1:13" x14ac:dyDescent="0.25">
      <c r="A24" s="302" t="s">
        <v>280</v>
      </c>
      <c r="B24" s="280">
        <f>ROUND('January 01, 2016 Rates'!G42,4)</f>
        <v>0.25</v>
      </c>
      <c r="C24" s="312">
        <v>1</v>
      </c>
      <c r="D24" s="275">
        <f t="shared" si="2"/>
        <v>0.25</v>
      </c>
      <c r="E24" s="274"/>
      <c r="F24" s="424">
        <f>ROUND('January 01, 2016 Rates'!F42,4)</f>
        <v>0.25</v>
      </c>
      <c r="G24" s="313">
        <f>C24</f>
        <v>1</v>
      </c>
      <c r="H24" s="275">
        <f t="shared" si="3"/>
        <v>0.25</v>
      </c>
      <c r="I24" s="274"/>
      <c r="J24" s="278">
        <f t="shared" si="0"/>
        <v>0</v>
      </c>
      <c r="K24" s="279">
        <f t="shared" si="1"/>
        <v>0</v>
      </c>
      <c r="L24"/>
      <c r="M24"/>
    </row>
    <row r="25" spans="1:13" x14ac:dyDescent="0.25">
      <c r="A25" s="302" t="s">
        <v>281</v>
      </c>
      <c r="B25" s="280">
        <f>ROUND('January 01, 2016 Rates'!G24,4)</f>
        <v>7.0000000000000001E-3</v>
      </c>
      <c r="C25" s="312">
        <f>+B3</f>
        <v>2000</v>
      </c>
      <c r="D25" s="275">
        <f t="shared" si="2"/>
        <v>14</v>
      </c>
      <c r="E25" s="274"/>
      <c r="F25" s="424">
        <f>ROUND('January 01, 2016 Rates'!F43,4)</f>
        <v>7.0000000000000001E-3</v>
      </c>
      <c r="G25" s="313">
        <f>C25</f>
        <v>2000</v>
      </c>
      <c r="H25" s="275">
        <f t="shared" si="3"/>
        <v>14</v>
      </c>
      <c r="I25" s="274"/>
      <c r="J25" s="278">
        <f t="shared" si="0"/>
        <v>0</v>
      </c>
      <c r="K25" s="279">
        <f t="shared" si="1"/>
        <v>0</v>
      </c>
      <c r="L25"/>
      <c r="M25"/>
    </row>
    <row r="26" spans="1:13" x14ac:dyDescent="0.25">
      <c r="A26" s="302" t="s">
        <v>282</v>
      </c>
      <c r="B26" s="280">
        <v>0.08</v>
      </c>
      <c r="C26" s="312">
        <f>B3*0.64</f>
        <v>1280</v>
      </c>
      <c r="D26" s="275">
        <f t="shared" si="2"/>
        <v>102.4</v>
      </c>
      <c r="E26" s="274"/>
      <c r="F26" s="424">
        <v>0.08</v>
      </c>
      <c r="G26" s="312">
        <f>C26</f>
        <v>1280</v>
      </c>
      <c r="H26" s="275">
        <f t="shared" si="3"/>
        <v>102.4</v>
      </c>
      <c r="I26" s="274"/>
      <c r="J26" s="278">
        <f t="shared" si="0"/>
        <v>0</v>
      </c>
      <c r="K26" s="279">
        <f t="shared" si="1"/>
        <v>0</v>
      </c>
      <c r="L26"/>
      <c r="M26"/>
    </row>
    <row r="27" spans="1:13" x14ac:dyDescent="0.25">
      <c r="A27" s="302" t="s">
        <v>283</v>
      </c>
      <c r="B27" s="280">
        <v>0.122</v>
      </c>
      <c r="C27" s="312">
        <f>B3*0.18</f>
        <v>360</v>
      </c>
      <c r="D27" s="275">
        <f t="shared" si="2"/>
        <v>43.92</v>
      </c>
      <c r="E27" s="274"/>
      <c r="F27" s="424">
        <v>0.122</v>
      </c>
      <c r="G27" s="312">
        <f>C27</f>
        <v>360</v>
      </c>
      <c r="H27" s="275">
        <f t="shared" si="3"/>
        <v>43.92</v>
      </c>
      <c r="I27" s="274"/>
      <c r="J27" s="278">
        <f t="shared" si="0"/>
        <v>0</v>
      </c>
      <c r="K27" s="279">
        <f t="shared" si="1"/>
        <v>0</v>
      </c>
      <c r="L27"/>
      <c r="M27"/>
    </row>
    <row r="28" spans="1:13" ht="15.75" thickBot="1" x14ac:dyDescent="0.3">
      <c r="A28" s="257" t="s">
        <v>284</v>
      </c>
      <c r="B28" s="428">
        <v>0.161</v>
      </c>
      <c r="C28" s="312">
        <f>B3*0.18</f>
        <v>360</v>
      </c>
      <c r="D28" s="275">
        <f t="shared" si="2"/>
        <v>57.96</v>
      </c>
      <c r="E28" s="274"/>
      <c r="F28" s="424">
        <v>0.161</v>
      </c>
      <c r="G28" s="312">
        <f>C28</f>
        <v>360</v>
      </c>
      <c r="H28" s="275">
        <f t="shared" si="3"/>
        <v>57.96</v>
      </c>
      <c r="I28" s="274"/>
      <c r="J28" s="278">
        <f t="shared" si="0"/>
        <v>0</v>
      </c>
      <c r="K28" s="279">
        <f t="shared" si="1"/>
        <v>0</v>
      </c>
      <c r="L28"/>
      <c r="M28"/>
    </row>
    <row r="29" spans="1:13" ht="15.75" thickBot="1" x14ac:dyDescent="0.3">
      <c r="A29" s="318"/>
      <c r="B29" s="319"/>
      <c r="C29" s="320"/>
      <c r="D29" s="321"/>
      <c r="E29" s="274"/>
      <c r="F29" s="319"/>
      <c r="G29" s="322"/>
      <c r="H29" s="321"/>
      <c r="I29" s="274"/>
      <c r="J29" s="323"/>
      <c r="K29" s="324"/>
      <c r="L29"/>
      <c r="M29"/>
    </row>
    <row r="30" spans="1:13" x14ac:dyDescent="0.25">
      <c r="A30" s="325" t="s">
        <v>285</v>
      </c>
      <c r="B30" s="326"/>
      <c r="C30" s="327"/>
      <c r="D30" s="328">
        <f>SUM(D21:D28)</f>
        <v>329.76160000000004</v>
      </c>
      <c r="E30" s="329"/>
      <c r="F30" s="330"/>
      <c r="G30" s="331"/>
      <c r="H30" s="328">
        <f>SUM(H21:H28)</f>
        <v>338.4316</v>
      </c>
      <c r="I30" s="315"/>
      <c r="J30" s="332">
        <f>H30-D30</f>
        <v>8.6699999999999591</v>
      </c>
      <c r="K30" s="333">
        <f>IF((D30)=0,"",(J30/D30))</f>
        <v>2.6291721049388279E-2</v>
      </c>
      <c r="L30"/>
      <c r="M30"/>
    </row>
    <row r="31" spans="1:13" x14ac:dyDescent="0.25">
      <c r="A31" s="334" t="s">
        <v>286</v>
      </c>
      <c r="B31" s="326">
        <v>0.13</v>
      </c>
      <c r="C31" s="335"/>
      <c r="D31" s="336">
        <f>D30*B31</f>
        <v>42.869008000000008</v>
      </c>
      <c r="E31" s="337"/>
      <c r="F31" s="338">
        <v>0.13</v>
      </c>
      <c r="G31" s="337"/>
      <c r="H31" s="336">
        <f>H30*F31</f>
        <v>43.996108</v>
      </c>
      <c r="I31" s="274"/>
      <c r="J31" s="339">
        <f t="shared" si="0"/>
        <v>1.1270999999999916</v>
      </c>
      <c r="K31" s="340">
        <f t="shared" si="1"/>
        <v>2.6291721049388206E-2</v>
      </c>
      <c r="L31"/>
      <c r="M31"/>
    </row>
    <row r="32" spans="1:13" ht="15" customHeight="1" x14ac:dyDescent="0.25">
      <c r="A32" s="341" t="s">
        <v>287</v>
      </c>
      <c r="B32" s="337"/>
      <c r="C32" s="335"/>
      <c r="D32" s="336">
        <f>D30+D31</f>
        <v>372.63060800000005</v>
      </c>
      <c r="E32" s="337"/>
      <c r="F32" s="342"/>
      <c r="G32" s="337"/>
      <c r="H32" s="336">
        <f>H30+H31</f>
        <v>382.427708</v>
      </c>
      <c r="I32" s="274"/>
      <c r="J32" s="339">
        <f t="shared" si="0"/>
        <v>9.7970999999999435</v>
      </c>
      <c r="K32" s="340">
        <f t="shared" si="1"/>
        <v>2.6291721049388251E-2</v>
      </c>
      <c r="L32"/>
      <c r="M32"/>
    </row>
    <row r="33" spans="1:13" ht="15.75" customHeight="1" x14ac:dyDescent="0.25">
      <c r="A33" s="343" t="s">
        <v>288</v>
      </c>
      <c r="B33" s="337"/>
      <c r="C33" s="335"/>
      <c r="D33" s="336">
        <f>-D32*0.1</f>
        <v>-37.263060800000005</v>
      </c>
      <c r="E33" s="337"/>
      <c r="F33" s="342"/>
      <c r="G33" s="337"/>
      <c r="H33" s="336">
        <f>-H32*0.1</f>
        <v>-38.242770800000002</v>
      </c>
      <c r="I33" s="274"/>
      <c r="J33" s="339">
        <f t="shared" si="0"/>
        <v>-0.97970999999999719</v>
      </c>
      <c r="K33" s="340">
        <f t="shared" si="1"/>
        <v>2.6291721049388327E-2</v>
      </c>
      <c r="L33"/>
      <c r="M33"/>
    </row>
    <row r="34" spans="1:13" ht="15.75" thickBot="1" x14ac:dyDescent="0.3">
      <c r="A34" s="344" t="s">
        <v>289</v>
      </c>
      <c r="B34" s="345"/>
      <c r="C34" s="346"/>
      <c r="D34" s="347">
        <f>D32+D33</f>
        <v>335.36754720000005</v>
      </c>
      <c r="E34" s="329"/>
      <c r="F34" s="348"/>
      <c r="G34" s="349"/>
      <c r="H34" s="347">
        <f>H32+H33</f>
        <v>344.18493719999998</v>
      </c>
      <c r="I34" s="315"/>
      <c r="J34" s="298">
        <f t="shared" si="0"/>
        <v>8.8173899999999321</v>
      </c>
      <c r="K34" s="299">
        <f t="shared" si="1"/>
        <v>2.6291721049388199E-2</v>
      </c>
      <c r="L34"/>
      <c r="M34"/>
    </row>
    <row r="35" spans="1:13" ht="15.75" thickBot="1" x14ac:dyDescent="0.3">
      <c r="A35" s="318"/>
      <c r="B35" s="350"/>
      <c r="C35" s="351"/>
      <c r="D35" s="352"/>
      <c r="E35" s="353"/>
      <c r="F35" s="354"/>
      <c r="G35" s="355"/>
      <c r="H35" s="356"/>
      <c r="I35" s="353"/>
      <c r="J35" s="357"/>
      <c r="K35" s="358"/>
      <c r="L35"/>
      <c r="M35"/>
    </row>
    <row r="36" spans="1:13" x14ac:dyDescent="0.25">
      <c r="A36" s="375"/>
      <c r="B36" s="375"/>
      <c r="L36"/>
      <c r="M36"/>
    </row>
    <row r="37" spans="1:13" x14ac:dyDescent="0.25">
      <c r="A37" s="375"/>
      <c r="B37" s="375"/>
      <c r="L37"/>
      <c r="M37"/>
    </row>
    <row r="38" spans="1:13" x14ac:dyDescent="0.25">
      <c r="A38" s="370"/>
      <c r="B38" s="375"/>
      <c r="L38"/>
      <c r="M38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6" fitToHeight="0" orientation="landscape" r:id="rId1"/>
  <headerFooter differentOddEven="1">
    <oddHeader>&amp;REnersource Hydro Mississauga Inc.
Filed: August 17, 2015
2016 Price Cap IR Application
EB-2015-0065
Attachment C
Page &amp;P of &amp;N</oddHeader>
    <evenHeader>&amp;LEnersource Hydro Mississauga Inc.
Filed: August 17, 2015
2016 Price Cap IR Application
EB-2015-0065
Attachment C
Page &amp;P of &amp;N</even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6930AC81FE74A97DB69A7F7AEBEEA" ma:contentTypeVersion="0" ma:contentTypeDescription="Create a new document." ma:contentTypeScope="" ma:versionID="3827822f73c73d9cc1399aa3875626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2A3BC-875D-43C8-803F-D6FBC03D0E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E024B8-9257-4729-94EF-595053E16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696F69-56ED-43F3-88FB-CFB99B5FC71A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January 01, 2016 Rates</vt:lpstr>
      <vt:lpstr>Rate Comparison</vt:lpstr>
      <vt:lpstr>Bill Impact Summary</vt:lpstr>
      <vt:lpstr>Bill Impact- Res RPP</vt:lpstr>
      <vt:lpstr>Bill Impact- Res RPP (10th Per)</vt:lpstr>
      <vt:lpstr>Bill Impact- Res Non RPP</vt:lpstr>
      <vt:lpstr>Bill Impact- Res Non RPP (10th)</vt:lpstr>
      <vt:lpstr>Bill Impact- GS &lt;50kW RPP</vt:lpstr>
      <vt:lpstr>Bill Impact- GS &lt;50kW Non RPP</vt:lpstr>
      <vt:lpstr>USL RPP</vt:lpstr>
      <vt:lpstr>USL Non RPP</vt:lpstr>
      <vt:lpstr>Bill Impact-GS50-499 NonRPP Int</vt:lpstr>
      <vt:lpstr>BI GS50-499 NonRPP Interval WMP</vt:lpstr>
      <vt:lpstr>BI- GS50-499 Non RPP Non Interv</vt:lpstr>
      <vt:lpstr>BI- GS500-4999 Non RPP Interval</vt:lpstr>
      <vt:lpstr>BI- GS500-4999 Non RPP Int WMP</vt:lpstr>
      <vt:lpstr>BI- GS500-4999 Non RPP Non Int</vt:lpstr>
      <vt:lpstr>BI- Large Use Class A</vt:lpstr>
      <vt:lpstr>BI- Large Use Class B</vt:lpstr>
      <vt:lpstr>BI- Street Light Non RPP</vt:lpstr>
      <vt:lpstr>'January 01, 2016 Rates'!Print_Area</vt:lpstr>
      <vt:lpstr>'Rate Comparison'!Print_Area</vt:lpstr>
      <vt:lpstr>'January 01, 2016 Rates'!Print_Titles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Natalie Yeates</dc:creator>
  <cp:lastModifiedBy>Sharon du Quesnay</cp:lastModifiedBy>
  <cp:lastPrinted>2015-08-14T20:24:52Z</cp:lastPrinted>
  <dcterms:created xsi:type="dcterms:W3CDTF">2014-12-02T22:43:10Z</dcterms:created>
  <dcterms:modified xsi:type="dcterms:W3CDTF">2015-08-14T20:25:17Z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0x010100C526930AC81FE74A97DB69A7F7AEBEEA</vt:lpwstr>
  </property>
</Properties>
</file>